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workbookProtection workbookPassword="9F15" lockStructure="1"/>
  <bookViews>
    <workbookView xWindow="324" yWindow="120" windowWidth="15300" windowHeight="5424" tabRatio="749"/>
  </bookViews>
  <sheets>
    <sheet name="Introduction" sheetId="18" r:id="rId1"/>
    <sheet name="General" sheetId="17" r:id="rId2"/>
    <sheet name="Combustion" sheetId="2" r:id="rId3"/>
    <sheet name="Flare" sheetId="7" r:id="rId4"/>
    <sheet name="WasteBurner&amp;BurnPit" sheetId="8" r:id="rId5"/>
    <sheet name="Vent (Process)" sheetId="9" r:id="rId6"/>
    <sheet name="Vent (Storage Tanks)" sheetId="10" r:id="rId7"/>
    <sheet name="Vent (Loading)" sheetId="11" r:id="rId8"/>
    <sheet name="Fugitives (Equipment Leaks)" sheetId="12" r:id="rId9"/>
    <sheet name="Fugitives (WastewaterTreatment)" sheetId="14" r:id="rId10"/>
    <sheet name="Fugitives (CoolingTowers)" sheetId="15" r:id="rId11"/>
    <sheet name="Results" sheetId="16" r:id="rId12"/>
    <sheet name="Compositions" sheetId="6" r:id="rId13"/>
    <sheet name="HHV-LHV-MW" sheetId="5" state="hidden" r:id="rId14"/>
    <sheet name="Sheet1" sheetId="20" state="hidden" r:id="rId15"/>
    <sheet name="Emission factors" sheetId="4" state="hidden" r:id="rId16"/>
    <sheet name="Emission factors1" sheetId="1" state="hidden" r:id="rId17"/>
    <sheet name="Uncertainties" sheetId="19" state="hidden" r:id="rId18"/>
  </sheets>
  <externalReferences>
    <externalReference r:id="rId19"/>
  </externalReferences>
  <definedNames>
    <definedName name="_Ref95114528" localSheetId="16">'Emission factors1'!$AJ$80</definedName>
    <definedName name="_Ref97549088" localSheetId="16">'Emission factors1'!$AC$61</definedName>
    <definedName name="_Ref97638135" localSheetId="16">'Emission factors1'!$BD$90</definedName>
    <definedName name="_Ref99526939" localSheetId="16">'Emission factors1'!$AE$66</definedName>
    <definedName name="_Toc99538977" localSheetId="16">'Emission factors1'!$F$18</definedName>
    <definedName name="_Toc99538978" localSheetId="16">'Emission factors1'!$I$29</definedName>
    <definedName name="_Toc99538979" localSheetId="16">'Emission factors1'!$O$40</definedName>
    <definedName name="_Toc99538980" localSheetId="16">'Emission factors1'!$Q$45</definedName>
    <definedName name="_Toc99538981" localSheetId="16">'Emission factors1'!$W$53</definedName>
    <definedName name="AccErrLHV">[1]constants!$D$27</definedName>
    <definedName name="DefaultValues">[1]constants!$C$4:$E$18</definedName>
    <definedName name="LiquidFuelsComp">[1]constants!$X$10:INDEX([1]constants!$X$10:$X$18,COUNTIF([1]constants!$X$10:$X$18,"?*"))</definedName>
  </definedNames>
  <calcPr calcId="145621"/>
</workbook>
</file>

<file path=xl/calcChain.xml><?xml version="1.0" encoding="utf-8"?>
<calcChain xmlns="http://schemas.openxmlformats.org/spreadsheetml/2006/main">
  <c r="AH7" i="8" l="1"/>
  <c r="F7" i="8"/>
  <c r="AA43" i="8"/>
  <c r="AL42" i="8"/>
  <c r="V42" i="8"/>
  <c r="AL41" i="8"/>
  <c r="V41" i="8"/>
  <c r="AL40" i="8"/>
  <c r="V40" i="8"/>
  <c r="AL39" i="8"/>
  <c r="V39" i="8"/>
  <c r="H39" i="8"/>
  <c r="AL38" i="8"/>
  <c r="V38" i="8"/>
  <c r="AL37" i="8"/>
  <c r="V37" i="8"/>
  <c r="AW37" i="8" s="1"/>
  <c r="BD37" i="8" s="1"/>
  <c r="AL36" i="8"/>
  <c r="V36" i="8"/>
  <c r="AL35" i="8"/>
  <c r="V35" i="8"/>
  <c r="H35" i="8"/>
  <c r="AL34" i="8"/>
  <c r="V34" i="8"/>
  <c r="AR34" i="8" s="1"/>
  <c r="AL33" i="8"/>
  <c r="AW33" i="8" s="1"/>
  <c r="BD33" i="8" s="1"/>
  <c r="V33" i="8"/>
  <c r="AL32" i="8"/>
  <c r="V32" i="8"/>
  <c r="AW32" i="8" s="1"/>
  <c r="BD32" i="8" s="1"/>
  <c r="AL31" i="8"/>
  <c r="AW31" i="8" s="1"/>
  <c r="BD31" i="8" s="1"/>
  <c r="V31" i="8"/>
  <c r="H31" i="8"/>
  <c r="AL30" i="8"/>
  <c r="V30" i="8"/>
  <c r="AL29" i="8"/>
  <c r="V29" i="8"/>
  <c r="AW29" i="8" s="1"/>
  <c r="BD29" i="8" s="1"/>
  <c r="AL28" i="8"/>
  <c r="V28" i="8"/>
  <c r="AR28" i="8" s="1"/>
  <c r="AL27" i="8"/>
  <c r="V27" i="8"/>
  <c r="H27" i="8"/>
  <c r="AL26" i="8"/>
  <c r="AW26" i="8" s="1"/>
  <c r="BD26" i="8" s="1"/>
  <c r="V26" i="8"/>
  <c r="AL25" i="8"/>
  <c r="V25" i="8"/>
  <c r="AW24" i="8"/>
  <c r="BD24" i="8" s="1"/>
  <c r="AL24" i="8"/>
  <c r="V24" i="8"/>
  <c r="AR24" i="8" s="1"/>
  <c r="AL23" i="8"/>
  <c r="V23" i="8"/>
  <c r="H23" i="8"/>
  <c r="AW39" i="8" l="1"/>
  <c r="BD39" i="8" s="1"/>
  <c r="AW41" i="8"/>
  <c r="BD41" i="8" s="1"/>
  <c r="AW36" i="8"/>
  <c r="BD36" i="8" s="1"/>
  <c r="AW40" i="8"/>
  <c r="BD40" i="8" s="1"/>
  <c r="AR42" i="8"/>
  <c r="W35" i="8"/>
  <c r="AM35" i="8" s="1"/>
  <c r="AX35" i="8" s="1"/>
  <c r="BE35" i="8" s="1"/>
  <c r="AW23" i="8"/>
  <c r="BD23" i="8" s="1"/>
  <c r="AR31" i="8"/>
  <c r="AR37" i="8"/>
  <c r="AR39" i="8"/>
  <c r="AW28" i="8"/>
  <c r="BD28" i="8" s="1"/>
  <c r="AR30" i="8"/>
  <c r="W31" i="8"/>
  <c r="AM31" i="8" s="1"/>
  <c r="AX31" i="8" s="1"/>
  <c r="BE31" i="8" s="1"/>
  <c r="W39" i="8"/>
  <c r="AM39" i="8" s="1"/>
  <c r="AX39" i="8" s="1"/>
  <c r="BE39" i="8" s="1"/>
  <c r="AR25" i="8"/>
  <c r="W27" i="8"/>
  <c r="AM27" i="8" s="1"/>
  <c r="AX27" i="8" s="1"/>
  <c r="BE27" i="8" s="1"/>
  <c r="AW30" i="8"/>
  <c r="BD30" i="8" s="1"/>
  <c r="AW34" i="8"/>
  <c r="BD34" i="8" s="1"/>
  <c r="AW35" i="8"/>
  <c r="BD35" i="8" s="1"/>
  <c r="AR38" i="8"/>
  <c r="AW42" i="8"/>
  <c r="BD42" i="8" s="1"/>
  <c r="AR23" i="8"/>
  <c r="AR26" i="8"/>
  <c r="AR33" i="8"/>
  <c r="AR36" i="8"/>
  <c r="AR41" i="8"/>
  <c r="AR35" i="8"/>
  <c r="W23" i="8"/>
  <c r="AM23" i="8" s="1"/>
  <c r="AX23" i="8" s="1"/>
  <c r="BE23" i="8" s="1"/>
  <c r="AW25" i="8"/>
  <c r="BD25" i="8" s="1"/>
  <c r="AR27" i="8"/>
  <c r="AR29" i="8"/>
  <c r="AR32" i="8"/>
  <c r="AW38" i="8"/>
  <c r="BD38" i="8" s="1"/>
  <c r="AW27" i="8"/>
  <c r="BD27" i="8" s="1"/>
  <c r="AR40" i="8"/>
  <c r="JL121" i="6"/>
  <c r="JL122" i="6"/>
  <c r="JL123" i="6"/>
  <c r="JL124" i="6"/>
  <c r="JL125" i="6"/>
  <c r="JL126" i="6"/>
  <c r="JL127" i="6"/>
  <c r="JL128" i="6"/>
  <c r="JL129" i="6"/>
  <c r="JL130" i="6"/>
  <c r="JL131" i="6"/>
  <c r="JL132" i="6"/>
  <c r="JL133" i="6"/>
  <c r="JL134" i="6"/>
  <c r="JL135" i="6"/>
  <c r="JL136" i="6"/>
  <c r="JL137" i="6"/>
  <c r="JL138" i="6"/>
  <c r="JL139" i="6"/>
  <c r="JL140" i="6"/>
  <c r="JL141" i="6"/>
  <c r="JL142" i="6"/>
  <c r="JL120" i="6"/>
  <c r="IQ121" i="6"/>
  <c r="IQ122" i="6"/>
  <c r="IQ123" i="6"/>
  <c r="IQ124" i="6"/>
  <c r="IQ125" i="6"/>
  <c r="IQ126" i="6"/>
  <c r="IQ127" i="6"/>
  <c r="IQ128" i="6"/>
  <c r="IQ129" i="6"/>
  <c r="IQ130" i="6"/>
  <c r="IQ131" i="6"/>
  <c r="IQ132" i="6"/>
  <c r="IQ133" i="6"/>
  <c r="IQ134" i="6"/>
  <c r="IQ135" i="6"/>
  <c r="IQ136" i="6"/>
  <c r="IQ137" i="6"/>
  <c r="IQ138" i="6"/>
  <c r="IQ139" i="6"/>
  <c r="IQ140" i="6"/>
  <c r="IQ141" i="6"/>
  <c r="IQ142" i="6"/>
  <c r="IQ120" i="6"/>
  <c r="HV121" i="6"/>
  <c r="HV122" i="6"/>
  <c r="HV123" i="6"/>
  <c r="HV124" i="6"/>
  <c r="HV125" i="6"/>
  <c r="HV126" i="6"/>
  <c r="HV127" i="6"/>
  <c r="HV128" i="6"/>
  <c r="HV129" i="6"/>
  <c r="HV130" i="6"/>
  <c r="HV131" i="6"/>
  <c r="HV132" i="6"/>
  <c r="HV133" i="6"/>
  <c r="HV134" i="6"/>
  <c r="HV135" i="6"/>
  <c r="HV136" i="6"/>
  <c r="HV137" i="6"/>
  <c r="HV138" i="6"/>
  <c r="HV139" i="6"/>
  <c r="HV140" i="6"/>
  <c r="HV141" i="6"/>
  <c r="HV142" i="6"/>
  <c r="HV120" i="6"/>
  <c r="HA121" i="6"/>
  <c r="HA122" i="6"/>
  <c r="HA123" i="6"/>
  <c r="HA124" i="6"/>
  <c r="HA125" i="6"/>
  <c r="HA126" i="6"/>
  <c r="HA127" i="6"/>
  <c r="HA128" i="6"/>
  <c r="HA129" i="6"/>
  <c r="HA130" i="6"/>
  <c r="HA131" i="6"/>
  <c r="HA132" i="6"/>
  <c r="HA133" i="6"/>
  <c r="HA134" i="6"/>
  <c r="HA135" i="6"/>
  <c r="HA136" i="6"/>
  <c r="HA137" i="6"/>
  <c r="HA138" i="6"/>
  <c r="HA139" i="6"/>
  <c r="HA140" i="6"/>
  <c r="HA141" i="6"/>
  <c r="HA142" i="6"/>
  <c r="HA120" i="6"/>
  <c r="GF121" i="6"/>
  <c r="GF122" i="6"/>
  <c r="GF123" i="6"/>
  <c r="GF124" i="6"/>
  <c r="GF125" i="6"/>
  <c r="GF126" i="6"/>
  <c r="GF127" i="6"/>
  <c r="GF128" i="6"/>
  <c r="GF129" i="6"/>
  <c r="GF130" i="6"/>
  <c r="GF131" i="6"/>
  <c r="GF132" i="6"/>
  <c r="GF133" i="6"/>
  <c r="GF134" i="6"/>
  <c r="GF135" i="6"/>
  <c r="GF136" i="6"/>
  <c r="GF137" i="6"/>
  <c r="GF138" i="6"/>
  <c r="GF139" i="6"/>
  <c r="GF140" i="6"/>
  <c r="GF141" i="6"/>
  <c r="GF142" i="6"/>
  <c r="GF120" i="6"/>
  <c r="FK121" i="6"/>
  <c r="FK122" i="6"/>
  <c r="FK123" i="6"/>
  <c r="FK124" i="6"/>
  <c r="FK125" i="6"/>
  <c r="FK126" i="6"/>
  <c r="FK127" i="6"/>
  <c r="FK128" i="6"/>
  <c r="FK129" i="6"/>
  <c r="FK130" i="6"/>
  <c r="FK131" i="6"/>
  <c r="FK132" i="6"/>
  <c r="FK133" i="6"/>
  <c r="FK134" i="6"/>
  <c r="FK135" i="6"/>
  <c r="FK136" i="6"/>
  <c r="FK137" i="6"/>
  <c r="FK138" i="6"/>
  <c r="FK139" i="6"/>
  <c r="FK140" i="6"/>
  <c r="FK141" i="6"/>
  <c r="FK142" i="6"/>
  <c r="FK120" i="6"/>
  <c r="EP121" i="6"/>
  <c r="EP122" i="6"/>
  <c r="EP123" i="6"/>
  <c r="EP124" i="6"/>
  <c r="EP125" i="6"/>
  <c r="EP126" i="6"/>
  <c r="EP127" i="6"/>
  <c r="EP128" i="6"/>
  <c r="EP129" i="6"/>
  <c r="EP130" i="6"/>
  <c r="EP131" i="6"/>
  <c r="EP132" i="6"/>
  <c r="EP133" i="6"/>
  <c r="EP134" i="6"/>
  <c r="EP135" i="6"/>
  <c r="EP136" i="6"/>
  <c r="EP137" i="6"/>
  <c r="EP138" i="6"/>
  <c r="EP139" i="6"/>
  <c r="EP140" i="6"/>
  <c r="EP141" i="6"/>
  <c r="EP142" i="6"/>
  <c r="EP120" i="6"/>
  <c r="GF28" i="6"/>
  <c r="GF29" i="6"/>
  <c r="GF30" i="6"/>
  <c r="GF31" i="6"/>
  <c r="GF32" i="6"/>
  <c r="GF33" i="6"/>
  <c r="GF34" i="6"/>
  <c r="GF35" i="6"/>
  <c r="GF36" i="6"/>
  <c r="GF37" i="6"/>
  <c r="GF38" i="6"/>
  <c r="GF39" i="6"/>
  <c r="GF40" i="6"/>
  <c r="GF41" i="6"/>
  <c r="GF42" i="6"/>
  <c r="GF43" i="6"/>
  <c r="GF44" i="6"/>
  <c r="GF45" i="6"/>
  <c r="GF46" i="6"/>
  <c r="GF47" i="6"/>
  <c r="GF48" i="6"/>
  <c r="GF49" i="6"/>
  <c r="GF27" i="6"/>
  <c r="FK28" i="6"/>
  <c r="FK29" i="6"/>
  <c r="FK30" i="6"/>
  <c r="FK31" i="6"/>
  <c r="FK32" i="6"/>
  <c r="FK33" i="6"/>
  <c r="FK34" i="6"/>
  <c r="FK35" i="6"/>
  <c r="FK36" i="6"/>
  <c r="FK37" i="6"/>
  <c r="FK38" i="6"/>
  <c r="FK39" i="6"/>
  <c r="FK40" i="6"/>
  <c r="FK41" i="6"/>
  <c r="FK42" i="6"/>
  <c r="FK43" i="6"/>
  <c r="FK44" i="6"/>
  <c r="FK45" i="6"/>
  <c r="FK46" i="6"/>
  <c r="FK47" i="6"/>
  <c r="FK48" i="6"/>
  <c r="FK49" i="6"/>
  <c r="FK27" i="6"/>
  <c r="EP28" i="6"/>
  <c r="EP29" i="6"/>
  <c r="EP30" i="6"/>
  <c r="EP31" i="6"/>
  <c r="EP32" i="6"/>
  <c r="EP33" i="6"/>
  <c r="EP34" i="6"/>
  <c r="EP35" i="6"/>
  <c r="EP36" i="6"/>
  <c r="EP37" i="6"/>
  <c r="EP38" i="6"/>
  <c r="EP39" i="6"/>
  <c r="EP40" i="6"/>
  <c r="EP41" i="6"/>
  <c r="EP42" i="6"/>
  <c r="EP43" i="6"/>
  <c r="EP44" i="6"/>
  <c r="EP45" i="6"/>
  <c r="EP46" i="6"/>
  <c r="EP47" i="6"/>
  <c r="EP48" i="6"/>
  <c r="EP49" i="6"/>
  <c r="EP27" i="6"/>
  <c r="DU28" i="6"/>
  <c r="DU29" i="6"/>
  <c r="DU30" i="6"/>
  <c r="DU31" i="6"/>
  <c r="DU32" i="6"/>
  <c r="DU33" i="6"/>
  <c r="DU34" i="6"/>
  <c r="DU35" i="6"/>
  <c r="DU36" i="6"/>
  <c r="DU37" i="6"/>
  <c r="DU38" i="6"/>
  <c r="DU39" i="6"/>
  <c r="DU40" i="6"/>
  <c r="DU41" i="6"/>
  <c r="DU42" i="6"/>
  <c r="DU43" i="6"/>
  <c r="DU44" i="6"/>
  <c r="DU45" i="6"/>
  <c r="DU46" i="6"/>
  <c r="DU47" i="6"/>
  <c r="DU48" i="6"/>
  <c r="DU49" i="6"/>
  <c r="DU27" i="6"/>
  <c r="CZ49" i="6"/>
  <c r="CZ28" i="6"/>
  <c r="CZ29" i="6"/>
  <c r="CZ30" i="6"/>
  <c r="CZ31" i="6"/>
  <c r="CZ32" i="6"/>
  <c r="CZ33" i="6"/>
  <c r="CZ34" i="6"/>
  <c r="CZ35" i="6"/>
  <c r="CZ36" i="6"/>
  <c r="CZ37" i="6"/>
  <c r="CZ38" i="6"/>
  <c r="CZ39" i="6"/>
  <c r="CZ40" i="6"/>
  <c r="CZ41" i="6"/>
  <c r="CZ42" i="6"/>
  <c r="CZ43" i="6"/>
  <c r="CZ44" i="6"/>
  <c r="CZ45" i="6"/>
  <c r="CZ46" i="6"/>
  <c r="CZ47" i="6"/>
  <c r="CZ48" i="6"/>
  <c r="CZ27" i="6"/>
  <c r="N25" i="9" l="1"/>
  <c r="AH6" i="2" l="1"/>
  <c r="BW36" i="6" l="1"/>
  <c r="BO36" i="6"/>
  <c r="BW27" i="6"/>
  <c r="BO27" i="6"/>
  <c r="BW18" i="6"/>
  <c r="BO18" i="6"/>
  <c r="BJ27" i="6"/>
  <c r="BR27" i="6"/>
  <c r="BZ27" i="6"/>
  <c r="CA27" i="6"/>
  <c r="CU27" i="6"/>
  <c r="CV27" i="6"/>
  <c r="DP27" i="6"/>
  <c r="DQ27" i="6"/>
  <c r="EK27" i="6"/>
  <c r="EL27" i="6"/>
  <c r="FF27" i="6"/>
  <c r="FG27" i="6"/>
  <c r="GA27" i="6"/>
  <c r="GB27" i="6"/>
  <c r="BJ28" i="6"/>
  <c r="BR28" i="6"/>
  <c r="BZ28" i="6"/>
  <c r="CA28" i="6"/>
  <c r="CU28" i="6"/>
  <c r="CV28" i="6"/>
  <c r="DP28" i="6"/>
  <c r="DQ28" i="6"/>
  <c r="EK28" i="6"/>
  <c r="EL28" i="6"/>
  <c r="FF28" i="6"/>
  <c r="FG28" i="6"/>
  <c r="GA28" i="6"/>
  <c r="GB28" i="6"/>
  <c r="BJ29" i="6"/>
  <c r="BR29" i="6"/>
  <c r="BZ29" i="6"/>
  <c r="CA29" i="6"/>
  <c r="CU29" i="6"/>
  <c r="CV29" i="6"/>
  <c r="DP29" i="6"/>
  <c r="DQ29" i="6"/>
  <c r="EK29" i="6"/>
  <c r="EL29" i="6"/>
  <c r="FF29" i="6"/>
  <c r="FG29" i="6"/>
  <c r="GA29" i="6"/>
  <c r="GB29" i="6"/>
  <c r="BJ30" i="6"/>
  <c r="BR30" i="6"/>
  <c r="BZ30" i="6"/>
  <c r="CA30" i="6"/>
  <c r="CU30" i="6"/>
  <c r="CV30" i="6"/>
  <c r="DP30" i="6"/>
  <c r="DQ30" i="6"/>
  <c r="EK30" i="6"/>
  <c r="EL30" i="6"/>
  <c r="FF30" i="6"/>
  <c r="FG30" i="6"/>
  <c r="GA30" i="6"/>
  <c r="GB30" i="6"/>
  <c r="BJ31" i="6"/>
  <c r="BR31" i="6"/>
  <c r="BZ31" i="6"/>
  <c r="CA31" i="6"/>
  <c r="CU31" i="6"/>
  <c r="CV31" i="6"/>
  <c r="DP31" i="6"/>
  <c r="DQ31" i="6"/>
  <c r="EK31" i="6"/>
  <c r="EL31" i="6"/>
  <c r="FF31" i="6"/>
  <c r="FG31" i="6"/>
  <c r="GA31" i="6"/>
  <c r="GB31" i="6"/>
  <c r="BZ32" i="6"/>
  <c r="CA32" i="6"/>
  <c r="CU32" i="6"/>
  <c r="CV32" i="6"/>
  <c r="DP32" i="6"/>
  <c r="DQ32" i="6"/>
  <c r="EK32" i="6"/>
  <c r="EL32" i="6"/>
  <c r="FF32" i="6"/>
  <c r="FG32" i="6"/>
  <c r="GA32" i="6"/>
  <c r="GB32" i="6"/>
  <c r="BZ33" i="6"/>
  <c r="CA33" i="6"/>
  <c r="CU33" i="6"/>
  <c r="CV33" i="6"/>
  <c r="DP33" i="6"/>
  <c r="DQ33" i="6"/>
  <c r="EK33" i="6"/>
  <c r="EL33" i="6"/>
  <c r="FF33" i="6"/>
  <c r="FG33" i="6"/>
  <c r="GA33" i="6"/>
  <c r="GB33" i="6"/>
  <c r="BZ34" i="6"/>
  <c r="CA34" i="6"/>
  <c r="CU34" i="6"/>
  <c r="CV34" i="6"/>
  <c r="DP34" i="6"/>
  <c r="DQ34" i="6"/>
  <c r="EK34" i="6"/>
  <c r="EL34" i="6"/>
  <c r="FF34" i="6"/>
  <c r="FG34" i="6"/>
  <c r="GA34" i="6"/>
  <c r="GB34" i="6"/>
  <c r="BZ35" i="6"/>
  <c r="CA35" i="6"/>
  <c r="CU35" i="6"/>
  <c r="CV35" i="6"/>
  <c r="DP35" i="6"/>
  <c r="DQ35" i="6"/>
  <c r="EK35" i="6"/>
  <c r="EL35" i="6"/>
  <c r="FF35" i="6"/>
  <c r="FG35" i="6"/>
  <c r="GA35" i="6"/>
  <c r="GB35" i="6"/>
  <c r="BJ36" i="6"/>
  <c r="BR36" i="6"/>
  <c r="BZ36" i="6"/>
  <c r="CA36" i="6"/>
  <c r="CU36" i="6"/>
  <c r="CV36" i="6"/>
  <c r="DP36" i="6"/>
  <c r="DQ36" i="6"/>
  <c r="EK36" i="6"/>
  <c r="EL36" i="6"/>
  <c r="FF36" i="6"/>
  <c r="FG36" i="6"/>
  <c r="GA36" i="6"/>
  <c r="GB36" i="6"/>
  <c r="BJ37" i="6"/>
  <c r="BR37" i="6"/>
  <c r="BZ37" i="6"/>
  <c r="CA37" i="6"/>
  <c r="CU37" i="6"/>
  <c r="CV37" i="6"/>
  <c r="DP37" i="6"/>
  <c r="DQ37" i="6"/>
  <c r="EK37" i="6"/>
  <c r="EL37" i="6"/>
  <c r="FF37" i="6"/>
  <c r="FG37" i="6"/>
  <c r="GA37" i="6"/>
  <c r="GB37" i="6"/>
  <c r="BJ38" i="6"/>
  <c r="BR38" i="6"/>
  <c r="BZ38" i="6"/>
  <c r="CA38" i="6"/>
  <c r="CU38" i="6"/>
  <c r="CV38" i="6"/>
  <c r="DP38" i="6"/>
  <c r="DQ38" i="6"/>
  <c r="EK38" i="6"/>
  <c r="EL38" i="6"/>
  <c r="FF38" i="6"/>
  <c r="FG38" i="6"/>
  <c r="GA38" i="6"/>
  <c r="GB38" i="6"/>
  <c r="CR121" i="6" l="1"/>
  <c r="CR122" i="6"/>
  <c r="CR123" i="6"/>
  <c r="CR124" i="6"/>
  <c r="CR125" i="6"/>
  <c r="CR126" i="6"/>
  <c r="CR127" i="6"/>
  <c r="CR128" i="6"/>
  <c r="CR129" i="6"/>
  <c r="CR130" i="6"/>
  <c r="CR131" i="6"/>
  <c r="CR132" i="6"/>
  <c r="CR133" i="6"/>
  <c r="CR134" i="6"/>
  <c r="CR135" i="6"/>
  <c r="CR136" i="6"/>
  <c r="CR137" i="6"/>
  <c r="CR138" i="6"/>
  <c r="CR139" i="6"/>
  <c r="CR140" i="6"/>
  <c r="CR141" i="6"/>
  <c r="CR142" i="6"/>
  <c r="CR120" i="6"/>
  <c r="AF80" i="2" l="1"/>
  <c r="AF67" i="2"/>
  <c r="AF68" i="2"/>
  <c r="AF69" i="2"/>
  <c r="AF70" i="2"/>
  <c r="AF71" i="2"/>
  <c r="AF72" i="2"/>
  <c r="AF73" i="2"/>
  <c r="AF74" i="2"/>
  <c r="AF75" i="2"/>
  <c r="AF76" i="2"/>
  <c r="AF77" i="2"/>
  <c r="AF78" i="2"/>
  <c r="AF79" i="2"/>
  <c r="AM80" i="2"/>
  <c r="AM67" i="2"/>
  <c r="AM68" i="2"/>
  <c r="AM69" i="2"/>
  <c r="AM70" i="2"/>
  <c r="AM71" i="2"/>
  <c r="AM72" i="2"/>
  <c r="AM73" i="2"/>
  <c r="AM74" i="2"/>
  <c r="AM75" i="2"/>
  <c r="AM76" i="2"/>
  <c r="AM77" i="2"/>
  <c r="AM78" i="2"/>
  <c r="AM79" i="2"/>
  <c r="AL67" i="2"/>
  <c r="AL68" i="2"/>
  <c r="AL69" i="2"/>
  <c r="AL70" i="2"/>
  <c r="AL71" i="2"/>
  <c r="AL72" i="2"/>
  <c r="AL73" i="2"/>
  <c r="AL74" i="2"/>
  <c r="AL75" i="2"/>
  <c r="AL76" i="2"/>
  <c r="AL77" i="2"/>
  <c r="AL78" i="2"/>
  <c r="AL79" i="2"/>
  <c r="AL80" i="2"/>
  <c r="AF48" i="2"/>
  <c r="AF49" i="2"/>
  <c r="AF50" i="2"/>
  <c r="AF51" i="2"/>
  <c r="AF52" i="2"/>
  <c r="AF53" i="2"/>
  <c r="AF54" i="2"/>
  <c r="AF55" i="2"/>
  <c r="AF56" i="2"/>
  <c r="AF57" i="2"/>
  <c r="AF58" i="2"/>
  <c r="AF59" i="2"/>
  <c r="AF60" i="2"/>
  <c r="AF61" i="2"/>
  <c r="AF42" i="2"/>
  <c r="AF14"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BR40" i="6"/>
  <c r="BR39" i="6"/>
  <c r="BJ40" i="6"/>
  <c r="BJ39" i="6"/>
  <c r="BR22" i="6"/>
  <c r="BR21" i="6"/>
  <c r="BJ22" i="6"/>
  <c r="BJ21" i="6"/>
  <c r="AM61" i="2" l="1"/>
  <c r="AN61" i="2"/>
  <c r="AP61" i="2"/>
  <c r="AL61" i="2"/>
  <c r="AM57" i="2"/>
  <c r="AN57" i="2"/>
  <c r="AP57" i="2"/>
  <c r="AL57" i="2"/>
  <c r="AM53" i="2"/>
  <c r="AN53" i="2"/>
  <c r="AP53" i="2"/>
  <c r="AL53" i="2"/>
  <c r="AM49" i="2"/>
  <c r="AN49" i="2"/>
  <c r="AP49" i="2"/>
  <c r="AL49" i="2"/>
  <c r="AN77" i="2"/>
  <c r="AP77" i="2"/>
  <c r="AN73" i="2"/>
  <c r="AP73" i="2"/>
  <c r="AN69" i="2"/>
  <c r="AP69" i="2"/>
  <c r="AL60" i="2"/>
  <c r="AP60" i="2"/>
  <c r="AM60" i="2"/>
  <c r="AN60" i="2"/>
  <c r="AL56" i="2"/>
  <c r="AP56" i="2"/>
  <c r="AM56" i="2"/>
  <c r="AN56" i="2"/>
  <c r="AL52" i="2"/>
  <c r="AP52" i="2"/>
  <c r="AM52" i="2"/>
  <c r="AN52" i="2"/>
  <c r="AL48" i="2"/>
  <c r="AP48" i="2"/>
  <c r="AM48" i="2"/>
  <c r="AN48" i="2"/>
  <c r="AP76" i="2"/>
  <c r="AN76" i="2"/>
  <c r="AN72" i="2"/>
  <c r="AP72" i="2"/>
  <c r="AN68" i="2"/>
  <c r="AP68" i="2"/>
  <c r="AP59" i="2"/>
  <c r="AL59" i="2"/>
  <c r="AM59" i="2"/>
  <c r="AN59" i="2"/>
  <c r="AP55" i="2"/>
  <c r="AL55" i="2"/>
  <c r="AM55" i="2"/>
  <c r="AN55" i="2"/>
  <c r="AP51" i="2"/>
  <c r="AL51" i="2"/>
  <c r="AM51" i="2"/>
  <c r="AN51" i="2"/>
  <c r="AP79" i="2"/>
  <c r="AN79" i="2"/>
  <c r="AP75" i="2"/>
  <c r="AN75" i="2"/>
  <c r="AP71" i="2"/>
  <c r="AN71" i="2"/>
  <c r="AP67" i="2"/>
  <c r="AN67" i="2"/>
  <c r="AM58" i="2"/>
  <c r="AN58" i="2"/>
  <c r="AL58" i="2"/>
  <c r="AP58" i="2"/>
  <c r="AP54" i="2"/>
  <c r="AM54" i="2"/>
  <c r="AN54" i="2"/>
  <c r="AL54" i="2"/>
  <c r="AM50" i="2"/>
  <c r="AN50" i="2"/>
  <c r="AL50" i="2"/>
  <c r="AP50" i="2"/>
  <c r="AN78" i="2"/>
  <c r="AP78" i="2"/>
  <c r="AN74" i="2"/>
  <c r="AP74" i="2"/>
  <c r="AN70" i="2"/>
  <c r="AP70" i="2"/>
  <c r="AN80" i="2"/>
  <c r="AP80" i="2"/>
  <c r="AP38" i="2"/>
  <c r="AM38" i="2"/>
  <c r="AN38" i="2"/>
  <c r="AL38" i="2"/>
  <c r="AP30" i="2"/>
  <c r="AM30" i="2"/>
  <c r="AN30" i="2"/>
  <c r="AL30" i="2"/>
  <c r="AP22" i="2"/>
  <c r="AM22" i="2"/>
  <c r="AN22" i="2"/>
  <c r="AL22" i="2"/>
  <c r="AP41" i="2"/>
  <c r="AM41" i="2"/>
  <c r="AN41" i="2"/>
  <c r="AL41" i="2"/>
  <c r="AP33" i="2"/>
  <c r="AM33" i="2"/>
  <c r="AN33" i="2"/>
  <c r="AL33" i="2"/>
  <c r="AN25" i="2"/>
  <c r="AP25" i="2"/>
  <c r="AM25" i="2"/>
  <c r="AL25" i="2"/>
  <c r="AN17" i="2"/>
  <c r="AL17" i="2"/>
  <c r="AP17" i="2"/>
  <c r="AM17" i="2"/>
  <c r="AP42" i="2"/>
  <c r="AM42" i="2"/>
  <c r="AN42" i="2"/>
  <c r="AL42" i="2"/>
  <c r="AN40" i="2"/>
  <c r="AL40" i="2"/>
  <c r="AP40" i="2"/>
  <c r="AM40" i="2"/>
  <c r="AN36" i="2"/>
  <c r="AL36" i="2"/>
  <c r="AP36" i="2"/>
  <c r="AM36" i="2"/>
  <c r="AN32" i="2"/>
  <c r="AL32" i="2"/>
  <c r="AP32" i="2"/>
  <c r="AM32" i="2"/>
  <c r="AN28" i="2"/>
  <c r="AL28" i="2"/>
  <c r="AP28" i="2"/>
  <c r="AM28" i="2"/>
  <c r="AN24" i="2"/>
  <c r="AL24" i="2"/>
  <c r="AP24" i="2"/>
  <c r="AM24" i="2"/>
  <c r="AN20" i="2"/>
  <c r="AL20" i="2"/>
  <c r="AP20" i="2"/>
  <c r="AM20" i="2"/>
  <c r="AP34" i="2"/>
  <c r="AM34" i="2"/>
  <c r="AN34" i="2"/>
  <c r="AL34" i="2"/>
  <c r="AP26" i="2"/>
  <c r="AM26" i="2"/>
  <c r="AN26" i="2"/>
  <c r="AL26" i="2"/>
  <c r="AP18" i="2"/>
  <c r="AM18" i="2"/>
  <c r="AN18" i="2"/>
  <c r="AL18" i="2"/>
  <c r="AN37" i="2"/>
  <c r="AL37" i="2"/>
  <c r="AP37" i="2"/>
  <c r="AM37" i="2"/>
  <c r="AL29" i="2"/>
  <c r="AP29" i="2"/>
  <c r="AM29" i="2"/>
  <c r="AN29" i="2"/>
  <c r="AL21" i="2"/>
  <c r="AP21" i="2"/>
  <c r="AM21" i="2"/>
  <c r="AN21" i="2"/>
  <c r="AM39" i="2"/>
  <c r="AN39" i="2"/>
  <c r="AL39" i="2"/>
  <c r="AP39" i="2"/>
  <c r="AP35" i="2"/>
  <c r="AN35" i="2"/>
  <c r="AL35" i="2"/>
  <c r="AM35" i="2"/>
  <c r="AM31" i="2"/>
  <c r="AN31" i="2"/>
  <c r="AL31" i="2"/>
  <c r="AP31" i="2"/>
  <c r="AN27" i="2"/>
  <c r="AL27" i="2"/>
  <c r="AP27" i="2"/>
  <c r="AM27" i="2"/>
  <c r="AM23" i="2"/>
  <c r="AN23" i="2"/>
  <c r="AL23" i="2"/>
  <c r="AP23" i="2"/>
  <c r="AN19" i="2"/>
  <c r="AL19" i="2"/>
  <c r="AP19" i="2"/>
  <c r="AM19" i="2"/>
  <c r="BR137" i="6"/>
  <c r="BR127" i="6"/>
  <c r="BR117" i="6"/>
  <c r="BR107" i="6"/>
  <c r="BR97" i="6"/>
  <c r="BJ137" i="6"/>
  <c r="BJ127" i="6"/>
  <c r="BJ107" i="6"/>
  <c r="BJ97" i="6"/>
  <c r="BR20" i="6"/>
  <c r="BR19" i="6"/>
  <c r="BR18" i="6"/>
  <c r="BJ18" i="6"/>
  <c r="BJ20" i="6"/>
  <c r="BJ19" i="6"/>
  <c r="JY121" i="6" l="1"/>
  <c r="JY122" i="6"/>
  <c r="JY123" i="6"/>
  <c r="JY124" i="6"/>
  <c r="JY125" i="6"/>
  <c r="JY126" i="6"/>
  <c r="JY127" i="6"/>
  <c r="JY128" i="6"/>
  <c r="JY129" i="6"/>
  <c r="JY130" i="6"/>
  <c r="JY131" i="6"/>
  <c r="JY132" i="6"/>
  <c r="JY133" i="6"/>
  <c r="JY134" i="6"/>
  <c r="JY135" i="6"/>
  <c r="JY136" i="6"/>
  <c r="JY137" i="6"/>
  <c r="JY138" i="6"/>
  <c r="JY139" i="6"/>
  <c r="JY140" i="6"/>
  <c r="JY141" i="6"/>
  <c r="JY142" i="6"/>
  <c r="JY120" i="6"/>
  <c r="JW121" i="6"/>
  <c r="JW122" i="6"/>
  <c r="JW123" i="6"/>
  <c r="JW124" i="6"/>
  <c r="JW125" i="6"/>
  <c r="JW126" i="6"/>
  <c r="JW127" i="6"/>
  <c r="JW128" i="6"/>
  <c r="JW129" i="6"/>
  <c r="JW130" i="6"/>
  <c r="JW131" i="6"/>
  <c r="JW132" i="6"/>
  <c r="JW133" i="6"/>
  <c r="JW134" i="6"/>
  <c r="JW135" i="6"/>
  <c r="JW136" i="6"/>
  <c r="JW137" i="6"/>
  <c r="JW138" i="6"/>
  <c r="JW139" i="6"/>
  <c r="JW140" i="6"/>
  <c r="JW141" i="6"/>
  <c r="JW142" i="6"/>
  <c r="JW120" i="6"/>
  <c r="JU121" i="6"/>
  <c r="JU122" i="6"/>
  <c r="JU123" i="6"/>
  <c r="JU124" i="6"/>
  <c r="JU125" i="6"/>
  <c r="JU126" i="6"/>
  <c r="JU127" i="6"/>
  <c r="JU128" i="6"/>
  <c r="JU129" i="6"/>
  <c r="JU130" i="6"/>
  <c r="JU131" i="6"/>
  <c r="JU132" i="6"/>
  <c r="JU133" i="6"/>
  <c r="JU134" i="6"/>
  <c r="JU135" i="6"/>
  <c r="JU136" i="6"/>
  <c r="JU137" i="6"/>
  <c r="JU138" i="6"/>
  <c r="JU139" i="6"/>
  <c r="JU140" i="6"/>
  <c r="JU141" i="6"/>
  <c r="JU142" i="6"/>
  <c r="JU120" i="6"/>
  <c r="JD121" i="6"/>
  <c r="JD122" i="6"/>
  <c r="JD123" i="6"/>
  <c r="JD124" i="6"/>
  <c r="JD125" i="6"/>
  <c r="JD126" i="6"/>
  <c r="JD127" i="6"/>
  <c r="JD128" i="6"/>
  <c r="JD129" i="6"/>
  <c r="JD130" i="6"/>
  <c r="JD131" i="6"/>
  <c r="JD132" i="6"/>
  <c r="JD133" i="6"/>
  <c r="JD134" i="6"/>
  <c r="JD135" i="6"/>
  <c r="JD136" i="6"/>
  <c r="JD137" i="6"/>
  <c r="JD138" i="6"/>
  <c r="JD139" i="6"/>
  <c r="JD140" i="6"/>
  <c r="JD141" i="6"/>
  <c r="JD142" i="6"/>
  <c r="JD120" i="6"/>
  <c r="JB121" i="6"/>
  <c r="JB122" i="6"/>
  <c r="JB123" i="6"/>
  <c r="JB124" i="6"/>
  <c r="JB125" i="6"/>
  <c r="JB126" i="6"/>
  <c r="JB127" i="6"/>
  <c r="JB128" i="6"/>
  <c r="JB129" i="6"/>
  <c r="JB130" i="6"/>
  <c r="JB131" i="6"/>
  <c r="JB132" i="6"/>
  <c r="JB133" i="6"/>
  <c r="JB134" i="6"/>
  <c r="JB135" i="6"/>
  <c r="JB136" i="6"/>
  <c r="JB137" i="6"/>
  <c r="JB138" i="6"/>
  <c r="JB139" i="6"/>
  <c r="JB140" i="6"/>
  <c r="JB141" i="6"/>
  <c r="JB142" i="6"/>
  <c r="JB120" i="6"/>
  <c r="IZ121" i="6"/>
  <c r="IZ122" i="6"/>
  <c r="IZ123" i="6"/>
  <c r="IZ124" i="6"/>
  <c r="IZ125" i="6"/>
  <c r="IZ126" i="6"/>
  <c r="IZ127" i="6"/>
  <c r="IZ128" i="6"/>
  <c r="IZ129" i="6"/>
  <c r="IZ130" i="6"/>
  <c r="IZ131" i="6"/>
  <c r="IZ132" i="6"/>
  <c r="IZ133" i="6"/>
  <c r="IZ134" i="6"/>
  <c r="IZ135" i="6"/>
  <c r="IZ136" i="6"/>
  <c r="IZ137" i="6"/>
  <c r="IZ138" i="6"/>
  <c r="IZ139" i="6"/>
  <c r="IZ140" i="6"/>
  <c r="IZ141" i="6"/>
  <c r="IZ142" i="6"/>
  <c r="IZ120" i="6"/>
  <c r="II121" i="6"/>
  <c r="II122" i="6"/>
  <c r="II123" i="6"/>
  <c r="II124" i="6"/>
  <c r="II125" i="6"/>
  <c r="II126" i="6"/>
  <c r="II127" i="6"/>
  <c r="II128" i="6"/>
  <c r="II129" i="6"/>
  <c r="II130" i="6"/>
  <c r="II131" i="6"/>
  <c r="II132" i="6"/>
  <c r="II133" i="6"/>
  <c r="II134" i="6"/>
  <c r="II135" i="6"/>
  <c r="II136" i="6"/>
  <c r="II137" i="6"/>
  <c r="II138" i="6"/>
  <c r="II139" i="6"/>
  <c r="II140" i="6"/>
  <c r="II141" i="6"/>
  <c r="II142" i="6"/>
  <c r="II120" i="6"/>
  <c r="IG121" i="6"/>
  <c r="IG122" i="6"/>
  <c r="IG123" i="6"/>
  <c r="IG124" i="6"/>
  <c r="IG125" i="6"/>
  <c r="IG126" i="6"/>
  <c r="IG127" i="6"/>
  <c r="IG128" i="6"/>
  <c r="IG129" i="6"/>
  <c r="IG130" i="6"/>
  <c r="IG131" i="6"/>
  <c r="IG132" i="6"/>
  <c r="IG133" i="6"/>
  <c r="IG134" i="6"/>
  <c r="IG135" i="6"/>
  <c r="IG136" i="6"/>
  <c r="IG137" i="6"/>
  <c r="IG138" i="6"/>
  <c r="IG139" i="6"/>
  <c r="IG140" i="6"/>
  <c r="IG141" i="6"/>
  <c r="IG142" i="6"/>
  <c r="IG120" i="6"/>
  <c r="IE121" i="6"/>
  <c r="IE122" i="6"/>
  <c r="IE123" i="6"/>
  <c r="IE124" i="6"/>
  <c r="IE125" i="6"/>
  <c r="IE126" i="6"/>
  <c r="IE127" i="6"/>
  <c r="IE128" i="6"/>
  <c r="IE129" i="6"/>
  <c r="IE130" i="6"/>
  <c r="IE131" i="6"/>
  <c r="IE132" i="6"/>
  <c r="IE133" i="6"/>
  <c r="IE134" i="6"/>
  <c r="IE135" i="6"/>
  <c r="IE136" i="6"/>
  <c r="IE137" i="6"/>
  <c r="IE138" i="6"/>
  <c r="IE139" i="6"/>
  <c r="IE140" i="6"/>
  <c r="IE141" i="6"/>
  <c r="IE142" i="6"/>
  <c r="IE120" i="6"/>
  <c r="HN121" i="6"/>
  <c r="HN122" i="6"/>
  <c r="HN123" i="6"/>
  <c r="HN124" i="6"/>
  <c r="HN125" i="6"/>
  <c r="HN126" i="6"/>
  <c r="HN127" i="6"/>
  <c r="HN128" i="6"/>
  <c r="HN129" i="6"/>
  <c r="HN130" i="6"/>
  <c r="HN131" i="6"/>
  <c r="HN132" i="6"/>
  <c r="HN133" i="6"/>
  <c r="HN134" i="6"/>
  <c r="HN135" i="6"/>
  <c r="HN136" i="6"/>
  <c r="HN137" i="6"/>
  <c r="HN138" i="6"/>
  <c r="HN139" i="6"/>
  <c r="HN140" i="6"/>
  <c r="HN141" i="6"/>
  <c r="HN142" i="6"/>
  <c r="HN120" i="6"/>
  <c r="HL121" i="6"/>
  <c r="HL122" i="6"/>
  <c r="HL123" i="6"/>
  <c r="HL124" i="6"/>
  <c r="HL125" i="6"/>
  <c r="HL126" i="6"/>
  <c r="HL127" i="6"/>
  <c r="HL128" i="6"/>
  <c r="HL129" i="6"/>
  <c r="HL130" i="6"/>
  <c r="HL131" i="6"/>
  <c r="HL132" i="6"/>
  <c r="HL133" i="6"/>
  <c r="HL134" i="6"/>
  <c r="HL135" i="6"/>
  <c r="HL136" i="6"/>
  <c r="HL137" i="6"/>
  <c r="HL138" i="6"/>
  <c r="HL139" i="6"/>
  <c r="HL140" i="6"/>
  <c r="HL141" i="6"/>
  <c r="HL142" i="6"/>
  <c r="HL120" i="6"/>
  <c r="HJ121" i="6"/>
  <c r="HJ122" i="6"/>
  <c r="HJ123" i="6"/>
  <c r="HJ124" i="6"/>
  <c r="HJ125" i="6"/>
  <c r="HJ126" i="6"/>
  <c r="HJ127" i="6"/>
  <c r="HJ128" i="6"/>
  <c r="HJ129" i="6"/>
  <c r="HJ130" i="6"/>
  <c r="HJ131" i="6"/>
  <c r="HJ132" i="6"/>
  <c r="HJ133" i="6"/>
  <c r="HJ134" i="6"/>
  <c r="HJ135" i="6"/>
  <c r="HJ136" i="6"/>
  <c r="HJ137" i="6"/>
  <c r="HJ138" i="6"/>
  <c r="HJ139" i="6"/>
  <c r="HJ140" i="6"/>
  <c r="HJ141" i="6"/>
  <c r="HJ142" i="6"/>
  <c r="HJ120" i="6"/>
  <c r="GS121" i="6"/>
  <c r="GS122" i="6"/>
  <c r="GS123" i="6"/>
  <c r="GS124" i="6"/>
  <c r="GS125" i="6"/>
  <c r="GS126" i="6"/>
  <c r="GS127" i="6"/>
  <c r="GS128" i="6"/>
  <c r="GS129" i="6"/>
  <c r="GS130" i="6"/>
  <c r="GS131" i="6"/>
  <c r="GS132" i="6"/>
  <c r="GS133" i="6"/>
  <c r="GS134" i="6"/>
  <c r="GS135" i="6"/>
  <c r="GS136" i="6"/>
  <c r="GS137" i="6"/>
  <c r="GS138" i="6"/>
  <c r="GS139" i="6"/>
  <c r="GS140" i="6"/>
  <c r="GS141" i="6"/>
  <c r="GS142" i="6"/>
  <c r="GS120" i="6"/>
  <c r="GQ121" i="6"/>
  <c r="GQ122" i="6"/>
  <c r="GQ123" i="6"/>
  <c r="GQ124" i="6"/>
  <c r="GQ125" i="6"/>
  <c r="GQ126" i="6"/>
  <c r="GQ127" i="6"/>
  <c r="GQ128" i="6"/>
  <c r="GQ129" i="6"/>
  <c r="GQ130" i="6"/>
  <c r="GQ131" i="6"/>
  <c r="GQ132" i="6"/>
  <c r="GQ133" i="6"/>
  <c r="GQ134" i="6"/>
  <c r="GQ135" i="6"/>
  <c r="GQ136" i="6"/>
  <c r="GQ137" i="6"/>
  <c r="GQ138" i="6"/>
  <c r="GQ139" i="6"/>
  <c r="GQ140" i="6"/>
  <c r="GQ141" i="6"/>
  <c r="GQ142" i="6"/>
  <c r="GQ120" i="6"/>
  <c r="GO121" i="6"/>
  <c r="GO122" i="6"/>
  <c r="GO123" i="6"/>
  <c r="GO124" i="6"/>
  <c r="GO125" i="6"/>
  <c r="GO126" i="6"/>
  <c r="GO127" i="6"/>
  <c r="GO128" i="6"/>
  <c r="GO129" i="6"/>
  <c r="GO130" i="6"/>
  <c r="GO131" i="6"/>
  <c r="GO132" i="6"/>
  <c r="GO133" i="6"/>
  <c r="GO134" i="6"/>
  <c r="GO135" i="6"/>
  <c r="GO136" i="6"/>
  <c r="GO137" i="6"/>
  <c r="GO138" i="6"/>
  <c r="GO139" i="6"/>
  <c r="GO140" i="6"/>
  <c r="GO141" i="6"/>
  <c r="GO142" i="6"/>
  <c r="GO120" i="6"/>
  <c r="FX121" i="6"/>
  <c r="FX122" i="6"/>
  <c r="FX123" i="6"/>
  <c r="FX124" i="6"/>
  <c r="FX125" i="6"/>
  <c r="FX126" i="6"/>
  <c r="FX127" i="6"/>
  <c r="FX128" i="6"/>
  <c r="FX129" i="6"/>
  <c r="FX130" i="6"/>
  <c r="FX131" i="6"/>
  <c r="FX132" i="6"/>
  <c r="FX133" i="6"/>
  <c r="FX134" i="6"/>
  <c r="FX135" i="6"/>
  <c r="FX136" i="6"/>
  <c r="FX137" i="6"/>
  <c r="FX138" i="6"/>
  <c r="FX139" i="6"/>
  <c r="FX140" i="6"/>
  <c r="FX141" i="6"/>
  <c r="FX142" i="6"/>
  <c r="FX120" i="6"/>
  <c r="FV121" i="6"/>
  <c r="FV122" i="6"/>
  <c r="FV123" i="6"/>
  <c r="FV124" i="6"/>
  <c r="FV125" i="6"/>
  <c r="FV126" i="6"/>
  <c r="FV127" i="6"/>
  <c r="FV128" i="6"/>
  <c r="FV129" i="6"/>
  <c r="FV130" i="6"/>
  <c r="FV131" i="6"/>
  <c r="FV132" i="6"/>
  <c r="FV133" i="6"/>
  <c r="FV134" i="6"/>
  <c r="FV135" i="6"/>
  <c r="FV136" i="6"/>
  <c r="FV137" i="6"/>
  <c r="FV138" i="6"/>
  <c r="FV139" i="6"/>
  <c r="FV140" i="6"/>
  <c r="FV141" i="6"/>
  <c r="FV142" i="6"/>
  <c r="FV120" i="6"/>
  <c r="FT121" i="6"/>
  <c r="FT122" i="6"/>
  <c r="FT123" i="6"/>
  <c r="FT124" i="6"/>
  <c r="FT125" i="6"/>
  <c r="FT126" i="6"/>
  <c r="FT127" i="6"/>
  <c r="FT128" i="6"/>
  <c r="FT129" i="6"/>
  <c r="FT130" i="6"/>
  <c r="FT131" i="6"/>
  <c r="FT132" i="6"/>
  <c r="FT133" i="6"/>
  <c r="FT134" i="6"/>
  <c r="FT135" i="6"/>
  <c r="FT136" i="6"/>
  <c r="FT137" i="6"/>
  <c r="FT138" i="6"/>
  <c r="FT139" i="6"/>
  <c r="FT140" i="6"/>
  <c r="FT141" i="6"/>
  <c r="FT142" i="6"/>
  <c r="FT120" i="6"/>
  <c r="FC121" i="6"/>
  <c r="FC122" i="6"/>
  <c r="FC123" i="6"/>
  <c r="FC124" i="6"/>
  <c r="FC125" i="6"/>
  <c r="FC126" i="6"/>
  <c r="FC127" i="6"/>
  <c r="FC128" i="6"/>
  <c r="FC129" i="6"/>
  <c r="FC130" i="6"/>
  <c r="FC131" i="6"/>
  <c r="FC132" i="6"/>
  <c r="FC133" i="6"/>
  <c r="FC134" i="6"/>
  <c r="FC135" i="6"/>
  <c r="FC136" i="6"/>
  <c r="FC137" i="6"/>
  <c r="FC138" i="6"/>
  <c r="FC139" i="6"/>
  <c r="FC140" i="6"/>
  <c r="FC141" i="6"/>
  <c r="FC142" i="6"/>
  <c r="FC120" i="6"/>
  <c r="FA121" i="6"/>
  <c r="FA122" i="6"/>
  <c r="FA123" i="6"/>
  <c r="FA124" i="6"/>
  <c r="FA125" i="6"/>
  <c r="FA126" i="6"/>
  <c r="FA127" i="6"/>
  <c r="FA128" i="6"/>
  <c r="FA129" i="6"/>
  <c r="FA130" i="6"/>
  <c r="FA131" i="6"/>
  <c r="FA132" i="6"/>
  <c r="FA133" i="6"/>
  <c r="FA134" i="6"/>
  <c r="FA135" i="6"/>
  <c r="FA136" i="6"/>
  <c r="FA137" i="6"/>
  <c r="FA138" i="6"/>
  <c r="FA139" i="6"/>
  <c r="FA140" i="6"/>
  <c r="FA141" i="6"/>
  <c r="FA142" i="6"/>
  <c r="FA120" i="6"/>
  <c r="EY121" i="6"/>
  <c r="EY122" i="6"/>
  <c r="EY123" i="6"/>
  <c r="EY124" i="6"/>
  <c r="EY125" i="6"/>
  <c r="EY126" i="6"/>
  <c r="EY127" i="6"/>
  <c r="EY128" i="6"/>
  <c r="EY129" i="6"/>
  <c r="EY130" i="6"/>
  <c r="EY131" i="6"/>
  <c r="EY132" i="6"/>
  <c r="EY133" i="6"/>
  <c r="EY134" i="6"/>
  <c r="EY135" i="6"/>
  <c r="EY136" i="6"/>
  <c r="EY137" i="6"/>
  <c r="EY138" i="6"/>
  <c r="EY139" i="6"/>
  <c r="EY140" i="6"/>
  <c r="EY141" i="6"/>
  <c r="EY142" i="6"/>
  <c r="EY120" i="6"/>
  <c r="EH121" i="6"/>
  <c r="EH122" i="6"/>
  <c r="EH123" i="6"/>
  <c r="EH124" i="6"/>
  <c r="EH125" i="6"/>
  <c r="EH126" i="6"/>
  <c r="EH127" i="6"/>
  <c r="EH128" i="6"/>
  <c r="EH129" i="6"/>
  <c r="EH130" i="6"/>
  <c r="EH131" i="6"/>
  <c r="EH132" i="6"/>
  <c r="EH133" i="6"/>
  <c r="EH134" i="6"/>
  <c r="EH135" i="6"/>
  <c r="EH136" i="6"/>
  <c r="EH137" i="6"/>
  <c r="EH138" i="6"/>
  <c r="EH139" i="6"/>
  <c r="EH140" i="6"/>
  <c r="EH141" i="6"/>
  <c r="EH142" i="6"/>
  <c r="EH120" i="6"/>
  <c r="EF121" i="6"/>
  <c r="EF122" i="6"/>
  <c r="EF123" i="6"/>
  <c r="EF124" i="6"/>
  <c r="EF125" i="6"/>
  <c r="EF126" i="6"/>
  <c r="EF127" i="6"/>
  <c r="EF128" i="6"/>
  <c r="EF129" i="6"/>
  <c r="EF130" i="6"/>
  <c r="EF131" i="6"/>
  <c r="EF132" i="6"/>
  <c r="EF133" i="6"/>
  <c r="EF134" i="6"/>
  <c r="EF135" i="6"/>
  <c r="EF136" i="6"/>
  <c r="EF137" i="6"/>
  <c r="EF138" i="6"/>
  <c r="EF139" i="6"/>
  <c r="EF140" i="6"/>
  <c r="EF141" i="6"/>
  <c r="EF142" i="6"/>
  <c r="EF120" i="6"/>
  <c r="ED121" i="6"/>
  <c r="ED122" i="6"/>
  <c r="ED123" i="6"/>
  <c r="ED124" i="6"/>
  <c r="ED125" i="6"/>
  <c r="ED126" i="6"/>
  <c r="ED127" i="6"/>
  <c r="ED128" i="6"/>
  <c r="ED129" i="6"/>
  <c r="ED130" i="6"/>
  <c r="ED131" i="6"/>
  <c r="ED132" i="6"/>
  <c r="ED133" i="6"/>
  <c r="ED134" i="6"/>
  <c r="ED135" i="6"/>
  <c r="ED136" i="6"/>
  <c r="ED137" i="6"/>
  <c r="ED138" i="6"/>
  <c r="ED139" i="6"/>
  <c r="ED140" i="6"/>
  <c r="ED141" i="6"/>
  <c r="ED142" i="6"/>
  <c r="ED120" i="6"/>
  <c r="DM121" i="6"/>
  <c r="DM122" i="6"/>
  <c r="DM123" i="6"/>
  <c r="DM124" i="6"/>
  <c r="DM125" i="6"/>
  <c r="DM126" i="6"/>
  <c r="DM127" i="6"/>
  <c r="DM128" i="6"/>
  <c r="DM129" i="6"/>
  <c r="DM130" i="6"/>
  <c r="DM131" i="6"/>
  <c r="DM132" i="6"/>
  <c r="DM133" i="6"/>
  <c r="DM134" i="6"/>
  <c r="DM135" i="6"/>
  <c r="DM136" i="6"/>
  <c r="DM137" i="6"/>
  <c r="DM138" i="6"/>
  <c r="DM139" i="6"/>
  <c r="DM140" i="6"/>
  <c r="DM141" i="6"/>
  <c r="DM142" i="6"/>
  <c r="DM120" i="6"/>
  <c r="DK121" i="6"/>
  <c r="DK122" i="6"/>
  <c r="DK123" i="6"/>
  <c r="DK124" i="6"/>
  <c r="DK125" i="6"/>
  <c r="DK126" i="6"/>
  <c r="DK127" i="6"/>
  <c r="DK128" i="6"/>
  <c r="DK129" i="6"/>
  <c r="DK130" i="6"/>
  <c r="DK131" i="6"/>
  <c r="DK132" i="6"/>
  <c r="DK133" i="6"/>
  <c r="DK134" i="6"/>
  <c r="DK135" i="6"/>
  <c r="DK136" i="6"/>
  <c r="DK137" i="6"/>
  <c r="DK138" i="6"/>
  <c r="DK139" i="6"/>
  <c r="DK140" i="6"/>
  <c r="DK141" i="6"/>
  <c r="DK142" i="6"/>
  <c r="CP121" i="6"/>
  <c r="CP122" i="6"/>
  <c r="CP123" i="6"/>
  <c r="CP124" i="6"/>
  <c r="CP125" i="6"/>
  <c r="CP126" i="6"/>
  <c r="CP127" i="6"/>
  <c r="CP128" i="6"/>
  <c r="CP129" i="6"/>
  <c r="CP130" i="6"/>
  <c r="CP131" i="6"/>
  <c r="CP132" i="6"/>
  <c r="CP133" i="6"/>
  <c r="CP134" i="6"/>
  <c r="CP135" i="6"/>
  <c r="CP136" i="6"/>
  <c r="CP137" i="6"/>
  <c r="CP138" i="6"/>
  <c r="CP139" i="6"/>
  <c r="CP140" i="6"/>
  <c r="CP141" i="6"/>
  <c r="CP142" i="6"/>
  <c r="DK120" i="6"/>
  <c r="DI120" i="6"/>
  <c r="DI121" i="6"/>
  <c r="DI122" i="6"/>
  <c r="DI123" i="6"/>
  <c r="DI124" i="6"/>
  <c r="DI125" i="6"/>
  <c r="DI126" i="6"/>
  <c r="DI127" i="6"/>
  <c r="DI128" i="6"/>
  <c r="DI129" i="6"/>
  <c r="DI130" i="6"/>
  <c r="DI131" i="6"/>
  <c r="DI132" i="6"/>
  <c r="DI133" i="6"/>
  <c r="DI134" i="6"/>
  <c r="DI135" i="6"/>
  <c r="DI136" i="6"/>
  <c r="DI137" i="6"/>
  <c r="DI138" i="6"/>
  <c r="DI139" i="6"/>
  <c r="DI140" i="6"/>
  <c r="DI141" i="6"/>
  <c r="DI142" i="6"/>
  <c r="CN120" i="6"/>
  <c r="CN121" i="6"/>
  <c r="CN122" i="6"/>
  <c r="CN123" i="6"/>
  <c r="CN124" i="6"/>
  <c r="CN125" i="6"/>
  <c r="CN126" i="6"/>
  <c r="CN127" i="6"/>
  <c r="CN128" i="6"/>
  <c r="CN129" i="6"/>
  <c r="CN130" i="6"/>
  <c r="CN131" i="6"/>
  <c r="CN132" i="6"/>
  <c r="CN133" i="6"/>
  <c r="CN134" i="6"/>
  <c r="CN135" i="6"/>
  <c r="CN136" i="6"/>
  <c r="CN137" i="6"/>
  <c r="CN138" i="6"/>
  <c r="CN139" i="6"/>
  <c r="CN140" i="6"/>
  <c r="CN141" i="6"/>
  <c r="CN142" i="6"/>
  <c r="CP120" i="6" l="1"/>
  <c r="CD98" i="6" l="1"/>
  <c r="CY98" i="6"/>
  <c r="DT98" i="6"/>
  <c r="EO98" i="6"/>
  <c r="FJ98" i="6"/>
  <c r="GE98" i="6"/>
  <c r="GZ98" i="6"/>
  <c r="HU98" i="6"/>
  <c r="IP98" i="6"/>
  <c r="JK98" i="6"/>
  <c r="GE18" i="6"/>
  <c r="FJ18" i="6"/>
  <c r="EO18" i="6"/>
  <c r="DT18" i="6"/>
  <c r="CY18" i="6"/>
  <c r="CD18" i="6"/>
  <c r="JG121" i="6" l="1"/>
  <c r="JH121" i="6"/>
  <c r="JG122" i="6"/>
  <c r="JH122" i="6"/>
  <c r="JG123" i="6"/>
  <c r="JH123" i="6"/>
  <c r="JG124" i="6"/>
  <c r="JH124" i="6"/>
  <c r="JG125" i="6"/>
  <c r="JH125" i="6"/>
  <c r="JG126" i="6"/>
  <c r="JH126" i="6"/>
  <c r="JG127" i="6"/>
  <c r="JH127" i="6"/>
  <c r="JG128" i="6"/>
  <c r="JH128" i="6"/>
  <c r="JG129" i="6"/>
  <c r="JH129" i="6"/>
  <c r="JG130" i="6"/>
  <c r="JH130" i="6"/>
  <c r="JG131" i="6"/>
  <c r="JH131" i="6"/>
  <c r="JG132" i="6"/>
  <c r="JH132" i="6"/>
  <c r="JG133" i="6"/>
  <c r="JH133" i="6"/>
  <c r="JG134" i="6"/>
  <c r="JH134" i="6"/>
  <c r="JG135" i="6"/>
  <c r="JH135" i="6"/>
  <c r="JG136" i="6"/>
  <c r="JH136" i="6"/>
  <c r="JG137" i="6"/>
  <c r="JH137" i="6"/>
  <c r="JG138" i="6"/>
  <c r="JH138" i="6"/>
  <c r="JG139" i="6"/>
  <c r="JH139" i="6"/>
  <c r="JG140" i="6"/>
  <c r="JH140" i="6"/>
  <c r="JG141" i="6"/>
  <c r="JH141" i="6"/>
  <c r="JG142" i="6"/>
  <c r="JH142" i="6"/>
  <c r="IL121" i="6"/>
  <c r="IM121" i="6"/>
  <c r="IL122" i="6"/>
  <c r="IM122" i="6"/>
  <c r="IL123" i="6"/>
  <c r="IM123" i="6"/>
  <c r="IL124" i="6"/>
  <c r="IM124" i="6"/>
  <c r="IL125" i="6"/>
  <c r="IM125" i="6"/>
  <c r="IL126" i="6"/>
  <c r="IM126" i="6"/>
  <c r="IL127" i="6"/>
  <c r="IM127" i="6"/>
  <c r="IL128" i="6"/>
  <c r="IM128" i="6"/>
  <c r="IL129" i="6"/>
  <c r="IM129" i="6"/>
  <c r="IL130" i="6"/>
  <c r="IM130" i="6"/>
  <c r="IL131" i="6"/>
  <c r="IM131" i="6"/>
  <c r="IL132" i="6"/>
  <c r="IM132" i="6"/>
  <c r="IL133" i="6"/>
  <c r="IM133" i="6"/>
  <c r="IL134" i="6"/>
  <c r="IM134" i="6"/>
  <c r="IL135" i="6"/>
  <c r="IM135" i="6"/>
  <c r="IL136" i="6"/>
  <c r="IM136" i="6"/>
  <c r="IL137" i="6"/>
  <c r="IM137" i="6"/>
  <c r="IL138" i="6"/>
  <c r="IM138" i="6"/>
  <c r="IL139" i="6"/>
  <c r="IM139" i="6"/>
  <c r="IL140" i="6"/>
  <c r="IM140" i="6"/>
  <c r="IL141" i="6"/>
  <c r="IM141" i="6"/>
  <c r="IL142" i="6"/>
  <c r="IM142" i="6"/>
  <c r="HQ121" i="6"/>
  <c r="HR121" i="6"/>
  <c r="HQ122" i="6"/>
  <c r="HR122" i="6"/>
  <c r="HQ123" i="6"/>
  <c r="HR123" i="6"/>
  <c r="HQ124" i="6"/>
  <c r="HR124" i="6"/>
  <c r="HQ125" i="6"/>
  <c r="HR125" i="6"/>
  <c r="HQ126" i="6"/>
  <c r="HR126" i="6"/>
  <c r="HQ127" i="6"/>
  <c r="HR127" i="6"/>
  <c r="HQ128" i="6"/>
  <c r="HR128" i="6"/>
  <c r="HQ129" i="6"/>
  <c r="HR129" i="6"/>
  <c r="HQ130" i="6"/>
  <c r="HR130" i="6"/>
  <c r="HQ131" i="6"/>
  <c r="HR131" i="6"/>
  <c r="HQ132" i="6"/>
  <c r="HR132" i="6"/>
  <c r="HQ133" i="6"/>
  <c r="HR133" i="6"/>
  <c r="HQ134" i="6"/>
  <c r="HR134" i="6"/>
  <c r="HQ135" i="6"/>
  <c r="HR135" i="6"/>
  <c r="HQ136" i="6"/>
  <c r="HR136" i="6"/>
  <c r="HQ137" i="6"/>
  <c r="HR137" i="6"/>
  <c r="HQ138" i="6"/>
  <c r="HR138" i="6"/>
  <c r="HQ139" i="6"/>
  <c r="HR139" i="6"/>
  <c r="HQ140" i="6"/>
  <c r="HR140" i="6"/>
  <c r="HQ141" i="6"/>
  <c r="HR141" i="6"/>
  <c r="HQ142" i="6"/>
  <c r="HR142" i="6"/>
  <c r="GV121" i="6"/>
  <c r="GW121" i="6"/>
  <c r="GV122" i="6"/>
  <c r="GW122" i="6"/>
  <c r="GV123" i="6"/>
  <c r="GW123" i="6"/>
  <c r="GV124" i="6"/>
  <c r="GW124" i="6"/>
  <c r="GV125" i="6"/>
  <c r="GW125" i="6"/>
  <c r="GV126" i="6"/>
  <c r="GW126" i="6"/>
  <c r="GV127" i="6"/>
  <c r="GW127" i="6"/>
  <c r="GV128" i="6"/>
  <c r="GW128" i="6"/>
  <c r="GV129" i="6"/>
  <c r="GW129" i="6"/>
  <c r="GV130" i="6"/>
  <c r="GW130" i="6"/>
  <c r="GV131" i="6"/>
  <c r="GW131" i="6"/>
  <c r="GV132" i="6"/>
  <c r="GW132" i="6"/>
  <c r="GV133" i="6"/>
  <c r="GW133" i="6"/>
  <c r="GV134" i="6"/>
  <c r="GW134" i="6"/>
  <c r="GV135" i="6"/>
  <c r="GW135" i="6"/>
  <c r="GV136" i="6"/>
  <c r="GW136" i="6"/>
  <c r="GV137" i="6"/>
  <c r="GW137" i="6"/>
  <c r="GV138" i="6"/>
  <c r="GW138" i="6"/>
  <c r="GV139" i="6"/>
  <c r="GW139" i="6"/>
  <c r="GV140" i="6"/>
  <c r="GW140" i="6"/>
  <c r="GV141" i="6"/>
  <c r="GW141" i="6"/>
  <c r="GV142" i="6"/>
  <c r="GW142" i="6"/>
  <c r="GA121" i="6"/>
  <c r="GB121" i="6"/>
  <c r="GA122" i="6"/>
  <c r="GB122" i="6"/>
  <c r="GA123" i="6"/>
  <c r="GB123" i="6"/>
  <c r="GA124" i="6"/>
  <c r="GB124" i="6"/>
  <c r="GA125" i="6"/>
  <c r="GB125" i="6"/>
  <c r="GA126" i="6"/>
  <c r="GB126" i="6"/>
  <c r="GA127" i="6"/>
  <c r="GB127" i="6"/>
  <c r="GA128" i="6"/>
  <c r="GB128" i="6"/>
  <c r="GA129" i="6"/>
  <c r="GB129" i="6"/>
  <c r="GA130" i="6"/>
  <c r="GB130" i="6"/>
  <c r="GA131" i="6"/>
  <c r="GB131" i="6"/>
  <c r="GA132" i="6"/>
  <c r="GB132" i="6"/>
  <c r="GA133" i="6"/>
  <c r="GB133" i="6"/>
  <c r="GA134" i="6"/>
  <c r="GB134" i="6"/>
  <c r="GA135" i="6"/>
  <c r="GB135" i="6"/>
  <c r="GA136" i="6"/>
  <c r="GB136" i="6"/>
  <c r="GA137" i="6"/>
  <c r="GB137" i="6"/>
  <c r="GA138" i="6"/>
  <c r="GB138" i="6"/>
  <c r="GA139" i="6"/>
  <c r="GB139" i="6"/>
  <c r="GA140" i="6"/>
  <c r="GB140" i="6"/>
  <c r="GA141" i="6"/>
  <c r="GB141" i="6"/>
  <c r="GA142" i="6"/>
  <c r="GB142" i="6"/>
  <c r="FF121" i="6"/>
  <c r="FG121" i="6"/>
  <c r="FF122" i="6"/>
  <c r="FG122" i="6"/>
  <c r="FF123" i="6"/>
  <c r="FG123" i="6"/>
  <c r="FF124" i="6"/>
  <c r="FG124" i="6"/>
  <c r="FF125" i="6"/>
  <c r="FG125" i="6"/>
  <c r="FF126" i="6"/>
  <c r="FG126" i="6"/>
  <c r="FF127" i="6"/>
  <c r="FG127" i="6"/>
  <c r="FF128" i="6"/>
  <c r="FG128" i="6"/>
  <c r="FF129" i="6"/>
  <c r="FG129" i="6"/>
  <c r="FF130" i="6"/>
  <c r="FG130" i="6"/>
  <c r="FF131" i="6"/>
  <c r="FG131" i="6"/>
  <c r="FF132" i="6"/>
  <c r="FG132" i="6"/>
  <c r="FF133" i="6"/>
  <c r="FG133" i="6"/>
  <c r="FF134" i="6"/>
  <c r="FG134" i="6"/>
  <c r="FF135" i="6"/>
  <c r="FG135" i="6"/>
  <c r="FF136" i="6"/>
  <c r="FG136" i="6"/>
  <c r="FF137" i="6"/>
  <c r="FG137" i="6"/>
  <c r="FF138" i="6"/>
  <c r="FG138" i="6"/>
  <c r="FF139" i="6"/>
  <c r="FG139" i="6"/>
  <c r="FF140" i="6"/>
  <c r="FG140" i="6"/>
  <c r="FF141" i="6"/>
  <c r="FG141" i="6"/>
  <c r="FF142" i="6"/>
  <c r="FG142" i="6"/>
  <c r="EK121" i="6"/>
  <c r="EL121" i="6"/>
  <c r="EK122" i="6"/>
  <c r="EL122" i="6"/>
  <c r="EK123" i="6"/>
  <c r="EL123" i="6"/>
  <c r="EK124" i="6"/>
  <c r="EL124" i="6"/>
  <c r="EK125" i="6"/>
  <c r="EL125" i="6"/>
  <c r="EK126" i="6"/>
  <c r="EL126" i="6"/>
  <c r="EK127" i="6"/>
  <c r="EL127" i="6"/>
  <c r="EK128" i="6"/>
  <c r="EL128" i="6"/>
  <c r="EK129" i="6"/>
  <c r="EL129" i="6"/>
  <c r="EK130" i="6"/>
  <c r="EL130" i="6"/>
  <c r="EK131" i="6"/>
  <c r="EL131" i="6"/>
  <c r="EK132" i="6"/>
  <c r="EL132" i="6"/>
  <c r="EK133" i="6"/>
  <c r="EL133" i="6"/>
  <c r="EK134" i="6"/>
  <c r="EL134" i="6"/>
  <c r="EK135" i="6"/>
  <c r="EL135" i="6"/>
  <c r="EK136" i="6"/>
  <c r="EL136" i="6"/>
  <c r="EK137" i="6"/>
  <c r="EL137" i="6"/>
  <c r="EK138" i="6"/>
  <c r="EL138" i="6"/>
  <c r="EK139" i="6"/>
  <c r="EL139" i="6"/>
  <c r="EK140" i="6"/>
  <c r="EL140" i="6"/>
  <c r="EK141" i="6"/>
  <c r="EL141" i="6"/>
  <c r="EK142" i="6"/>
  <c r="EL142" i="6"/>
  <c r="DP121" i="6"/>
  <c r="DQ121" i="6"/>
  <c r="DP122" i="6"/>
  <c r="DQ122" i="6"/>
  <c r="DP123" i="6"/>
  <c r="DQ123" i="6"/>
  <c r="DP124" i="6"/>
  <c r="DQ124" i="6"/>
  <c r="DP125" i="6"/>
  <c r="DQ125" i="6"/>
  <c r="DP126" i="6"/>
  <c r="DQ126" i="6"/>
  <c r="DP127" i="6"/>
  <c r="DQ127" i="6"/>
  <c r="DP128" i="6"/>
  <c r="DQ128" i="6"/>
  <c r="DP129" i="6"/>
  <c r="DQ129" i="6"/>
  <c r="DP130" i="6"/>
  <c r="DQ130" i="6"/>
  <c r="DP131" i="6"/>
  <c r="DQ131" i="6"/>
  <c r="DP132" i="6"/>
  <c r="DQ132" i="6"/>
  <c r="DP133" i="6"/>
  <c r="DQ133" i="6"/>
  <c r="DP134" i="6"/>
  <c r="DQ134" i="6"/>
  <c r="DP135" i="6"/>
  <c r="DQ135" i="6"/>
  <c r="DP136" i="6"/>
  <c r="DQ136" i="6"/>
  <c r="DP137" i="6"/>
  <c r="DQ137" i="6"/>
  <c r="DP138" i="6"/>
  <c r="DQ138" i="6"/>
  <c r="DP139" i="6"/>
  <c r="DQ139" i="6"/>
  <c r="DP140" i="6"/>
  <c r="DQ140" i="6"/>
  <c r="DP141" i="6"/>
  <c r="DQ141" i="6"/>
  <c r="DP142" i="6"/>
  <c r="DQ142" i="6"/>
  <c r="CU121" i="6"/>
  <c r="CV121" i="6"/>
  <c r="CU122" i="6"/>
  <c r="CV122" i="6"/>
  <c r="CU123" i="6"/>
  <c r="CV123" i="6"/>
  <c r="CU124" i="6"/>
  <c r="CV124" i="6"/>
  <c r="CU125" i="6"/>
  <c r="CV125" i="6"/>
  <c r="CU126" i="6"/>
  <c r="CV126" i="6"/>
  <c r="CU127" i="6"/>
  <c r="CV127" i="6"/>
  <c r="CU128" i="6"/>
  <c r="CV128" i="6"/>
  <c r="CU129" i="6"/>
  <c r="CV129" i="6"/>
  <c r="CU130" i="6"/>
  <c r="CV130" i="6"/>
  <c r="CU131" i="6"/>
  <c r="CV131" i="6"/>
  <c r="CU132" i="6"/>
  <c r="CV132" i="6"/>
  <c r="CU133" i="6"/>
  <c r="CV133" i="6"/>
  <c r="CU134" i="6"/>
  <c r="CV134" i="6"/>
  <c r="CU135" i="6"/>
  <c r="CV135" i="6"/>
  <c r="CU136" i="6"/>
  <c r="CV136" i="6"/>
  <c r="CU137" i="6"/>
  <c r="CV137" i="6"/>
  <c r="CU138" i="6"/>
  <c r="CV138" i="6"/>
  <c r="CU139" i="6"/>
  <c r="CV139" i="6"/>
  <c r="CU140" i="6"/>
  <c r="CV140" i="6"/>
  <c r="CU141" i="6"/>
  <c r="CV141" i="6"/>
  <c r="CU142" i="6"/>
  <c r="CV142" i="6"/>
  <c r="BZ121" i="6"/>
  <c r="CA121" i="6"/>
  <c r="BZ122" i="6"/>
  <c r="CA122" i="6"/>
  <c r="BZ123" i="6"/>
  <c r="CA123" i="6"/>
  <c r="BZ124" i="6"/>
  <c r="CA124" i="6"/>
  <c r="BZ125" i="6"/>
  <c r="CA125" i="6"/>
  <c r="BZ126" i="6"/>
  <c r="CA126" i="6"/>
  <c r="BZ127" i="6"/>
  <c r="CA127" i="6"/>
  <c r="BZ128" i="6"/>
  <c r="CA128" i="6"/>
  <c r="BZ129" i="6"/>
  <c r="CA129" i="6"/>
  <c r="BZ130" i="6"/>
  <c r="CA130" i="6"/>
  <c r="BZ131" i="6"/>
  <c r="CA131" i="6"/>
  <c r="BZ132" i="6"/>
  <c r="CA132" i="6"/>
  <c r="BZ133" i="6"/>
  <c r="CA133" i="6"/>
  <c r="BZ134" i="6"/>
  <c r="CA134" i="6"/>
  <c r="BZ135" i="6"/>
  <c r="CA135" i="6"/>
  <c r="BZ136" i="6"/>
  <c r="CA136" i="6"/>
  <c r="BZ137" i="6"/>
  <c r="CA137" i="6"/>
  <c r="BZ138" i="6"/>
  <c r="CA138" i="6"/>
  <c r="BZ139" i="6"/>
  <c r="CA139" i="6"/>
  <c r="BZ140" i="6"/>
  <c r="CA140" i="6"/>
  <c r="BZ141" i="6"/>
  <c r="CA141" i="6"/>
  <c r="BZ142" i="6"/>
  <c r="CA142" i="6"/>
  <c r="JH120" i="6"/>
  <c r="JG120" i="6"/>
  <c r="IM120" i="6"/>
  <c r="IL120" i="6"/>
  <c r="HR120" i="6"/>
  <c r="HQ120" i="6"/>
  <c r="GW120" i="6"/>
  <c r="GV120" i="6"/>
  <c r="GB120" i="6"/>
  <c r="GA120" i="6"/>
  <c r="FG120" i="6"/>
  <c r="FF120" i="6"/>
  <c r="EL120" i="6"/>
  <c r="EK120" i="6"/>
  <c r="DQ120" i="6"/>
  <c r="DP120" i="6"/>
  <c r="CV120" i="6"/>
  <c r="CU120" i="6"/>
  <c r="CA120" i="6"/>
  <c r="BZ120" i="6"/>
  <c r="CU39" i="6"/>
  <c r="CV39" i="6"/>
  <c r="CU40" i="6"/>
  <c r="CV40" i="6"/>
  <c r="CU41" i="6"/>
  <c r="CV41" i="6"/>
  <c r="CU42" i="6"/>
  <c r="CV42" i="6"/>
  <c r="CU43" i="6"/>
  <c r="CV43" i="6"/>
  <c r="CU44" i="6"/>
  <c r="CV44" i="6"/>
  <c r="CU45" i="6"/>
  <c r="CV45" i="6"/>
  <c r="CU46" i="6"/>
  <c r="CV46" i="6"/>
  <c r="CU47" i="6"/>
  <c r="CV47" i="6"/>
  <c r="CU48" i="6"/>
  <c r="CV48" i="6"/>
  <c r="CU49" i="6"/>
  <c r="CV49" i="6"/>
  <c r="DP39" i="6"/>
  <c r="DQ39" i="6"/>
  <c r="DP40" i="6"/>
  <c r="DQ40" i="6"/>
  <c r="DP41" i="6"/>
  <c r="DQ41" i="6"/>
  <c r="DP42" i="6"/>
  <c r="DQ42" i="6"/>
  <c r="DP43" i="6"/>
  <c r="DQ43" i="6"/>
  <c r="DP44" i="6"/>
  <c r="DQ44" i="6"/>
  <c r="DP45" i="6"/>
  <c r="DQ45" i="6"/>
  <c r="DP46" i="6"/>
  <c r="DQ46" i="6"/>
  <c r="DP47" i="6"/>
  <c r="DQ47" i="6"/>
  <c r="DP48" i="6"/>
  <c r="DQ48" i="6"/>
  <c r="DP49" i="6"/>
  <c r="DQ49" i="6"/>
  <c r="EK39" i="6"/>
  <c r="EL39" i="6"/>
  <c r="EK40" i="6"/>
  <c r="EL40" i="6"/>
  <c r="EK41" i="6"/>
  <c r="EL41" i="6"/>
  <c r="EK42" i="6"/>
  <c r="EL42" i="6"/>
  <c r="EK43" i="6"/>
  <c r="EL43" i="6"/>
  <c r="EK44" i="6"/>
  <c r="EL44" i="6"/>
  <c r="EK45" i="6"/>
  <c r="EL45" i="6"/>
  <c r="EK46" i="6"/>
  <c r="EL46" i="6"/>
  <c r="EK47" i="6"/>
  <c r="EL47" i="6"/>
  <c r="EK48" i="6"/>
  <c r="EL48" i="6"/>
  <c r="EK49" i="6"/>
  <c r="EL49" i="6"/>
  <c r="FF39" i="6"/>
  <c r="FG39" i="6"/>
  <c r="FF40" i="6"/>
  <c r="FG40" i="6"/>
  <c r="FF41" i="6"/>
  <c r="FG41" i="6"/>
  <c r="FF42" i="6"/>
  <c r="FG42" i="6"/>
  <c r="FF43" i="6"/>
  <c r="FG43" i="6"/>
  <c r="FF44" i="6"/>
  <c r="FG44" i="6"/>
  <c r="FF45" i="6"/>
  <c r="FG45" i="6"/>
  <c r="FF46" i="6"/>
  <c r="FG46" i="6"/>
  <c r="FF47" i="6"/>
  <c r="FG47" i="6"/>
  <c r="FF48" i="6"/>
  <c r="FG48" i="6"/>
  <c r="FF49" i="6"/>
  <c r="FG49" i="6"/>
  <c r="GA39" i="6"/>
  <c r="GB39" i="6"/>
  <c r="GA40" i="6"/>
  <c r="GB40" i="6"/>
  <c r="GA41" i="6"/>
  <c r="GB41" i="6"/>
  <c r="GA42" i="6"/>
  <c r="GB42" i="6"/>
  <c r="GA43" i="6"/>
  <c r="GB43" i="6"/>
  <c r="GA44" i="6"/>
  <c r="GB44" i="6"/>
  <c r="GA45" i="6"/>
  <c r="GB45" i="6"/>
  <c r="GA46" i="6"/>
  <c r="GB46" i="6"/>
  <c r="GA47" i="6"/>
  <c r="GB47" i="6"/>
  <c r="GA48" i="6"/>
  <c r="GB48" i="6"/>
  <c r="GA49" i="6"/>
  <c r="GB49" i="6"/>
  <c r="BZ39" i="6"/>
  <c r="CA39" i="6"/>
  <c r="BZ40" i="6"/>
  <c r="CA40" i="6"/>
  <c r="BZ41" i="6"/>
  <c r="CA41" i="6"/>
  <c r="BZ42" i="6"/>
  <c r="CA42" i="6"/>
  <c r="BZ43" i="6"/>
  <c r="CA43" i="6"/>
  <c r="BZ44" i="6"/>
  <c r="CA44" i="6"/>
  <c r="BZ45" i="6"/>
  <c r="CA45" i="6"/>
  <c r="BZ46" i="6"/>
  <c r="CA46" i="6"/>
  <c r="BZ47" i="6"/>
  <c r="CA47" i="6"/>
  <c r="BZ48" i="6"/>
  <c r="CA48" i="6"/>
  <c r="BZ49" i="6"/>
  <c r="CA49" i="6"/>
  <c r="H16" i="16" l="1"/>
  <c r="H13" i="16"/>
  <c r="D16" i="16"/>
  <c r="J16" i="16"/>
  <c r="F16" i="16"/>
  <c r="J13" i="16"/>
  <c r="BD28" i="15" l="1"/>
  <c r="AX28" i="15"/>
  <c r="AX27" i="15"/>
  <c r="AQ27" i="15"/>
  <c r="AQ28" i="15"/>
  <c r="AQ26" i="15"/>
  <c r="BD27" i="15"/>
  <c r="BD21" i="15"/>
  <c r="AX21" i="15"/>
  <c r="AX20" i="15"/>
  <c r="BD20" i="15" s="1"/>
  <c r="AQ21" i="15"/>
  <c r="AQ20" i="15"/>
  <c r="BH21" i="15"/>
  <c r="BG20" i="15"/>
  <c r="BH20" i="15"/>
  <c r="BG21" i="15"/>
  <c r="BG19" i="15"/>
  <c r="BF21" i="15"/>
  <c r="BF20" i="15"/>
  <c r="BF19" i="15"/>
  <c r="BB14" i="15"/>
  <c r="AV14" i="15"/>
  <c r="AO14" i="15"/>
  <c r="AO13" i="15"/>
  <c r="AO12" i="15"/>
  <c r="Z19" i="15"/>
  <c r="AQ14" i="14"/>
  <c r="AQ13" i="14"/>
  <c r="AQ15" i="14"/>
  <c r="AS396" i="12"/>
  <c r="BR396" i="12"/>
  <c r="BQ396" i="12"/>
  <c r="BP396" i="12"/>
  <c r="BO396" i="12"/>
  <c r="BM396" i="12"/>
  <c r="AI322" i="12"/>
  <c r="AI323" i="12"/>
  <c r="AI324" i="12"/>
  <c r="AI325" i="12"/>
  <c r="AI326" i="12"/>
  <c r="AI327" i="12"/>
  <c r="AI328" i="12"/>
  <c r="AI329" i="12"/>
  <c r="AI330" i="12"/>
  <c r="AI331" i="12"/>
  <c r="AI332" i="12"/>
  <c r="AI333" i="12"/>
  <c r="AI334" i="12"/>
  <c r="AI335" i="12"/>
  <c r="AI336" i="12"/>
  <c r="AI337" i="12"/>
  <c r="AI338" i="12"/>
  <c r="AI339" i="12"/>
  <c r="AI340" i="12"/>
  <c r="AI341" i="12"/>
  <c r="AI342" i="12"/>
  <c r="AI343" i="12"/>
  <c r="AI344" i="12"/>
  <c r="AI345" i="12"/>
  <c r="AI346" i="12"/>
  <c r="AI347" i="12"/>
  <c r="AI348" i="12"/>
  <c r="AI349" i="12"/>
  <c r="AI350" i="12"/>
  <c r="AI351" i="12"/>
  <c r="AI352" i="12"/>
  <c r="AI353" i="12"/>
  <c r="AI354" i="12"/>
  <c r="AI355" i="12"/>
  <c r="AI356" i="12"/>
  <c r="AI357" i="12"/>
  <c r="AI358" i="12"/>
  <c r="AI359" i="12"/>
  <c r="AI360" i="12"/>
  <c r="AI361" i="12"/>
  <c r="AI362" i="12"/>
  <c r="AI363" i="12"/>
  <c r="AI364" i="12"/>
  <c r="AI365" i="12"/>
  <c r="AI366" i="12"/>
  <c r="AI367" i="12"/>
  <c r="AI368" i="12"/>
  <c r="AI369" i="12"/>
  <c r="AI370" i="12"/>
  <c r="AI371" i="12"/>
  <c r="AI372" i="12"/>
  <c r="AI373" i="12"/>
  <c r="AI374" i="12"/>
  <c r="AI375" i="12"/>
  <c r="AI376" i="12"/>
  <c r="AI377" i="12"/>
  <c r="AI378" i="12"/>
  <c r="AI379" i="12"/>
  <c r="AI380" i="12"/>
  <c r="AI381" i="12"/>
  <c r="AI382" i="12"/>
  <c r="AI383" i="12"/>
  <c r="AI384" i="12"/>
  <c r="AI385" i="12"/>
  <c r="AI386" i="12"/>
  <c r="AI387" i="12"/>
  <c r="AI388" i="12"/>
  <c r="AI389" i="12"/>
  <c r="AI390" i="12"/>
  <c r="AI391" i="12"/>
  <c r="AI392" i="12"/>
  <c r="AI393" i="12"/>
  <c r="AI394" i="12"/>
  <c r="AI395" i="12"/>
  <c r="AI396" i="12"/>
  <c r="BO290" i="12"/>
  <c r="BP290" i="12"/>
  <c r="BQ290" i="12"/>
  <c r="BR290" i="12" s="1"/>
  <c r="AS290" i="12" s="1"/>
  <c r="BK290" i="12" s="1"/>
  <c r="BM290" i="12" s="1"/>
  <c r="BO291" i="12"/>
  <c r="BP291" i="12"/>
  <c r="BQ291" i="12"/>
  <c r="BR291" i="12"/>
  <c r="AS291" i="12" s="1"/>
  <c r="BK291" i="12" s="1"/>
  <c r="BM291" i="12" s="1"/>
  <c r="AS292" i="12"/>
  <c r="BK292" i="12" s="1"/>
  <c r="BM292" i="12" s="1"/>
  <c r="BO292" i="12"/>
  <c r="BP292" i="12"/>
  <c r="BQ292" i="12" s="1"/>
  <c r="BR292" i="12" s="1"/>
  <c r="BO293" i="12"/>
  <c r="BP293" i="12"/>
  <c r="BQ293" i="12"/>
  <c r="BR293" i="12" s="1"/>
  <c r="AS293" i="12" s="1"/>
  <c r="BK293" i="12" s="1"/>
  <c r="BM293" i="12" s="1"/>
  <c r="BO294" i="12"/>
  <c r="BP294" i="12"/>
  <c r="BQ294" i="12"/>
  <c r="BR294" i="12" s="1"/>
  <c r="AS294" i="12" s="1"/>
  <c r="BK294" i="12" s="1"/>
  <c r="BM294" i="12" s="1"/>
  <c r="BO295" i="12"/>
  <c r="BP295" i="12"/>
  <c r="BQ295" i="12"/>
  <c r="BR295" i="12"/>
  <c r="AS295" i="12" s="1"/>
  <c r="BK295" i="12" s="1"/>
  <c r="BM295" i="12" s="1"/>
  <c r="AS296" i="12"/>
  <c r="BK296" i="12" s="1"/>
  <c r="BM296" i="12" s="1"/>
  <c r="BO296" i="12"/>
  <c r="BP296" i="12"/>
  <c r="BQ296" i="12" s="1"/>
  <c r="BR296" i="12" s="1"/>
  <c r="BO297" i="12"/>
  <c r="BP297" i="12"/>
  <c r="BQ297" i="12" s="1"/>
  <c r="BR297" i="12" s="1"/>
  <c r="AS297" i="12" s="1"/>
  <c r="BK297" i="12" s="1"/>
  <c r="BM297" i="12" s="1"/>
  <c r="BO298" i="12"/>
  <c r="BP298" i="12"/>
  <c r="BQ298" i="12"/>
  <c r="BR298" i="12" s="1"/>
  <c r="AS298" i="12" s="1"/>
  <c r="BK298" i="12" s="1"/>
  <c r="BM298" i="12" s="1"/>
  <c r="BO299" i="12"/>
  <c r="BP299" i="12"/>
  <c r="BQ299" i="12"/>
  <c r="BR299" i="12"/>
  <c r="AS299" i="12" s="1"/>
  <c r="BK299" i="12" s="1"/>
  <c r="BM299" i="12" s="1"/>
  <c r="BO300" i="12"/>
  <c r="BP300" i="12"/>
  <c r="BQ300" i="12" s="1"/>
  <c r="BR300" i="12" s="1"/>
  <c r="AS300" i="12" s="1"/>
  <c r="BK300" i="12" s="1"/>
  <c r="BM300" i="12" s="1"/>
  <c r="BO301" i="12"/>
  <c r="BP301" i="12"/>
  <c r="BQ301" i="12" s="1"/>
  <c r="BR301" i="12" s="1"/>
  <c r="AS301" i="12" s="1"/>
  <c r="BK301" i="12" s="1"/>
  <c r="BM301" i="12" s="1"/>
  <c r="BO302" i="12"/>
  <c r="BP302" i="12"/>
  <c r="BQ302" i="12"/>
  <c r="BR302" i="12"/>
  <c r="AS302" i="12" s="1"/>
  <c r="BK302" i="12" s="1"/>
  <c r="BM302" i="12" s="1"/>
  <c r="BO303" i="12"/>
  <c r="BP303" i="12"/>
  <c r="BQ303" i="12"/>
  <c r="BR303" i="12"/>
  <c r="AS303" i="12" s="1"/>
  <c r="BK303" i="12" s="1"/>
  <c r="BM303" i="12" s="1"/>
  <c r="BO304" i="12"/>
  <c r="BP304" i="12"/>
  <c r="BQ304" i="12" s="1"/>
  <c r="BR304" i="12" s="1"/>
  <c r="AS304" i="12" s="1"/>
  <c r="BK304" i="12" s="1"/>
  <c r="BM304" i="12" s="1"/>
  <c r="BO305" i="12"/>
  <c r="BP305" i="12"/>
  <c r="BQ305" i="12" s="1"/>
  <c r="BR305" i="12" s="1"/>
  <c r="AS305" i="12" s="1"/>
  <c r="BK305" i="12" s="1"/>
  <c r="BM305" i="12" s="1"/>
  <c r="BO306" i="12"/>
  <c r="BP306" i="12"/>
  <c r="BQ306" i="12"/>
  <c r="BR306" i="12" s="1"/>
  <c r="AS306" i="12" s="1"/>
  <c r="BK306" i="12" s="1"/>
  <c r="BM306" i="12" s="1"/>
  <c r="BO307" i="12"/>
  <c r="BP307" i="12"/>
  <c r="BQ307" i="12"/>
  <c r="BR307" i="12"/>
  <c r="AS307" i="12" s="1"/>
  <c r="BK307" i="12" s="1"/>
  <c r="BM307" i="12" s="1"/>
  <c r="AS308" i="12"/>
  <c r="BK308" i="12" s="1"/>
  <c r="BM308" i="12" s="1"/>
  <c r="BO308" i="12"/>
  <c r="BP308" i="12"/>
  <c r="BQ308" i="12" s="1"/>
  <c r="BR308" i="12" s="1"/>
  <c r="BO309" i="12"/>
  <c r="BP309" i="12"/>
  <c r="BQ309" i="12"/>
  <c r="BR309" i="12" s="1"/>
  <c r="AS309" i="12" s="1"/>
  <c r="BK309" i="12" s="1"/>
  <c r="BM309" i="12" s="1"/>
  <c r="BO310" i="12"/>
  <c r="BP310" i="12"/>
  <c r="BQ310" i="12"/>
  <c r="BR310" i="12" s="1"/>
  <c r="AS310" i="12" s="1"/>
  <c r="BK310" i="12" s="1"/>
  <c r="BM310" i="12" s="1"/>
  <c r="BO311" i="12"/>
  <c r="BP311" i="12"/>
  <c r="BQ311" i="12"/>
  <c r="BR311" i="12"/>
  <c r="AS311" i="12" s="1"/>
  <c r="BK311" i="12" s="1"/>
  <c r="BM311" i="12" s="1"/>
  <c r="AS312" i="12"/>
  <c r="BK312" i="12" s="1"/>
  <c r="BM312" i="12" s="1"/>
  <c r="BO312" i="12"/>
  <c r="BP312" i="12"/>
  <c r="BQ312" i="12" s="1"/>
  <c r="BR312" i="12" s="1"/>
  <c r="BO313" i="12"/>
  <c r="BP313" i="12"/>
  <c r="BQ313" i="12" s="1"/>
  <c r="BR313" i="12" s="1"/>
  <c r="AS313" i="12" s="1"/>
  <c r="BK313" i="12" s="1"/>
  <c r="BM313" i="12" s="1"/>
  <c r="BO314" i="12"/>
  <c r="BP314" i="12"/>
  <c r="BQ314" i="12"/>
  <c r="BR314" i="12" s="1"/>
  <c r="AS314" i="12" s="1"/>
  <c r="BK314" i="12" s="1"/>
  <c r="BM314" i="12" s="1"/>
  <c r="BO315" i="12"/>
  <c r="BP315" i="12"/>
  <c r="BQ315" i="12"/>
  <c r="BR315" i="12"/>
  <c r="AS315" i="12" s="1"/>
  <c r="BK315" i="12" s="1"/>
  <c r="BM315" i="12" s="1"/>
  <c r="BO316" i="12"/>
  <c r="BP316" i="12"/>
  <c r="BQ316" i="12" s="1"/>
  <c r="BR316" i="12" s="1"/>
  <c r="AS316" i="12" s="1"/>
  <c r="BK316" i="12" s="1"/>
  <c r="BM316" i="12" s="1"/>
  <c r="BO317" i="12"/>
  <c r="BP317" i="12"/>
  <c r="BQ317" i="12" s="1"/>
  <c r="BR317" i="12" s="1"/>
  <c r="AS317" i="12" s="1"/>
  <c r="BK317" i="12" s="1"/>
  <c r="BM317" i="12" s="1"/>
  <c r="BO318" i="12"/>
  <c r="BP318" i="12"/>
  <c r="BQ318" i="12"/>
  <c r="BR318" i="12"/>
  <c r="AS318" i="12" s="1"/>
  <c r="BK318" i="12" s="1"/>
  <c r="BM318" i="12" s="1"/>
  <c r="BO319" i="12"/>
  <c r="BP319" i="12"/>
  <c r="BQ319" i="12"/>
  <c r="BR319" i="12"/>
  <c r="AS319" i="12" s="1"/>
  <c r="BK319" i="12" s="1"/>
  <c r="BM319" i="12" s="1"/>
  <c r="BO320" i="12"/>
  <c r="BP320" i="12"/>
  <c r="BQ320" i="12" s="1"/>
  <c r="BR320" i="12" s="1"/>
  <c r="AS320" i="12" s="1"/>
  <c r="BK320" i="12" s="1"/>
  <c r="BM320" i="12" s="1"/>
  <c r="BO321" i="12"/>
  <c r="BP321" i="12"/>
  <c r="BQ321" i="12" s="1"/>
  <c r="BR321" i="12" s="1"/>
  <c r="AS321" i="12" s="1"/>
  <c r="BK321" i="12" s="1"/>
  <c r="BM321" i="12" s="1"/>
  <c r="BO322" i="12"/>
  <c r="BP322" i="12"/>
  <c r="BQ322" i="12"/>
  <c r="BR322" i="12" s="1"/>
  <c r="AS322" i="12" s="1"/>
  <c r="BK322" i="12" s="1"/>
  <c r="BM322" i="12" s="1"/>
  <c r="BO323" i="12"/>
  <c r="BP323" i="12"/>
  <c r="BQ323" i="12"/>
  <c r="BR323" i="12"/>
  <c r="AS323" i="12" s="1"/>
  <c r="BK323" i="12" s="1"/>
  <c r="BM323" i="12" s="1"/>
  <c r="AS324" i="12"/>
  <c r="BK324" i="12" s="1"/>
  <c r="BM324" i="12" s="1"/>
  <c r="BO324" i="12"/>
  <c r="BP324" i="12"/>
  <c r="BQ324" i="12" s="1"/>
  <c r="BR324" i="12" s="1"/>
  <c r="BO325" i="12"/>
  <c r="BP325" i="12"/>
  <c r="BQ325" i="12"/>
  <c r="BR325" i="12" s="1"/>
  <c r="AS325" i="12" s="1"/>
  <c r="BK325" i="12" s="1"/>
  <c r="BM325" i="12" s="1"/>
  <c r="BO326" i="12"/>
  <c r="BP326" i="12"/>
  <c r="BQ326" i="12"/>
  <c r="BR326" i="12" s="1"/>
  <c r="AS326" i="12" s="1"/>
  <c r="BK326" i="12" s="1"/>
  <c r="BM326" i="12" s="1"/>
  <c r="BO327" i="12"/>
  <c r="BP327" i="12"/>
  <c r="BQ327" i="12"/>
  <c r="BR327" i="12"/>
  <c r="AS327" i="12" s="1"/>
  <c r="BK327" i="12" s="1"/>
  <c r="BM327" i="12" s="1"/>
  <c r="BO328" i="12"/>
  <c r="BP328" i="12"/>
  <c r="BQ328" i="12" s="1"/>
  <c r="BR328" i="12" s="1"/>
  <c r="AS328" i="12" s="1"/>
  <c r="BK328" i="12" s="1"/>
  <c r="BM328" i="12" s="1"/>
  <c r="BO329" i="12"/>
  <c r="BP329" i="12"/>
  <c r="BQ329" i="12" s="1"/>
  <c r="BR329" i="12" s="1"/>
  <c r="AS329" i="12" s="1"/>
  <c r="BK329" i="12" s="1"/>
  <c r="BM329" i="12" s="1"/>
  <c r="BO330" i="12"/>
  <c r="BP330" i="12"/>
  <c r="BQ330" i="12"/>
  <c r="BR330" i="12" s="1"/>
  <c r="AS330" i="12" s="1"/>
  <c r="BK330" i="12" s="1"/>
  <c r="BM330" i="12" s="1"/>
  <c r="BO331" i="12"/>
  <c r="BP331" i="12"/>
  <c r="BQ331" i="12"/>
  <c r="BR331" i="12"/>
  <c r="AS331" i="12" s="1"/>
  <c r="BK331" i="12" s="1"/>
  <c r="BM331" i="12" s="1"/>
  <c r="BO332" i="12"/>
  <c r="BP332" i="12"/>
  <c r="BQ332" i="12" s="1"/>
  <c r="BR332" i="12" s="1"/>
  <c r="AS332" i="12" s="1"/>
  <c r="BK332" i="12" s="1"/>
  <c r="BM332" i="12" s="1"/>
  <c r="BO333" i="12"/>
  <c r="BP333" i="12"/>
  <c r="BQ333" i="12" s="1"/>
  <c r="BR333" i="12" s="1"/>
  <c r="AS333" i="12" s="1"/>
  <c r="BK333" i="12" s="1"/>
  <c r="BM333" i="12" s="1"/>
  <c r="BO334" i="12"/>
  <c r="BP334" i="12"/>
  <c r="BQ334" i="12"/>
  <c r="BR334" i="12"/>
  <c r="AS334" i="12" s="1"/>
  <c r="BK334" i="12" s="1"/>
  <c r="BM334" i="12" s="1"/>
  <c r="BO335" i="12"/>
  <c r="BP335" i="12"/>
  <c r="BQ335" i="12"/>
  <c r="BR335" i="12"/>
  <c r="AS335" i="12" s="1"/>
  <c r="BK335" i="12" s="1"/>
  <c r="BM335" i="12" s="1"/>
  <c r="BO336" i="12"/>
  <c r="BP336" i="12"/>
  <c r="BQ336" i="12" s="1"/>
  <c r="BR336" i="12" s="1"/>
  <c r="AS336" i="12" s="1"/>
  <c r="BK336" i="12" s="1"/>
  <c r="BM336" i="12" s="1"/>
  <c r="BO337" i="12"/>
  <c r="BP337" i="12"/>
  <c r="BQ337" i="12" s="1"/>
  <c r="BR337" i="12" s="1"/>
  <c r="AS337" i="12" s="1"/>
  <c r="BK337" i="12" s="1"/>
  <c r="BM337" i="12" s="1"/>
  <c r="BO338" i="12"/>
  <c r="BP338" i="12"/>
  <c r="BQ338" i="12"/>
  <c r="BR338" i="12" s="1"/>
  <c r="AS338" i="12" s="1"/>
  <c r="BK338" i="12" s="1"/>
  <c r="BM338" i="12" s="1"/>
  <c r="BO339" i="12"/>
  <c r="BP339" i="12"/>
  <c r="BQ339" i="12"/>
  <c r="BR339" i="12"/>
  <c r="AS339" i="12" s="1"/>
  <c r="BK339" i="12" s="1"/>
  <c r="BM339" i="12" s="1"/>
  <c r="AS340" i="12"/>
  <c r="BK340" i="12" s="1"/>
  <c r="BM340" i="12" s="1"/>
  <c r="BO340" i="12"/>
  <c r="BP340" i="12"/>
  <c r="BQ340" i="12" s="1"/>
  <c r="BR340" i="12" s="1"/>
  <c r="BO341" i="12"/>
  <c r="BP341" i="12"/>
  <c r="BQ341" i="12"/>
  <c r="BR341" i="12" s="1"/>
  <c r="AS341" i="12" s="1"/>
  <c r="BK341" i="12" s="1"/>
  <c r="BM341" i="12" s="1"/>
  <c r="BO342" i="12"/>
  <c r="BP342" i="12"/>
  <c r="BQ342" i="12"/>
  <c r="BR342" i="12" s="1"/>
  <c r="AS342" i="12" s="1"/>
  <c r="BK342" i="12" s="1"/>
  <c r="BM342" i="12" s="1"/>
  <c r="BO343" i="12"/>
  <c r="BP343" i="12"/>
  <c r="BQ343" i="12"/>
  <c r="BR343" i="12"/>
  <c r="AS343" i="12" s="1"/>
  <c r="BK343" i="12" s="1"/>
  <c r="BM343" i="12" s="1"/>
  <c r="BO344" i="12"/>
  <c r="BP344" i="12"/>
  <c r="BQ344" i="12" s="1"/>
  <c r="BR344" i="12" s="1"/>
  <c r="AS344" i="12" s="1"/>
  <c r="BK344" i="12" s="1"/>
  <c r="BM344" i="12" s="1"/>
  <c r="BO345" i="12"/>
  <c r="BP345" i="12"/>
  <c r="BQ345" i="12" s="1"/>
  <c r="BR345" i="12" s="1"/>
  <c r="AS345" i="12" s="1"/>
  <c r="BK345" i="12" s="1"/>
  <c r="BM345" i="12" s="1"/>
  <c r="BO346" i="12"/>
  <c r="BP346" i="12"/>
  <c r="BQ346" i="12"/>
  <c r="BR346" i="12" s="1"/>
  <c r="AS346" i="12" s="1"/>
  <c r="BK346" i="12" s="1"/>
  <c r="BM346" i="12" s="1"/>
  <c r="BO347" i="12"/>
  <c r="BP347" i="12"/>
  <c r="BQ347" i="12"/>
  <c r="BR347" i="12"/>
  <c r="AS347" i="12" s="1"/>
  <c r="BK347" i="12" s="1"/>
  <c r="BM347" i="12" s="1"/>
  <c r="BO348" i="12"/>
  <c r="BP348" i="12"/>
  <c r="BQ348" i="12" s="1"/>
  <c r="BR348" i="12" s="1"/>
  <c r="AS348" i="12" s="1"/>
  <c r="BK348" i="12" s="1"/>
  <c r="BM348" i="12" s="1"/>
  <c r="BO349" i="12"/>
  <c r="BP349" i="12"/>
  <c r="BQ349" i="12" s="1"/>
  <c r="BR349" i="12" s="1"/>
  <c r="AS349" i="12" s="1"/>
  <c r="BK349" i="12" s="1"/>
  <c r="BM349" i="12" s="1"/>
  <c r="BO350" i="12"/>
  <c r="BP350" i="12"/>
  <c r="BQ350" i="12"/>
  <c r="BR350" i="12" s="1"/>
  <c r="AS350" i="12" s="1"/>
  <c r="BK350" i="12" s="1"/>
  <c r="BM350" i="12" s="1"/>
  <c r="BO351" i="12"/>
  <c r="BP351" i="12"/>
  <c r="BQ351" i="12"/>
  <c r="BR351" i="12" s="1"/>
  <c r="AS351" i="12" s="1"/>
  <c r="BK351" i="12" s="1"/>
  <c r="BM351" i="12" s="1"/>
  <c r="BO352" i="12"/>
  <c r="BP352" i="12"/>
  <c r="BQ352" i="12" s="1"/>
  <c r="BR352" i="12"/>
  <c r="AS352" i="12" s="1"/>
  <c r="BK352" i="12" s="1"/>
  <c r="BM352" i="12" s="1"/>
  <c r="BO353" i="12"/>
  <c r="BP353" i="12"/>
  <c r="BQ353" i="12" s="1"/>
  <c r="BR353" i="12" s="1"/>
  <c r="AS353" i="12" s="1"/>
  <c r="BK353" i="12" s="1"/>
  <c r="BM353" i="12" s="1"/>
  <c r="BO354" i="12"/>
  <c r="BP354" i="12"/>
  <c r="BQ354" i="12" s="1"/>
  <c r="BR354" i="12" s="1"/>
  <c r="AS354" i="12" s="1"/>
  <c r="BK354" i="12" s="1"/>
  <c r="BM354" i="12" s="1"/>
  <c r="BK355" i="12"/>
  <c r="BM355" i="12" s="1"/>
  <c r="BO355" i="12"/>
  <c r="BP355" i="12"/>
  <c r="BQ355" i="12"/>
  <c r="BR355" i="12" s="1"/>
  <c r="AS355" i="12" s="1"/>
  <c r="BO356" i="12"/>
  <c r="BP356" i="12"/>
  <c r="BQ356" i="12" s="1"/>
  <c r="BR356" i="12" s="1"/>
  <c r="AS356" i="12" s="1"/>
  <c r="BK356" i="12" s="1"/>
  <c r="BM356" i="12" s="1"/>
  <c r="BO357" i="12"/>
  <c r="BP357" i="12"/>
  <c r="BQ357" i="12"/>
  <c r="BR357" i="12" s="1"/>
  <c r="AS357" i="12" s="1"/>
  <c r="BK357" i="12" s="1"/>
  <c r="BM357" i="12" s="1"/>
  <c r="BO358" i="12"/>
  <c r="BP358" i="12"/>
  <c r="BQ358" i="12" s="1"/>
  <c r="BR358" i="12" s="1"/>
  <c r="AS358" i="12" s="1"/>
  <c r="BK358" i="12" s="1"/>
  <c r="BM358" i="12" s="1"/>
  <c r="BO359" i="12"/>
  <c r="BP359" i="12"/>
  <c r="BQ359" i="12" s="1"/>
  <c r="BR359" i="12" s="1"/>
  <c r="AS359" i="12" s="1"/>
  <c r="BK359" i="12" s="1"/>
  <c r="BM359" i="12" s="1"/>
  <c r="BO360" i="12"/>
  <c r="BP360" i="12"/>
  <c r="BQ360" i="12"/>
  <c r="BR360" i="12"/>
  <c r="AS360" i="12" s="1"/>
  <c r="BK360" i="12" s="1"/>
  <c r="BM360" i="12" s="1"/>
  <c r="BM361" i="12"/>
  <c r="BO361" i="12"/>
  <c r="BP361" i="12"/>
  <c r="BQ361" i="12" s="1"/>
  <c r="BR361" i="12"/>
  <c r="AS361" i="12" s="1"/>
  <c r="BK361" i="12" s="1"/>
  <c r="AS362" i="12"/>
  <c r="BK362" i="12" s="1"/>
  <c r="BM362" i="12" s="1"/>
  <c r="BO362" i="12"/>
  <c r="BP362" i="12"/>
  <c r="BQ362" i="12" s="1"/>
  <c r="BR362" i="12" s="1"/>
  <c r="BO363" i="12"/>
  <c r="BP363" i="12"/>
  <c r="BQ363" i="12"/>
  <c r="BR363" i="12" s="1"/>
  <c r="AS363" i="12" s="1"/>
  <c r="BK363" i="12" s="1"/>
  <c r="BM363" i="12" s="1"/>
  <c r="BO364" i="12"/>
  <c r="BP364" i="12"/>
  <c r="BQ364" i="12"/>
  <c r="BR364" i="12" s="1"/>
  <c r="AS364" i="12" s="1"/>
  <c r="BK364" i="12" s="1"/>
  <c r="BM364" i="12" s="1"/>
  <c r="BO365" i="12"/>
  <c r="BP365" i="12"/>
  <c r="BQ365" i="12" s="1"/>
  <c r="BR365" i="12" s="1"/>
  <c r="AS365" i="12" s="1"/>
  <c r="BK365" i="12" s="1"/>
  <c r="BM365" i="12" s="1"/>
  <c r="BO366" i="12"/>
  <c r="BP366" i="12"/>
  <c r="BQ366" i="12" s="1"/>
  <c r="BR366" i="12" s="1"/>
  <c r="AS366" i="12" s="1"/>
  <c r="BK366" i="12" s="1"/>
  <c r="BM366" i="12" s="1"/>
  <c r="BO367" i="12"/>
  <c r="BP367" i="12"/>
  <c r="BQ367" i="12" s="1"/>
  <c r="BR367" i="12" s="1"/>
  <c r="AS367" i="12" s="1"/>
  <c r="BK367" i="12" s="1"/>
  <c r="BM367" i="12" s="1"/>
  <c r="BO368" i="12"/>
  <c r="BP368" i="12"/>
  <c r="BQ368" i="12"/>
  <c r="BR368" i="12"/>
  <c r="AS368" i="12" s="1"/>
  <c r="BK368" i="12" s="1"/>
  <c r="BM368" i="12" s="1"/>
  <c r="BM369" i="12"/>
  <c r="BO369" i="12"/>
  <c r="BP369" i="12"/>
  <c r="BQ369" i="12" s="1"/>
  <c r="BR369" i="12"/>
  <c r="AS369" i="12" s="1"/>
  <c r="BK369" i="12" s="1"/>
  <c r="BO370" i="12"/>
  <c r="BP370" i="12"/>
  <c r="BQ370" i="12" s="1"/>
  <c r="BR370" i="12" s="1"/>
  <c r="AS370" i="12" s="1"/>
  <c r="BK370" i="12" s="1"/>
  <c r="BM370" i="12" s="1"/>
  <c r="BO371" i="12"/>
  <c r="BP371" i="12"/>
  <c r="BQ371" i="12"/>
  <c r="BR371" i="12" s="1"/>
  <c r="AS371" i="12" s="1"/>
  <c r="BK371" i="12" s="1"/>
  <c r="BM371" i="12" s="1"/>
  <c r="BO372" i="12"/>
  <c r="BP372" i="12"/>
  <c r="BQ372" i="12"/>
  <c r="BR372" i="12" s="1"/>
  <c r="AS372" i="12" s="1"/>
  <c r="BK372" i="12" s="1"/>
  <c r="BM372" i="12" s="1"/>
  <c r="BO373" i="12"/>
  <c r="BP373" i="12"/>
  <c r="BQ373" i="12" s="1"/>
  <c r="BR373" i="12" s="1"/>
  <c r="AS373" i="12" s="1"/>
  <c r="BK373" i="12" s="1"/>
  <c r="BM373" i="12" s="1"/>
  <c r="BO374" i="12"/>
  <c r="BP374" i="12"/>
  <c r="BQ374" i="12" s="1"/>
  <c r="BR374" i="12" s="1"/>
  <c r="AS374" i="12" s="1"/>
  <c r="BK374" i="12" s="1"/>
  <c r="BM374" i="12" s="1"/>
  <c r="BO375" i="12"/>
  <c r="BP375" i="12"/>
  <c r="BQ375" i="12" s="1"/>
  <c r="BR375" i="12" s="1"/>
  <c r="AS375" i="12" s="1"/>
  <c r="BK375" i="12" s="1"/>
  <c r="BM375" i="12" s="1"/>
  <c r="BO376" i="12"/>
  <c r="BP376" i="12"/>
  <c r="BQ376" i="12"/>
  <c r="BR376" i="12"/>
  <c r="AS376" i="12" s="1"/>
  <c r="BK376" i="12" s="1"/>
  <c r="BM376" i="12" s="1"/>
  <c r="BO377" i="12"/>
  <c r="BP377" i="12"/>
  <c r="BQ377" i="12" s="1"/>
  <c r="BR377" i="12"/>
  <c r="AS377" i="12" s="1"/>
  <c r="BK377" i="12" s="1"/>
  <c r="BM377" i="12" s="1"/>
  <c r="BO378" i="12"/>
  <c r="BP378" i="12"/>
  <c r="BQ378" i="12" s="1"/>
  <c r="BR378" i="12" s="1"/>
  <c r="AS378" i="12" s="1"/>
  <c r="BK378" i="12" s="1"/>
  <c r="BM378" i="12" s="1"/>
  <c r="BO379" i="12"/>
  <c r="BP379" i="12"/>
  <c r="BQ379" i="12"/>
  <c r="BR379" i="12" s="1"/>
  <c r="AS379" i="12" s="1"/>
  <c r="BK379" i="12" s="1"/>
  <c r="BM379" i="12" s="1"/>
  <c r="BO380" i="12"/>
  <c r="BP380" i="12"/>
  <c r="BQ380" i="12"/>
  <c r="BR380" i="12" s="1"/>
  <c r="AS380" i="12" s="1"/>
  <c r="BK380" i="12" s="1"/>
  <c r="BM380" i="12" s="1"/>
  <c r="BO381" i="12"/>
  <c r="BP381" i="12"/>
  <c r="BQ381" i="12" s="1"/>
  <c r="BR381" i="12" s="1"/>
  <c r="AS381" i="12" s="1"/>
  <c r="BK381" i="12" s="1"/>
  <c r="BM381" i="12" s="1"/>
  <c r="BO382" i="12"/>
  <c r="BP382" i="12"/>
  <c r="BQ382" i="12" s="1"/>
  <c r="BR382" i="12" s="1"/>
  <c r="AS382" i="12" s="1"/>
  <c r="BK382" i="12" s="1"/>
  <c r="BM382" i="12" s="1"/>
  <c r="BO383" i="12"/>
  <c r="BP383" i="12"/>
  <c r="BQ383" i="12" s="1"/>
  <c r="BR383" i="12" s="1"/>
  <c r="AS383" i="12" s="1"/>
  <c r="BK383" i="12" s="1"/>
  <c r="BM383" i="12" s="1"/>
  <c r="BO384" i="12"/>
  <c r="BP384" i="12"/>
  <c r="BQ384" i="12"/>
  <c r="BR384" i="12"/>
  <c r="AS384" i="12" s="1"/>
  <c r="BK384" i="12" s="1"/>
  <c r="BM384" i="12" s="1"/>
  <c r="BM385" i="12"/>
  <c r="BO385" i="12"/>
  <c r="BP385" i="12"/>
  <c r="BQ385" i="12" s="1"/>
  <c r="BR385" i="12"/>
  <c r="AS385" i="12" s="1"/>
  <c r="BK385" i="12" s="1"/>
  <c r="AS386" i="12"/>
  <c r="BK386" i="12" s="1"/>
  <c r="BM386" i="12" s="1"/>
  <c r="BO386" i="12"/>
  <c r="BP386" i="12"/>
  <c r="BQ386" i="12" s="1"/>
  <c r="BR386" i="12" s="1"/>
  <c r="BO387" i="12"/>
  <c r="BP387" i="12"/>
  <c r="BQ387" i="12"/>
  <c r="BR387" i="12" s="1"/>
  <c r="AS387" i="12" s="1"/>
  <c r="BK387" i="12" s="1"/>
  <c r="BM387" i="12" s="1"/>
  <c r="BO388" i="12"/>
  <c r="BP388" i="12"/>
  <c r="BQ388" i="12"/>
  <c r="BR388" i="12" s="1"/>
  <c r="AS388" i="12" s="1"/>
  <c r="BK388" i="12" s="1"/>
  <c r="BM388" i="12" s="1"/>
  <c r="BO389" i="12"/>
  <c r="BP389" i="12"/>
  <c r="BQ389" i="12" s="1"/>
  <c r="BR389" i="12" s="1"/>
  <c r="AS389" i="12" s="1"/>
  <c r="BK389" i="12" s="1"/>
  <c r="BM389" i="12" s="1"/>
  <c r="BO390" i="12"/>
  <c r="BP390" i="12"/>
  <c r="BQ390" i="12"/>
  <c r="BR390" i="12" s="1"/>
  <c r="AS390" i="12" s="1"/>
  <c r="BK390" i="12" s="1"/>
  <c r="BM390" i="12" s="1"/>
  <c r="BO391" i="12"/>
  <c r="BP391" i="12"/>
  <c r="BQ391" i="12" s="1"/>
  <c r="BR391" i="12" s="1"/>
  <c r="AS391" i="12" s="1"/>
  <c r="BK391" i="12" s="1"/>
  <c r="BM391" i="12" s="1"/>
  <c r="BO392" i="12"/>
  <c r="BP392" i="12"/>
  <c r="BQ392" i="12"/>
  <c r="BR392" i="12"/>
  <c r="AS392" i="12" s="1"/>
  <c r="BK392" i="12" s="1"/>
  <c r="BM392" i="12" s="1"/>
  <c r="BO393" i="12"/>
  <c r="BP393" i="12"/>
  <c r="BQ393" i="12" s="1"/>
  <c r="BR393" i="12" s="1"/>
  <c r="AS393" i="12" s="1"/>
  <c r="BK393" i="12" s="1"/>
  <c r="BM393" i="12" s="1"/>
  <c r="BO394" i="12"/>
  <c r="BP394" i="12"/>
  <c r="BQ394" i="12" s="1"/>
  <c r="BR394" i="12" s="1"/>
  <c r="AS394" i="12" s="1"/>
  <c r="BK394" i="12" s="1"/>
  <c r="BM394" i="12" s="1"/>
  <c r="BO395" i="12"/>
  <c r="BP395" i="12"/>
  <c r="BQ395" i="12"/>
  <c r="BR395" i="12" s="1"/>
  <c r="AS395" i="12" s="1"/>
  <c r="BK395" i="12" s="1"/>
  <c r="BM395" i="12" s="1"/>
  <c r="BK396" i="12"/>
  <c r="BO289" i="12"/>
  <c r="BP289" i="12"/>
  <c r="AI289" i="12"/>
  <c r="AI321" i="12"/>
  <c r="AI320" i="12"/>
  <c r="AI319" i="12"/>
  <c r="AI318" i="12"/>
  <c r="AI317" i="12"/>
  <c r="AI316" i="12"/>
  <c r="AI315" i="12"/>
  <c r="AI314" i="12"/>
  <c r="AI313" i="12"/>
  <c r="AI312" i="12"/>
  <c r="AI311" i="12"/>
  <c r="AI310" i="12"/>
  <c r="AI309" i="12"/>
  <c r="AI308" i="12"/>
  <c r="AI307" i="12"/>
  <c r="AI306" i="12"/>
  <c r="AI305" i="12"/>
  <c r="AI304" i="12"/>
  <c r="AI303" i="12"/>
  <c r="AI302" i="12"/>
  <c r="AI301" i="12"/>
  <c r="AI300" i="12"/>
  <c r="AI299" i="12"/>
  <c r="AI298" i="12"/>
  <c r="AI297" i="12"/>
  <c r="AI296" i="12"/>
  <c r="AI295" i="12"/>
  <c r="AI294" i="12"/>
  <c r="AI293" i="12"/>
  <c r="AI292" i="12"/>
  <c r="AI291" i="12"/>
  <c r="AI290" i="12"/>
  <c r="AI287" i="12"/>
  <c r="BO273" i="12"/>
  <c r="BP273" i="12"/>
  <c r="BQ273" i="12" s="1"/>
  <c r="BR273" i="12" s="1"/>
  <c r="AU273" i="12" s="1"/>
  <c r="BO167" i="12"/>
  <c r="BP167" i="12"/>
  <c r="BQ167" i="12" s="1"/>
  <c r="BR167" i="12"/>
  <c r="AU167" i="12" s="1"/>
  <c r="BO168" i="12"/>
  <c r="BP168" i="12"/>
  <c r="BQ168" i="12" s="1"/>
  <c r="BR168" i="12" s="1"/>
  <c r="AU168" i="12" s="1"/>
  <c r="BO169" i="12"/>
  <c r="BP169" i="12"/>
  <c r="BQ169" i="12"/>
  <c r="BR169" i="12" s="1"/>
  <c r="AU169" i="12" s="1"/>
  <c r="BO170" i="12"/>
  <c r="BP170" i="12"/>
  <c r="BQ170" i="12"/>
  <c r="BR170" i="12" s="1"/>
  <c r="AU170" i="12" s="1"/>
  <c r="BO171" i="12"/>
  <c r="BP171" i="12"/>
  <c r="BQ171" i="12" s="1"/>
  <c r="BR171" i="12" s="1"/>
  <c r="AU171" i="12" s="1"/>
  <c r="BO172" i="12"/>
  <c r="BP172" i="12"/>
  <c r="BQ172" i="12" s="1"/>
  <c r="BR172" i="12" s="1"/>
  <c r="AU172" i="12" s="1"/>
  <c r="BO173" i="12"/>
  <c r="BP173" i="12"/>
  <c r="BQ173" i="12" s="1"/>
  <c r="BR173" i="12" s="1"/>
  <c r="AU173" i="12" s="1"/>
  <c r="BO174" i="12"/>
  <c r="BP174" i="12"/>
  <c r="BQ174" i="12" s="1"/>
  <c r="BR174" i="12" s="1"/>
  <c r="AU174" i="12" s="1"/>
  <c r="BO175" i="12"/>
  <c r="BP175" i="12"/>
  <c r="BQ175" i="12" s="1"/>
  <c r="BR175" i="12" s="1"/>
  <c r="AU175" i="12" s="1"/>
  <c r="BO176" i="12"/>
  <c r="BP176" i="12"/>
  <c r="BQ176" i="12" s="1"/>
  <c r="BR176" i="12" s="1"/>
  <c r="AU176" i="12" s="1"/>
  <c r="BO177" i="12"/>
  <c r="BP177" i="12"/>
  <c r="BQ177" i="12"/>
  <c r="BR177" i="12" s="1"/>
  <c r="AU177" i="12" s="1"/>
  <c r="BO178" i="12"/>
  <c r="BP178" i="12"/>
  <c r="BQ178" i="12" s="1"/>
  <c r="BR178" i="12" s="1"/>
  <c r="AU178" i="12" s="1"/>
  <c r="BO179" i="12"/>
  <c r="BP179" i="12"/>
  <c r="BQ179" i="12" s="1"/>
  <c r="BR179" i="12" s="1"/>
  <c r="AU179" i="12" s="1"/>
  <c r="AU180" i="12"/>
  <c r="BO180" i="12"/>
  <c r="BP180" i="12"/>
  <c r="BQ180" i="12" s="1"/>
  <c r="BR180" i="12" s="1"/>
  <c r="BO181" i="12"/>
  <c r="BP181" i="12"/>
  <c r="BQ181" i="12" s="1"/>
  <c r="BR181" i="12" s="1"/>
  <c r="AU181" i="12" s="1"/>
  <c r="BO182" i="12"/>
  <c r="BP182" i="12"/>
  <c r="BQ182" i="12"/>
  <c r="BR182" i="12"/>
  <c r="AU182" i="12" s="1"/>
  <c r="BO183" i="12"/>
  <c r="BP183" i="12"/>
  <c r="BQ183" i="12" s="1"/>
  <c r="BR183" i="12"/>
  <c r="AU183" i="12" s="1"/>
  <c r="BO184" i="12"/>
  <c r="BP184" i="12"/>
  <c r="BQ184" i="12" s="1"/>
  <c r="BR184" i="12" s="1"/>
  <c r="AU184" i="12" s="1"/>
  <c r="BO185" i="12"/>
  <c r="BP185" i="12"/>
  <c r="BQ185" i="12"/>
  <c r="BR185" i="12" s="1"/>
  <c r="AU185" i="12" s="1"/>
  <c r="BO186" i="12"/>
  <c r="BP186" i="12"/>
  <c r="BQ186" i="12"/>
  <c r="BR186" i="12" s="1"/>
  <c r="AU186" i="12" s="1"/>
  <c r="BO187" i="12"/>
  <c r="BP187" i="12"/>
  <c r="BQ187" i="12" s="1"/>
  <c r="BR187" i="12" s="1"/>
  <c r="AU187" i="12" s="1"/>
  <c r="BO188" i="12"/>
  <c r="BP188" i="12"/>
  <c r="BQ188" i="12" s="1"/>
  <c r="BR188" i="12" s="1"/>
  <c r="AU188" i="12" s="1"/>
  <c r="BO189" i="12"/>
  <c r="BP189" i="12"/>
  <c r="BQ189" i="12" s="1"/>
  <c r="BR189" i="12" s="1"/>
  <c r="AU189" i="12" s="1"/>
  <c r="BO190" i="12"/>
  <c r="BP190" i="12"/>
  <c r="BQ190" i="12" s="1"/>
  <c r="BR190" i="12" s="1"/>
  <c r="AU190" i="12" s="1"/>
  <c r="BO191" i="12"/>
  <c r="BP191" i="12"/>
  <c r="BQ191" i="12" s="1"/>
  <c r="BR191" i="12" s="1"/>
  <c r="AU191" i="12" s="1"/>
  <c r="BO192" i="12"/>
  <c r="BP192" i="12"/>
  <c r="BQ192" i="12" s="1"/>
  <c r="BR192" i="12" s="1"/>
  <c r="AU192" i="12" s="1"/>
  <c r="BO193" i="12"/>
  <c r="BP193" i="12"/>
  <c r="BQ193" i="12"/>
  <c r="BR193" i="12" s="1"/>
  <c r="AU193" i="12" s="1"/>
  <c r="BO194" i="12"/>
  <c r="BP194" i="12"/>
  <c r="BQ194" i="12" s="1"/>
  <c r="BR194" i="12" s="1"/>
  <c r="AU194" i="12" s="1"/>
  <c r="BO195" i="12"/>
  <c r="BP195" i="12"/>
  <c r="BQ195" i="12" s="1"/>
  <c r="BR195" i="12"/>
  <c r="AU195" i="12" s="1"/>
  <c r="AU196" i="12"/>
  <c r="BO196" i="12"/>
  <c r="BP196" i="12"/>
  <c r="BQ196" i="12" s="1"/>
  <c r="BR196" i="12" s="1"/>
  <c r="BO197" i="12"/>
  <c r="BP197" i="12"/>
  <c r="BQ197" i="12"/>
  <c r="BR197" i="12" s="1"/>
  <c r="AU197" i="12" s="1"/>
  <c r="BO198" i="12"/>
  <c r="BP198" i="12"/>
  <c r="BQ198" i="12"/>
  <c r="BR198" i="12"/>
  <c r="AU198" i="12" s="1"/>
  <c r="BO199" i="12"/>
  <c r="BP199" i="12"/>
  <c r="BQ199" i="12" s="1"/>
  <c r="BR199" i="12"/>
  <c r="AU199" i="12" s="1"/>
  <c r="BO200" i="12"/>
  <c r="BP200" i="12"/>
  <c r="BQ200" i="12" s="1"/>
  <c r="BR200" i="12" s="1"/>
  <c r="AU200" i="12" s="1"/>
  <c r="BO201" i="12"/>
  <c r="BP201" i="12"/>
  <c r="BQ201" i="12"/>
  <c r="BR201" i="12" s="1"/>
  <c r="AU201" i="12" s="1"/>
  <c r="BO202" i="12"/>
  <c r="BP202" i="12"/>
  <c r="BQ202" i="12"/>
  <c r="BR202" i="12"/>
  <c r="AU202" i="12" s="1"/>
  <c r="BO203" i="12"/>
  <c r="BP203" i="12"/>
  <c r="BQ203" i="12" s="1"/>
  <c r="BR203" i="12"/>
  <c r="AU203" i="12" s="1"/>
  <c r="BO204" i="12"/>
  <c r="BP204" i="12"/>
  <c r="BQ204" i="12" s="1"/>
  <c r="BR204" i="12" s="1"/>
  <c r="AU204" i="12" s="1"/>
  <c r="BO205" i="12"/>
  <c r="BP205" i="12"/>
  <c r="BQ205" i="12"/>
  <c r="BR205" i="12" s="1"/>
  <c r="AU205" i="12" s="1"/>
  <c r="BO206" i="12"/>
  <c r="BP206" i="12"/>
  <c r="BQ206" i="12" s="1"/>
  <c r="BR206" i="12" s="1"/>
  <c r="AU206" i="12" s="1"/>
  <c r="BO207" i="12"/>
  <c r="BP207" i="12"/>
  <c r="BQ207" i="12" s="1"/>
  <c r="BR207" i="12" s="1"/>
  <c r="AU207" i="12" s="1"/>
  <c r="BO208" i="12"/>
  <c r="BP208" i="12"/>
  <c r="BQ208" i="12" s="1"/>
  <c r="BR208" i="12" s="1"/>
  <c r="AU208" i="12" s="1"/>
  <c r="BO209" i="12"/>
  <c r="BP209" i="12"/>
  <c r="BQ209" i="12"/>
  <c r="BR209" i="12" s="1"/>
  <c r="AU209" i="12" s="1"/>
  <c r="BO210" i="12"/>
  <c r="BP210" i="12"/>
  <c r="BQ210" i="12" s="1"/>
  <c r="BR210" i="12" s="1"/>
  <c r="AU210" i="12" s="1"/>
  <c r="BO211" i="12"/>
  <c r="BP211" i="12"/>
  <c r="BQ211" i="12" s="1"/>
  <c r="BR211" i="12"/>
  <c r="AU211" i="12" s="1"/>
  <c r="AU212" i="12"/>
  <c r="BO212" i="12"/>
  <c r="BP212" i="12"/>
  <c r="BQ212" i="12" s="1"/>
  <c r="BR212" i="12" s="1"/>
  <c r="BO213" i="12"/>
  <c r="BP213" i="12"/>
  <c r="BQ213" i="12" s="1"/>
  <c r="BR213" i="12" s="1"/>
  <c r="AU213" i="12" s="1"/>
  <c r="BO214" i="12"/>
  <c r="BP214" i="12"/>
  <c r="BQ214" i="12"/>
  <c r="BR214" i="12" s="1"/>
  <c r="AU214" i="12" s="1"/>
  <c r="BO215" i="12"/>
  <c r="BP215" i="12"/>
  <c r="BQ215" i="12" s="1"/>
  <c r="BR215" i="12"/>
  <c r="AU215" i="12" s="1"/>
  <c r="BO216" i="12"/>
  <c r="BP216" i="12"/>
  <c r="BQ216" i="12" s="1"/>
  <c r="BR216" i="12" s="1"/>
  <c r="AU216" i="12" s="1"/>
  <c r="BO217" i="12"/>
  <c r="BP217" i="12"/>
  <c r="BQ217" i="12" s="1"/>
  <c r="BR217" i="12" s="1"/>
  <c r="AU217" i="12" s="1"/>
  <c r="BO218" i="12"/>
  <c r="BP218" i="12"/>
  <c r="BQ218" i="12"/>
  <c r="BR218" i="12" s="1"/>
  <c r="AU218" i="12" s="1"/>
  <c r="BO219" i="12"/>
  <c r="BP219" i="12"/>
  <c r="BQ219" i="12" s="1"/>
  <c r="BR219" i="12"/>
  <c r="AU219" i="12" s="1"/>
  <c r="BO220" i="12"/>
  <c r="BP220" i="12"/>
  <c r="BQ220" i="12" s="1"/>
  <c r="BR220" i="12" s="1"/>
  <c r="AU220" i="12" s="1"/>
  <c r="BO221" i="12"/>
  <c r="BP221" i="12"/>
  <c r="BQ221" i="12"/>
  <c r="BR221" i="12" s="1"/>
  <c r="AU221" i="12" s="1"/>
  <c r="BO222" i="12"/>
  <c r="BP222" i="12"/>
  <c r="BQ222" i="12" s="1"/>
  <c r="BR222" i="12" s="1"/>
  <c r="AU222" i="12" s="1"/>
  <c r="BO223" i="12"/>
  <c r="BP223" i="12"/>
  <c r="BQ223" i="12" s="1"/>
  <c r="BR223" i="12" s="1"/>
  <c r="AU223" i="12" s="1"/>
  <c r="BO224" i="12"/>
  <c r="BP224" i="12"/>
  <c r="BQ224" i="12" s="1"/>
  <c r="BR224" i="12" s="1"/>
  <c r="AU224" i="12" s="1"/>
  <c r="BO225" i="12"/>
  <c r="BP225" i="12"/>
  <c r="BQ225" i="12"/>
  <c r="BR225" i="12" s="1"/>
  <c r="AU225" i="12" s="1"/>
  <c r="BO226" i="12"/>
  <c r="BP226" i="12"/>
  <c r="BQ226" i="12" s="1"/>
  <c r="BR226" i="12" s="1"/>
  <c r="AU226" i="12" s="1"/>
  <c r="BO227" i="12"/>
  <c r="BP227" i="12"/>
  <c r="BQ227" i="12" s="1"/>
  <c r="BR227" i="12"/>
  <c r="AU227" i="12" s="1"/>
  <c r="AU228" i="12"/>
  <c r="BO228" i="12"/>
  <c r="BP228" i="12"/>
  <c r="BQ228" i="12" s="1"/>
  <c r="BR228" i="12" s="1"/>
  <c r="BO229" i="12"/>
  <c r="BP229" i="12"/>
  <c r="BQ229" i="12"/>
  <c r="BR229" i="12" s="1"/>
  <c r="AU229" i="12" s="1"/>
  <c r="BO230" i="12"/>
  <c r="BP230" i="12"/>
  <c r="BQ230" i="12"/>
  <c r="BR230" i="12"/>
  <c r="AU230" i="12" s="1"/>
  <c r="BO231" i="12"/>
  <c r="BP231" i="12"/>
  <c r="BQ231" i="12" s="1"/>
  <c r="BR231" i="12"/>
  <c r="AU231" i="12" s="1"/>
  <c r="BO232" i="12"/>
  <c r="BP232" i="12"/>
  <c r="BQ232" i="12" s="1"/>
  <c r="BR232" i="12" s="1"/>
  <c r="AU232" i="12" s="1"/>
  <c r="BO233" i="12"/>
  <c r="BP233" i="12"/>
  <c r="BQ233" i="12"/>
  <c r="BR233" i="12" s="1"/>
  <c r="AU233" i="12" s="1"/>
  <c r="BO234" i="12"/>
  <c r="BP234" i="12"/>
  <c r="BQ234" i="12"/>
  <c r="BR234" i="12"/>
  <c r="AU234" i="12" s="1"/>
  <c r="BO235" i="12"/>
  <c r="BP235" i="12"/>
  <c r="BQ235" i="12" s="1"/>
  <c r="BR235" i="12" s="1"/>
  <c r="AU235" i="12" s="1"/>
  <c r="BO236" i="12"/>
  <c r="BP236" i="12"/>
  <c r="BQ236" i="12" s="1"/>
  <c r="BR236" i="12" s="1"/>
  <c r="AU236" i="12" s="1"/>
  <c r="BO237" i="12"/>
  <c r="BP237" i="12"/>
  <c r="BQ237" i="12" s="1"/>
  <c r="BR237" i="12" s="1"/>
  <c r="AU237" i="12" s="1"/>
  <c r="BO238" i="12"/>
  <c r="BP238" i="12"/>
  <c r="BQ238" i="12"/>
  <c r="BR238" i="12" s="1"/>
  <c r="AU238" i="12" s="1"/>
  <c r="BO239" i="12"/>
  <c r="BP239" i="12"/>
  <c r="BQ239" i="12" s="1"/>
  <c r="BR239" i="12" s="1"/>
  <c r="AU239" i="12" s="1"/>
  <c r="BO240" i="12"/>
  <c r="BP240" i="12"/>
  <c r="BQ240" i="12"/>
  <c r="BR240" i="12" s="1"/>
  <c r="AU240" i="12" s="1"/>
  <c r="BO241" i="12"/>
  <c r="BP241" i="12"/>
  <c r="BQ241" i="12" s="1"/>
  <c r="BR241" i="12" s="1"/>
  <c r="AU241" i="12" s="1"/>
  <c r="BO242" i="12"/>
  <c r="BP242" i="12"/>
  <c r="BQ242" i="12" s="1"/>
  <c r="BR242" i="12" s="1"/>
  <c r="AU242" i="12" s="1"/>
  <c r="BO243" i="12"/>
  <c r="BP243" i="12"/>
  <c r="BQ243" i="12" s="1"/>
  <c r="BR243" i="12" s="1"/>
  <c r="AU243" i="12" s="1"/>
  <c r="BO244" i="12"/>
  <c r="BP244" i="12"/>
  <c r="BQ244" i="12"/>
  <c r="BR244" i="12" s="1"/>
  <c r="AU244" i="12" s="1"/>
  <c r="BO245" i="12"/>
  <c r="BP245" i="12"/>
  <c r="BQ245" i="12"/>
  <c r="BR245" i="12"/>
  <c r="AU245" i="12" s="1"/>
  <c r="BO246" i="12"/>
  <c r="BP246" i="12"/>
  <c r="BQ246" i="12"/>
  <c r="BR246" i="12"/>
  <c r="AU246" i="12" s="1"/>
  <c r="BO247" i="12"/>
  <c r="BP247" i="12"/>
  <c r="BQ247" i="12" s="1"/>
  <c r="BR247" i="12" s="1"/>
  <c r="AU247" i="12" s="1"/>
  <c r="BO248" i="12"/>
  <c r="BP248" i="12"/>
  <c r="BQ248" i="12"/>
  <c r="BR248" i="12" s="1"/>
  <c r="AU248" i="12" s="1"/>
  <c r="BO249" i="12"/>
  <c r="BP249" i="12"/>
  <c r="BQ249" i="12" s="1"/>
  <c r="BR249" i="12" s="1"/>
  <c r="AU249" i="12" s="1"/>
  <c r="BO250" i="12"/>
  <c r="BP250" i="12"/>
  <c r="BQ250" i="12" s="1"/>
  <c r="BR250" i="12" s="1"/>
  <c r="AU250" i="12" s="1"/>
  <c r="BO251" i="12"/>
  <c r="BP251" i="12"/>
  <c r="BQ251" i="12" s="1"/>
  <c r="BR251" i="12" s="1"/>
  <c r="AU251" i="12" s="1"/>
  <c r="BO252" i="12"/>
  <c r="BP252" i="12"/>
  <c r="BQ252" i="12" s="1"/>
  <c r="BR252" i="12" s="1"/>
  <c r="AU252" i="12" s="1"/>
  <c r="BO253" i="12"/>
  <c r="BP253" i="12"/>
  <c r="BQ253" i="12"/>
  <c r="BR253" i="12" s="1"/>
  <c r="AU253" i="12" s="1"/>
  <c r="BO254" i="12"/>
  <c r="BP254" i="12"/>
  <c r="BQ254" i="12"/>
  <c r="BR254" i="12" s="1"/>
  <c r="AU254" i="12" s="1"/>
  <c r="BO255" i="12"/>
  <c r="BP255" i="12"/>
  <c r="BQ255" i="12" s="1"/>
  <c r="BR255" i="12" s="1"/>
  <c r="AU255" i="12" s="1"/>
  <c r="BO256" i="12"/>
  <c r="BP256" i="12"/>
  <c r="BQ256" i="12"/>
  <c r="BR256" i="12" s="1"/>
  <c r="AU256" i="12" s="1"/>
  <c r="BO257" i="12"/>
  <c r="BP257" i="12"/>
  <c r="BQ257" i="12" s="1"/>
  <c r="BR257" i="12" s="1"/>
  <c r="AU257" i="12" s="1"/>
  <c r="BO258" i="12"/>
  <c r="BP258" i="12"/>
  <c r="BQ258" i="12" s="1"/>
  <c r="BR258" i="12" s="1"/>
  <c r="AU258" i="12" s="1"/>
  <c r="BO259" i="12"/>
  <c r="BP259" i="12"/>
  <c r="BQ259" i="12" s="1"/>
  <c r="BR259" i="12" s="1"/>
  <c r="AU259" i="12" s="1"/>
  <c r="BO260" i="12"/>
  <c r="BP260" i="12"/>
  <c r="BQ260" i="12"/>
  <c r="BR260" i="12" s="1"/>
  <c r="AU260" i="12" s="1"/>
  <c r="BO261" i="12"/>
  <c r="BP261" i="12"/>
  <c r="BQ261" i="12"/>
  <c r="BR261" i="12"/>
  <c r="AU261" i="12" s="1"/>
  <c r="BO262" i="12"/>
  <c r="BP262" i="12"/>
  <c r="BQ262" i="12"/>
  <c r="BR262" i="12"/>
  <c r="AU262" i="12" s="1"/>
  <c r="BO263" i="12"/>
  <c r="BP263" i="12"/>
  <c r="BQ263" i="12" s="1"/>
  <c r="BR263" i="12" s="1"/>
  <c r="AU263" i="12" s="1"/>
  <c r="BO264" i="12"/>
  <c r="BP264" i="12"/>
  <c r="BQ264" i="12"/>
  <c r="BR264" i="12" s="1"/>
  <c r="AU264" i="12" s="1"/>
  <c r="BO265" i="12"/>
  <c r="BP265" i="12"/>
  <c r="BQ265" i="12" s="1"/>
  <c r="BR265" i="12" s="1"/>
  <c r="AU265" i="12" s="1"/>
  <c r="BO266" i="12"/>
  <c r="BP266" i="12"/>
  <c r="BQ266" i="12" s="1"/>
  <c r="BR266" i="12" s="1"/>
  <c r="AU266" i="12" s="1"/>
  <c r="BO267" i="12"/>
  <c r="BP267" i="12"/>
  <c r="BQ267" i="12" s="1"/>
  <c r="BR267" i="12" s="1"/>
  <c r="AU267" i="12" s="1"/>
  <c r="BO268" i="12"/>
  <c r="BP268" i="12"/>
  <c r="BQ268" i="12"/>
  <c r="BR268" i="12" s="1"/>
  <c r="AU268" i="12" s="1"/>
  <c r="BO269" i="12"/>
  <c r="BP269" i="12"/>
  <c r="BQ269" i="12"/>
  <c r="BR269" i="12"/>
  <c r="AU269" i="12" s="1"/>
  <c r="BO270" i="12"/>
  <c r="BP270" i="12"/>
  <c r="BQ270" i="12"/>
  <c r="BR270" i="12"/>
  <c r="AU270" i="12" s="1"/>
  <c r="BO271" i="12"/>
  <c r="BP271" i="12"/>
  <c r="BQ271" i="12" s="1"/>
  <c r="BR271" i="12" s="1"/>
  <c r="AU271" i="12" s="1"/>
  <c r="BO272" i="12"/>
  <c r="BP272" i="12"/>
  <c r="BQ272" i="12"/>
  <c r="BR272" i="12" s="1"/>
  <c r="AU272" i="12" s="1"/>
  <c r="BP166" i="12"/>
  <c r="BO166" i="12"/>
  <c r="AI167" i="12"/>
  <c r="AI168" i="12"/>
  <c r="AI169" i="12"/>
  <c r="AI170" i="12"/>
  <c r="AI171" i="12"/>
  <c r="AI172" i="12"/>
  <c r="AI173" i="12"/>
  <c r="AI174" i="12"/>
  <c r="AI175" i="12"/>
  <c r="AI176" i="12"/>
  <c r="AI177" i="12"/>
  <c r="AI178" i="12"/>
  <c r="AI179" i="12"/>
  <c r="AI180" i="12"/>
  <c r="AI181" i="12"/>
  <c r="AI182" i="12"/>
  <c r="AI183" i="12"/>
  <c r="AI184" i="12"/>
  <c r="AI185" i="12"/>
  <c r="AI186" i="12"/>
  <c r="AI187" i="12"/>
  <c r="AI188" i="12"/>
  <c r="AI189" i="12"/>
  <c r="AI190" i="12"/>
  <c r="AI191" i="12"/>
  <c r="AI192" i="12"/>
  <c r="AI193" i="12"/>
  <c r="AI194" i="12"/>
  <c r="AI195" i="12"/>
  <c r="AI196" i="12"/>
  <c r="AI197" i="12"/>
  <c r="AI198" i="12"/>
  <c r="AI199" i="12"/>
  <c r="AI200" i="12"/>
  <c r="AI201" i="12"/>
  <c r="AI202" i="12"/>
  <c r="AI203" i="12"/>
  <c r="AI204" i="12"/>
  <c r="AI205" i="12"/>
  <c r="AI206" i="12"/>
  <c r="AI207" i="12"/>
  <c r="AI208" i="12"/>
  <c r="AI209" i="12"/>
  <c r="AI210" i="12"/>
  <c r="AI211" i="12"/>
  <c r="AI212" i="12"/>
  <c r="AI213" i="12"/>
  <c r="AI214" i="12"/>
  <c r="AI215" i="12"/>
  <c r="AI216" i="12"/>
  <c r="AI217" i="12"/>
  <c r="AI218" i="12"/>
  <c r="AI219" i="12"/>
  <c r="AI220" i="12"/>
  <c r="AI221" i="12"/>
  <c r="AI222" i="12"/>
  <c r="AI223" i="12"/>
  <c r="AI224" i="12"/>
  <c r="AI225" i="12"/>
  <c r="AI226" i="12"/>
  <c r="AI227" i="12"/>
  <c r="AI228" i="12"/>
  <c r="AI229" i="12"/>
  <c r="AI230" i="12"/>
  <c r="AI231" i="12"/>
  <c r="AI232" i="12"/>
  <c r="AI233" i="12"/>
  <c r="AI234" i="12"/>
  <c r="AI235" i="12"/>
  <c r="AI236" i="12"/>
  <c r="AI237" i="12"/>
  <c r="AI238" i="12"/>
  <c r="AI239" i="12"/>
  <c r="AI240" i="12"/>
  <c r="AI241" i="12"/>
  <c r="AI242" i="12"/>
  <c r="AI243" i="12"/>
  <c r="AI244" i="12"/>
  <c r="AI245" i="12"/>
  <c r="AI246" i="12"/>
  <c r="AI247" i="12"/>
  <c r="AI248" i="12"/>
  <c r="AI249" i="12"/>
  <c r="AI250" i="12"/>
  <c r="AI251" i="12"/>
  <c r="AI252" i="12"/>
  <c r="AI253" i="12"/>
  <c r="AI254" i="12"/>
  <c r="AI255" i="12"/>
  <c r="AI256" i="12"/>
  <c r="AI257" i="12"/>
  <c r="AI258" i="12"/>
  <c r="AI259" i="12"/>
  <c r="AI260" i="12"/>
  <c r="AI261" i="12"/>
  <c r="AI262" i="12"/>
  <c r="AI263" i="12"/>
  <c r="AI264" i="12"/>
  <c r="AI265" i="12"/>
  <c r="AI266" i="12"/>
  <c r="AI267" i="12"/>
  <c r="AI268" i="12"/>
  <c r="AI269" i="12"/>
  <c r="AI270" i="12"/>
  <c r="AI271" i="12"/>
  <c r="AI272" i="12"/>
  <c r="AI273" i="12"/>
  <c r="AI166" i="12"/>
  <c r="AI164" i="12"/>
  <c r="BP150" i="12"/>
  <c r="BO150" i="12"/>
  <c r="BH19" i="15" l="1"/>
  <c r="AQ19" i="15" s="1"/>
  <c r="AX19" i="15" s="1"/>
  <c r="BD19" i="15" s="1"/>
  <c r="BQ289" i="12"/>
  <c r="BR289" i="12" s="1"/>
  <c r="AS289" i="12" s="1"/>
  <c r="BQ166" i="12"/>
  <c r="BR166" i="12" s="1"/>
  <c r="AU166" i="12" s="1"/>
  <c r="BQ150" i="12"/>
  <c r="AT150" i="12" s="1"/>
  <c r="Q146" i="12"/>
  <c r="AI27" i="12"/>
  <c r="AI28" i="12"/>
  <c r="AI29" i="12"/>
  <c r="AI30" i="12"/>
  <c r="AI31" i="12"/>
  <c r="AI32" i="12"/>
  <c r="AI33" i="12"/>
  <c r="AI34" i="12"/>
  <c r="AI35" i="12"/>
  <c r="AI36" i="12"/>
  <c r="AI37" i="12"/>
  <c r="AI38" i="12"/>
  <c r="AI39" i="12"/>
  <c r="AI40" i="12"/>
  <c r="AI41" i="12"/>
  <c r="AI42" i="12"/>
  <c r="AI43" i="12"/>
  <c r="AI44" i="12"/>
  <c r="AI45" i="12"/>
  <c r="AI46" i="12"/>
  <c r="AI47" i="12"/>
  <c r="AI48" i="12"/>
  <c r="AI49" i="12"/>
  <c r="AI50" i="12"/>
  <c r="AI51" i="12"/>
  <c r="AI52" i="12"/>
  <c r="AI53" i="12"/>
  <c r="AI54" i="12"/>
  <c r="AI55" i="12"/>
  <c r="AI56" i="12"/>
  <c r="AI57" i="12"/>
  <c r="AI58" i="12"/>
  <c r="AI59" i="12"/>
  <c r="AI60" i="12"/>
  <c r="AI61" i="12"/>
  <c r="AI62" i="12"/>
  <c r="AI63" i="12"/>
  <c r="AI64" i="12"/>
  <c r="AI65" i="12"/>
  <c r="AI66" i="12"/>
  <c r="AI67" i="12"/>
  <c r="AI68" i="12"/>
  <c r="AI69" i="12"/>
  <c r="AI70" i="12"/>
  <c r="AI71" i="12"/>
  <c r="AI72" i="12"/>
  <c r="AI73" i="12"/>
  <c r="AI74" i="12"/>
  <c r="AI75" i="12"/>
  <c r="AI76" i="12"/>
  <c r="AI77" i="12"/>
  <c r="AI78" i="12"/>
  <c r="AI79" i="12"/>
  <c r="AI80" i="12"/>
  <c r="AI81" i="12"/>
  <c r="AI82" i="12"/>
  <c r="AI83" i="12"/>
  <c r="AI84" i="12"/>
  <c r="AI85" i="12"/>
  <c r="AI86" i="12"/>
  <c r="AI87" i="12"/>
  <c r="AI88" i="12"/>
  <c r="AI89" i="12"/>
  <c r="AI90" i="12"/>
  <c r="AI91" i="12"/>
  <c r="AI92" i="12"/>
  <c r="AI93" i="12"/>
  <c r="AI94" i="12"/>
  <c r="AI95" i="12"/>
  <c r="AI96" i="12"/>
  <c r="AI97" i="12"/>
  <c r="AI98" i="12"/>
  <c r="AI99" i="12"/>
  <c r="AI100" i="12"/>
  <c r="AI101" i="12"/>
  <c r="AI102" i="12"/>
  <c r="AI103" i="12"/>
  <c r="AI104" i="12"/>
  <c r="AI105" i="12"/>
  <c r="AI106" i="12"/>
  <c r="AI107" i="12"/>
  <c r="AI108" i="12"/>
  <c r="AI109" i="12"/>
  <c r="AI110" i="12"/>
  <c r="AI111" i="12"/>
  <c r="AI112" i="12"/>
  <c r="AI113" i="12"/>
  <c r="AI114" i="12"/>
  <c r="AI115" i="12"/>
  <c r="AI116" i="12"/>
  <c r="AI117" i="12"/>
  <c r="AI118" i="12"/>
  <c r="AI119" i="12"/>
  <c r="AI120" i="12"/>
  <c r="AI121" i="12"/>
  <c r="AI122" i="12"/>
  <c r="AI123" i="12"/>
  <c r="AI124" i="12"/>
  <c r="AI125" i="12"/>
  <c r="AI126" i="12"/>
  <c r="AI127" i="12"/>
  <c r="AI128" i="12"/>
  <c r="AI129" i="12"/>
  <c r="AI130" i="12"/>
  <c r="AI131" i="12"/>
  <c r="AI132" i="12"/>
  <c r="AI133" i="12"/>
  <c r="AI26" i="12"/>
  <c r="AI24" i="12"/>
  <c r="AQ64" i="11"/>
  <c r="AQ65" i="11"/>
  <c r="AQ66" i="11"/>
  <c r="AQ67" i="11"/>
  <c r="AQ68" i="11"/>
  <c r="AQ69" i="11"/>
  <c r="AQ70" i="11"/>
  <c r="AQ71" i="11"/>
  <c r="AQ72" i="11"/>
  <c r="BH64" i="11"/>
  <c r="BJ64" i="11"/>
  <c r="BG64" i="11" s="1"/>
  <c r="BI64" i="11" s="1"/>
  <c r="BH65" i="11"/>
  <c r="BJ65" i="11"/>
  <c r="BG65" i="11" s="1"/>
  <c r="BI65" i="11" s="1"/>
  <c r="BH66" i="11"/>
  <c r="BJ66" i="11"/>
  <c r="BG66" i="11" s="1"/>
  <c r="BI66" i="11" s="1"/>
  <c r="BH67" i="11"/>
  <c r="BJ67" i="11"/>
  <c r="BG67" i="11" s="1"/>
  <c r="BI67" i="11" s="1"/>
  <c r="BH68" i="11"/>
  <c r="BJ68" i="11"/>
  <c r="BG68" i="11" s="1"/>
  <c r="BI68" i="11" s="1"/>
  <c r="BH69" i="11"/>
  <c r="BJ69" i="11"/>
  <c r="BG69" i="11" s="1"/>
  <c r="BI69" i="11" s="1"/>
  <c r="BH70" i="11"/>
  <c r="BJ70" i="11"/>
  <c r="BG70" i="11" s="1"/>
  <c r="BI70" i="11" s="1"/>
  <c r="BH71" i="11"/>
  <c r="BJ71" i="11"/>
  <c r="BG71" i="11" s="1"/>
  <c r="BI71" i="11" s="1"/>
  <c r="BH72" i="11"/>
  <c r="BJ72" i="11"/>
  <c r="BG72" i="11" s="1"/>
  <c r="BI72" i="11" s="1"/>
  <c r="BJ63" i="11"/>
  <c r="BG63" i="11" s="1"/>
  <c r="AQ49" i="11"/>
  <c r="AQ41" i="11"/>
  <c r="AQ42" i="11"/>
  <c r="AX42" i="11" s="1"/>
  <c r="BD42" i="11" s="1"/>
  <c r="AQ43" i="11"/>
  <c r="AX43" i="11" s="1"/>
  <c r="BD43" i="11" s="1"/>
  <c r="AQ44" i="11"/>
  <c r="AQ45" i="11"/>
  <c r="AQ46" i="11"/>
  <c r="AQ47" i="11"/>
  <c r="AQ48" i="11"/>
  <c r="BH49" i="11"/>
  <c r="BH41" i="11"/>
  <c r="BH42" i="11"/>
  <c r="BH43" i="11"/>
  <c r="BH44" i="11"/>
  <c r="BH45" i="11"/>
  <c r="BH46" i="11"/>
  <c r="BH47" i="11"/>
  <c r="AX47" i="11" s="1"/>
  <c r="BD47" i="11" s="1"/>
  <c r="BH48" i="11"/>
  <c r="AX48" i="11" s="1"/>
  <c r="BD48" i="11" s="1"/>
  <c r="AX49" i="11"/>
  <c r="BD49" i="11" s="1"/>
  <c r="AQ28" i="11"/>
  <c r="BH28" i="11"/>
  <c r="BG28" i="11"/>
  <c r="BG19" i="11"/>
  <c r="AN48" i="9"/>
  <c r="AN45" i="9"/>
  <c r="AN46" i="9"/>
  <c r="BD48" i="9"/>
  <c r="AV48" i="9" s="1"/>
  <c r="BD44" i="9"/>
  <c r="AN44" i="9" s="1"/>
  <c r="BD45" i="9"/>
  <c r="BD46" i="9"/>
  <c r="BD47" i="9"/>
  <c r="AN47" i="9" s="1"/>
  <c r="BD43" i="9"/>
  <c r="AN43" i="9" s="1"/>
  <c r="BE44" i="9"/>
  <c r="BE45" i="9"/>
  <c r="BE46" i="9"/>
  <c r="BE47" i="9"/>
  <c r="BE48" i="9"/>
  <c r="BE43" i="9"/>
  <c r="AQ20" i="11"/>
  <c r="AQ21" i="11"/>
  <c r="AQ22" i="11"/>
  <c r="AQ23" i="11"/>
  <c r="AQ24" i="11"/>
  <c r="AQ25" i="11"/>
  <c r="AQ26" i="11"/>
  <c r="AQ27" i="11"/>
  <c r="AX46" i="11"/>
  <c r="BD46" i="11" s="1"/>
  <c r="BK150" i="12" l="1"/>
  <c r="BM150" i="12" s="1"/>
  <c r="AX71" i="11"/>
  <c r="BD71" i="11" s="1"/>
  <c r="AX69" i="11"/>
  <c r="BD69" i="11" s="1"/>
  <c r="AX67" i="11"/>
  <c r="BD67" i="11" s="1"/>
  <c r="AX65" i="11"/>
  <c r="BD65" i="11" s="1"/>
  <c r="AX72" i="11"/>
  <c r="BD72" i="11" s="1"/>
  <c r="AX70" i="11"/>
  <c r="BD70" i="11" s="1"/>
  <c r="AX68" i="11"/>
  <c r="BD68" i="11" s="1"/>
  <c r="AX66" i="11"/>
  <c r="BD66" i="11" s="1"/>
  <c r="AX64" i="11"/>
  <c r="BD64" i="11" s="1"/>
  <c r="AX41" i="11"/>
  <c r="BD41" i="11" s="1"/>
  <c r="AX44" i="11"/>
  <c r="BD44" i="11" s="1"/>
  <c r="AX45" i="11"/>
  <c r="BD45" i="11" s="1"/>
  <c r="BG20" i="11"/>
  <c r="BH20" i="11"/>
  <c r="BG21" i="11"/>
  <c r="BH21" i="11"/>
  <c r="BG22" i="11"/>
  <c r="BH22" i="11"/>
  <c r="BG23" i="11"/>
  <c r="BH23" i="11"/>
  <c r="AX23" i="11" s="1"/>
  <c r="BD23" i="11" s="1"/>
  <c r="BG24" i="11"/>
  <c r="AX24" i="11" s="1"/>
  <c r="BD24" i="11" s="1"/>
  <c r="BH24" i="11"/>
  <c r="BG25" i="11"/>
  <c r="BH25" i="11"/>
  <c r="BG26" i="11"/>
  <c r="BH26" i="11"/>
  <c r="BG27" i="11"/>
  <c r="BH27" i="11"/>
  <c r="AX25" i="11"/>
  <c r="BD25" i="11" s="1"/>
  <c r="AX22" i="11"/>
  <c r="BD22" i="11" s="1"/>
  <c r="AN62" i="10"/>
  <c r="AV62" i="10" s="1"/>
  <c r="BB62" i="10" s="1"/>
  <c r="AN63" i="10"/>
  <c r="AV63" i="10"/>
  <c r="BB63" i="10" s="1"/>
  <c r="AN64" i="10"/>
  <c r="AV64" i="10"/>
  <c r="BB64" i="10" s="1"/>
  <c r="AN65" i="10"/>
  <c r="AV65" i="10"/>
  <c r="BB65" i="10"/>
  <c r="AN66" i="10"/>
  <c r="AV66" i="10" s="1"/>
  <c r="BB66" i="10" s="1"/>
  <c r="AN67" i="10"/>
  <c r="AV67" i="10"/>
  <c r="BB67" i="10" s="1"/>
  <c r="AN68" i="10"/>
  <c r="AV68" i="10" s="1"/>
  <c r="BB68" i="10" s="1"/>
  <c r="AN69" i="10"/>
  <c r="AV69" i="10"/>
  <c r="BB69" i="10" s="1"/>
  <c r="AN70" i="10"/>
  <c r="AV70" i="10" s="1"/>
  <c r="BB70" i="10" s="1"/>
  <c r="AN71" i="10"/>
  <c r="AV71" i="10"/>
  <c r="BB71" i="10" s="1"/>
  <c r="AN41" i="10"/>
  <c r="AV41" i="10" s="1"/>
  <c r="BB41" i="10" s="1"/>
  <c r="AN42" i="10"/>
  <c r="AV42" i="10"/>
  <c r="BB42" i="10" s="1"/>
  <c r="AN43" i="10"/>
  <c r="AV43" i="10" s="1"/>
  <c r="BB43" i="10" s="1"/>
  <c r="AN44" i="10"/>
  <c r="AV44" i="10"/>
  <c r="BB44" i="10" s="1"/>
  <c r="AN45" i="10"/>
  <c r="AV45" i="10" s="1"/>
  <c r="BB45" i="10" s="1"/>
  <c r="AN46" i="10"/>
  <c r="AV46" i="10"/>
  <c r="BB46" i="10" s="1"/>
  <c r="AN47" i="10"/>
  <c r="AV47" i="10"/>
  <c r="BB47" i="10" s="1"/>
  <c r="AN48" i="10"/>
  <c r="AV48" i="10"/>
  <c r="BB48" i="10" s="1"/>
  <c r="AN49" i="10"/>
  <c r="AV49" i="10" s="1"/>
  <c r="BB49" i="10" s="1"/>
  <c r="AN61" i="10"/>
  <c r="AN40" i="10"/>
  <c r="AN20" i="10"/>
  <c r="AV20" i="10" s="1"/>
  <c r="BB20" i="10" s="1"/>
  <c r="AN21" i="10"/>
  <c r="AV21" i="10" s="1"/>
  <c r="BB21" i="10" s="1"/>
  <c r="AN22" i="10"/>
  <c r="AV22" i="10" s="1"/>
  <c r="BB22" i="10" s="1"/>
  <c r="AN23" i="10"/>
  <c r="AV23" i="10"/>
  <c r="BB23" i="10" s="1"/>
  <c r="AN24" i="10"/>
  <c r="AV24" i="10" s="1"/>
  <c r="BB24" i="10" s="1"/>
  <c r="AN25" i="10"/>
  <c r="AV25" i="10" s="1"/>
  <c r="BB25" i="10" s="1"/>
  <c r="AN26" i="10"/>
  <c r="AV26" i="10" s="1"/>
  <c r="BB26" i="10" s="1"/>
  <c r="AN27" i="10"/>
  <c r="AN28" i="10"/>
  <c r="AF7" i="10"/>
  <c r="AF6" i="10"/>
  <c r="AF5" i="10"/>
  <c r="AN19" i="10"/>
  <c r="AJ123" i="9" l="1"/>
  <c r="AJ122" i="9"/>
  <c r="BD116" i="9"/>
  <c r="AN116" i="9" s="1"/>
  <c r="AU116" i="9"/>
  <c r="AS116" i="9"/>
  <c r="BD115" i="9"/>
  <c r="AN115" i="9" s="1"/>
  <c r="AU115" i="9"/>
  <c r="BD114" i="9"/>
  <c r="AM114" i="9" s="1"/>
  <c r="BD108" i="9"/>
  <c r="AL108" i="9" s="1"/>
  <c r="AT108" i="9" s="1"/>
  <c r="AZ108" i="9" s="1"/>
  <c r="BD102" i="9"/>
  <c r="AL102" i="9" s="1"/>
  <c r="BD96" i="9"/>
  <c r="AN96" i="9" s="1"/>
  <c r="AN90" i="9"/>
  <c r="AN84" i="9"/>
  <c r="BD72" i="9"/>
  <c r="AN72" i="9" s="1"/>
  <c r="AN66" i="9"/>
  <c r="BD60" i="9"/>
  <c r="AN60" i="9" s="1"/>
  <c r="AN54" i="9"/>
  <c r="BE25" i="9"/>
  <c r="BD25" i="9"/>
  <c r="AN102" i="9" l="1"/>
  <c r="AK115" i="9"/>
  <c r="AN114" i="9"/>
  <c r="AK114" i="9"/>
  <c r="AN108" i="9"/>
  <c r="AL96" i="9"/>
  <c r="AL60" i="9"/>
  <c r="BF25" i="9"/>
  <c r="AO25" i="9" s="1"/>
  <c r="AM37" i="9"/>
  <c r="AN37" i="9"/>
  <c r="AL37" i="9"/>
  <c r="AK37" i="9"/>
  <c r="AJ37" i="9"/>
  <c r="AV30" i="9"/>
  <c r="BB30" i="9" s="1"/>
  <c r="AU30" i="9"/>
  <c r="BA30" i="9" s="1"/>
  <c r="AV29" i="9"/>
  <c r="BB29" i="9" s="1"/>
  <c r="AU29" i="9"/>
  <c r="BA29" i="9" s="1"/>
  <c r="AV28" i="9"/>
  <c r="BB28" i="9" s="1"/>
  <c r="AU28" i="9"/>
  <c r="BA28" i="9" s="1"/>
  <c r="AV27" i="9"/>
  <c r="BB27" i="9" s="1"/>
  <c r="AU27" i="9"/>
  <c r="BA27" i="9" s="1"/>
  <c r="Y25" i="9"/>
  <c r="AV25" i="9" l="1"/>
  <c r="BB25" i="9" s="1"/>
  <c r="AL61" i="8"/>
  <c r="AL62" i="8"/>
  <c r="AL63" i="8"/>
  <c r="AL64" i="8"/>
  <c r="AL65" i="8"/>
  <c r="AL66" i="8"/>
  <c r="AL67" i="8"/>
  <c r="AL68" i="8"/>
  <c r="AL69" i="8"/>
  <c r="AL70" i="8"/>
  <c r="AL71" i="8"/>
  <c r="AL72" i="8"/>
  <c r="AL73" i="8"/>
  <c r="AL74" i="8"/>
  <c r="AL75" i="8"/>
  <c r="AL76" i="8"/>
  <c r="AL77" i="8"/>
  <c r="AL78" i="8"/>
  <c r="AL79" i="8"/>
  <c r="AL60" i="8"/>
  <c r="AA80" i="8"/>
  <c r="V60" i="8"/>
  <c r="AN52" i="8"/>
  <c r="AN53" i="8"/>
  <c r="AN54" i="8"/>
  <c r="AN55" i="8"/>
  <c r="AI52" i="8"/>
  <c r="AJ52" i="8"/>
  <c r="AK52" i="8"/>
  <c r="AI53" i="8"/>
  <c r="AJ53" i="8"/>
  <c r="AK53" i="8"/>
  <c r="AI54" i="8"/>
  <c r="AJ54" i="8"/>
  <c r="AK54" i="8"/>
  <c r="AI55" i="8"/>
  <c r="AJ55" i="8"/>
  <c r="AK55" i="8"/>
  <c r="AK51" i="8"/>
  <c r="AN51" i="8"/>
  <c r="AJ51" i="8"/>
  <c r="AI51" i="8"/>
  <c r="AN17" i="8"/>
  <c r="AN18" i="8"/>
  <c r="AN16" i="8"/>
  <c r="AJ17" i="8"/>
  <c r="AJ18" i="8"/>
  <c r="AJ16" i="8"/>
  <c r="AI17" i="8"/>
  <c r="AI18" i="8"/>
  <c r="AI16" i="8"/>
  <c r="AI28" i="7"/>
  <c r="AW60" i="8" l="1"/>
  <c r="BD60" i="8" s="1"/>
  <c r="AR60" i="8"/>
  <c r="BB89" i="2"/>
  <c r="BB90" i="2"/>
  <c r="BB92" i="2"/>
  <c r="BB93" i="2"/>
  <c r="BB94" i="2"/>
  <c r="BB95" i="2"/>
  <c r="BB96" i="2"/>
  <c r="BB97" i="2"/>
  <c r="BB98" i="2"/>
  <c r="BB99" i="2"/>
  <c r="BB100" i="2"/>
  <c r="BB101" i="2"/>
  <c r="BB102" i="2"/>
  <c r="BB103" i="2"/>
  <c r="BB104" i="2"/>
  <c r="BB105" i="2"/>
  <c r="BB106" i="2"/>
  <c r="BB107" i="2"/>
  <c r="BB108" i="2"/>
  <c r="BB109" i="2"/>
  <c r="BB110" i="2"/>
  <c r="BB111" i="2"/>
  <c r="BB112" i="2"/>
  <c r="BB113" i="2"/>
  <c r="BB114" i="2"/>
  <c r="BB115" i="2"/>
  <c r="BB116" i="2"/>
  <c r="BB117" i="2"/>
  <c r="BB118" i="2"/>
  <c r="BB119" i="2"/>
  <c r="BB120" i="2"/>
  <c r="BB121" i="2"/>
  <c r="BB122" i="2"/>
  <c r="BB123" i="2"/>
  <c r="BB124" i="2"/>
  <c r="BB125" i="2"/>
  <c r="BB126" i="2"/>
  <c r="BB127" i="2"/>
  <c r="BB128" i="2"/>
  <c r="BB129" i="2"/>
  <c r="BB130" i="2"/>
  <c r="BB131" i="2"/>
  <c r="BB132" i="2"/>
  <c r="BB133" i="2"/>
  <c r="BB134" i="2"/>
  <c r="BB135" i="2"/>
  <c r="BB136" i="2"/>
  <c r="BB137" i="2"/>
  <c r="BB138" i="2"/>
  <c r="BB139" i="2"/>
  <c r="BB140" i="2"/>
  <c r="AV89" i="2"/>
  <c r="AV90" i="2"/>
  <c r="AV92" i="2"/>
  <c r="AV93" i="2"/>
  <c r="AV94" i="2"/>
  <c r="AV95" i="2"/>
  <c r="AV96" i="2"/>
  <c r="AV97" i="2"/>
  <c r="AV98" i="2"/>
  <c r="AV99" i="2"/>
  <c r="AV100" i="2"/>
  <c r="AV101" i="2"/>
  <c r="AV102" i="2"/>
  <c r="AV103" i="2"/>
  <c r="AV104" i="2"/>
  <c r="AV105" i="2"/>
  <c r="AV106" i="2"/>
  <c r="AV107" i="2"/>
  <c r="AV108" i="2"/>
  <c r="AV109" i="2"/>
  <c r="AV110" i="2"/>
  <c r="AV111" i="2"/>
  <c r="AV112" i="2"/>
  <c r="AV113" i="2"/>
  <c r="AV114" i="2"/>
  <c r="AV115" i="2"/>
  <c r="AV116" i="2"/>
  <c r="AV117" i="2"/>
  <c r="AV118" i="2"/>
  <c r="AV119" i="2"/>
  <c r="AV120" i="2"/>
  <c r="AV121" i="2"/>
  <c r="AV122" i="2"/>
  <c r="AV123" i="2"/>
  <c r="AV124" i="2"/>
  <c r="AV125" i="2"/>
  <c r="AV126" i="2"/>
  <c r="AV127" i="2"/>
  <c r="AV128" i="2"/>
  <c r="AV129" i="2"/>
  <c r="AV130" i="2"/>
  <c r="AV131" i="2"/>
  <c r="AV132" i="2"/>
  <c r="AV133" i="2"/>
  <c r="AV134" i="2"/>
  <c r="AV135" i="2"/>
  <c r="AV136" i="2"/>
  <c r="AV137" i="2"/>
  <c r="AV138" i="2"/>
  <c r="AV139" i="2"/>
  <c r="AV140" i="2"/>
  <c r="AT80" i="2"/>
  <c r="AZ80" i="2" s="1"/>
  <c r="AS80" i="2"/>
  <c r="AY80" i="2" s="1"/>
  <c r="AT79" i="2"/>
  <c r="AZ79" i="2" s="1"/>
  <c r="AS79" i="2"/>
  <c r="AY79" i="2" s="1"/>
  <c r="AT78" i="2"/>
  <c r="AZ78" i="2" s="1"/>
  <c r="AS78" i="2"/>
  <c r="AY78" i="2" s="1"/>
  <c r="AT77" i="2"/>
  <c r="AZ77" i="2" s="1"/>
  <c r="AS77" i="2"/>
  <c r="AY77" i="2" s="1"/>
  <c r="AT76" i="2"/>
  <c r="AZ76" i="2" s="1"/>
  <c r="AS76" i="2"/>
  <c r="AY76" i="2" s="1"/>
  <c r="AT75" i="2"/>
  <c r="AZ75" i="2" s="1"/>
  <c r="AS75" i="2"/>
  <c r="AY75" i="2" s="1"/>
  <c r="AT74" i="2"/>
  <c r="AZ74" i="2" s="1"/>
  <c r="AS74" i="2"/>
  <c r="AY74" i="2" s="1"/>
  <c r="AT73" i="2"/>
  <c r="AZ73" i="2" s="1"/>
  <c r="AS73" i="2"/>
  <c r="AY73" i="2" s="1"/>
  <c r="AT72" i="2"/>
  <c r="AZ72" i="2" s="1"/>
  <c r="AS72" i="2"/>
  <c r="AY72" i="2" s="1"/>
  <c r="AT71" i="2"/>
  <c r="AZ71" i="2" s="1"/>
  <c r="AS71" i="2"/>
  <c r="AY71" i="2" s="1"/>
  <c r="AT70" i="2"/>
  <c r="AZ70" i="2" s="1"/>
  <c r="AS70" i="2"/>
  <c r="AY70" i="2" s="1"/>
  <c r="AT69" i="2"/>
  <c r="AZ69" i="2" s="1"/>
  <c r="AS69" i="2"/>
  <c r="AY69" i="2" s="1"/>
  <c r="AT68" i="2"/>
  <c r="AZ68" i="2" s="1"/>
  <c r="AS68" i="2"/>
  <c r="AY68" i="2" s="1"/>
  <c r="AT67" i="2"/>
  <c r="AZ67" i="2" s="1"/>
  <c r="AS67" i="2"/>
  <c r="AY67" i="2" s="1"/>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86" i="2"/>
  <c r="AO87" i="2"/>
  <c r="AO88" i="2"/>
  <c r="AO89" i="2"/>
  <c r="AO90" i="2"/>
  <c r="AO91" i="2"/>
  <c r="AV91" i="2" s="1"/>
  <c r="BB91" i="2" s="1"/>
  <c r="AO92" i="2"/>
  <c r="AO93" i="2"/>
  <c r="AO94" i="2"/>
  <c r="AO95" i="2"/>
  <c r="AO96" i="2"/>
  <c r="AO97" i="2"/>
  <c r="AO98" i="2"/>
  <c r="AO99" i="2"/>
  <c r="AO100" i="2"/>
  <c r="AO101" i="2"/>
  <c r="AO102" i="2"/>
  <c r="AO103" i="2"/>
  <c r="AO104" i="2"/>
  <c r="AO105" i="2"/>
  <c r="AO106" i="2"/>
  <c r="AO107" i="2"/>
  <c r="AO108" i="2"/>
  <c r="AO109" i="2"/>
  <c r="AO110" i="2"/>
  <c r="AO111" i="2"/>
  <c r="AO112" i="2"/>
  <c r="AO113" i="2"/>
  <c r="AO114" i="2"/>
  <c r="AO85" i="2"/>
  <c r="AK80" i="2"/>
  <c r="AK67" i="2"/>
  <c r="AK68" i="2"/>
  <c r="AK69" i="2"/>
  <c r="AK70" i="2"/>
  <c r="AK71" i="2"/>
  <c r="AK72" i="2"/>
  <c r="AK73" i="2"/>
  <c r="AK74" i="2"/>
  <c r="AK75" i="2"/>
  <c r="AK76" i="2"/>
  <c r="AK77" i="2"/>
  <c r="AK78" i="2"/>
  <c r="AK79" i="2"/>
  <c r="AK66" i="2"/>
  <c r="AI67" i="2"/>
  <c r="AI68" i="2"/>
  <c r="AI69" i="2"/>
  <c r="AI70" i="2"/>
  <c r="AI71" i="2"/>
  <c r="AI72" i="2"/>
  <c r="AI73" i="2"/>
  <c r="AI74" i="2"/>
  <c r="AI75" i="2"/>
  <c r="AI76" i="2"/>
  <c r="AI77" i="2"/>
  <c r="AI78" i="2"/>
  <c r="AI79" i="2"/>
  <c r="AI80" i="2"/>
  <c r="AI66" i="2"/>
  <c r="AH67" i="2"/>
  <c r="AH68" i="2"/>
  <c r="AH69" i="2"/>
  <c r="AH70" i="2"/>
  <c r="AH71" i="2"/>
  <c r="AH72" i="2"/>
  <c r="AH73" i="2"/>
  <c r="AH74" i="2"/>
  <c r="AH75" i="2"/>
  <c r="AH76" i="2"/>
  <c r="AH77" i="2"/>
  <c r="AH78" i="2"/>
  <c r="AH79" i="2"/>
  <c r="AH80" i="2"/>
  <c r="AH66" i="2"/>
  <c r="AM66" i="2" s="1"/>
  <c r="AG67" i="2"/>
  <c r="AG68" i="2"/>
  <c r="AG69" i="2"/>
  <c r="AG70" i="2"/>
  <c r="AG71" i="2"/>
  <c r="AG72" i="2"/>
  <c r="AG73" i="2"/>
  <c r="AG74" i="2"/>
  <c r="AG75" i="2"/>
  <c r="AG76" i="2"/>
  <c r="AG77" i="2"/>
  <c r="AG78" i="2"/>
  <c r="AG79" i="2"/>
  <c r="AG80" i="2"/>
  <c r="AG66" i="2"/>
  <c r="AL66" i="2" s="1"/>
  <c r="AK48" i="2"/>
  <c r="AK49" i="2"/>
  <c r="AK50" i="2"/>
  <c r="AK51" i="2"/>
  <c r="AK52" i="2"/>
  <c r="AK53" i="2"/>
  <c r="AK54" i="2"/>
  <c r="AK55" i="2"/>
  <c r="AK56" i="2"/>
  <c r="AK57" i="2"/>
  <c r="AK58" i="2"/>
  <c r="AK59" i="2"/>
  <c r="AK60" i="2"/>
  <c r="AK61" i="2"/>
  <c r="AK47" i="2"/>
  <c r="AI48" i="2"/>
  <c r="AI49" i="2"/>
  <c r="AI50" i="2"/>
  <c r="AI51" i="2"/>
  <c r="AI52" i="2"/>
  <c r="AI53" i="2"/>
  <c r="AI54" i="2"/>
  <c r="AI55" i="2"/>
  <c r="AI56" i="2"/>
  <c r="AI57" i="2"/>
  <c r="AI58" i="2"/>
  <c r="AI59" i="2"/>
  <c r="AI60" i="2"/>
  <c r="AI61" i="2"/>
  <c r="AI47" i="2"/>
  <c r="AH48" i="2"/>
  <c r="AH49" i="2"/>
  <c r="AH50" i="2"/>
  <c r="AH51" i="2"/>
  <c r="AH52" i="2"/>
  <c r="AH53" i="2"/>
  <c r="AH54" i="2"/>
  <c r="AH55" i="2"/>
  <c r="AH56" i="2"/>
  <c r="AH57" i="2"/>
  <c r="AH58" i="2"/>
  <c r="AH59" i="2"/>
  <c r="AH60" i="2"/>
  <c r="AH61" i="2"/>
  <c r="AH47" i="2"/>
  <c r="AG48" i="2"/>
  <c r="AG49" i="2"/>
  <c r="AG50" i="2"/>
  <c r="AG51" i="2"/>
  <c r="AG52" i="2"/>
  <c r="AG53" i="2"/>
  <c r="AG54" i="2"/>
  <c r="AG55" i="2"/>
  <c r="AG56" i="2"/>
  <c r="AG57" i="2"/>
  <c r="AG58" i="2"/>
  <c r="AG59" i="2"/>
  <c r="AG60" i="2"/>
  <c r="AG61" i="2"/>
  <c r="AG47" i="2"/>
  <c r="S14" i="2" l="1"/>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AK14" i="2" l="1"/>
  <c r="AP14" i="2" s="1"/>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13" i="2"/>
  <c r="AI14" i="2"/>
  <c r="AN14" i="2" s="1"/>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13" i="2"/>
  <c r="S13" i="2" l="1"/>
  <c r="AH13" i="2" l="1"/>
  <c r="AH42" i="2"/>
  <c r="AH14" i="2"/>
  <c r="AM14" i="2" s="1"/>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G42" i="2"/>
  <c r="AG14" i="2"/>
  <c r="AL14" i="2" s="1"/>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13" i="2"/>
  <c r="G5" i="5" l="1"/>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 i="5"/>
  <c r="G3" i="5"/>
  <c r="U26" i="15" l="1"/>
  <c r="Z26" i="15" s="1"/>
  <c r="AX26" i="15" s="1"/>
  <c r="BD26" i="15" s="1"/>
  <c r="T13" i="14"/>
  <c r="BG13" i="14" s="1"/>
  <c r="P289" i="12"/>
  <c r="BK289" i="12" s="1"/>
  <c r="BM289" i="12" s="1"/>
  <c r="T40" i="11" l="1"/>
  <c r="L63" i="11"/>
  <c r="BH63" i="11" s="1"/>
  <c r="I63" i="11"/>
  <c r="J63" i="11"/>
  <c r="T28" i="11"/>
  <c r="BI63" i="11" l="1"/>
  <c r="AQ63" i="11" s="1"/>
  <c r="T19" i="10"/>
  <c r="Y19" i="10" s="1"/>
  <c r="AV19" i="10" s="1"/>
  <c r="BB19" i="10" s="1"/>
  <c r="P123" i="9"/>
  <c r="U123" i="9" s="1"/>
  <c r="AR123" i="9" s="1"/>
  <c r="AX123" i="9" s="1"/>
  <c r="P122" i="9"/>
  <c r="U122" i="9" s="1"/>
  <c r="AR122" i="9" s="1"/>
  <c r="AX122" i="9" s="1"/>
  <c r="Y114" i="9"/>
  <c r="AV114" i="9" s="1"/>
  <c r="BB114" i="9" s="1"/>
  <c r="V115" i="9"/>
  <c r="AS115" i="9" s="1"/>
  <c r="AY115" i="9" s="1"/>
  <c r="V114" i="9"/>
  <c r="AS114" i="9" s="1"/>
  <c r="AY114" i="9" s="1"/>
  <c r="T108" i="9" l="1"/>
  <c r="Y108" i="9" s="1"/>
  <c r="AV108" i="9" s="1"/>
  <c r="BB108" i="9" s="1"/>
  <c r="Y102" i="9"/>
  <c r="AV102" i="9" s="1"/>
  <c r="BB102" i="9" s="1"/>
  <c r="W96" i="9"/>
  <c r="AT96" i="9" s="1"/>
  <c r="AZ96" i="9" s="1"/>
  <c r="Y90" i="9"/>
  <c r="AV90" i="9" s="1"/>
  <c r="BB90" i="9" s="1"/>
  <c r="Y54" i="9" l="1"/>
  <c r="AV54" i="9" s="1"/>
  <c r="BB54" i="9" s="1"/>
  <c r="N44" i="9" l="1"/>
  <c r="O44" i="9" s="1"/>
  <c r="N45" i="9"/>
  <c r="O45" i="9" s="1"/>
  <c r="N46" i="9"/>
  <c r="O46" i="9"/>
  <c r="N47" i="9"/>
  <c r="O47" i="9"/>
  <c r="N48" i="9"/>
  <c r="O48" i="9" s="1"/>
  <c r="N43" i="9"/>
  <c r="M47" i="9" l="1"/>
  <c r="Y47" i="9" s="1"/>
  <c r="AV47" i="9" s="1"/>
  <c r="BB47" i="9" s="1"/>
  <c r="M45" i="9"/>
  <c r="Y45" i="9" s="1"/>
  <c r="AV45" i="9" s="1"/>
  <c r="BB45" i="9" s="1"/>
  <c r="M46" i="9"/>
  <c r="Y46" i="9" s="1"/>
  <c r="AV46" i="9" s="1"/>
  <c r="BB46" i="9" s="1"/>
  <c r="M44" i="9"/>
  <c r="Y44" i="9" s="1"/>
  <c r="AV44" i="9" s="1"/>
  <c r="BB44" i="9" s="1"/>
  <c r="O43" i="9"/>
  <c r="M43" i="9" s="1"/>
  <c r="M48" i="9"/>
  <c r="Y48" i="9" s="1"/>
  <c r="BB48" i="9" s="1"/>
  <c r="A4" i="9"/>
  <c r="H76" i="8"/>
  <c r="V61" i="8"/>
  <c r="V62" i="8"/>
  <c r="V63" i="8"/>
  <c r="AR63" i="8" l="1"/>
  <c r="AW63" i="8"/>
  <c r="BD63" i="8" s="1"/>
  <c r="AR62" i="8"/>
  <c r="AW62" i="8"/>
  <c r="BD62" i="8" s="1"/>
  <c r="AW61" i="8"/>
  <c r="BD61" i="8" s="1"/>
  <c r="AR61" i="8"/>
  <c r="Y43" i="9"/>
  <c r="W60" i="8"/>
  <c r="V79" i="8"/>
  <c r="V76" i="8"/>
  <c r="V64" i="8"/>
  <c r="V65" i="8"/>
  <c r="V66" i="8"/>
  <c r="V67" i="8"/>
  <c r="V68" i="8"/>
  <c r="V69" i="8"/>
  <c r="V70" i="8"/>
  <c r="V71" i="8"/>
  <c r="V72" i="8"/>
  <c r="V73" i="8"/>
  <c r="V74" i="8"/>
  <c r="V75" i="8"/>
  <c r="V77" i="8"/>
  <c r="V78" i="8"/>
  <c r="H64" i="8"/>
  <c r="H68" i="8"/>
  <c r="H72" i="8"/>
  <c r="H60" i="8"/>
  <c r="X53" i="8"/>
  <c r="AY53" i="8" s="1"/>
  <c r="BF53" i="8" s="1"/>
  <c r="X54" i="8"/>
  <c r="AY54" i="8" s="1"/>
  <c r="BF54" i="8" s="1"/>
  <c r="X55" i="8"/>
  <c r="AY55" i="8" s="1"/>
  <c r="BF55" i="8" s="1"/>
  <c r="S52" i="8"/>
  <c r="AT52" i="8" s="1"/>
  <c r="BA52" i="8" s="1"/>
  <c r="T52" i="8"/>
  <c r="AU52" i="8" s="1"/>
  <c r="BB52" i="8" s="1"/>
  <c r="U52" i="8"/>
  <c r="AV52" i="8" s="1"/>
  <c r="BC52" i="8" s="1"/>
  <c r="S53" i="8"/>
  <c r="AT53" i="8" s="1"/>
  <c r="BA53" i="8" s="1"/>
  <c r="T53" i="8"/>
  <c r="AU53" i="8" s="1"/>
  <c r="BB53" i="8" s="1"/>
  <c r="U53" i="8"/>
  <c r="AV53" i="8" s="1"/>
  <c r="BC53" i="8" s="1"/>
  <c r="S54" i="8"/>
  <c r="AT54" i="8" s="1"/>
  <c r="BA54" i="8" s="1"/>
  <c r="T54" i="8"/>
  <c r="AU54" i="8" s="1"/>
  <c r="BB54" i="8" s="1"/>
  <c r="U54" i="8"/>
  <c r="AV54" i="8" s="1"/>
  <c r="BC54" i="8" s="1"/>
  <c r="S55" i="8"/>
  <c r="AT55" i="8" s="1"/>
  <c r="BA55" i="8" s="1"/>
  <c r="T55" i="8"/>
  <c r="AU55" i="8" s="1"/>
  <c r="BB55" i="8" s="1"/>
  <c r="U55" i="8"/>
  <c r="AV55" i="8" s="1"/>
  <c r="BC55" i="8" s="1"/>
  <c r="S16" i="8"/>
  <c r="AT16" i="8" s="1"/>
  <c r="BA16" i="8" s="1"/>
  <c r="AW78" i="8" l="1"/>
  <c r="BD78" i="8" s="1"/>
  <c r="AR78" i="8"/>
  <c r="AW73" i="8"/>
  <c r="BD73" i="8" s="1"/>
  <c r="AR73" i="8"/>
  <c r="AW69" i="8"/>
  <c r="BD69" i="8" s="1"/>
  <c r="AR69" i="8"/>
  <c r="AW65" i="8"/>
  <c r="BD65" i="8" s="1"/>
  <c r="AR65" i="8"/>
  <c r="AR77" i="8"/>
  <c r="AW77" i="8"/>
  <c r="BD77" i="8" s="1"/>
  <c r="AW72" i="8"/>
  <c r="BD72" i="8" s="1"/>
  <c r="AR72" i="8"/>
  <c r="AW68" i="8"/>
  <c r="BD68" i="8" s="1"/>
  <c r="AR68" i="8"/>
  <c r="AW64" i="8"/>
  <c r="BD64" i="8" s="1"/>
  <c r="AR64" i="8"/>
  <c r="AR75" i="8"/>
  <c r="AW75" i="8"/>
  <c r="BD75" i="8" s="1"/>
  <c r="AR71" i="8"/>
  <c r="AW71" i="8"/>
  <c r="BD71" i="8" s="1"/>
  <c r="AR67" i="8"/>
  <c r="AW67" i="8"/>
  <c r="BD67" i="8" s="1"/>
  <c r="AR76" i="8"/>
  <c r="AW76" i="8"/>
  <c r="BD76" i="8" s="1"/>
  <c r="AR74" i="8"/>
  <c r="AW74" i="8"/>
  <c r="BD74" i="8" s="1"/>
  <c r="AW70" i="8"/>
  <c r="BD70" i="8" s="1"/>
  <c r="AR70" i="8"/>
  <c r="AW66" i="8"/>
  <c r="BD66" i="8" s="1"/>
  <c r="AR66" i="8"/>
  <c r="AR79" i="8"/>
  <c r="AW79" i="8"/>
  <c r="BD79" i="8" s="1"/>
  <c r="AM60" i="8"/>
  <c r="AX60" i="8" s="1"/>
  <c r="BE60" i="8" s="1"/>
  <c r="AV43" i="9"/>
  <c r="BB43" i="9" s="1"/>
  <c r="W68" i="8"/>
  <c r="AM68" i="8" s="1"/>
  <c r="AX68" i="8" s="1"/>
  <c r="BE68" i="8" s="1"/>
  <c r="W64" i="8"/>
  <c r="AM64" i="8" s="1"/>
  <c r="AX64" i="8" s="1"/>
  <c r="BE64" i="8" s="1"/>
  <c r="W76" i="8"/>
  <c r="AM76" i="8" s="1"/>
  <c r="AX76" i="8" s="1"/>
  <c r="BE76" i="8" s="1"/>
  <c r="W72" i="8"/>
  <c r="AM72" i="8" s="1"/>
  <c r="AX72" i="8" s="1"/>
  <c r="BE72" i="8" s="1"/>
  <c r="R28" i="7"/>
  <c r="SB56" i="5" l="1"/>
  <c r="SB57" i="5"/>
  <c r="SB58" i="5"/>
  <c r="SB59" i="5"/>
  <c r="SB60" i="5"/>
  <c r="SB61" i="5"/>
  <c r="SB62" i="5"/>
  <c r="SB63" i="5"/>
  <c r="SB64" i="5"/>
  <c r="SB65" i="5"/>
  <c r="SB66" i="5"/>
  <c r="SB67" i="5"/>
  <c r="SB68" i="5"/>
  <c r="SB69" i="5"/>
  <c r="SB70" i="5"/>
  <c r="SB71" i="5"/>
  <c r="SB72" i="5"/>
  <c r="SB73" i="5"/>
  <c r="SB74" i="5"/>
  <c r="SB75" i="5"/>
  <c r="SB76" i="5"/>
  <c r="SB77" i="5"/>
  <c r="SB55" i="5"/>
  <c r="RP65" i="5"/>
  <c r="RP66" i="5"/>
  <c r="RP67" i="5"/>
  <c r="RP68" i="5"/>
  <c r="RP69" i="5"/>
  <c r="RP70" i="5"/>
  <c r="RP71" i="5"/>
  <c r="RP72" i="5"/>
  <c r="RP73" i="5"/>
  <c r="RP74" i="5"/>
  <c r="RP75" i="5"/>
  <c r="RP76" i="5"/>
  <c r="RP77" i="5"/>
  <c r="RD67" i="5"/>
  <c r="RD68" i="5"/>
  <c r="RD69" i="5"/>
  <c r="RD70" i="5"/>
  <c r="RD71" i="5"/>
  <c r="RD72" i="5"/>
  <c r="RD73" i="5"/>
  <c r="RD74" i="5"/>
  <c r="RD75" i="5"/>
  <c r="RD76" i="5"/>
  <c r="RD77" i="5"/>
  <c r="QR77" i="5"/>
  <c r="QR67" i="5"/>
  <c r="QR68" i="5"/>
  <c r="QR69" i="5"/>
  <c r="QR70" i="5"/>
  <c r="QR71" i="5"/>
  <c r="QR72" i="5"/>
  <c r="QR73" i="5"/>
  <c r="QR74" i="5"/>
  <c r="QR75" i="5"/>
  <c r="QR76" i="5"/>
  <c r="QE56" i="5"/>
  <c r="QE57" i="5"/>
  <c r="QE58" i="5"/>
  <c r="QE59" i="5"/>
  <c r="QE60" i="5"/>
  <c r="QE61" i="5"/>
  <c r="QE62" i="5"/>
  <c r="QE63" i="5"/>
  <c r="QE64" i="5"/>
  <c r="QE65" i="5"/>
  <c r="QE66" i="5"/>
  <c r="QE67" i="5"/>
  <c r="QE68" i="5"/>
  <c r="QE69" i="5"/>
  <c r="QE70" i="5"/>
  <c r="QE71" i="5"/>
  <c r="QE72" i="5"/>
  <c r="QE73" i="5"/>
  <c r="QE74" i="5"/>
  <c r="QE75" i="5"/>
  <c r="QE76" i="5"/>
  <c r="QE77" i="5"/>
  <c r="QE55" i="5"/>
  <c r="PS65" i="5"/>
  <c r="PS66" i="5"/>
  <c r="PS67" i="5"/>
  <c r="PS68" i="5"/>
  <c r="PS69" i="5"/>
  <c r="PS70" i="5"/>
  <c r="PS71" i="5"/>
  <c r="PS72" i="5"/>
  <c r="PS73" i="5"/>
  <c r="PS74" i="5"/>
  <c r="PS75" i="5"/>
  <c r="PS76" i="5"/>
  <c r="PS77" i="5"/>
  <c r="PG67" i="5"/>
  <c r="PG68" i="5"/>
  <c r="PG69" i="5"/>
  <c r="PG70" i="5"/>
  <c r="PG71" i="5"/>
  <c r="PG72" i="5"/>
  <c r="PG73" i="5"/>
  <c r="PG74" i="5"/>
  <c r="PG75" i="5"/>
  <c r="PG76" i="5"/>
  <c r="PG77" i="5"/>
  <c r="OU67" i="5"/>
  <c r="OU68" i="5"/>
  <c r="OU69" i="5"/>
  <c r="OU70" i="5"/>
  <c r="OU71" i="5"/>
  <c r="OU72" i="5"/>
  <c r="OU73" i="5"/>
  <c r="OU74" i="5"/>
  <c r="OU75" i="5"/>
  <c r="OU76" i="5"/>
  <c r="OU77" i="5"/>
  <c r="OG56" i="5"/>
  <c r="OG57" i="5"/>
  <c r="OG58" i="5"/>
  <c r="OG59" i="5"/>
  <c r="OG60" i="5"/>
  <c r="OG61" i="5"/>
  <c r="OG62" i="5"/>
  <c r="OG63" i="5"/>
  <c r="OG64" i="5"/>
  <c r="OG65" i="5"/>
  <c r="OG66" i="5"/>
  <c r="OG67" i="5"/>
  <c r="OG68" i="5"/>
  <c r="OG69" i="5"/>
  <c r="OG70" i="5"/>
  <c r="OG71" i="5"/>
  <c r="OG72" i="5"/>
  <c r="OG73" i="5"/>
  <c r="OG74" i="5"/>
  <c r="OG75" i="5"/>
  <c r="OG76" i="5"/>
  <c r="OG77" i="5"/>
  <c r="OG55" i="5"/>
  <c r="NU65" i="5"/>
  <c r="NU66" i="5"/>
  <c r="NU67" i="5"/>
  <c r="NU68" i="5"/>
  <c r="NU69" i="5"/>
  <c r="NU70" i="5"/>
  <c r="NU71" i="5"/>
  <c r="NU72" i="5"/>
  <c r="NU73" i="5"/>
  <c r="NU74" i="5"/>
  <c r="NU75" i="5"/>
  <c r="NU76" i="5"/>
  <c r="NU77" i="5"/>
  <c r="NI67" i="5"/>
  <c r="NI68" i="5"/>
  <c r="NI69" i="5"/>
  <c r="NI70" i="5"/>
  <c r="NI71" i="5"/>
  <c r="NI72" i="5"/>
  <c r="NI73" i="5"/>
  <c r="NI74" i="5"/>
  <c r="NI75" i="5"/>
  <c r="NI76" i="5"/>
  <c r="NI77" i="5"/>
  <c r="MW67" i="5"/>
  <c r="MW68" i="5"/>
  <c r="MW69" i="5"/>
  <c r="MW70" i="5"/>
  <c r="MW71" i="5"/>
  <c r="MW72" i="5"/>
  <c r="MW73" i="5"/>
  <c r="MW74" i="5"/>
  <c r="MW75" i="5"/>
  <c r="MW76" i="5"/>
  <c r="MW77" i="5"/>
  <c r="MJ56" i="5"/>
  <c r="MJ57" i="5"/>
  <c r="MJ58" i="5"/>
  <c r="MJ59" i="5"/>
  <c r="MJ60" i="5"/>
  <c r="MJ61" i="5"/>
  <c r="MJ62" i="5"/>
  <c r="MJ63" i="5"/>
  <c r="MJ64" i="5"/>
  <c r="MJ65" i="5"/>
  <c r="MJ66" i="5"/>
  <c r="MJ67" i="5"/>
  <c r="MJ68" i="5"/>
  <c r="MJ69" i="5"/>
  <c r="MJ70" i="5"/>
  <c r="MJ71" i="5"/>
  <c r="MJ72" i="5"/>
  <c r="MJ73" i="5"/>
  <c r="MJ74" i="5"/>
  <c r="MJ75" i="5"/>
  <c r="MJ76" i="5"/>
  <c r="MJ77" i="5"/>
  <c r="MJ55" i="5"/>
  <c r="LX65" i="5"/>
  <c r="LX66" i="5"/>
  <c r="LX67" i="5"/>
  <c r="LX68" i="5"/>
  <c r="LX69" i="5"/>
  <c r="LX70" i="5"/>
  <c r="LX71" i="5"/>
  <c r="LX72" i="5"/>
  <c r="LX73" i="5"/>
  <c r="LX74" i="5"/>
  <c r="LX75" i="5"/>
  <c r="LX76" i="5"/>
  <c r="LX77" i="5"/>
  <c r="LL67" i="5"/>
  <c r="LL68" i="5"/>
  <c r="LL69" i="5"/>
  <c r="LL70" i="5"/>
  <c r="LL71" i="5"/>
  <c r="LL72" i="5"/>
  <c r="LL73" i="5"/>
  <c r="LL74" i="5"/>
  <c r="LL75" i="5"/>
  <c r="LL76" i="5"/>
  <c r="LL77" i="5"/>
  <c r="KZ67" i="5"/>
  <c r="KZ68" i="5"/>
  <c r="KZ69" i="5"/>
  <c r="KZ70" i="5"/>
  <c r="KZ71" i="5"/>
  <c r="KZ72" i="5"/>
  <c r="KZ73" i="5"/>
  <c r="KZ74" i="5"/>
  <c r="KZ75" i="5"/>
  <c r="KZ76" i="5"/>
  <c r="KZ77" i="5"/>
  <c r="KM56" i="5"/>
  <c r="KM57" i="5"/>
  <c r="KM58" i="5"/>
  <c r="KM59" i="5"/>
  <c r="KM60" i="5"/>
  <c r="KM61" i="5"/>
  <c r="KM62" i="5"/>
  <c r="KM63" i="5"/>
  <c r="KM64" i="5"/>
  <c r="KM65" i="5"/>
  <c r="KM66" i="5"/>
  <c r="KM67" i="5"/>
  <c r="KM68" i="5"/>
  <c r="KM69" i="5"/>
  <c r="KM70" i="5"/>
  <c r="KM71" i="5"/>
  <c r="KM72" i="5"/>
  <c r="KM73" i="5"/>
  <c r="KM74" i="5"/>
  <c r="KM75" i="5"/>
  <c r="KM76" i="5"/>
  <c r="KM77" i="5"/>
  <c r="KM55" i="5"/>
  <c r="KA65" i="5"/>
  <c r="KA66" i="5"/>
  <c r="KA67" i="5"/>
  <c r="KA68" i="5"/>
  <c r="KA69" i="5"/>
  <c r="KA70" i="5"/>
  <c r="KA71" i="5"/>
  <c r="KA72" i="5"/>
  <c r="KA73" i="5"/>
  <c r="KA74" i="5"/>
  <c r="KA75" i="5"/>
  <c r="KA76" i="5"/>
  <c r="KA77" i="5"/>
  <c r="JO67" i="5"/>
  <c r="JO68" i="5"/>
  <c r="JO69" i="5"/>
  <c r="JO70" i="5"/>
  <c r="JO71" i="5"/>
  <c r="JO72" i="5"/>
  <c r="JO73" i="5"/>
  <c r="JO74" i="5"/>
  <c r="JO75" i="5"/>
  <c r="JO76" i="5"/>
  <c r="JO77" i="5"/>
  <c r="JC67" i="5"/>
  <c r="JC68" i="5"/>
  <c r="JC69" i="5"/>
  <c r="JC70" i="5"/>
  <c r="JC71" i="5"/>
  <c r="JC72" i="5"/>
  <c r="JC73" i="5"/>
  <c r="JC74" i="5"/>
  <c r="JC75" i="5"/>
  <c r="JC76" i="5"/>
  <c r="JC77" i="5"/>
  <c r="IP56" i="5" l="1"/>
  <c r="IP57" i="5"/>
  <c r="IP58" i="5"/>
  <c r="IP59" i="5"/>
  <c r="IP60" i="5"/>
  <c r="IP61" i="5"/>
  <c r="IP62" i="5"/>
  <c r="IP63" i="5"/>
  <c r="IP64" i="5"/>
  <c r="IP65" i="5"/>
  <c r="IP66" i="5"/>
  <c r="IP67" i="5"/>
  <c r="IP68" i="5"/>
  <c r="IP69" i="5"/>
  <c r="IP70" i="5"/>
  <c r="IP71" i="5"/>
  <c r="IP72" i="5"/>
  <c r="IP73" i="5"/>
  <c r="IP74" i="5"/>
  <c r="IP75" i="5"/>
  <c r="IP76" i="5"/>
  <c r="IP77" i="5"/>
  <c r="IP55" i="5"/>
  <c r="ID65" i="5"/>
  <c r="ID66" i="5"/>
  <c r="ID67" i="5"/>
  <c r="ID68" i="5"/>
  <c r="ID69" i="5"/>
  <c r="ID70" i="5"/>
  <c r="ID71" i="5"/>
  <c r="ID72" i="5"/>
  <c r="ID73" i="5"/>
  <c r="ID74" i="5"/>
  <c r="ID75" i="5"/>
  <c r="ID76" i="5"/>
  <c r="ID77" i="5"/>
  <c r="HR56" i="5"/>
  <c r="HR57" i="5"/>
  <c r="HR58" i="5"/>
  <c r="HR59" i="5"/>
  <c r="HR60" i="5"/>
  <c r="HR61" i="5"/>
  <c r="HR62" i="5"/>
  <c r="HR63" i="5"/>
  <c r="HR64" i="5"/>
  <c r="HR65" i="5"/>
  <c r="HR66" i="5"/>
  <c r="HR67" i="5"/>
  <c r="HR68" i="5"/>
  <c r="HR69" i="5"/>
  <c r="HR70" i="5"/>
  <c r="HR71" i="5"/>
  <c r="HR72" i="5"/>
  <c r="HR73" i="5"/>
  <c r="HR74" i="5"/>
  <c r="HR75" i="5"/>
  <c r="HR76" i="5"/>
  <c r="HR77" i="5"/>
  <c r="HR55" i="5"/>
  <c r="HF65" i="5"/>
  <c r="HF66" i="5"/>
  <c r="HF67" i="5"/>
  <c r="HF68" i="5"/>
  <c r="HF69" i="5"/>
  <c r="HF70" i="5"/>
  <c r="HF71" i="5"/>
  <c r="HF72" i="5"/>
  <c r="HF73" i="5"/>
  <c r="HF74" i="5"/>
  <c r="HF75" i="5"/>
  <c r="HF76" i="5"/>
  <c r="HF77" i="5"/>
  <c r="GS77" i="5"/>
  <c r="GS56" i="5"/>
  <c r="GS57" i="5"/>
  <c r="GS58" i="5"/>
  <c r="GS59" i="5"/>
  <c r="GS60" i="5"/>
  <c r="GS61" i="5"/>
  <c r="GS62" i="5"/>
  <c r="GS63" i="5"/>
  <c r="GS64" i="5"/>
  <c r="GS65" i="5"/>
  <c r="GS66" i="5"/>
  <c r="GS67" i="5"/>
  <c r="GS68" i="5"/>
  <c r="GS69" i="5"/>
  <c r="GS70" i="5"/>
  <c r="GS71" i="5"/>
  <c r="GS72" i="5"/>
  <c r="GS73" i="5"/>
  <c r="GS74" i="5"/>
  <c r="GS75" i="5"/>
  <c r="GS76" i="5"/>
  <c r="GS55" i="5"/>
  <c r="GG65" i="5"/>
  <c r="GG66" i="5"/>
  <c r="GG67" i="5"/>
  <c r="GG68" i="5"/>
  <c r="GG69" i="5"/>
  <c r="GG70" i="5"/>
  <c r="GG71" i="5"/>
  <c r="GG72" i="5"/>
  <c r="GG73" i="5"/>
  <c r="GG74" i="5"/>
  <c r="GG75" i="5"/>
  <c r="GG76" i="5"/>
  <c r="GG77" i="5"/>
  <c r="FU56" i="5"/>
  <c r="FU57" i="5"/>
  <c r="FU58" i="5"/>
  <c r="FU59" i="5"/>
  <c r="FU60" i="5"/>
  <c r="FU61" i="5"/>
  <c r="FU62" i="5"/>
  <c r="FU63" i="5"/>
  <c r="FU64" i="5"/>
  <c r="FU65" i="5"/>
  <c r="FU66" i="5"/>
  <c r="FU67" i="5"/>
  <c r="FU68" i="5"/>
  <c r="FU69" i="5"/>
  <c r="FU70" i="5"/>
  <c r="FU71" i="5"/>
  <c r="FU72" i="5"/>
  <c r="FU73" i="5"/>
  <c r="FU74" i="5"/>
  <c r="FU75" i="5"/>
  <c r="FU76" i="5"/>
  <c r="FU77" i="5"/>
  <c r="FU55" i="5"/>
  <c r="FI65" i="5"/>
  <c r="FI66" i="5"/>
  <c r="FI67" i="5"/>
  <c r="FI68" i="5"/>
  <c r="FI69" i="5"/>
  <c r="FI70" i="5"/>
  <c r="FI71" i="5"/>
  <c r="FI72" i="5"/>
  <c r="FI73" i="5"/>
  <c r="FI74" i="5"/>
  <c r="FI75" i="5"/>
  <c r="FI76" i="5"/>
  <c r="FI77" i="5"/>
  <c r="EV56" i="5"/>
  <c r="EV57" i="5"/>
  <c r="EV58" i="5"/>
  <c r="EV59" i="5"/>
  <c r="EV60" i="5"/>
  <c r="EV61" i="5"/>
  <c r="EV62" i="5"/>
  <c r="EV63" i="5"/>
  <c r="EV64" i="5"/>
  <c r="EV65" i="5"/>
  <c r="EV66" i="5"/>
  <c r="EV67" i="5"/>
  <c r="EV68" i="5"/>
  <c r="EV69" i="5"/>
  <c r="EV70" i="5"/>
  <c r="EV71" i="5"/>
  <c r="EV72" i="5"/>
  <c r="EV73" i="5"/>
  <c r="EV74" i="5"/>
  <c r="EV75" i="5"/>
  <c r="EV76" i="5"/>
  <c r="EV77" i="5"/>
  <c r="EV55" i="5"/>
  <c r="EJ65" i="5"/>
  <c r="EJ66" i="5"/>
  <c r="EJ67" i="5"/>
  <c r="EJ68" i="5"/>
  <c r="EJ69" i="5"/>
  <c r="EJ70" i="5"/>
  <c r="EJ71" i="5"/>
  <c r="EJ72" i="5"/>
  <c r="EJ73" i="5"/>
  <c r="EJ74" i="5"/>
  <c r="EJ75" i="5"/>
  <c r="EJ76" i="5"/>
  <c r="EJ77" i="5"/>
  <c r="DX65" i="5"/>
  <c r="DX66" i="5"/>
  <c r="DX67" i="5"/>
  <c r="DX68" i="5"/>
  <c r="DX69" i="5"/>
  <c r="DX70" i="5"/>
  <c r="DX71" i="5"/>
  <c r="DX72" i="5"/>
  <c r="DX73" i="5"/>
  <c r="DX74" i="5"/>
  <c r="DX75" i="5"/>
  <c r="DX76" i="5"/>
  <c r="DX77" i="5"/>
  <c r="DX56" i="5"/>
  <c r="DX57" i="5"/>
  <c r="DX58" i="5"/>
  <c r="DX59" i="5"/>
  <c r="DX60" i="5"/>
  <c r="DX61" i="5"/>
  <c r="DX62" i="5"/>
  <c r="DX63" i="5"/>
  <c r="DX64" i="5"/>
  <c r="DX55" i="5"/>
  <c r="DL65" i="5"/>
  <c r="DL66" i="5"/>
  <c r="DL67" i="5"/>
  <c r="DL68" i="5"/>
  <c r="DL69" i="5"/>
  <c r="DL70" i="5"/>
  <c r="DL71" i="5"/>
  <c r="DL72" i="5"/>
  <c r="DL73" i="5"/>
  <c r="DL74" i="5"/>
  <c r="DL75" i="5"/>
  <c r="DL76" i="5"/>
  <c r="DL77" i="5"/>
  <c r="CY56" i="5"/>
  <c r="CY57" i="5"/>
  <c r="CY58" i="5"/>
  <c r="CY59" i="5"/>
  <c r="CY60" i="5"/>
  <c r="CY61" i="5"/>
  <c r="CY62" i="5"/>
  <c r="CY63" i="5"/>
  <c r="CY64" i="5"/>
  <c r="CY65" i="5"/>
  <c r="CY66" i="5"/>
  <c r="CY67" i="5"/>
  <c r="CY68" i="5"/>
  <c r="CY69" i="5"/>
  <c r="CY70" i="5"/>
  <c r="CY71" i="5"/>
  <c r="CY72" i="5"/>
  <c r="CY73" i="5"/>
  <c r="CY74" i="5"/>
  <c r="CY75" i="5"/>
  <c r="CY76" i="5"/>
  <c r="CY77" i="5"/>
  <c r="CY55" i="5"/>
  <c r="CM65" i="5"/>
  <c r="CM66" i="5"/>
  <c r="CM67" i="5"/>
  <c r="CM68" i="5"/>
  <c r="CM69" i="5"/>
  <c r="CM70" i="5"/>
  <c r="CM71" i="5"/>
  <c r="CM72" i="5"/>
  <c r="CM73" i="5"/>
  <c r="CM74" i="5"/>
  <c r="CM75" i="5"/>
  <c r="CM76" i="5"/>
  <c r="CM77" i="5"/>
  <c r="CA56" i="5"/>
  <c r="CA57" i="5"/>
  <c r="CA58" i="5"/>
  <c r="CA59" i="5"/>
  <c r="CA60" i="5"/>
  <c r="CA61" i="5"/>
  <c r="CA62" i="5"/>
  <c r="CA63" i="5"/>
  <c r="CA64" i="5"/>
  <c r="CA65" i="5"/>
  <c r="CA66" i="5"/>
  <c r="CA67" i="5"/>
  <c r="CA68" i="5"/>
  <c r="CA69" i="5"/>
  <c r="CA70" i="5"/>
  <c r="CA71" i="5"/>
  <c r="CA72" i="5"/>
  <c r="CA73" i="5"/>
  <c r="CA74" i="5"/>
  <c r="CA75" i="5"/>
  <c r="CA76" i="5"/>
  <c r="CA77" i="5"/>
  <c r="CA55" i="5"/>
  <c r="BO65" i="5"/>
  <c r="BO66" i="5"/>
  <c r="BO67" i="5"/>
  <c r="BO68" i="5"/>
  <c r="BO69" i="5"/>
  <c r="BO70" i="5"/>
  <c r="BO71" i="5"/>
  <c r="BO72" i="5"/>
  <c r="BO73" i="5"/>
  <c r="BO74" i="5"/>
  <c r="BO75" i="5"/>
  <c r="BO76" i="5"/>
  <c r="BO77" i="5"/>
  <c r="BB65" i="5"/>
  <c r="BB66" i="5"/>
  <c r="BB67" i="5"/>
  <c r="BB68" i="5"/>
  <c r="BB69" i="5"/>
  <c r="BB70" i="5"/>
  <c r="BB71" i="5"/>
  <c r="BB72" i="5"/>
  <c r="BB73" i="5"/>
  <c r="BB74" i="5"/>
  <c r="BB75" i="5"/>
  <c r="BB76" i="5"/>
  <c r="BB77" i="5"/>
  <c r="BB56" i="5"/>
  <c r="BB57" i="5"/>
  <c r="BB58" i="5"/>
  <c r="BB59" i="5"/>
  <c r="BB60" i="5"/>
  <c r="BB61" i="5"/>
  <c r="BB62" i="5"/>
  <c r="BB63" i="5"/>
  <c r="BB64" i="5"/>
  <c r="BB55" i="5"/>
  <c r="AP66" i="5"/>
  <c r="AP67" i="5"/>
  <c r="AP68" i="5"/>
  <c r="AP69" i="5"/>
  <c r="AP70" i="5"/>
  <c r="AP71" i="5"/>
  <c r="AP72" i="5"/>
  <c r="AP73" i="5"/>
  <c r="AP74" i="5"/>
  <c r="AP75" i="5"/>
  <c r="AP76" i="5"/>
  <c r="AP77" i="5"/>
  <c r="AD65" i="5"/>
  <c r="AD66" i="5"/>
  <c r="AD67" i="5"/>
  <c r="AD68" i="5"/>
  <c r="AD69" i="5"/>
  <c r="AD70" i="5"/>
  <c r="AD71" i="5"/>
  <c r="AD72" i="5"/>
  <c r="AD73" i="5"/>
  <c r="AD74" i="5"/>
  <c r="AD75" i="5"/>
  <c r="AD76" i="5"/>
  <c r="AD77" i="5"/>
  <c r="AD60" i="5"/>
  <c r="AD61" i="5"/>
  <c r="AD62" i="5"/>
  <c r="AD63" i="5"/>
  <c r="AD64" i="5"/>
  <c r="AD56" i="5"/>
  <c r="AD57" i="5"/>
  <c r="AD58" i="5"/>
  <c r="AD59" i="5"/>
  <c r="AD55" i="5"/>
  <c r="R67" i="5"/>
  <c r="R68" i="5"/>
  <c r="R69" i="5"/>
  <c r="R70" i="5"/>
  <c r="R71" i="5"/>
  <c r="R72" i="5"/>
  <c r="R73" i="5"/>
  <c r="R74" i="5"/>
  <c r="R75" i="5"/>
  <c r="R76" i="5"/>
  <c r="R77" i="5"/>
  <c r="U14" i="2" l="1"/>
  <c r="AA14" i="2" s="1"/>
  <c r="AW14" i="2" s="1"/>
  <c r="BC14" i="2" s="1"/>
  <c r="U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Q13" i="2"/>
  <c r="J14" i="2" l="1"/>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13" i="2"/>
  <c r="Q57" i="5"/>
  <c r="Q56" i="5"/>
  <c r="Q55" i="5"/>
  <c r="AF50" i="6" l="1"/>
  <c r="AG50" i="6"/>
  <c r="AH50" i="6"/>
  <c r="AI50" i="6"/>
  <c r="M3" i="5"/>
  <c r="U67" i="2" l="1"/>
  <c r="U68" i="2"/>
  <c r="U69" i="2"/>
  <c r="U70" i="2"/>
  <c r="U71" i="2"/>
  <c r="U72" i="2"/>
  <c r="U73" i="2"/>
  <c r="U74" i="2"/>
  <c r="U75" i="2"/>
  <c r="U76" i="2"/>
  <c r="U77" i="2"/>
  <c r="U78" i="2"/>
  <c r="U79" i="2"/>
  <c r="U80" i="2"/>
  <c r="U66" i="2"/>
  <c r="S67" i="2"/>
  <c r="S68" i="2"/>
  <c r="S69" i="2"/>
  <c r="S70" i="2"/>
  <c r="S71" i="2"/>
  <c r="S72" i="2"/>
  <c r="S73" i="2"/>
  <c r="S74" i="2"/>
  <c r="S75" i="2"/>
  <c r="S76" i="2"/>
  <c r="S77" i="2"/>
  <c r="S78" i="2"/>
  <c r="S79" i="2"/>
  <c r="S80" i="2"/>
  <c r="S66" i="2"/>
  <c r="N80" i="2"/>
  <c r="N67" i="2"/>
  <c r="N68" i="2"/>
  <c r="N69" i="2"/>
  <c r="N70" i="2"/>
  <c r="N71" i="2"/>
  <c r="N72" i="2"/>
  <c r="N73" i="2"/>
  <c r="N74" i="2"/>
  <c r="N75" i="2"/>
  <c r="N76" i="2"/>
  <c r="N77" i="2"/>
  <c r="N78" i="2"/>
  <c r="K72" i="2"/>
  <c r="X72" i="2" l="1"/>
  <c r="AU72" i="2" s="1"/>
  <c r="BA72" i="2" s="1"/>
  <c r="AA72" i="2"/>
  <c r="AW72" i="2" s="1"/>
  <c r="BC72" i="2" s="1"/>
  <c r="R66" i="2"/>
  <c r="W66" i="2" s="1"/>
  <c r="AT66" i="2" s="1"/>
  <c r="AZ66" i="2" s="1"/>
  <c r="S47" i="2" l="1"/>
  <c r="Q67" i="2"/>
  <c r="V67" i="2" s="1"/>
  <c r="Q68" i="2"/>
  <c r="V68" i="2" s="1"/>
  <c r="Q69" i="2"/>
  <c r="V69" i="2" s="1"/>
  <c r="Q70" i="2"/>
  <c r="V70" i="2" s="1"/>
  <c r="Q71" i="2"/>
  <c r="V71" i="2" s="1"/>
  <c r="Q72" i="2"/>
  <c r="V72" i="2" s="1"/>
  <c r="Q73" i="2"/>
  <c r="V73" i="2" s="1"/>
  <c r="Q74" i="2"/>
  <c r="V74" i="2" s="1"/>
  <c r="Q75" i="2"/>
  <c r="V75" i="2" s="1"/>
  <c r="Q76" i="2"/>
  <c r="V76" i="2" s="1"/>
  <c r="Q77" i="2"/>
  <c r="V77" i="2" s="1"/>
  <c r="Q78" i="2"/>
  <c r="V78" i="2" s="1"/>
  <c r="Q79" i="2"/>
  <c r="V79" i="2" s="1"/>
  <c r="Q80" i="2"/>
  <c r="V80" i="2" s="1"/>
  <c r="Q66" i="2"/>
  <c r="V66" i="2" s="1"/>
  <c r="AS66" i="2" s="1"/>
  <c r="AY66" i="2" s="1"/>
  <c r="R80" i="2"/>
  <c r="W80" i="2" s="1"/>
  <c r="R67" i="2"/>
  <c r="W67" i="2" s="1"/>
  <c r="R68" i="2"/>
  <c r="W68" i="2" s="1"/>
  <c r="R69" i="2"/>
  <c r="W69" i="2" s="1"/>
  <c r="R70" i="2"/>
  <c r="W70" i="2" s="1"/>
  <c r="R71" i="2"/>
  <c r="W71" i="2" s="1"/>
  <c r="R72" i="2"/>
  <c r="W72" i="2" s="1"/>
  <c r="R73" i="2"/>
  <c r="W73" i="2" s="1"/>
  <c r="R74" i="2"/>
  <c r="W74" i="2" s="1"/>
  <c r="R75" i="2"/>
  <c r="W75" i="2" s="1"/>
  <c r="R76" i="2"/>
  <c r="W76" i="2" s="1"/>
  <c r="R77" i="2"/>
  <c r="W77" i="2" s="1"/>
  <c r="R78" i="2"/>
  <c r="W78" i="2" s="1"/>
  <c r="R79" i="2"/>
  <c r="W79" i="2" s="1"/>
  <c r="U28" i="15" l="1"/>
  <c r="Z28" i="15" s="1"/>
  <c r="U27" i="15"/>
  <c r="Z27" i="15" s="1"/>
  <c r="Z21" i="15"/>
  <c r="Z20" i="15"/>
  <c r="P14" i="15"/>
  <c r="X14" i="15" s="1"/>
  <c r="P13" i="15"/>
  <c r="X13" i="15" s="1"/>
  <c r="AV13" i="15" s="1"/>
  <c r="BB13" i="15" s="1"/>
  <c r="P12" i="15"/>
  <c r="X12" i="15" s="1"/>
  <c r="AV12" i="15" s="1"/>
  <c r="BB12" i="15" s="1"/>
  <c r="G5" i="15" l="1"/>
  <c r="AG5" i="15" s="1"/>
  <c r="J20" i="16" s="1"/>
  <c r="G7" i="15"/>
  <c r="Y140" i="2"/>
  <c r="Y139" i="2"/>
  <c r="Y138" i="2"/>
  <c r="Y137" i="2"/>
  <c r="Y136" i="2"/>
  <c r="Y135" i="2"/>
  <c r="Y134" i="2"/>
  <c r="Y133" i="2"/>
  <c r="Y132" i="2"/>
  <c r="Y131" i="2"/>
  <c r="Y130" i="2"/>
  <c r="Y129" i="2"/>
  <c r="Y128" i="2"/>
  <c r="Y127" i="2"/>
  <c r="Y126" i="2"/>
  <c r="Y125" i="2"/>
  <c r="Y124" i="2"/>
  <c r="Y123" i="2"/>
  <c r="Y122" i="2"/>
  <c r="Y121" i="2"/>
  <c r="Y120" i="2"/>
  <c r="Y119" i="2"/>
  <c r="Y118" i="2"/>
  <c r="Y117" i="2"/>
  <c r="Y116" i="2"/>
  <c r="Y115" i="2"/>
  <c r="Y114" i="2"/>
  <c r="Y113" i="2"/>
  <c r="Y112" i="2"/>
  <c r="Y111" i="2"/>
  <c r="Y110" i="2"/>
  <c r="Y109" i="2"/>
  <c r="Y108" i="2"/>
  <c r="Y90" i="2"/>
  <c r="Y89" i="2"/>
  <c r="Y88" i="2"/>
  <c r="AV88" i="2" s="1"/>
  <c r="BB88" i="2" s="1"/>
  <c r="Y87" i="2"/>
  <c r="AV87" i="2" s="1"/>
  <c r="BB87" i="2" s="1"/>
  <c r="Y86" i="2"/>
  <c r="AV86" i="2" s="1"/>
  <c r="BB86" i="2" s="1"/>
  <c r="Y85" i="2"/>
  <c r="O140" i="2"/>
  <c r="O139" i="2"/>
  <c r="O138" i="2"/>
  <c r="O137" i="2"/>
  <c r="O136" i="2"/>
  <c r="O135" i="2"/>
  <c r="O134" i="2"/>
  <c r="O133" i="2"/>
  <c r="O132" i="2"/>
  <c r="O131" i="2"/>
  <c r="O130" i="2"/>
  <c r="O129" i="2"/>
  <c r="O128" i="2"/>
  <c r="O127" i="2"/>
  <c r="O126" i="2"/>
  <c r="O125" i="2"/>
  <c r="O124" i="2"/>
  <c r="O123" i="2"/>
  <c r="O122" i="2"/>
  <c r="O121" i="2"/>
  <c r="O120" i="2"/>
  <c r="O119" i="2"/>
  <c r="O118" i="2"/>
  <c r="O117" i="2"/>
  <c r="O116" i="2"/>
  <c r="O115" i="2"/>
  <c r="O114" i="2"/>
  <c r="O113" i="2"/>
  <c r="O85"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09" i="2"/>
  <c r="K105" i="2"/>
  <c r="K99" i="2"/>
  <c r="K92" i="2"/>
  <c r="K85" i="2"/>
  <c r="I137" i="2"/>
  <c r="I133" i="2"/>
  <c r="I129" i="2"/>
  <c r="I125" i="2"/>
  <c r="I121" i="2"/>
  <c r="I117" i="2"/>
  <c r="I113" i="2"/>
  <c r="I109" i="2"/>
  <c r="I105" i="2"/>
  <c r="I101" i="2"/>
  <c r="I85" i="2"/>
  <c r="H133" i="2"/>
  <c r="H137" i="2"/>
  <c r="H129" i="2"/>
  <c r="H125" i="2"/>
  <c r="H121" i="2"/>
  <c r="H117" i="2"/>
  <c r="H113" i="2"/>
  <c r="H109" i="2"/>
  <c r="H105" i="2"/>
  <c r="H101" i="2"/>
  <c r="H97" i="2"/>
  <c r="Q56" i="2"/>
  <c r="V56" i="2" s="1"/>
  <c r="AS56" i="2" s="1"/>
  <c r="AY56" i="2" s="1"/>
  <c r="R56" i="2"/>
  <c r="W56" i="2" s="1"/>
  <c r="AT56" i="2" s="1"/>
  <c r="AZ56" i="2" s="1"/>
  <c r="S56" i="2"/>
  <c r="X56" i="2" s="1"/>
  <c r="AU56" i="2" s="1"/>
  <c r="BA56" i="2" s="1"/>
  <c r="U56" i="2"/>
  <c r="AA56" i="2" s="1"/>
  <c r="AW56" i="2" s="1"/>
  <c r="BC56" i="2" s="1"/>
  <c r="Q57" i="2"/>
  <c r="V57" i="2" s="1"/>
  <c r="AS57" i="2" s="1"/>
  <c r="AY57" i="2" s="1"/>
  <c r="R57" i="2"/>
  <c r="W57" i="2" s="1"/>
  <c r="AT57" i="2" s="1"/>
  <c r="AZ57" i="2" s="1"/>
  <c r="S57" i="2"/>
  <c r="X57" i="2" s="1"/>
  <c r="AU57" i="2" s="1"/>
  <c r="BA57" i="2" s="1"/>
  <c r="U57" i="2"/>
  <c r="AA57" i="2" s="1"/>
  <c r="AW57" i="2" s="1"/>
  <c r="BC57" i="2" s="1"/>
  <c r="Q58" i="2"/>
  <c r="V58" i="2" s="1"/>
  <c r="AS58" i="2" s="1"/>
  <c r="AY58" i="2" s="1"/>
  <c r="R58" i="2"/>
  <c r="W58" i="2" s="1"/>
  <c r="AT58" i="2" s="1"/>
  <c r="AZ58" i="2" s="1"/>
  <c r="S58" i="2"/>
  <c r="X58" i="2" s="1"/>
  <c r="AU58" i="2" s="1"/>
  <c r="BA58" i="2" s="1"/>
  <c r="U58" i="2"/>
  <c r="AA58" i="2" s="1"/>
  <c r="AW58" i="2" s="1"/>
  <c r="BC58" i="2" s="1"/>
  <c r="Q59" i="2"/>
  <c r="V59" i="2" s="1"/>
  <c r="AS59" i="2" s="1"/>
  <c r="AY59" i="2" s="1"/>
  <c r="R59" i="2"/>
  <c r="W59" i="2" s="1"/>
  <c r="AT59" i="2" s="1"/>
  <c r="AZ59" i="2" s="1"/>
  <c r="S59" i="2"/>
  <c r="X59" i="2" s="1"/>
  <c r="AU59" i="2" s="1"/>
  <c r="BA59" i="2" s="1"/>
  <c r="U59" i="2"/>
  <c r="AA59" i="2" s="1"/>
  <c r="AW59" i="2" s="1"/>
  <c r="BC59" i="2" s="1"/>
  <c r="Q60" i="2"/>
  <c r="V60" i="2" s="1"/>
  <c r="AS60" i="2" s="1"/>
  <c r="AY60" i="2" s="1"/>
  <c r="R60" i="2"/>
  <c r="W60" i="2" s="1"/>
  <c r="AT60" i="2" s="1"/>
  <c r="AZ60" i="2" s="1"/>
  <c r="S60" i="2"/>
  <c r="X60" i="2" s="1"/>
  <c r="AU60" i="2" s="1"/>
  <c r="BA60" i="2" s="1"/>
  <c r="U60" i="2"/>
  <c r="AA60" i="2" s="1"/>
  <c r="AW60" i="2" s="1"/>
  <c r="BC60" i="2" s="1"/>
  <c r="K56" i="2"/>
  <c r="N56" i="2"/>
  <c r="O56" i="2"/>
  <c r="P56" i="2"/>
  <c r="K57" i="2"/>
  <c r="N57" i="2"/>
  <c r="O57" i="2"/>
  <c r="P57" i="2"/>
  <c r="K58" i="2"/>
  <c r="N58" i="2"/>
  <c r="O58" i="2"/>
  <c r="P58" i="2"/>
  <c r="K59" i="2"/>
  <c r="N59" i="2"/>
  <c r="O59" i="2"/>
  <c r="P59" i="2"/>
  <c r="K60" i="2"/>
  <c r="N60" i="2"/>
  <c r="O60" i="2"/>
  <c r="P60" i="2"/>
  <c r="K22" i="2"/>
  <c r="N22" i="2"/>
  <c r="O22" i="2"/>
  <c r="K23" i="2"/>
  <c r="N23" i="2"/>
  <c r="O23" i="2"/>
  <c r="K24" i="2"/>
  <c r="N24" i="2"/>
  <c r="O24" i="2"/>
  <c r="K25" i="2"/>
  <c r="N25" i="2"/>
  <c r="O25" i="2"/>
  <c r="K26" i="2"/>
  <c r="N26" i="2"/>
  <c r="O26" i="2"/>
  <c r="K27" i="2"/>
  <c r="N27" i="2"/>
  <c r="O27" i="2"/>
  <c r="K28" i="2"/>
  <c r="N28" i="2"/>
  <c r="O28" i="2"/>
  <c r="K29" i="2"/>
  <c r="N29" i="2"/>
  <c r="O29" i="2"/>
  <c r="K30" i="2"/>
  <c r="N30" i="2"/>
  <c r="O30" i="2"/>
  <c r="K31" i="2"/>
  <c r="N31" i="2"/>
  <c r="O31" i="2"/>
  <c r="K32" i="2"/>
  <c r="N32" i="2"/>
  <c r="O32" i="2"/>
  <c r="K33" i="2"/>
  <c r="N33" i="2"/>
  <c r="O33" i="2"/>
  <c r="K34" i="2"/>
  <c r="N34" i="2"/>
  <c r="O34" i="2"/>
  <c r="K35" i="2"/>
  <c r="N35" i="2"/>
  <c r="O35" i="2"/>
  <c r="K36" i="2"/>
  <c r="N36" i="2"/>
  <c r="O36" i="2"/>
  <c r="K37" i="2"/>
  <c r="N37" i="2"/>
  <c r="O37" i="2"/>
  <c r="K38" i="2"/>
  <c r="N38" i="2"/>
  <c r="O38" i="2"/>
  <c r="K39" i="2"/>
  <c r="N39" i="2"/>
  <c r="O39" i="2"/>
  <c r="K40" i="2"/>
  <c r="N40" i="2"/>
  <c r="O40" i="2"/>
  <c r="K41" i="2"/>
  <c r="N41" i="2"/>
  <c r="O41" i="2"/>
  <c r="V22" i="2"/>
  <c r="AS22" i="2" s="1"/>
  <c r="AY22" i="2" s="1"/>
  <c r="W22" i="2"/>
  <c r="AT22" i="2" s="1"/>
  <c r="AZ22" i="2" s="1"/>
  <c r="X22" i="2"/>
  <c r="AU22" i="2" s="1"/>
  <c r="BA22" i="2" s="1"/>
  <c r="U22" i="2"/>
  <c r="AA22" i="2" s="1"/>
  <c r="AW22" i="2" s="1"/>
  <c r="BC22" i="2" s="1"/>
  <c r="V23" i="2"/>
  <c r="AS23" i="2" s="1"/>
  <c r="AY23" i="2" s="1"/>
  <c r="W23" i="2"/>
  <c r="AT23" i="2" s="1"/>
  <c r="AZ23" i="2" s="1"/>
  <c r="X23" i="2"/>
  <c r="AU23" i="2" s="1"/>
  <c r="BA23" i="2" s="1"/>
  <c r="U23" i="2"/>
  <c r="AA23" i="2" s="1"/>
  <c r="AW23" i="2" s="1"/>
  <c r="BC23" i="2" s="1"/>
  <c r="V24" i="2"/>
  <c r="AS24" i="2" s="1"/>
  <c r="AY24" i="2" s="1"/>
  <c r="W24" i="2"/>
  <c r="AT24" i="2" s="1"/>
  <c r="AZ24" i="2" s="1"/>
  <c r="X24" i="2"/>
  <c r="AU24" i="2" s="1"/>
  <c r="BA24" i="2" s="1"/>
  <c r="U24" i="2"/>
  <c r="AA24" i="2" s="1"/>
  <c r="AW24" i="2" s="1"/>
  <c r="BC24" i="2" s="1"/>
  <c r="V25" i="2"/>
  <c r="AS25" i="2" s="1"/>
  <c r="AY25" i="2" s="1"/>
  <c r="W25" i="2"/>
  <c r="AT25" i="2" s="1"/>
  <c r="AZ25" i="2" s="1"/>
  <c r="X25" i="2"/>
  <c r="AU25" i="2" s="1"/>
  <c r="BA25" i="2" s="1"/>
  <c r="U25" i="2"/>
  <c r="AA25" i="2" s="1"/>
  <c r="AW25" i="2" s="1"/>
  <c r="BC25" i="2" s="1"/>
  <c r="V26" i="2"/>
  <c r="AS26" i="2" s="1"/>
  <c r="AY26" i="2" s="1"/>
  <c r="W26" i="2"/>
  <c r="AT26" i="2" s="1"/>
  <c r="AZ26" i="2" s="1"/>
  <c r="X26" i="2"/>
  <c r="AU26" i="2" s="1"/>
  <c r="BA26" i="2" s="1"/>
  <c r="U26" i="2"/>
  <c r="AA26" i="2" s="1"/>
  <c r="AW26" i="2" s="1"/>
  <c r="BC26" i="2" s="1"/>
  <c r="V27" i="2"/>
  <c r="AS27" i="2" s="1"/>
  <c r="AY27" i="2" s="1"/>
  <c r="W27" i="2"/>
  <c r="AT27" i="2" s="1"/>
  <c r="AZ27" i="2" s="1"/>
  <c r="X27" i="2"/>
  <c r="AU27" i="2" s="1"/>
  <c r="BA27" i="2" s="1"/>
  <c r="U27" i="2"/>
  <c r="AA27" i="2" s="1"/>
  <c r="AW27" i="2" s="1"/>
  <c r="BC27" i="2" s="1"/>
  <c r="V28" i="2"/>
  <c r="AS28" i="2" s="1"/>
  <c r="AY28" i="2" s="1"/>
  <c r="W28" i="2"/>
  <c r="AT28" i="2" s="1"/>
  <c r="AZ28" i="2" s="1"/>
  <c r="X28" i="2"/>
  <c r="AU28" i="2" s="1"/>
  <c r="BA28" i="2" s="1"/>
  <c r="U28" i="2"/>
  <c r="AA28" i="2" s="1"/>
  <c r="AW28" i="2" s="1"/>
  <c r="BC28" i="2" s="1"/>
  <c r="V29" i="2"/>
  <c r="AS29" i="2" s="1"/>
  <c r="AY29" i="2" s="1"/>
  <c r="W29" i="2"/>
  <c r="AT29" i="2" s="1"/>
  <c r="AZ29" i="2" s="1"/>
  <c r="X29" i="2"/>
  <c r="AU29" i="2" s="1"/>
  <c r="BA29" i="2" s="1"/>
  <c r="U29" i="2"/>
  <c r="AA29" i="2" s="1"/>
  <c r="AW29" i="2" s="1"/>
  <c r="BC29" i="2" s="1"/>
  <c r="V30" i="2"/>
  <c r="AS30" i="2" s="1"/>
  <c r="AY30" i="2" s="1"/>
  <c r="W30" i="2"/>
  <c r="AT30" i="2" s="1"/>
  <c r="AZ30" i="2" s="1"/>
  <c r="X30" i="2"/>
  <c r="AU30" i="2" s="1"/>
  <c r="BA30" i="2" s="1"/>
  <c r="U30" i="2"/>
  <c r="AA30" i="2" s="1"/>
  <c r="AW30" i="2" s="1"/>
  <c r="BC30" i="2" s="1"/>
  <c r="V31" i="2"/>
  <c r="AS31" i="2" s="1"/>
  <c r="AY31" i="2" s="1"/>
  <c r="W31" i="2"/>
  <c r="AT31" i="2" s="1"/>
  <c r="AZ31" i="2" s="1"/>
  <c r="X31" i="2"/>
  <c r="AU31" i="2" s="1"/>
  <c r="BA31" i="2" s="1"/>
  <c r="U31" i="2"/>
  <c r="AA31" i="2" s="1"/>
  <c r="AW31" i="2" s="1"/>
  <c r="BC31" i="2" s="1"/>
  <c r="V32" i="2"/>
  <c r="AS32" i="2" s="1"/>
  <c r="AY32" i="2" s="1"/>
  <c r="W32" i="2"/>
  <c r="AT32" i="2" s="1"/>
  <c r="AZ32" i="2" s="1"/>
  <c r="X32" i="2"/>
  <c r="AU32" i="2" s="1"/>
  <c r="BA32" i="2" s="1"/>
  <c r="U32" i="2"/>
  <c r="AA32" i="2" s="1"/>
  <c r="AW32" i="2" s="1"/>
  <c r="BC32" i="2" s="1"/>
  <c r="V33" i="2"/>
  <c r="AS33" i="2" s="1"/>
  <c r="AY33" i="2" s="1"/>
  <c r="W33" i="2"/>
  <c r="AT33" i="2" s="1"/>
  <c r="AZ33" i="2" s="1"/>
  <c r="X33" i="2"/>
  <c r="AU33" i="2" s="1"/>
  <c r="BA33" i="2" s="1"/>
  <c r="U33" i="2"/>
  <c r="AA33" i="2" s="1"/>
  <c r="AW33" i="2" s="1"/>
  <c r="BC33" i="2" s="1"/>
  <c r="V34" i="2"/>
  <c r="AS34" i="2" s="1"/>
  <c r="AY34" i="2" s="1"/>
  <c r="W34" i="2"/>
  <c r="AT34" i="2" s="1"/>
  <c r="AZ34" i="2" s="1"/>
  <c r="X34" i="2"/>
  <c r="AU34" i="2" s="1"/>
  <c r="BA34" i="2" s="1"/>
  <c r="U34" i="2"/>
  <c r="AA34" i="2" s="1"/>
  <c r="AW34" i="2" s="1"/>
  <c r="BC34" i="2" s="1"/>
  <c r="V35" i="2"/>
  <c r="AS35" i="2" s="1"/>
  <c r="AY35" i="2" s="1"/>
  <c r="W35" i="2"/>
  <c r="AT35" i="2" s="1"/>
  <c r="AZ35" i="2" s="1"/>
  <c r="X35" i="2"/>
  <c r="AU35" i="2" s="1"/>
  <c r="BA35" i="2" s="1"/>
  <c r="U35" i="2"/>
  <c r="AA35" i="2" s="1"/>
  <c r="AW35" i="2" s="1"/>
  <c r="BC35" i="2" s="1"/>
  <c r="V36" i="2"/>
  <c r="AS36" i="2" s="1"/>
  <c r="AY36" i="2" s="1"/>
  <c r="W36" i="2"/>
  <c r="AT36" i="2" s="1"/>
  <c r="AZ36" i="2" s="1"/>
  <c r="X36" i="2"/>
  <c r="AU36" i="2" s="1"/>
  <c r="BA36" i="2" s="1"/>
  <c r="U36" i="2"/>
  <c r="AA36" i="2" s="1"/>
  <c r="AW36" i="2" s="1"/>
  <c r="BC36" i="2" s="1"/>
  <c r="U37" i="2"/>
  <c r="V38" i="2"/>
  <c r="AS38" i="2" s="1"/>
  <c r="AY38" i="2" s="1"/>
  <c r="W38" i="2"/>
  <c r="AT38" i="2" s="1"/>
  <c r="AZ38" i="2" s="1"/>
  <c r="X38" i="2"/>
  <c r="AU38" i="2" s="1"/>
  <c r="BA38" i="2" s="1"/>
  <c r="U38" i="2"/>
  <c r="AA38" i="2" s="1"/>
  <c r="AW38" i="2" s="1"/>
  <c r="BC38" i="2" s="1"/>
  <c r="V39" i="2"/>
  <c r="AS39" i="2" s="1"/>
  <c r="AY39" i="2" s="1"/>
  <c r="W39" i="2"/>
  <c r="AT39" i="2" s="1"/>
  <c r="AZ39" i="2" s="1"/>
  <c r="X39" i="2"/>
  <c r="AU39" i="2" s="1"/>
  <c r="BA39" i="2" s="1"/>
  <c r="U39" i="2"/>
  <c r="AA39" i="2" s="1"/>
  <c r="AW39" i="2" s="1"/>
  <c r="BC39" i="2" s="1"/>
  <c r="V40" i="2"/>
  <c r="AS40" i="2" s="1"/>
  <c r="AY40" i="2" s="1"/>
  <c r="W40" i="2"/>
  <c r="AT40" i="2" s="1"/>
  <c r="AZ40" i="2" s="1"/>
  <c r="X40" i="2"/>
  <c r="AU40" i="2" s="1"/>
  <c r="BA40" i="2" s="1"/>
  <c r="U40" i="2"/>
  <c r="AA40" i="2" s="1"/>
  <c r="AW40" i="2" s="1"/>
  <c r="BC40" i="2" s="1"/>
  <c r="V41" i="2"/>
  <c r="AS41" i="2" s="1"/>
  <c r="AY41" i="2" s="1"/>
  <c r="W41" i="2"/>
  <c r="AT41" i="2" s="1"/>
  <c r="AZ41" i="2" s="1"/>
  <c r="X41" i="2"/>
  <c r="AU41" i="2" s="1"/>
  <c r="BA41" i="2" s="1"/>
  <c r="U41" i="2"/>
  <c r="AA41" i="2" s="1"/>
  <c r="AW41" i="2" s="1"/>
  <c r="BC41" i="2" s="1"/>
  <c r="U21" i="2"/>
  <c r="AA21" i="2" s="1"/>
  <c r="AW21" i="2" s="1"/>
  <c r="BC21" i="2" s="1"/>
  <c r="U20" i="2"/>
  <c r="AA20" i="2" s="1"/>
  <c r="AW20" i="2" s="1"/>
  <c r="BC20" i="2" s="1"/>
  <c r="U19" i="2"/>
  <c r="AA19" i="2" s="1"/>
  <c r="AW19" i="2" s="1"/>
  <c r="BC19" i="2" s="1"/>
  <c r="U18" i="2"/>
  <c r="AA18" i="2" s="1"/>
  <c r="AW18" i="2" s="1"/>
  <c r="BC18" i="2" s="1"/>
  <c r="U17" i="2"/>
  <c r="AA17" i="2" s="1"/>
  <c r="AW17" i="2" s="1"/>
  <c r="BC17" i="2" s="1"/>
  <c r="U16" i="2"/>
  <c r="U15" i="2"/>
  <c r="AG7" i="15" l="1"/>
  <c r="L20" i="16" s="1"/>
  <c r="AV85" i="2"/>
  <c r="BB85" i="2" s="1"/>
  <c r="AA37" i="2"/>
  <c r="AW37" i="2" s="1"/>
  <c r="BC37" i="2" s="1"/>
  <c r="W37" i="2"/>
  <c r="AT37" i="2" s="1"/>
  <c r="AZ37" i="2" s="1"/>
  <c r="V37" i="2"/>
  <c r="AS37" i="2" s="1"/>
  <c r="AY37" i="2" s="1"/>
  <c r="X37" i="2"/>
  <c r="AU37" i="2" s="1"/>
  <c r="BA37" i="2" s="1"/>
  <c r="Z85" i="2"/>
  <c r="Z109" i="2"/>
  <c r="Z125" i="2"/>
  <c r="Z113" i="2"/>
  <c r="Z117" i="2"/>
  <c r="Z121" i="2"/>
  <c r="Z129" i="2"/>
  <c r="Z133" i="2"/>
  <c r="QD77" i="5"/>
  <c r="QD76" i="5"/>
  <c r="QD75" i="5"/>
  <c r="QD74" i="5"/>
  <c r="QD73" i="5"/>
  <c r="QD72" i="5"/>
  <c r="QD71" i="5"/>
  <c r="QD70" i="5"/>
  <c r="QD69" i="5"/>
  <c r="QD68" i="5"/>
  <c r="QD67" i="5"/>
  <c r="QD66" i="5"/>
  <c r="QD65" i="5"/>
  <c r="QD64" i="5"/>
  <c r="QD63" i="5"/>
  <c r="QD62" i="5"/>
  <c r="QD61" i="5"/>
  <c r="QD60" i="5"/>
  <c r="QD55" i="5"/>
  <c r="H33" i="7"/>
  <c r="H34" i="7"/>
  <c r="H37" i="7"/>
  <c r="H36" i="7"/>
  <c r="H35" i="7"/>
  <c r="H32" i="7"/>
  <c r="H31" i="7"/>
  <c r="H30" i="7"/>
  <c r="N15" i="7"/>
  <c r="L14" i="7" l="1"/>
  <c r="L15" i="7"/>
  <c r="L16" i="7"/>
  <c r="L17" i="7"/>
  <c r="L18" i="7"/>
  <c r="L19" i="7"/>
  <c r="L20" i="7"/>
  <c r="L21" i="7"/>
  <c r="L22" i="7"/>
  <c r="L13" i="7"/>
  <c r="QD56" i="5" l="1"/>
  <c r="QD57" i="5"/>
  <c r="QD58" i="5"/>
  <c r="QD59" i="5"/>
  <c r="PR55" i="5"/>
  <c r="RQ77" i="5" l="1"/>
  <c r="RQ65" i="5"/>
  <c r="RQ66" i="5"/>
  <c r="RQ67" i="5"/>
  <c r="RQ68" i="5"/>
  <c r="RQ69" i="5"/>
  <c r="RQ70" i="5"/>
  <c r="RQ71" i="5"/>
  <c r="RQ72" i="5"/>
  <c r="RQ73" i="5"/>
  <c r="RQ74" i="5"/>
  <c r="RQ75" i="5"/>
  <c r="RQ76" i="5"/>
  <c r="QS77" i="5"/>
  <c r="QS67" i="5"/>
  <c r="QS68" i="5"/>
  <c r="QS69" i="5"/>
  <c r="QS70" i="5"/>
  <c r="QS71" i="5"/>
  <c r="QS72" i="5"/>
  <c r="QS73" i="5"/>
  <c r="QS74" i="5"/>
  <c r="QS75" i="5"/>
  <c r="QS76" i="5"/>
  <c r="QF69" i="5"/>
  <c r="PT65" i="5"/>
  <c r="PT66" i="5"/>
  <c r="PT67" i="5"/>
  <c r="PT68" i="5"/>
  <c r="PT69" i="5"/>
  <c r="PT70" i="5"/>
  <c r="PT71" i="5"/>
  <c r="PT72" i="5"/>
  <c r="PT73" i="5"/>
  <c r="PT74" i="5"/>
  <c r="PT75" i="5"/>
  <c r="PT76" i="5"/>
  <c r="PT77" i="5"/>
  <c r="OV77" i="5"/>
  <c r="OV67" i="5"/>
  <c r="OV68" i="5"/>
  <c r="OV69" i="5"/>
  <c r="OV70" i="5"/>
  <c r="OV71" i="5"/>
  <c r="OV72" i="5"/>
  <c r="OV73" i="5"/>
  <c r="OV74" i="5"/>
  <c r="OV75" i="5"/>
  <c r="OV76" i="5"/>
  <c r="NV65" i="5"/>
  <c r="NV66" i="5"/>
  <c r="NV67" i="5"/>
  <c r="NV68" i="5"/>
  <c r="NV69" i="5"/>
  <c r="NV70" i="5"/>
  <c r="NV71" i="5"/>
  <c r="NV72" i="5"/>
  <c r="NV73" i="5"/>
  <c r="NV74" i="5"/>
  <c r="NV75" i="5"/>
  <c r="NV76" i="5"/>
  <c r="NV77" i="5"/>
  <c r="MX77" i="5"/>
  <c r="MX67" i="5"/>
  <c r="MX68" i="5"/>
  <c r="MX69" i="5"/>
  <c r="MX70" i="5"/>
  <c r="MX71" i="5"/>
  <c r="MX72" i="5"/>
  <c r="MX73" i="5"/>
  <c r="MX74" i="5"/>
  <c r="MX75" i="5"/>
  <c r="MX76" i="5"/>
  <c r="LY77" i="5"/>
  <c r="LY65" i="5"/>
  <c r="LY66" i="5"/>
  <c r="LY67" i="5"/>
  <c r="LY68" i="5"/>
  <c r="LY69" i="5"/>
  <c r="LY70" i="5"/>
  <c r="LY71" i="5"/>
  <c r="LY72" i="5"/>
  <c r="LY73" i="5"/>
  <c r="LY74" i="5"/>
  <c r="LY75" i="5"/>
  <c r="LY76" i="5"/>
  <c r="LA77" i="5"/>
  <c r="LA67" i="5"/>
  <c r="LA68" i="5"/>
  <c r="LA69" i="5"/>
  <c r="LA70" i="5"/>
  <c r="LA71" i="5"/>
  <c r="LA72" i="5"/>
  <c r="LA73" i="5"/>
  <c r="LA74" i="5"/>
  <c r="LA75" i="5"/>
  <c r="LA76" i="5"/>
  <c r="SA56" i="5"/>
  <c r="SA57" i="5"/>
  <c r="SA58" i="5"/>
  <c r="SA59" i="5"/>
  <c r="SA60" i="5"/>
  <c r="SA61" i="5"/>
  <c r="SA62" i="5"/>
  <c r="SA63" i="5"/>
  <c r="SA64" i="5"/>
  <c r="SA65" i="5"/>
  <c r="SA66" i="5"/>
  <c r="SA67" i="5"/>
  <c r="SA68" i="5"/>
  <c r="SA69" i="5"/>
  <c r="SA70" i="5"/>
  <c r="SA71" i="5"/>
  <c r="SA72" i="5"/>
  <c r="SA73" i="5"/>
  <c r="SA74" i="5"/>
  <c r="SA75" i="5"/>
  <c r="SA76" i="5"/>
  <c r="SA77" i="5"/>
  <c r="SA55" i="5"/>
  <c r="RO56" i="5"/>
  <c r="RO57" i="5"/>
  <c r="RO58" i="5"/>
  <c r="RO59" i="5"/>
  <c r="RO60" i="5"/>
  <c r="RO61" i="5"/>
  <c r="RO62" i="5"/>
  <c r="RO63" i="5"/>
  <c r="RO64" i="5"/>
  <c r="RO65" i="5"/>
  <c r="RO66" i="5"/>
  <c r="RO67" i="5"/>
  <c r="RO68" i="5"/>
  <c r="RO69" i="5"/>
  <c r="RO70" i="5"/>
  <c r="RO71" i="5"/>
  <c r="RO72" i="5"/>
  <c r="RO73" i="5"/>
  <c r="RO74" i="5"/>
  <c r="RO75" i="5"/>
  <c r="RO76" i="5"/>
  <c r="RO77" i="5"/>
  <c r="RO55" i="5"/>
  <c r="RC56" i="5"/>
  <c r="RC57" i="5"/>
  <c r="RC58" i="5"/>
  <c r="RC59" i="5"/>
  <c r="RC60" i="5"/>
  <c r="RC61" i="5"/>
  <c r="RC62" i="5"/>
  <c r="RC63" i="5"/>
  <c r="RC64" i="5"/>
  <c r="RC65" i="5"/>
  <c r="RC66" i="5"/>
  <c r="RC67" i="5"/>
  <c r="RC68" i="5"/>
  <c r="RC69" i="5"/>
  <c r="RC70" i="5"/>
  <c r="RC71" i="5"/>
  <c r="RC72" i="5"/>
  <c r="RC73" i="5"/>
  <c r="RC74" i="5"/>
  <c r="RC75" i="5"/>
  <c r="RC76" i="5"/>
  <c r="RC77" i="5"/>
  <c r="RC55" i="5"/>
  <c r="QQ56" i="5"/>
  <c r="QQ57" i="5"/>
  <c r="QQ58" i="5"/>
  <c r="QQ59" i="5"/>
  <c r="QQ60" i="5"/>
  <c r="QQ61" i="5"/>
  <c r="QQ62" i="5"/>
  <c r="QQ63" i="5"/>
  <c r="QQ64" i="5"/>
  <c r="QQ65" i="5"/>
  <c r="QQ66" i="5"/>
  <c r="QQ67" i="5"/>
  <c r="QQ68" i="5"/>
  <c r="QQ69" i="5"/>
  <c r="QQ70" i="5"/>
  <c r="QQ71" i="5"/>
  <c r="QQ72" i="5"/>
  <c r="QQ73" i="5"/>
  <c r="QQ74" i="5"/>
  <c r="QQ75" i="5"/>
  <c r="QQ76" i="5"/>
  <c r="QQ77" i="5"/>
  <c r="QQ55" i="5"/>
  <c r="QM55" i="5"/>
  <c r="QD78" i="5"/>
  <c r="QF59" i="5" s="1"/>
  <c r="PR56" i="5"/>
  <c r="PR57" i="5"/>
  <c r="PR58" i="5"/>
  <c r="PR59" i="5"/>
  <c r="PR60" i="5"/>
  <c r="PR61" i="5"/>
  <c r="PR62" i="5"/>
  <c r="PR63" i="5"/>
  <c r="PR64" i="5"/>
  <c r="PR65" i="5"/>
  <c r="PR66" i="5"/>
  <c r="PR67" i="5"/>
  <c r="PR68" i="5"/>
  <c r="PR69" i="5"/>
  <c r="PR70" i="5"/>
  <c r="PR71" i="5"/>
  <c r="PR72" i="5"/>
  <c r="PR73" i="5"/>
  <c r="PR74" i="5"/>
  <c r="PR75" i="5"/>
  <c r="PR76" i="5"/>
  <c r="PR77" i="5"/>
  <c r="PF56" i="5"/>
  <c r="PF57" i="5"/>
  <c r="PF58" i="5"/>
  <c r="PF59" i="5"/>
  <c r="PF60" i="5"/>
  <c r="PF61" i="5"/>
  <c r="PF62" i="5"/>
  <c r="PF63" i="5"/>
  <c r="PF64" i="5"/>
  <c r="PF65" i="5"/>
  <c r="PF66" i="5"/>
  <c r="PF67" i="5"/>
  <c r="PF68" i="5"/>
  <c r="PF69" i="5"/>
  <c r="PF70" i="5"/>
  <c r="PF71" i="5"/>
  <c r="PF72" i="5"/>
  <c r="PF73" i="5"/>
  <c r="PF74" i="5"/>
  <c r="PF75" i="5"/>
  <c r="PF76" i="5"/>
  <c r="PF77" i="5"/>
  <c r="PF55" i="5"/>
  <c r="OT56" i="5"/>
  <c r="OT57" i="5"/>
  <c r="OT58" i="5"/>
  <c r="OT59" i="5"/>
  <c r="OT60" i="5"/>
  <c r="OT61" i="5"/>
  <c r="OT62" i="5"/>
  <c r="OT63" i="5"/>
  <c r="OT64" i="5"/>
  <c r="OT65" i="5"/>
  <c r="OT66" i="5"/>
  <c r="OT67" i="5"/>
  <c r="OT68" i="5"/>
  <c r="OT69" i="5"/>
  <c r="OT70" i="5"/>
  <c r="OT71" i="5"/>
  <c r="OT72" i="5"/>
  <c r="OT73" i="5"/>
  <c r="OT74" i="5"/>
  <c r="OT75" i="5"/>
  <c r="OT76" i="5"/>
  <c r="OT77" i="5"/>
  <c r="OT55" i="5"/>
  <c r="OF56" i="5"/>
  <c r="OF57" i="5"/>
  <c r="OF58" i="5"/>
  <c r="OF59" i="5"/>
  <c r="OF60" i="5"/>
  <c r="OF61" i="5"/>
  <c r="OF62" i="5"/>
  <c r="OF63" i="5"/>
  <c r="OF64" i="5"/>
  <c r="OF65" i="5"/>
  <c r="OF66" i="5"/>
  <c r="OF67" i="5"/>
  <c r="OF68" i="5"/>
  <c r="OF69" i="5"/>
  <c r="OF70" i="5"/>
  <c r="OF71" i="5"/>
  <c r="OF72" i="5"/>
  <c r="OF73" i="5"/>
  <c r="OF74" i="5"/>
  <c r="OF75" i="5"/>
  <c r="OF76" i="5"/>
  <c r="OF77" i="5"/>
  <c r="OF55" i="5"/>
  <c r="NT56" i="5"/>
  <c r="NT57" i="5"/>
  <c r="NT58" i="5"/>
  <c r="NT59" i="5"/>
  <c r="NT60" i="5"/>
  <c r="NT61" i="5"/>
  <c r="NT62" i="5"/>
  <c r="NT63" i="5"/>
  <c r="NT64" i="5"/>
  <c r="NT65" i="5"/>
  <c r="NT66" i="5"/>
  <c r="NT67" i="5"/>
  <c r="NT68" i="5"/>
  <c r="NT69" i="5"/>
  <c r="NT70" i="5"/>
  <c r="NT71" i="5"/>
  <c r="NT72" i="5"/>
  <c r="NT73" i="5"/>
  <c r="NT74" i="5"/>
  <c r="NT75" i="5"/>
  <c r="NT76" i="5"/>
  <c r="NT77" i="5"/>
  <c r="NT55" i="5"/>
  <c r="NH56" i="5"/>
  <c r="NH57" i="5"/>
  <c r="NH58" i="5"/>
  <c r="NH59" i="5"/>
  <c r="NH60" i="5"/>
  <c r="NH61" i="5"/>
  <c r="NH62" i="5"/>
  <c r="NH63" i="5"/>
  <c r="NH64" i="5"/>
  <c r="NH65" i="5"/>
  <c r="NH66" i="5"/>
  <c r="NH67" i="5"/>
  <c r="NH68" i="5"/>
  <c r="NH69" i="5"/>
  <c r="NH70" i="5"/>
  <c r="NH71" i="5"/>
  <c r="NH72" i="5"/>
  <c r="NH73" i="5"/>
  <c r="NH74" i="5"/>
  <c r="NH75" i="5"/>
  <c r="NH76" i="5"/>
  <c r="NH77" i="5"/>
  <c r="NH55" i="5"/>
  <c r="MV56" i="5"/>
  <c r="MV57" i="5"/>
  <c r="MV58" i="5"/>
  <c r="MV59" i="5"/>
  <c r="MV60" i="5"/>
  <c r="MV61" i="5"/>
  <c r="MV62" i="5"/>
  <c r="MV63" i="5"/>
  <c r="MV64" i="5"/>
  <c r="MV65" i="5"/>
  <c r="MV66" i="5"/>
  <c r="MV67" i="5"/>
  <c r="MV68" i="5"/>
  <c r="MV69" i="5"/>
  <c r="MV70" i="5"/>
  <c r="MV71" i="5"/>
  <c r="MV72" i="5"/>
  <c r="MV73" i="5"/>
  <c r="MV74" i="5"/>
  <c r="MV75" i="5"/>
  <c r="MV76" i="5"/>
  <c r="MV77" i="5"/>
  <c r="MV55" i="5"/>
  <c r="MI56" i="5"/>
  <c r="MI57" i="5"/>
  <c r="MI58" i="5"/>
  <c r="MI59" i="5"/>
  <c r="MI60" i="5"/>
  <c r="MI61" i="5"/>
  <c r="MI62" i="5"/>
  <c r="MI63" i="5"/>
  <c r="MI64" i="5"/>
  <c r="MI65" i="5"/>
  <c r="MI66" i="5"/>
  <c r="MI67" i="5"/>
  <c r="MI68" i="5"/>
  <c r="MI69" i="5"/>
  <c r="MI70" i="5"/>
  <c r="MI71" i="5"/>
  <c r="MI72" i="5"/>
  <c r="MI73" i="5"/>
  <c r="MI74" i="5"/>
  <c r="MI75" i="5"/>
  <c r="MI76" i="5"/>
  <c r="MI77" i="5"/>
  <c r="MI55" i="5"/>
  <c r="LW56" i="5"/>
  <c r="LW57" i="5"/>
  <c r="LW58" i="5"/>
  <c r="LW59" i="5"/>
  <c r="LW60" i="5"/>
  <c r="LW61" i="5"/>
  <c r="LW62" i="5"/>
  <c r="LW63" i="5"/>
  <c r="LW64" i="5"/>
  <c r="LW65" i="5"/>
  <c r="LW66" i="5"/>
  <c r="LW67" i="5"/>
  <c r="LW68" i="5"/>
  <c r="LW69" i="5"/>
  <c r="LW70" i="5"/>
  <c r="LW71" i="5"/>
  <c r="LW72" i="5"/>
  <c r="LW73" i="5"/>
  <c r="LW74" i="5"/>
  <c r="LW75" i="5"/>
  <c r="LW76" i="5"/>
  <c r="LW77" i="5"/>
  <c r="LW55" i="5"/>
  <c r="LK56" i="5"/>
  <c r="LK57" i="5"/>
  <c r="LK58" i="5"/>
  <c r="LK59" i="5"/>
  <c r="LK60" i="5"/>
  <c r="LK61" i="5"/>
  <c r="LK62" i="5"/>
  <c r="LK63" i="5"/>
  <c r="LK64" i="5"/>
  <c r="LK65" i="5"/>
  <c r="LK66" i="5"/>
  <c r="LK67" i="5"/>
  <c r="LK68" i="5"/>
  <c r="LK69" i="5"/>
  <c r="LK70" i="5"/>
  <c r="LK71" i="5"/>
  <c r="LK72" i="5"/>
  <c r="LK73" i="5"/>
  <c r="LK74" i="5"/>
  <c r="LK75" i="5"/>
  <c r="LK76" i="5"/>
  <c r="LK77" i="5"/>
  <c r="LK55" i="5"/>
  <c r="KY56" i="5"/>
  <c r="KY57" i="5"/>
  <c r="KY58" i="5"/>
  <c r="KY59" i="5"/>
  <c r="KY60" i="5"/>
  <c r="KY61" i="5"/>
  <c r="KY62" i="5"/>
  <c r="KY63" i="5"/>
  <c r="KY64" i="5"/>
  <c r="KY65" i="5"/>
  <c r="KY66" i="5"/>
  <c r="KY67" i="5"/>
  <c r="KY68" i="5"/>
  <c r="KY69" i="5"/>
  <c r="KY70" i="5"/>
  <c r="KY71" i="5"/>
  <c r="KY72" i="5"/>
  <c r="KY73" i="5"/>
  <c r="KY74" i="5"/>
  <c r="KY75" i="5"/>
  <c r="KY76" i="5"/>
  <c r="KY77" i="5"/>
  <c r="KY55" i="5"/>
  <c r="OP55" i="5"/>
  <c r="MR55" i="5"/>
  <c r="QR66" i="5" l="1"/>
  <c r="QS66" i="5" s="1"/>
  <c r="RD61" i="5"/>
  <c r="RD60" i="5"/>
  <c r="RD56" i="5"/>
  <c r="RD65" i="5"/>
  <c r="RD57" i="5"/>
  <c r="NI64" i="5"/>
  <c r="NI63" i="5"/>
  <c r="NI66" i="5"/>
  <c r="NI58" i="5"/>
  <c r="NI59" i="5"/>
  <c r="NI65" i="5"/>
  <c r="NI57" i="5"/>
  <c r="LL65" i="5"/>
  <c r="LL57" i="5"/>
  <c r="LL60" i="5"/>
  <c r="LL56" i="5"/>
  <c r="KZ66" i="5"/>
  <c r="LA66" i="5" s="1"/>
  <c r="LL61" i="5"/>
  <c r="RP57" i="5"/>
  <c r="RQ57" i="5" s="1"/>
  <c r="RP64" i="5"/>
  <c r="RQ64" i="5" s="1"/>
  <c r="RP62" i="5"/>
  <c r="RQ62" i="5" s="1"/>
  <c r="RP58" i="5"/>
  <c r="RQ58" i="5" s="1"/>
  <c r="PS62" i="5"/>
  <c r="PT62" i="5" s="1"/>
  <c r="PS57" i="5"/>
  <c r="PT57" i="5" s="1"/>
  <c r="PS60" i="5"/>
  <c r="PT60" i="5" s="1"/>
  <c r="PS56" i="5"/>
  <c r="PT56" i="5" s="1"/>
  <c r="OU55" i="5"/>
  <c r="PS63" i="5"/>
  <c r="PT63" i="5" s="1"/>
  <c r="PS59" i="5"/>
  <c r="PT59" i="5" s="1"/>
  <c r="NU63" i="5"/>
  <c r="NV63" i="5" s="1"/>
  <c r="NU59" i="5"/>
  <c r="NV59" i="5" s="1"/>
  <c r="NU55" i="5"/>
  <c r="NV55" i="5" s="1"/>
  <c r="NU60" i="5"/>
  <c r="NV60" i="5" s="1"/>
  <c r="NU56" i="5"/>
  <c r="NV56" i="5" s="1"/>
  <c r="LX60" i="5"/>
  <c r="LY60" i="5" s="1"/>
  <c r="LX59" i="5"/>
  <c r="LY59" i="5" s="1"/>
  <c r="LX58" i="5"/>
  <c r="LY58" i="5" s="1"/>
  <c r="QF74" i="5"/>
  <c r="QF66" i="5"/>
  <c r="QF61" i="5"/>
  <c r="QF73" i="5"/>
  <c r="QF65" i="5"/>
  <c r="QF70" i="5"/>
  <c r="QF62" i="5"/>
  <c r="LM68" i="5"/>
  <c r="QF75" i="5"/>
  <c r="QF71" i="5"/>
  <c r="QF67" i="5"/>
  <c r="QF63" i="5"/>
  <c r="QF76" i="5"/>
  <c r="QF72" i="5"/>
  <c r="QF68" i="5"/>
  <c r="QF64" i="5"/>
  <c r="QF77" i="5"/>
  <c r="QF60" i="5"/>
  <c r="QF57" i="5"/>
  <c r="QF56" i="5"/>
  <c r="QF58" i="5"/>
  <c r="QF55" i="5"/>
  <c r="RW56" i="5"/>
  <c r="RW57" i="5"/>
  <c r="RW58" i="5"/>
  <c r="RW59" i="5"/>
  <c r="RW60" i="5"/>
  <c r="RW61" i="5"/>
  <c r="RW62" i="5"/>
  <c r="RW63" i="5"/>
  <c r="RW64" i="5"/>
  <c r="RW65" i="5"/>
  <c r="RW66" i="5"/>
  <c r="RW67" i="5"/>
  <c r="RW68" i="5"/>
  <c r="RW69" i="5"/>
  <c r="RW70" i="5"/>
  <c r="RW71" i="5"/>
  <c r="RW72" i="5"/>
  <c r="RW73" i="5"/>
  <c r="RW74" i="5"/>
  <c r="RW75" i="5"/>
  <c r="RW76" i="5"/>
  <c r="RW77" i="5"/>
  <c r="RW55" i="5"/>
  <c r="RU65" i="5"/>
  <c r="RU66" i="5"/>
  <c r="RU67" i="5"/>
  <c r="RU68" i="5"/>
  <c r="RU69" i="5"/>
  <c r="RU70" i="5"/>
  <c r="RU71" i="5"/>
  <c r="RU72" i="5"/>
  <c r="RU73" i="5"/>
  <c r="RU74" i="5"/>
  <c r="RU75" i="5"/>
  <c r="RU76" i="5"/>
  <c r="RU77" i="5"/>
  <c r="RK56" i="5"/>
  <c r="RK57" i="5"/>
  <c r="RK58" i="5"/>
  <c r="RK59" i="5"/>
  <c r="RK60" i="5"/>
  <c r="RK61" i="5"/>
  <c r="RK62" i="5"/>
  <c r="RK63" i="5"/>
  <c r="RK64" i="5"/>
  <c r="RK65" i="5"/>
  <c r="RK66" i="5"/>
  <c r="RK67" i="5"/>
  <c r="RK68" i="5"/>
  <c r="RK69" i="5"/>
  <c r="RK70" i="5"/>
  <c r="RK71" i="5"/>
  <c r="RK72" i="5"/>
  <c r="RK73" i="5"/>
  <c r="RK74" i="5"/>
  <c r="RK75" i="5"/>
  <c r="RK76" i="5"/>
  <c r="RK77" i="5"/>
  <c r="RK55" i="5"/>
  <c r="QY56" i="5"/>
  <c r="QY57" i="5"/>
  <c r="QY58" i="5"/>
  <c r="QY59" i="5"/>
  <c r="QY60" i="5"/>
  <c r="QY61" i="5"/>
  <c r="QY62" i="5"/>
  <c r="QY63" i="5"/>
  <c r="QY64" i="5"/>
  <c r="QY65" i="5"/>
  <c r="QY66" i="5"/>
  <c r="QY67" i="5"/>
  <c r="QY68" i="5"/>
  <c r="QY69" i="5"/>
  <c r="QY70" i="5"/>
  <c r="QY71" i="5"/>
  <c r="QY72" i="5"/>
  <c r="QY73" i="5"/>
  <c r="QY74" i="5"/>
  <c r="QY75" i="5"/>
  <c r="QY76" i="5"/>
  <c r="QY77" i="5"/>
  <c r="QY55" i="5"/>
  <c r="QW67" i="5"/>
  <c r="QW68" i="5"/>
  <c r="QW69" i="5"/>
  <c r="QW70" i="5"/>
  <c r="QW71" i="5"/>
  <c r="QW72" i="5"/>
  <c r="QW73" i="5"/>
  <c r="QW74" i="5"/>
  <c r="QW75" i="5"/>
  <c r="QW76" i="5"/>
  <c r="QW77" i="5"/>
  <c r="QM56" i="5"/>
  <c r="QM57" i="5"/>
  <c r="QM58" i="5"/>
  <c r="QM59" i="5"/>
  <c r="QM60" i="5"/>
  <c r="QM61" i="5"/>
  <c r="QM62" i="5"/>
  <c r="QM63" i="5"/>
  <c r="QM64" i="5"/>
  <c r="QM65" i="5"/>
  <c r="QM66" i="5"/>
  <c r="QM67" i="5"/>
  <c r="QM68" i="5"/>
  <c r="QM69" i="5"/>
  <c r="QM70" i="5"/>
  <c r="QM71" i="5"/>
  <c r="QM72" i="5"/>
  <c r="QM73" i="5"/>
  <c r="QM74" i="5"/>
  <c r="QM75" i="5"/>
  <c r="QM76" i="5"/>
  <c r="QM77" i="5"/>
  <c r="PZ56" i="5"/>
  <c r="PZ57" i="5"/>
  <c r="PZ58" i="5"/>
  <c r="PZ59" i="5"/>
  <c r="PZ60" i="5"/>
  <c r="PZ61" i="5"/>
  <c r="PZ62" i="5"/>
  <c r="PZ63" i="5"/>
  <c r="PZ64" i="5"/>
  <c r="PZ65" i="5"/>
  <c r="PZ66" i="5"/>
  <c r="PZ67" i="5"/>
  <c r="PZ68" i="5"/>
  <c r="PZ69" i="5"/>
  <c r="PZ70" i="5"/>
  <c r="PZ71" i="5"/>
  <c r="PZ72" i="5"/>
  <c r="PZ73" i="5"/>
  <c r="PZ74" i="5"/>
  <c r="PZ75" i="5"/>
  <c r="PZ76" i="5"/>
  <c r="PZ77" i="5"/>
  <c r="PZ55" i="5"/>
  <c r="PX65" i="5"/>
  <c r="PX66" i="5"/>
  <c r="PX67" i="5"/>
  <c r="PX68" i="5"/>
  <c r="PX69" i="5"/>
  <c r="PX70" i="5"/>
  <c r="PX71" i="5"/>
  <c r="PX72" i="5"/>
  <c r="PX73" i="5"/>
  <c r="PX74" i="5"/>
  <c r="PX75" i="5"/>
  <c r="PX76" i="5"/>
  <c r="PX77" i="5"/>
  <c r="PN56" i="5"/>
  <c r="PN57" i="5"/>
  <c r="PN58" i="5"/>
  <c r="PN59" i="5"/>
  <c r="PN60" i="5"/>
  <c r="PN61" i="5"/>
  <c r="PN62" i="5"/>
  <c r="PN63" i="5"/>
  <c r="PN64" i="5"/>
  <c r="PN65" i="5"/>
  <c r="PN66" i="5"/>
  <c r="PN67" i="5"/>
  <c r="PN68" i="5"/>
  <c r="PN69" i="5"/>
  <c r="PN70" i="5"/>
  <c r="PN71" i="5"/>
  <c r="PN72" i="5"/>
  <c r="PN73" i="5"/>
  <c r="PN74" i="5"/>
  <c r="PN75" i="5"/>
  <c r="PN76" i="5"/>
  <c r="PN77" i="5"/>
  <c r="PN55" i="5"/>
  <c r="PB56" i="5"/>
  <c r="PB57" i="5"/>
  <c r="PB58" i="5"/>
  <c r="PB59" i="5"/>
  <c r="PB60" i="5"/>
  <c r="PB61" i="5"/>
  <c r="PB62" i="5"/>
  <c r="PB63" i="5"/>
  <c r="PB64" i="5"/>
  <c r="PB65" i="5"/>
  <c r="PB66" i="5"/>
  <c r="PB67" i="5"/>
  <c r="PB68" i="5"/>
  <c r="PB69" i="5"/>
  <c r="PB70" i="5"/>
  <c r="PB71" i="5"/>
  <c r="PB72" i="5"/>
  <c r="PB73" i="5"/>
  <c r="PB74" i="5"/>
  <c r="PB75" i="5"/>
  <c r="PB76" i="5"/>
  <c r="PB77" i="5"/>
  <c r="PB55" i="5"/>
  <c r="OZ67" i="5"/>
  <c r="OZ68" i="5"/>
  <c r="OZ69" i="5"/>
  <c r="OZ70" i="5"/>
  <c r="OZ71" i="5"/>
  <c r="OZ72" i="5"/>
  <c r="OZ73" i="5"/>
  <c r="OZ74" i="5"/>
  <c r="OZ75" i="5"/>
  <c r="OZ76" i="5"/>
  <c r="OZ77" i="5"/>
  <c r="OP56" i="5"/>
  <c r="OP57" i="5"/>
  <c r="OP58" i="5"/>
  <c r="OP59" i="5"/>
  <c r="OP60" i="5"/>
  <c r="OP61" i="5"/>
  <c r="OP62" i="5"/>
  <c r="OP63" i="5"/>
  <c r="OP64" i="5"/>
  <c r="OP65" i="5"/>
  <c r="OP66" i="5"/>
  <c r="OP67" i="5"/>
  <c r="OP68" i="5"/>
  <c r="OP69" i="5"/>
  <c r="OP70" i="5"/>
  <c r="OP71" i="5"/>
  <c r="OP72" i="5"/>
  <c r="OP73" i="5"/>
  <c r="OP74" i="5"/>
  <c r="OP75" i="5"/>
  <c r="OP76" i="5"/>
  <c r="OP77" i="5"/>
  <c r="OB56" i="5"/>
  <c r="OB57" i="5"/>
  <c r="OB58" i="5"/>
  <c r="OB59" i="5"/>
  <c r="OB60" i="5"/>
  <c r="OB61" i="5"/>
  <c r="OB62" i="5"/>
  <c r="OB63" i="5"/>
  <c r="OB64" i="5"/>
  <c r="OB65" i="5"/>
  <c r="OB66" i="5"/>
  <c r="OB67" i="5"/>
  <c r="OB68" i="5"/>
  <c r="OB69" i="5"/>
  <c r="OB70" i="5"/>
  <c r="OB71" i="5"/>
  <c r="OB72" i="5"/>
  <c r="OB73" i="5"/>
  <c r="OB74" i="5"/>
  <c r="OB75" i="5"/>
  <c r="OB76" i="5"/>
  <c r="OB77" i="5"/>
  <c r="OB55" i="5"/>
  <c r="NZ65" i="5"/>
  <c r="NZ66" i="5"/>
  <c r="NZ67" i="5"/>
  <c r="NZ68" i="5"/>
  <c r="NZ69" i="5"/>
  <c r="NZ70" i="5"/>
  <c r="NZ71" i="5"/>
  <c r="NZ72" i="5"/>
  <c r="NZ73" i="5"/>
  <c r="NZ74" i="5"/>
  <c r="NZ75" i="5"/>
  <c r="NZ76" i="5"/>
  <c r="NZ77" i="5"/>
  <c r="NP56" i="5"/>
  <c r="NP57" i="5"/>
  <c r="NP58" i="5"/>
  <c r="NP59" i="5"/>
  <c r="NP60" i="5"/>
  <c r="NP61" i="5"/>
  <c r="NP62" i="5"/>
  <c r="NP63" i="5"/>
  <c r="NP64" i="5"/>
  <c r="NP65" i="5"/>
  <c r="NP66" i="5"/>
  <c r="NP67" i="5"/>
  <c r="NP68" i="5"/>
  <c r="NP69" i="5"/>
  <c r="NP70" i="5"/>
  <c r="NP71" i="5"/>
  <c r="NP72" i="5"/>
  <c r="NP73" i="5"/>
  <c r="NP74" i="5"/>
  <c r="NP75" i="5"/>
  <c r="NP76" i="5"/>
  <c r="NP77" i="5"/>
  <c r="NP55" i="5"/>
  <c r="ND56" i="5"/>
  <c r="ND57" i="5"/>
  <c r="ND58" i="5"/>
  <c r="ND59" i="5"/>
  <c r="ND60" i="5"/>
  <c r="ND61" i="5"/>
  <c r="ND62" i="5"/>
  <c r="ND63" i="5"/>
  <c r="ND64" i="5"/>
  <c r="ND65" i="5"/>
  <c r="ND66" i="5"/>
  <c r="ND67" i="5"/>
  <c r="ND68" i="5"/>
  <c r="ND69" i="5"/>
  <c r="ND70" i="5"/>
  <c r="ND71" i="5"/>
  <c r="ND72" i="5"/>
  <c r="ND73" i="5"/>
  <c r="ND74" i="5"/>
  <c r="ND75" i="5"/>
  <c r="ND76" i="5"/>
  <c r="ND77" i="5"/>
  <c r="ND55" i="5"/>
  <c r="NB77" i="5"/>
  <c r="NB67" i="5"/>
  <c r="NB68" i="5"/>
  <c r="NB69" i="5"/>
  <c r="NB70" i="5"/>
  <c r="NB71" i="5"/>
  <c r="NB72" i="5"/>
  <c r="NB73" i="5"/>
  <c r="NB74" i="5"/>
  <c r="NB75" i="5"/>
  <c r="NB76" i="5"/>
  <c r="MR56" i="5"/>
  <c r="MR57" i="5"/>
  <c r="MR58" i="5"/>
  <c r="MR59" i="5"/>
  <c r="MR60" i="5"/>
  <c r="MR61" i="5"/>
  <c r="MR62" i="5"/>
  <c r="MR63" i="5"/>
  <c r="MR64" i="5"/>
  <c r="MR65" i="5"/>
  <c r="MR66" i="5"/>
  <c r="MR67" i="5"/>
  <c r="MR68" i="5"/>
  <c r="MR69" i="5"/>
  <c r="MR70" i="5"/>
  <c r="MR71" i="5"/>
  <c r="MR72" i="5"/>
  <c r="MR73" i="5"/>
  <c r="MR74" i="5"/>
  <c r="MR75" i="5"/>
  <c r="MR76" i="5"/>
  <c r="MR77" i="5"/>
  <c r="ME76" i="5"/>
  <c r="ME56" i="5"/>
  <c r="ME57" i="5"/>
  <c r="ME58" i="5"/>
  <c r="ME59" i="5"/>
  <c r="ME60" i="5"/>
  <c r="ME61" i="5"/>
  <c r="ME62" i="5"/>
  <c r="ME63" i="5"/>
  <c r="ME64" i="5"/>
  <c r="ME65" i="5"/>
  <c r="ME66" i="5"/>
  <c r="ME67" i="5"/>
  <c r="ME68" i="5"/>
  <c r="ME69" i="5"/>
  <c r="ME70" i="5"/>
  <c r="ME71" i="5"/>
  <c r="ME72" i="5"/>
  <c r="ME73" i="5"/>
  <c r="ME74" i="5"/>
  <c r="ME75" i="5"/>
  <c r="ME77" i="5"/>
  <c r="ME55" i="5"/>
  <c r="MC65" i="5"/>
  <c r="MC66" i="5"/>
  <c r="MC67" i="5"/>
  <c r="MC68" i="5"/>
  <c r="MC69" i="5"/>
  <c r="MC70" i="5"/>
  <c r="MC71" i="5"/>
  <c r="MC72" i="5"/>
  <c r="MC73" i="5"/>
  <c r="MC74" i="5"/>
  <c r="MC75" i="5"/>
  <c r="MC76" i="5"/>
  <c r="MC77" i="5"/>
  <c r="LS56" i="5"/>
  <c r="LS57" i="5"/>
  <c r="LS58" i="5"/>
  <c r="LS59" i="5"/>
  <c r="LS60" i="5"/>
  <c r="LS61" i="5"/>
  <c r="LS62" i="5"/>
  <c r="LS63" i="5"/>
  <c r="LS64" i="5"/>
  <c r="LS65" i="5"/>
  <c r="LS66" i="5"/>
  <c r="LS67" i="5"/>
  <c r="LS68" i="5"/>
  <c r="LS69" i="5"/>
  <c r="LS70" i="5"/>
  <c r="LS71" i="5"/>
  <c r="LS72" i="5"/>
  <c r="LS73" i="5"/>
  <c r="LS74" i="5"/>
  <c r="LS75" i="5"/>
  <c r="LS76" i="5"/>
  <c r="LS77" i="5"/>
  <c r="LS55" i="5"/>
  <c r="LG56" i="5"/>
  <c r="LG57" i="5"/>
  <c r="LG58" i="5"/>
  <c r="LG59" i="5"/>
  <c r="LG60" i="5"/>
  <c r="LG61" i="5"/>
  <c r="LG62" i="5"/>
  <c r="LG63" i="5"/>
  <c r="LG64" i="5"/>
  <c r="LG65" i="5"/>
  <c r="LG66" i="5"/>
  <c r="LG67" i="5"/>
  <c r="LG68" i="5"/>
  <c r="LG69" i="5"/>
  <c r="LG70" i="5"/>
  <c r="LG71" i="5"/>
  <c r="LG72" i="5"/>
  <c r="LG73" i="5"/>
  <c r="LG74" i="5"/>
  <c r="LG75" i="5"/>
  <c r="LG76" i="5"/>
  <c r="LG77" i="5"/>
  <c r="LG55" i="5"/>
  <c r="KU55" i="5"/>
  <c r="LE77" i="5"/>
  <c r="LE67" i="5"/>
  <c r="LE68" i="5"/>
  <c r="LE69" i="5"/>
  <c r="LE70" i="5"/>
  <c r="LE71" i="5"/>
  <c r="LE72" i="5"/>
  <c r="LE73" i="5"/>
  <c r="LE74" i="5"/>
  <c r="LE75" i="5"/>
  <c r="LE76" i="5"/>
  <c r="KU56" i="5"/>
  <c r="KU57" i="5"/>
  <c r="KU58" i="5"/>
  <c r="KU59" i="5"/>
  <c r="KU60" i="5"/>
  <c r="KU61" i="5"/>
  <c r="KU62" i="5"/>
  <c r="KU63" i="5"/>
  <c r="KU64" i="5"/>
  <c r="KU65" i="5"/>
  <c r="KU66" i="5"/>
  <c r="KU67" i="5"/>
  <c r="KU68" i="5"/>
  <c r="KU69" i="5"/>
  <c r="KU70" i="5"/>
  <c r="KU71" i="5"/>
  <c r="KU72" i="5"/>
  <c r="KU73" i="5"/>
  <c r="KU74" i="5"/>
  <c r="KU75" i="5"/>
  <c r="KU76" i="5"/>
  <c r="KU77" i="5"/>
  <c r="M55" i="5"/>
  <c r="SA78" i="5"/>
  <c r="SC58" i="5" s="1"/>
  <c r="RO78" i="5"/>
  <c r="RP60" i="5" s="1"/>
  <c r="RQ60" i="5" s="1"/>
  <c r="RC78" i="5"/>
  <c r="RD62" i="5" s="1"/>
  <c r="QQ78" i="5"/>
  <c r="QR63" i="5" s="1"/>
  <c r="PR78" i="5"/>
  <c r="PS55" i="5" s="1"/>
  <c r="PT55" i="5" s="1"/>
  <c r="PF78" i="5"/>
  <c r="PH67" i="5" s="1"/>
  <c r="OT78" i="5"/>
  <c r="OU66" i="5" s="1"/>
  <c r="OV66" i="5" s="1"/>
  <c r="OF78" i="5"/>
  <c r="OH61" i="5" s="1"/>
  <c r="NT78" i="5"/>
  <c r="NU62" i="5" s="1"/>
  <c r="NV62" i="5" s="1"/>
  <c r="NH78" i="5"/>
  <c r="NI56" i="5" s="1"/>
  <c r="MV78" i="5"/>
  <c r="MW65" i="5" s="1"/>
  <c r="MX65" i="5" s="1"/>
  <c r="LK78" i="5"/>
  <c r="MI78" i="5"/>
  <c r="MK55" i="5" s="1"/>
  <c r="LW78" i="5"/>
  <c r="LX61" i="5" s="1"/>
  <c r="LY61" i="5" s="1"/>
  <c r="KY78" i="5"/>
  <c r="KZ65" i="5" s="1"/>
  <c r="LA65" i="5" s="1"/>
  <c r="RD59" i="5" l="1"/>
  <c r="RD58" i="5"/>
  <c r="RD64" i="5"/>
  <c r="RE64" i="5"/>
  <c r="RD63" i="5"/>
  <c r="RD66" i="5"/>
  <c r="RE66" i="5" s="1"/>
  <c r="QR65" i="5"/>
  <c r="QS65" i="5" s="1"/>
  <c r="RD55" i="5"/>
  <c r="RE55" i="5" s="1"/>
  <c r="PG56" i="5"/>
  <c r="PH56" i="5" s="1"/>
  <c r="PG57" i="5"/>
  <c r="PH57" i="5" s="1"/>
  <c r="PG58" i="5"/>
  <c r="OU59" i="5"/>
  <c r="OV59" i="5" s="1"/>
  <c r="PG60" i="5"/>
  <c r="PH60" i="5" s="1"/>
  <c r="PG61" i="5"/>
  <c r="PH61" i="5" s="1"/>
  <c r="PG62" i="5"/>
  <c r="PG59" i="5"/>
  <c r="PH59" i="5" s="1"/>
  <c r="PG64" i="5"/>
  <c r="PH64" i="5" s="1"/>
  <c r="PG65" i="5"/>
  <c r="PH65" i="5" s="1"/>
  <c r="PG66" i="5"/>
  <c r="OU56" i="5"/>
  <c r="OV56" i="5" s="1"/>
  <c r="PG63" i="5"/>
  <c r="PH63" i="5" s="1"/>
  <c r="OU65" i="5"/>
  <c r="OV65" i="5" s="1"/>
  <c r="PG55" i="5"/>
  <c r="MW66" i="5"/>
  <c r="MX66" i="5" s="1"/>
  <c r="NI62" i="5"/>
  <c r="MW62" i="5"/>
  <c r="MX62" i="5" s="1"/>
  <c r="NJ57" i="5"/>
  <c r="MW59" i="5"/>
  <c r="MX59" i="5" s="1"/>
  <c r="NI61" i="5"/>
  <c r="NJ61" i="5" s="1"/>
  <c r="NI60" i="5"/>
  <c r="NJ60" i="5" s="1"/>
  <c r="NI55" i="5"/>
  <c r="LL59" i="5"/>
  <c r="LM59" i="5" s="1"/>
  <c r="LL62" i="5"/>
  <c r="LM62" i="5" s="1"/>
  <c r="LL64" i="5"/>
  <c r="LM64" i="5" s="1"/>
  <c r="LL58" i="5"/>
  <c r="LL63" i="5"/>
  <c r="LM63" i="5" s="1"/>
  <c r="LL55" i="5"/>
  <c r="LL66" i="5"/>
  <c r="LM66" i="5" s="1"/>
  <c r="QR60" i="5"/>
  <c r="QS60" i="5" s="1"/>
  <c r="QR57" i="5"/>
  <c r="QS57" i="5" s="1"/>
  <c r="RP55" i="5"/>
  <c r="RP59" i="5"/>
  <c r="RQ59" i="5" s="1"/>
  <c r="RP56" i="5"/>
  <c r="RQ56" i="5" s="1"/>
  <c r="QR62" i="5"/>
  <c r="QS62" i="5" s="1"/>
  <c r="QR59" i="5"/>
  <c r="QS59" i="5" s="1"/>
  <c r="QR64" i="5"/>
  <c r="QS64" i="5" s="1"/>
  <c r="QR61" i="5"/>
  <c r="QS61" i="5" s="1"/>
  <c r="QR58" i="5"/>
  <c r="QS58" i="5" s="1"/>
  <c r="RP61" i="5"/>
  <c r="RQ61" i="5" s="1"/>
  <c r="QR56" i="5"/>
  <c r="RP63" i="5"/>
  <c r="RQ63" i="5" s="1"/>
  <c r="QR55" i="5"/>
  <c r="QS55" i="5" s="1"/>
  <c r="OU63" i="5"/>
  <c r="OV63" i="5" s="1"/>
  <c r="OU60" i="5"/>
  <c r="OV60" i="5" s="1"/>
  <c r="OU57" i="5"/>
  <c r="OV57" i="5" s="1"/>
  <c r="OU58" i="5"/>
  <c r="OV58" i="5" s="1"/>
  <c r="OU64" i="5"/>
  <c r="OV64" i="5" s="1"/>
  <c r="OU61" i="5"/>
  <c r="OV61" i="5" s="1"/>
  <c r="OU62" i="5"/>
  <c r="OV62" i="5" s="1"/>
  <c r="PS64" i="5"/>
  <c r="PT64" i="5" s="1"/>
  <c r="PS61" i="5"/>
  <c r="PT61" i="5" s="1"/>
  <c r="PS58" i="5"/>
  <c r="MW55" i="5"/>
  <c r="MX55" i="5" s="1"/>
  <c r="MW63" i="5"/>
  <c r="MX63" i="5" s="1"/>
  <c r="MW56" i="5"/>
  <c r="NU64" i="5"/>
  <c r="NV64" i="5" s="1"/>
  <c r="NU57" i="5"/>
  <c r="NU58" i="5"/>
  <c r="NV58" i="5" s="1"/>
  <c r="MW60" i="5"/>
  <c r="MX60" i="5" s="1"/>
  <c r="MW57" i="5"/>
  <c r="MX57" i="5" s="1"/>
  <c r="MW58" i="5"/>
  <c r="MX58" i="5" s="1"/>
  <c r="NU61" i="5"/>
  <c r="NV61" i="5" s="1"/>
  <c r="MW64" i="5"/>
  <c r="MX64" i="5" s="1"/>
  <c r="MW61" i="5"/>
  <c r="MX61" i="5" s="1"/>
  <c r="KZ60" i="5"/>
  <c r="LA60" i="5" s="1"/>
  <c r="LX62" i="5"/>
  <c r="LY62" i="5" s="1"/>
  <c r="KZ64" i="5"/>
  <c r="LA64" i="5" s="1"/>
  <c r="LX57" i="5"/>
  <c r="LY57" i="5" s="1"/>
  <c r="LX63" i="5"/>
  <c r="LY63" i="5" s="1"/>
  <c r="KZ58" i="5"/>
  <c r="LA58" i="5" s="1"/>
  <c r="KZ62" i="5"/>
  <c r="LA62" i="5" s="1"/>
  <c r="LX55" i="5"/>
  <c r="LX56" i="5"/>
  <c r="LY56" i="5" s="1"/>
  <c r="KZ59" i="5"/>
  <c r="LA59" i="5" s="1"/>
  <c r="KZ57" i="5"/>
  <c r="LA57" i="5" s="1"/>
  <c r="KZ55" i="5"/>
  <c r="LA55" i="5" s="1"/>
  <c r="KZ56" i="5"/>
  <c r="LX64" i="5"/>
  <c r="LY64" i="5" s="1"/>
  <c r="KZ63" i="5"/>
  <c r="LA63" i="5" s="1"/>
  <c r="KZ61" i="5"/>
  <c r="LA61" i="5" s="1"/>
  <c r="QS63" i="5"/>
  <c r="OH65" i="5"/>
  <c r="MK76" i="5"/>
  <c r="OH69" i="5"/>
  <c r="OH75" i="5"/>
  <c r="LM75" i="5"/>
  <c r="PH68" i="5"/>
  <c r="RE72" i="5"/>
  <c r="NJ63" i="5"/>
  <c r="NJ73" i="5"/>
  <c r="NJ64" i="5"/>
  <c r="MK65" i="5"/>
  <c r="MK62" i="5"/>
  <c r="MK67" i="5"/>
  <c r="NJ62" i="5"/>
  <c r="RE75" i="5"/>
  <c r="NJ75" i="5"/>
  <c r="MK61" i="5"/>
  <c r="MK63" i="5"/>
  <c r="RE77" i="5"/>
  <c r="OH76" i="5"/>
  <c r="NJ76" i="5"/>
  <c r="NJ77" i="5"/>
  <c r="MK68" i="5"/>
  <c r="MK77" i="5"/>
  <c r="MK72" i="5"/>
  <c r="LM77" i="5"/>
  <c r="LM61" i="5"/>
  <c r="LM65" i="5"/>
  <c r="LM69" i="5"/>
  <c r="LM73" i="5"/>
  <c r="LN76" i="5"/>
  <c r="LN72" i="5"/>
  <c r="LN68" i="5"/>
  <c r="ML76" i="5"/>
  <c r="ML72" i="5"/>
  <c r="ML68" i="5"/>
  <c r="MK75" i="5"/>
  <c r="LM74" i="5"/>
  <c r="MK73" i="5"/>
  <c r="LM71" i="5"/>
  <c r="MK74" i="5"/>
  <c r="LM76" i="5"/>
  <c r="MK64" i="5"/>
  <c r="LN75" i="5"/>
  <c r="LN71" i="5"/>
  <c r="LN67" i="5"/>
  <c r="LN77" i="5"/>
  <c r="ML75" i="5"/>
  <c r="ML71" i="5"/>
  <c r="ML67" i="5"/>
  <c r="LN74" i="5"/>
  <c r="LN70" i="5"/>
  <c r="ML74" i="5"/>
  <c r="ML70" i="5"/>
  <c r="ML66" i="5"/>
  <c r="LN73" i="5"/>
  <c r="LN69" i="5"/>
  <c r="ML77" i="5"/>
  <c r="ML73" i="5"/>
  <c r="ML69" i="5"/>
  <c r="ML65" i="5"/>
  <c r="MK66" i="5"/>
  <c r="MK69" i="5"/>
  <c r="LM67" i="5"/>
  <c r="MK70" i="5"/>
  <c r="LM72" i="5"/>
  <c r="MK71" i="5"/>
  <c r="LM70" i="5"/>
  <c r="OI75" i="5"/>
  <c r="OI71" i="5"/>
  <c r="OI67" i="5"/>
  <c r="NK75" i="5"/>
  <c r="NK71" i="5"/>
  <c r="NK67" i="5"/>
  <c r="NK77" i="5"/>
  <c r="OI74" i="5"/>
  <c r="OI70" i="5"/>
  <c r="OI66" i="5"/>
  <c r="MQ70" i="5"/>
  <c r="MP70" i="5" s="1"/>
  <c r="NK73" i="5"/>
  <c r="NK69" i="5"/>
  <c r="OI76" i="5"/>
  <c r="OI72" i="5"/>
  <c r="OI68" i="5"/>
  <c r="OH72" i="5"/>
  <c r="NJ74" i="5"/>
  <c r="NJ68" i="5"/>
  <c r="OH71" i="5"/>
  <c r="NJ69" i="5"/>
  <c r="NJ67" i="5"/>
  <c r="NK76" i="5"/>
  <c r="NK72" i="5"/>
  <c r="NK68" i="5"/>
  <c r="OH60" i="5"/>
  <c r="OH70" i="5"/>
  <c r="OH62" i="5"/>
  <c r="OH66" i="5"/>
  <c r="OH74" i="5"/>
  <c r="OH64" i="5"/>
  <c r="OH63" i="5"/>
  <c r="OH73" i="5"/>
  <c r="NK74" i="5"/>
  <c r="NK70" i="5"/>
  <c r="OI77" i="5"/>
  <c r="OI73" i="5"/>
  <c r="OI69" i="5"/>
  <c r="OI65" i="5"/>
  <c r="OH68" i="5"/>
  <c r="NJ66" i="5"/>
  <c r="NJ71" i="5"/>
  <c r="OH67" i="5"/>
  <c r="NJ65" i="5"/>
  <c r="NJ70" i="5"/>
  <c r="OH77" i="5"/>
  <c r="NJ72" i="5"/>
  <c r="PI70" i="5"/>
  <c r="PH70" i="5"/>
  <c r="PH62" i="5"/>
  <c r="PH66" i="5"/>
  <c r="PH74" i="5"/>
  <c r="PH69" i="5"/>
  <c r="PH73" i="5"/>
  <c r="PI77" i="5"/>
  <c r="PI73" i="5"/>
  <c r="PI69" i="5"/>
  <c r="PH71" i="5"/>
  <c r="OO69" i="5"/>
  <c r="ON69" i="5" s="1"/>
  <c r="PI76" i="5"/>
  <c r="PI72" i="5"/>
  <c r="PI68" i="5"/>
  <c r="PM71" i="5"/>
  <c r="PL71" i="5" s="1"/>
  <c r="PQ71" i="5" s="1"/>
  <c r="QG74" i="5"/>
  <c r="QG70" i="5"/>
  <c r="QG66" i="5"/>
  <c r="PH77" i="5"/>
  <c r="PH75" i="5"/>
  <c r="PI74" i="5"/>
  <c r="QG76" i="5"/>
  <c r="QG72" i="5"/>
  <c r="QG68" i="5"/>
  <c r="QG75" i="5"/>
  <c r="QG71" i="5"/>
  <c r="QG67" i="5"/>
  <c r="PH76" i="5"/>
  <c r="PI75" i="5"/>
  <c r="PI71" i="5"/>
  <c r="PI67" i="5"/>
  <c r="QG77" i="5"/>
  <c r="QG73" i="5"/>
  <c r="QG69" i="5"/>
  <c r="QG65" i="5"/>
  <c r="PH72" i="5"/>
  <c r="RF77" i="5"/>
  <c r="RF73" i="5"/>
  <c r="RF69" i="5"/>
  <c r="SD74" i="5"/>
  <c r="SD70" i="5"/>
  <c r="SD66" i="5"/>
  <c r="SC75" i="5"/>
  <c r="RE63" i="5"/>
  <c r="RE76" i="5"/>
  <c r="RF74" i="5"/>
  <c r="RF70" i="5"/>
  <c r="QX69" i="5"/>
  <c r="SD76" i="5"/>
  <c r="SD72" i="5"/>
  <c r="SD68" i="5"/>
  <c r="RE68" i="5"/>
  <c r="SC76" i="5"/>
  <c r="SC73" i="5"/>
  <c r="RE71" i="5"/>
  <c r="SC71" i="5"/>
  <c r="SD75" i="5"/>
  <c r="SD71" i="5"/>
  <c r="SD67" i="5"/>
  <c r="SC63" i="5"/>
  <c r="SC61" i="5"/>
  <c r="SC77" i="5"/>
  <c r="RE61" i="5"/>
  <c r="RE65" i="5"/>
  <c r="RE69" i="5"/>
  <c r="RE73" i="5"/>
  <c r="RE62" i="5"/>
  <c r="RE70" i="5"/>
  <c r="RE74" i="5"/>
  <c r="RF76" i="5"/>
  <c r="RF72" i="5"/>
  <c r="RF68" i="5"/>
  <c r="SC62" i="5"/>
  <c r="SC65" i="5"/>
  <c r="SC66" i="5"/>
  <c r="SC68" i="5"/>
  <c r="RF75" i="5"/>
  <c r="RF71" i="5"/>
  <c r="RF67" i="5"/>
  <c r="SD77" i="5"/>
  <c r="SD73" i="5"/>
  <c r="SD69" i="5"/>
  <c r="SD65" i="5"/>
  <c r="SC74" i="5"/>
  <c r="SC64" i="5"/>
  <c r="SC69" i="5"/>
  <c r="RE67" i="5"/>
  <c r="SC70" i="5"/>
  <c r="SC67" i="5"/>
  <c r="SC72" i="5"/>
  <c r="RE60" i="5"/>
  <c r="SC60" i="5"/>
  <c r="LM56" i="5"/>
  <c r="LM60" i="5"/>
  <c r="MK60" i="5"/>
  <c r="MK57" i="5"/>
  <c r="QF78" i="5"/>
  <c r="BA112" i="6" s="1"/>
  <c r="QE78" i="5"/>
  <c r="RE57" i="5"/>
  <c r="NJ58" i="5"/>
  <c r="MK59" i="5"/>
  <c r="SC56" i="5"/>
  <c r="SC57" i="5"/>
  <c r="RE58" i="5"/>
  <c r="RE59" i="5"/>
  <c r="SC59" i="5"/>
  <c r="PH58" i="5"/>
  <c r="OH57" i="5"/>
  <c r="OH55" i="5"/>
  <c r="OH58" i="5"/>
  <c r="OH56" i="5"/>
  <c r="NJ59" i="5"/>
  <c r="NJ56" i="5"/>
  <c r="OH59" i="5"/>
  <c r="LM57" i="5"/>
  <c r="LM58" i="5"/>
  <c r="MK56" i="5"/>
  <c r="MK58" i="5"/>
  <c r="MR78" i="5"/>
  <c r="MQ55" i="5" s="1"/>
  <c r="MP55" i="5" s="1"/>
  <c r="LO76" i="5"/>
  <c r="LI76" i="5"/>
  <c r="LJ76" i="5"/>
  <c r="LH76" i="5"/>
  <c r="LO68" i="5"/>
  <c r="LH68" i="5"/>
  <c r="LI68" i="5"/>
  <c r="LJ68" i="5"/>
  <c r="MM72" i="5"/>
  <c r="MH72" i="5"/>
  <c r="MG72" i="5"/>
  <c r="MF72" i="5"/>
  <c r="NL72" i="5"/>
  <c r="NE72" i="5"/>
  <c r="NG72" i="5"/>
  <c r="NF72" i="5"/>
  <c r="NL68" i="5"/>
  <c r="NE68" i="5"/>
  <c r="NF68" i="5"/>
  <c r="NG68" i="5"/>
  <c r="OJ75" i="5"/>
  <c r="OE75" i="5"/>
  <c r="OC75" i="5"/>
  <c r="OD75" i="5"/>
  <c r="OJ71" i="5"/>
  <c r="OE71" i="5"/>
  <c r="OC71" i="5"/>
  <c r="OD71" i="5"/>
  <c r="PJ76" i="5"/>
  <c r="PE76" i="5"/>
  <c r="PC76" i="5"/>
  <c r="PD76" i="5"/>
  <c r="PJ68" i="5"/>
  <c r="PE68" i="5"/>
  <c r="PC68" i="5"/>
  <c r="PD68" i="5"/>
  <c r="QH66" i="5"/>
  <c r="QB66" i="5"/>
  <c r="QC66" i="5"/>
  <c r="QA66" i="5"/>
  <c r="RG67" i="5"/>
  <c r="RB67" i="5"/>
  <c r="QZ67" i="5"/>
  <c r="RA67" i="5"/>
  <c r="SE77" i="5"/>
  <c r="RX77" i="5"/>
  <c r="RZ77" i="5"/>
  <c r="RY77" i="5"/>
  <c r="SE69" i="5"/>
  <c r="RX69" i="5"/>
  <c r="RZ69" i="5"/>
  <c r="RY69" i="5"/>
  <c r="KU78" i="5"/>
  <c r="KT55" i="5" s="1"/>
  <c r="KS55" i="5" s="1"/>
  <c r="LO75" i="5"/>
  <c r="LJ75" i="5"/>
  <c r="LI75" i="5"/>
  <c r="LH75" i="5"/>
  <c r="LO67" i="5"/>
  <c r="LJ67" i="5"/>
  <c r="LI67" i="5"/>
  <c r="LH67" i="5"/>
  <c r="MM71" i="5"/>
  <c r="MH71" i="5"/>
  <c r="MG71" i="5"/>
  <c r="MF71" i="5"/>
  <c r="NL71" i="5"/>
  <c r="NG71" i="5"/>
  <c r="NF71" i="5"/>
  <c r="NE71" i="5"/>
  <c r="OJ74" i="5"/>
  <c r="OC74" i="5"/>
  <c r="OE74" i="5"/>
  <c r="OD74" i="5"/>
  <c r="OJ66" i="5"/>
  <c r="OC66" i="5"/>
  <c r="OD66" i="5"/>
  <c r="OE66" i="5"/>
  <c r="OP78" i="5"/>
  <c r="OO55" i="5" s="1"/>
  <c r="ON55" i="5" s="1"/>
  <c r="PJ67" i="5"/>
  <c r="PE67" i="5"/>
  <c r="PC67" i="5"/>
  <c r="PD67" i="5"/>
  <c r="QH77" i="5"/>
  <c r="QA77" i="5"/>
  <c r="QB77" i="5"/>
  <c r="QC77" i="5"/>
  <c r="QH69" i="5"/>
  <c r="QA69" i="5"/>
  <c r="QB69" i="5"/>
  <c r="QC69" i="5"/>
  <c r="RG74" i="5"/>
  <c r="RB74" i="5"/>
  <c r="QZ74" i="5"/>
  <c r="RA74" i="5"/>
  <c r="SE76" i="5"/>
  <c r="RZ76" i="5"/>
  <c r="RY76" i="5"/>
  <c r="RX76" i="5"/>
  <c r="SE72" i="5"/>
  <c r="RZ72" i="5"/>
  <c r="RY72" i="5"/>
  <c r="RX72" i="5"/>
  <c r="SE68" i="5"/>
  <c r="RZ68" i="5"/>
  <c r="RY68" i="5"/>
  <c r="RX68" i="5"/>
  <c r="LO74" i="5"/>
  <c r="LJ74" i="5"/>
  <c r="LH74" i="5"/>
  <c r="LI74" i="5"/>
  <c r="LO70" i="5"/>
  <c r="LJ70" i="5"/>
  <c r="LH70" i="5"/>
  <c r="LI70" i="5"/>
  <c r="MM74" i="5"/>
  <c r="MG74" i="5"/>
  <c r="MH74" i="5"/>
  <c r="MF74" i="5"/>
  <c r="MM70" i="5"/>
  <c r="MG70" i="5"/>
  <c r="MH70" i="5"/>
  <c r="MF70" i="5"/>
  <c r="MM66" i="5"/>
  <c r="MG66" i="5"/>
  <c r="MH66" i="5"/>
  <c r="MF66" i="5"/>
  <c r="NL74" i="5"/>
  <c r="NG74" i="5"/>
  <c r="NE74" i="5"/>
  <c r="NF74" i="5"/>
  <c r="NL70" i="5"/>
  <c r="NG70" i="5"/>
  <c r="NE70" i="5"/>
  <c r="NF70" i="5"/>
  <c r="OJ77" i="5"/>
  <c r="OE77" i="5"/>
  <c r="OD77" i="5"/>
  <c r="OC77" i="5"/>
  <c r="OJ73" i="5"/>
  <c r="OE73" i="5"/>
  <c r="OC73" i="5"/>
  <c r="OD73" i="5"/>
  <c r="OJ69" i="5"/>
  <c r="OE69" i="5"/>
  <c r="OC69" i="5"/>
  <c r="OD69" i="5"/>
  <c r="OJ65" i="5"/>
  <c r="OE65" i="5"/>
  <c r="OC65" i="5"/>
  <c r="OD65" i="5"/>
  <c r="PJ74" i="5"/>
  <c r="PE74" i="5"/>
  <c r="PC74" i="5"/>
  <c r="PD74" i="5"/>
  <c r="PJ70" i="5"/>
  <c r="PE70" i="5"/>
  <c r="PC70" i="5"/>
  <c r="PD70" i="5"/>
  <c r="PN78" i="5"/>
  <c r="PM55" i="5" s="1"/>
  <c r="QH76" i="5"/>
  <c r="QA76" i="5"/>
  <c r="QC76" i="5"/>
  <c r="QB76" i="5"/>
  <c r="QH72" i="5"/>
  <c r="QA72" i="5"/>
  <c r="QB72" i="5"/>
  <c r="QC72" i="5"/>
  <c r="QH68" i="5"/>
  <c r="QA68" i="5"/>
  <c r="QC68" i="5"/>
  <c r="QB68" i="5"/>
  <c r="RG77" i="5"/>
  <c r="RB77" i="5"/>
  <c r="QZ77" i="5"/>
  <c r="RA77" i="5"/>
  <c r="RG73" i="5"/>
  <c r="QZ73" i="5"/>
  <c r="RA73" i="5"/>
  <c r="RB73" i="5"/>
  <c r="RG69" i="5"/>
  <c r="RB69" i="5"/>
  <c r="QZ69" i="5"/>
  <c r="RA69" i="5"/>
  <c r="SE75" i="5"/>
  <c r="RX75" i="5"/>
  <c r="RY75" i="5"/>
  <c r="RZ75" i="5"/>
  <c r="SE71" i="5"/>
  <c r="RX71" i="5"/>
  <c r="RY71" i="5"/>
  <c r="RZ71" i="5"/>
  <c r="SE67" i="5"/>
  <c r="RX67" i="5"/>
  <c r="RY67" i="5"/>
  <c r="RZ67" i="5"/>
  <c r="LO72" i="5"/>
  <c r="LJ72" i="5"/>
  <c r="LH72" i="5"/>
  <c r="LI72" i="5"/>
  <c r="MM76" i="5"/>
  <c r="MH76" i="5"/>
  <c r="MG76" i="5"/>
  <c r="MF76" i="5"/>
  <c r="MM68" i="5"/>
  <c r="MH68" i="5"/>
  <c r="MG68" i="5"/>
  <c r="MF68" i="5"/>
  <c r="NL76" i="5"/>
  <c r="NE76" i="5"/>
  <c r="NG76" i="5"/>
  <c r="NF76" i="5"/>
  <c r="OJ67" i="5"/>
  <c r="OE67" i="5"/>
  <c r="OC67" i="5"/>
  <c r="OD67" i="5"/>
  <c r="PJ72" i="5"/>
  <c r="PE72" i="5"/>
  <c r="PC72" i="5"/>
  <c r="PD72" i="5"/>
  <c r="PB78" i="5"/>
  <c r="PA74" i="5" s="1"/>
  <c r="QH74" i="5"/>
  <c r="QB74" i="5"/>
  <c r="QC74" i="5"/>
  <c r="QA74" i="5"/>
  <c r="QH70" i="5"/>
  <c r="QB70" i="5"/>
  <c r="QC70" i="5"/>
  <c r="QA70" i="5"/>
  <c r="PZ78" i="5"/>
  <c r="RG75" i="5"/>
  <c r="RB75" i="5"/>
  <c r="QZ75" i="5"/>
  <c r="RA75" i="5"/>
  <c r="RG71" i="5"/>
  <c r="RB71" i="5"/>
  <c r="QZ71" i="5"/>
  <c r="RA71" i="5"/>
  <c r="SE73" i="5"/>
  <c r="RX73" i="5"/>
  <c r="RZ73" i="5"/>
  <c r="RY73" i="5"/>
  <c r="SE65" i="5"/>
  <c r="RX65" i="5"/>
  <c r="RZ65" i="5"/>
  <c r="RY65" i="5"/>
  <c r="QY78" i="5"/>
  <c r="QX57" i="5" s="1"/>
  <c r="QW57" i="5" s="1"/>
  <c r="QZ57" i="5" s="1"/>
  <c r="LO71" i="5"/>
  <c r="LJ71" i="5"/>
  <c r="LH71" i="5"/>
  <c r="LI71" i="5"/>
  <c r="LO77" i="5"/>
  <c r="LI77" i="5"/>
  <c r="LH77" i="5"/>
  <c r="LJ77" i="5"/>
  <c r="MM75" i="5"/>
  <c r="MH75" i="5"/>
  <c r="MG75" i="5"/>
  <c r="MF75" i="5"/>
  <c r="MM67" i="5"/>
  <c r="MG67" i="5"/>
  <c r="MF67" i="5"/>
  <c r="MH67" i="5"/>
  <c r="NL75" i="5"/>
  <c r="NG75" i="5"/>
  <c r="NF75" i="5"/>
  <c r="NE75" i="5"/>
  <c r="NL67" i="5"/>
  <c r="NG67" i="5"/>
  <c r="NF67" i="5"/>
  <c r="NE67" i="5"/>
  <c r="NL77" i="5"/>
  <c r="NG77" i="5"/>
  <c r="NE77" i="5"/>
  <c r="NF77" i="5"/>
  <c r="OJ70" i="5"/>
  <c r="OC70" i="5"/>
  <c r="OE70" i="5"/>
  <c r="OD70" i="5"/>
  <c r="PJ75" i="5"/>
  <c r="PE75" i="5"/>
  <c r="PC75" i="5"/>
  <c r="PD75" i="5"/>
  <c r="PJ71" i="5"/>
  <c r="PE71" i="5"/>
  <c r="PC71" i="5"/>
  <c r="PD71" i="5"/>
  <c r="QH73" i="5"/>
  <c r="QA73" i="5"/>
  <c r="QB73" i="5"/>
  <c r="QC73" i="5"/>
  <c r="QH65" i="5"/>
  <c r="QA65" i="5"/>
  <c r="QB65" i="5"/>
  <c r="QC65" i="5"/>
  <c r="RG70" i="5"/>
  <c r="RB70" i="5"/>
  <c r="RA70" i="5"/>
  <c r="QZ70" i="5"/>
  <c r="LO73" i="5"/>
  <c r="LJ73" i="5"/>
  <c r="LI73" i="5"/>
  <c r="LH73" i="5"/>
  <c r="LO69" i="5"/>
  <c r="LI69" i="5"/>
  <c r="LJ69" i="5"/>
  <c r="LH69" i="5"/>
  <c r="MM77" i="5"/>
  <c r="MH77" i="5"/>
  <c r="MF77" i="5"/>
  <c r="MG77" i="5"/>
  <c r="MM73" i="5"/>
  <c r="MH73" i="5"/>
  <c r="MF73" i="5"/>
  <c r="MG73" i="5"/>
  <c r="MM69" i="5"/>
  <c r="MH69" i="5"/>
  <c r="MF69" i="5"/>
  <c r="MG69" i="5"/>
  <c r="MM65" i="5"/>
  <c r="MH65" i="5"/>
  <c r="MF65" i="5"/>
  <c r="MG65" i="5"/>
  <c r="NL73" i="5"/>
  <c r="NG73" i="5"/>
  <c r="NE73" i="5"/>
  <c r="NF73" i="5"/>
  <c r="NL69" i="5"/>
  <c r="NG69" i="5"/>
  <c r="NE69" i="5"/>
  <c r="NF69" i="5"/>
  <c r="ND78" i="5"/>
  <c r="OJ76" i="5"/>
  <c r="OE76" i="5"/>
  <c r="OC76" i="5"/>
  <c r="OD76" i="5"/>
  <c r="OJ72" i="5"/>
  <c r="OE72" i="5"/>
  <c r="OC72" i="5"/>
  <c r="OD72" i="5"/>
  <c r="OJ68" i="5"/>
  <c r="OE68" i="5"/>
  <c r="OC68" i="5"/>
  <c r="OD68" i="5"/>
  <c r="PJ77" i="5"/>
  <c r="PC77" i="5"/>
  <c r="PE77" i="5"/>
  <c r="PD77" i="5"/>
  <c r="PJ73" i="5"/>
  <c r="PC73" i="5"/>
  <c r="PE73" i="5"/>
  <c r="PD73" i="5"/>
  <c r="PJ69" i="5"/>
  <c r="PC69" i="5"/>
  <c r="PE69" i="5"/>
  <c r="PD69" i="5"/>
  <c r="QH75" i="5"/>
  <c r="QC75" i="5"/>
  <c r="QA75" i="5"/>
  <c r="QB75" i="5"/>
  <c r="QH71" i="5"/>
  <c r="QC71" i="5"/>
  <c r="QB71" i="5"/>
  <c r="QA71" i="5"/>
  <c r="QH67" i="5"/>
  <c r="QC67" i="5"/>
  <c r="QA67" i="5"/>
  <c r="QB67" i="5"/>
  <c r="QM78" i="5"/>
  <c r="QL55" i="5" s="1"/>
  <c r="QK55" i="5" s="1"/>
  <c r="RG76" i="5"/>
  <c r="QZ76" i="5"/>
  <c r="RB76" i="5"/>
  <c r="RA76" i="5"/>
  <c r="RG72" i="5"/>
  <c r="QZ72" i="5"/>
  <c r="RB72" i="5"/>
  <c r="RA72" i="5"/>
  <c r="RG68" i="5"/>
  <c r="QZ68" i="5"/>
  <c r="RB68" i="5"/>
  <c r="RA68" i="5"/>
  <c r="SE74" i="5"/>
  <c r="RX74" i="5"/>
  <c r="RY74" i="5"/>
  <c r="RZ74" i="5"/>
  <c r="SE70" i="5"/>
  <c r="RY70" i="5"/>
  <c r="RZ70" i="5"/>
  <c r="RX70" i="5"/>
  <c r="SE66" i="5"/>
  <c r="RZ66" i="5"/>
  <c r="RX66" i="5"/>
  <c r="RY66" i="5"/>
  <c r="RW78" i="5"/>
  <c r="RV75" i="5" s="1"/>
  <c r="RK78" i="5"/>
  <c r="RJ58" i="5" s="1"/>
  <c r="RI58" i="5" s="1"/>
  <c r="ME78" i="5"/>
  <c r="MD56" i="5" s="1"/>
  <c r="MC56" i="5" s="1"/>
  <c r="MF56" i="5" s="1"/>
  <c r="NP78" i="5"/>
  <c r="OB78" i="5"/>
  <c r="OA55" i="5" s="1"/>
  <c r="NZ55" i="5" s="1"/>
  <c r="OI55" i="5" s="1"/>
  <c r="LS78" i="5"/>
  <c r="LR57" i="5" s="1"/>
  <c r="LQ57" i="5" s="1"/>
  <c r="LG78" i="5"/>
  <c r="LF68" i="5" s="1"/>
  <c r="BG144" i="6"/>
  <c r="BF144" i="6"/>
  <c r="BE144" i="6"/>
  <c r="BD144" i="6"/>
  <c r="BG143" i="6"/>
  <c r="BF143" i="6"/>
  <c r="BE143" i="6"/>
  <c r="BD143" i="6"/>
  <c r="BA144" i="6"/>
  <c r="AZ144" i="6"/>
  <c r="AY144" i="6"/>
  <c r="AX144" i="6"/>
  <c r="BA143" i="6"/>
  <c r="AZ143" i="6"/>
  <c r="AY143" i="6"/>
  <c r="AX143" i="6"/>
  <c r="AU144" i="6"/>
  <c r="AT144" i="6"/>
  <c r="AS144" i="6"/>
  <c r="AR144" i="6"/>
  <c r="AU143" i="6"/>
  <c r="AT143" i="6"/>
  <c r="AS143" i="6"/>
  <c r="AR143" i="6"/>
  <c r="AO144" i="6"/>
  <c r="AN144" i="6"/>
  <c r="AM144" i="6"/>
  <c r="AL144" i="6"/>
  <c r="AO143" i="6"/>
  <c r="AN143" i="6"/>
  <c r="AM143" i="6"/>
  <c r="AL143" i="6"/>
  <c r="C35" i="7"/>
  <c r="C37" i="7"/>
  <c r="C36" i="7"/>
  <c r="C34" i="7"/>
  <c r="HB120" i="6" l="1"/>
  <c r="HC120" i="6"/>
  <c r="JN120" i="6"/>
  <c r="JM120" i="6"/>
  <c r="HX120" i="6"/>
  <c r="HW120" i="6"/>
  <c r="OR69" i="5"/>
  <c r="IS134" i="6"/>
  <c r="IR134" i="6"/>
  <c r="MT70" i="5"/>
  <c r="HX135" i="6"/>
  <c r="HW135" i="6"/>
  <c r="IR120" i="6"/>
  <c r="IS120" i="6"/>
  <c r="OE55" i="5"/>
  <c r="AI34" i="7"/>
  <c r="AG34" i="7"/>
  <c r="AH34" i="7"/>
  <c r="AG36" i="7"/>
  <c r="AH36" i="7"/>
  <c r="AI36" i="7"/>
  <c r="AH37" i="7"/>
  <c r="AI37" i="7"/>
  <c r="AG37" i="7"/>
  <c r="AI35" i="7"/>
  <c r="AG35" i="7"/>
  <c r="AH35" i="7"/>
  <c r="OJ55" i="5"/>
  <c r="RQ55" i="5"/>
  <c r="RQ78" i="5" s="1"/>
  <c r="BF112" i="6" s="1"/>
  <c r="RP78" i="5"/>
  <c r="RB57" i="5"/>
  <c r="PT58" i="5"/>
  <c r="PT78" i="5" s="1"/>
  <c r="AZ112" i="6" s="1"/>
  <c r="PS78" i="5"/>
  <c r="OC55" i="5"/>
  <c r="NV57" i="5"/>
  <c r="NV78" i="5" s="1"/>
  <c r="AT112" i="6" s="1"/>
  <c r="NU78" i="5"/>
  <c r="OD55" i="5"/>
  <c r="MG56" i="5"/>
  <c r="MH56" i="5"/>
  <c r="MM56" i="5"/>
  <c r="ML56" i="5"/>
  <c r="LY55" i="5"/>
  <c r="LY78" i="5" s="1"/>
  <c r="AN112" i="6" s="1"/>
  <c r="LX78" i="5"/>
  <c r="RF57" i="5"/>
  <c r="RG57" i="5"/>
  <c r="RA57" i="5"/>
  <c r="OA62" i="5"/>
  <c r="NZ62" i="5" s="1"/>
  <c r="QX63" i="5"/>
  <c r="QW63" i="5" s="1"/>
  <c r="RJ77" i="5"/>
  <c r="RI77" i="5" s="1"/>
  <c r="RN77" i="5" s="1"/>
  <c r="QL61" i="5"/>
  <c r="QK61" i="5" s="1"/>
  <c r="LR71" i="5"/>
  <c r="LQ71" i="5" s="1"/>
  <c r="LU71" i="5" s="1"/>
  <c r="RV66" i="5"/>
  <c r="OO76" i="5"/>
  <c r="ON76" i="5" s="1"/>
  <c r="MD74" i="5"/>
  <c r="KT64" i="5"/>
  <c r="KS64" i="5" s="1"/>
  <c r="LR70" i="5"/>
  <c r="LQ70" i="5" s="1"/>
  <c r="LT70" i="5" s="1"/>
  <c r="LR64" i="5"/>
  <c r="LQ64" i="5" s="1"/>
  <c r="MA64" i="5" s="1"/>
  <c r="KT68" i="5"/>
  <c r="KS68" i="5" s="1"/>
  <c r="OO74" i="5"/>
  <c r="ON74" i="5" s="1"/>
  <c r="MD63" i="5"/>
  <c r="MC63" i="5" s="1"/>
  <c r="KT67" i="5"/>
  <c r="KS67" i="5" s="1"/>
  <c r="KT66" i="5"/>
  <c r="KS66" i="5" s="1"/>
  <c r="LB66" i="5" s="1"/>
  <c r="KT62" i="5"/>
  <c r="KS62" i="5" s="1"/>
  <c r="MU70" i="5"/>
  <c r="QX74" i="5"/>
  <c r="PM62" i="5"/>
  <c r="PL62" i="5" s="1"/>
  <c r="PQ62" i="5" s="1"/>
  <c r="PM61" i="5"/>
  <c r="PL61" i="5" s="1"/>
  <c r="PO61" i="5" s="1"/>
  <c r="PM67" i="5"/>
  <c r="PL67" i="5" s="1"/>
  <c r="PV67" i="5" s="1"/>
  <c r="MD75" i="5"/>
  <c r="LR67" i="5"/>
  <c r="LQ67" i="5" s="1"/>
  <c r="MA67" i="5" s="1"/>
  <c r="KT69" i="5"/>
  <c r="KS69" i="5" s="1"/>
  <c r="MD70" i="5"/>
  <c r="OX69" i="5"/>
  <c r="OO62" i="5"/>
  <c r="ON62" i="5" s="1"/>
  <c r="MQ63" i="5"/>
  <c r="MP63" i="5" s="1"/>
  <c r="PO71" i="5"/>
  <c r="RJ74" i="5"/>
  <c r="RI74" i="5" s="1"/>
  <c r="RM74" i="5" s="1"/>
  <c r="RJ63" i="5"/>
  <c r="RI63" i="5" s="1"/>
  <c r="RM63" i="5" s="1"/>
  <c r="QX72" i="5"/>
  <c r="RJ61" i="5"/>
  <c r="RI61" i="5" s="1"/>
  <c r="RL61" i="5" s="1"/>
  <c r="QX73" i="5"/>
  <c r="RJ72" i="5"/>
  <c r="RI72" i="5" s="1"/>
  <c r="RS72" i="5" s="1"/>
  <c r="PM74" i="5"/>
  <c r="PL74" i="5" s="1"/>
  <c r="PO74" i="5" s="1"/>
  <c r="PM68" i="5"/>
  <c r="PL68" i="5" s="1"/>
  <c r="PO68" i="5" s="1"/>
  <c r="PM65" i="5"/>
  <c r="PL65" i="5" s="1"/>
  <c r="PP65" i="5" s="1"/>
  <c r="PA67" i="5"/>
  <c r="PM72" i="5"/>
  <c r="PL72" i="5" s="1"/>
  <c r="PO72" i="5" s="1"/>
  <c r="OA64" i="5"/>
  <c r="NZ64" i="5" s="1"/>
  <c r="MQ71" i="5"/>
  <c r="MP71" i="5" s="1"/>
  <c r="OA69" i="5"/>
  <c r="MQ61" i="5"/>
  <c r="MP61" i="5" s="1"/>
  <c r="OA63" i="5"/>
  <c r="NZ63" i="5" s="1"/>
  <c r="MQ76" i="5"/>
  <c r="MP76" i="5" s="1"/>
  <c r="KT71" i="5"/>
  <c r="KS71" i="5" s="1"/>
  <c r="KT72" i="5"/>
  <c r="KS72" i="5" s="1"/>
  <c r="GY137" i="6" s="1"/>
  <c r="GZ137" i="6" s="1"/>
  <c r="LR69" i="5"/>
  <c r="LQ69" i="5" s="1"/>
  <c r="LZ69" i="5" s="1"/>
  <c r="MD65" i="5"/>
  <c r="RJ62" i="5"/>
  <c r="RI62" i="5" s="1"/>
  <c r="RR62" i="5" s="1"/>
  <c r="QL76" i="5"/>
  <c r="QK76" i="5" s="1"/>
  <c r="QL73" i="5"/>
  <c r="QK73" i="5" s="1"/>
  <c r="JJ138" i="6" s="1"/>
  <c r="JK138" i="6" s="1"/>
  <c r="OO63" i="5"/>
  <c r="ON63" i="5" s="1"/>
  <c r="QX62" i="5"/>
  <c r="QW62" i="5" s="1"/>
  <c r="RJ67" i="5"/>
  <c r="RI67" i="5" s="1"/>
  <c r="RR67" i="5" s="1"/>
  <c r="QX76" i="5"/>
  <c r="RJ73" i="5"/>
  <c r="RI73" i="5" s="1"/>
  <c r="RS73" i="5" s="1"/>
  <c r="QL67" i="5"/>
  <c r="QK67" i="5" s="1"/>
  <c r="RJ71" i="5"/>
  <c r="RI71" i="5" s="1"/>
  <c r="RL71" i="5" s="1"/>
  <c r="RJ76" i="5"/>
  <c r="RI76" i="5" s="1"/>
  <c r="RR76" i="5" s="1"/>
  <c r="OO64" i="5"/>
  <c r="ON64" i="5" s="1"/>
  <c r="OO66" i="5"/>
  <c r="ON66" i="5" s="1"/>
  <c r="OW66" i="5" s="1"/>
  <c r="PA61" i="5"/>
  <c r="OZ61" i="5" s="1"/>
  <c r="OO65" i="5"/>
  <c r="ON65" i="5" s="1"/>
  <c r="PM76" i="5"/>
  <c r="PL76" i="5" s="1"/>
  <c r="PQ76" i="5" s="1"/>
  <c r="OA72" i="5"/>
  <c r="MQ68" i="5"/>
  <c r="MP68" i="5" s="1"/>
  <c r="MQ69" i="5"/>
  <c r="MP69" i="5" s="1"/>
  <c r="OA71" i="5"/>
  <c r="MD76" i="5"/>
  <c r="LR66" i="5"/>
  <c r="LQ66" i="5" s="1"/>
  <c r="LV66" i="5" s="1"/>
  <c r="MD68" i="5"/>
  <c r="MD69" i="5"/>
  <c r="KT65" i="5"/>
  <c r="KS65" i="5" s="1"/>
  <c r="LR73" i="5"/>
  <c r="LQ73" i="5" s="1"/>
  <c r="LT73" i="5" s="1"/>
  <c r="MD72" i="5"/>
  <c r="LF58" i="5"/>
  <c r="LE58" i="5" s="1"/>
  <c r="LF75" i="5"/>
  <c r="LF77" i="5"/>
  <c r="LF61" i="5"/>
  <c r="LE61" i="5" s="1"/>
  <c r="LF71" i="5"/>
  <c r="LF62" i="5"/>
  <c r="LE62" i="5" s="1"/>
  <c r="LF72" i="5"/>
  <c r="LF63" i="5"/>
  <c r="LE63" i="5" s="1"/>
  <c r="LF69" i="5"/>
  <c r="LF76" i="5"/>
  <c r="LF67" i="5"/>
  <c r="LF73" i="5"/>
  <c r="LF74" i="5"/>
  <c r="LF70" i="5"/>
  <c r="LB64" i="5"/>
  <c r="LZ71" i="5"/>
  <c r="LB68" i="5"/>
  <c r="LF66" i="5"/>
  <c r="LE66" i="5" s="1"/>
  <c r="LF65" i="5"/>
  <c r="LE65" i="5" s="1"/>
  <c r="LF64" i="5"/>
  <c r="LE64" i="5" s="1"/>
  <c r="MD67" i="5"/>
  <c r="LR74" i="5"/>
  <c r="LQ74" i="5" s="1"/>
  <c r="KT75" i="5"/>
  <c r="KS75" i="5" s="1"/>
  <c r="LR75" i="5"/>
  <c r="LQ75" i="5" s="1"/>
  <c r="KT76" i="5"/>
  <c r="KS76" i="5" s="1"/>
  <c r="LR72" i="5"/>
  <c r="LQ72" i="5" s="1"/>
  <c r="KT77" i="5"/>
  <c r="KS77" i="5" s="1"/>
  <c r="GY142" i="6" s="1"/>
  <c r="GZ142" i="6" s="1"/>
  <c r="MD62" i="5"/>
  <c r="MC62" i="5" s="1"/>
  <c r="LR61" i="5"/>
  <c r="LQ61" i="5" s="1"/>
  <c r="LR77" i="5"/>
  <c r="LQ77" i="5" s="1"/>
  <c r="KT70" i="5"/>
  <c r="KS70" i="5" s="1"/>
  <c r="MD77" i="5"/>
  <c r="MD73" i="5"/>
  <c r="MD71" i="5"/>
  <c r="LR62" i="5"/>
  <c r="LQ62" i="5" s="1"/>
  <c r="KT63" i="5"/>
  <c r="KS63" i="5" s="1"/>
  <c r="MD64" i="5"/>
  <c r="MC64" i="5" s="1"/>
  <c r="MD61" i="5"/>
  <c r="MC61" i="5" s="1"/>
  <c r="LR76" i="5"/>
  <c r="LQ76" i="5" s="1"/>
  <c r="KT61" i="5"/>
  <c r="KS61" i="5" s="1"/>
  <c r="MD66" i="5"/>
  <c r="LR65" i="5"/>
  <c r="LQ65" i="5" s="1"/>
  <c r="KT74" i="5"/>
  <c r="KS74" i="5" s="1"/>
  <c r="GY139" i="6" s="1"/>
  <c r="GZ139" i="6" s="1"/>
  <c r="LR63" i="5"/>
  <c r="LQ63" i="5" s="1"/>
  <c r="LR68" i="5"/>
  <c r="LQ68" i="5" s="1"/>
  <c r="KT73" i="5"/>
  <c r="KS73" i="5" s="1"/>
  <c r="NC58" i="5"/>
  <c r="NB58" i="5" s="1"/>
  <c r="NC71" i="5"/>
  <c r="NC69" i="5"/>
  <c r="NC63" i="5"/>
  <c r="NB63" i="5" s="1"/>
  <c r="NC74" i="5"/>
  <c r="NC70" i="5"/>
  <c r="NC76" i="5"/>
  <c r="NC65" i="5"/>
  <c r="NB65" i="5" s="1"/>
  <c r="NC72" i="5"/>
  <c r="NC77" i="5"/>
  <c r="NC61" i="5"/>
  <c r="NB61" i="5" s="1"/>
  <c r="NC68" i="5"/>
  <c r="NC75" i="5"/>
  <c r="NC66" i="5"/>
  <c r="NB66" i="5" s="1"/>
  <c r="NC64" i="5"/>
  <c r="NB64" i="5" s="1"/>
  <c r="NC73" i="5"/>
  <c r="NC67" i="5"/>
  <c r="NC62" i="5"/>
  <c r="NB62" i="5" s="1"/>
  <c r="NO56" i="5"/>
  <c r="NN56" i="5" s="1"/>
  <c r="NR56" i="5" s="1"/>
  <c r="NO68" i="5"/>
  <c r="NN68" i="5" s="1"/>
  <c r="NO73" i="5"/>
  <c r="NN73" i="5" s="1"/>
  <c r="NO72" i="5"/>
  <c r="NN72" i="5" s="1"/>
  <c r="NO74" i="5"/>
  <c r="NN74" i="5" s="1"/>
  <c r="NO64" i="5"/>
  <c r="NN64" i="5" s="1"/>
  <c r="NO71" i="5"/>
  <c r="NN71" i="5" s="1"/>
  <c r="NO70" i="5"/>
  <c r="NN70" i="5" s="1"/>
  <c r="HT135" i="6" s="1"/>
  <c r="HU135" i="6" s="1"/>
  <c r="NO75" i="5"/>
  <c r="NN75" i="5" s="1"/>
  <c r="NO69" i="5"/>
  <c r="NN69" i="5" s="1"/>
  <c r="NO67" i="5"/>
  <c r="NN67" i="5" s="1"/>
  <c r="NO65" i="5"/>
  <c r="NN65" i="5" s="1"/>
  <c r="NO66" i="5"/>
  <c r="NN66" i="5" s="1"/>
  <c r="NO63" i="5"/>
  <c r="NN63" i="5" s="1"/>
  <c r="NO77" i="5"/>
  <c r="NN77" i="5" s="1"/>
  <c r="NO61" i="5"/>
  <c r="NN61" i="5" s="1"/>
  <c r="NO76" i="5"/>
  <c r="NN76" i="5" s="1"/>
  <c r="NO62" i="5"/>
  <c r="NN62" i="5" s="1"/>
  <c r="MY69" i="5"/>
  <c r="MY70" i="5"/>
  <c r="MS70" i="5"/>
  <c r="OA76" i="5"/>
  <c r="MQ67" i="5"/>
  <c r="MP67" i="5" s="1"/>
  <c r="HT132" i="6" s="1"/>
  <c r="HU132" i="6" s="1"/>
  <c r="OA77" i="5"/>
  <c r="OA74" i="5"/>
  <c r="MQ77" i="5"/>
  <c r="MP77" i="5" s="1"/>
  <c r="OA67" i="5"/>
  <c r="MQ74" i="5"/>
  <c r="MP74" i="5" s="1"/>
  <c r="OA66" i="5"/>
  <c r="MQ62" i="5"/>
  <c r="MP62" i="5" s="1"/>
  <c r="OA61" i="5"/>
  <c r="NZ61" i="5" s="1"/>
  <c r="MQ64" i="5"/>
  <c r="MP64" i="5" s="1"/>
  <c r="OA70" i="5"/>
  <c r="MZ70" i="5"/>
  <c r="OA68" i="5"/>
  <c r="MQ75" i="5"/>
  <c r="MP75" i="5" s="1"/>
  <c r="OA65" i="5"/>
  <c r="MQ65" i="5"/>
  <c r="MP65" i="5" s="1"/>
  <c r="OA75" i="5"/>
  <c r="MQ66" i="5"/>
  <c r="MP66" i="5" s="1"/>
  <c r="OA73" i="5"/>
  <c r="MQ72" i="5"/>
  <c r="MP72" i="5" s="1"/>
  <c r="MQ73" i="5"/>
  <c r="MP73" i="5" s="1"/>
  <c r="HT138" i="6" s="1"/>
  <c r="HU138" i="6" s="1"/>
  <c r="PY55" i="5"/>
  <c r="PX55" i="5" s="1"/>
  <c r="PY65" i="5"/>
  <c r="PY71" i="5"/>
  <c r="PY70" i="5"/>
  <c r="PY64" i="5"/>
  <c r="PX64" i="5" s="1"/>
  <c r="PY72" i="5"/>
  <c r="PY74" i="5"/>
  <c r="PY77" i="5"/>
  <c r="PY61" i="5"/>
  <c r="PX61" i="5" s="1"/>
  <c r="PY63" i="5"/>
  <c r="PX63" i="5" s="1"/>
  <c r="PY62" i="5"/>
  <c r="PX62" i="5" s="1"/>
  <c r="PY76" i="5"/>
  <c r="PY75" i="5"/>
  <c r="PY66" i="5"/>
  <c r="PY73" i="5"/>
  <c r="OW76" i="5"/>
  <c r="PU67" i="5"/>
  <c r="PU72" i="5"/>
  <c r="PY67" i="5"/>
  <c r="PA56" i="5"/>
  <c r="OZ56" i="5" s="1"/>
  <c r="PA65" i="5"/>
  <c r="OZ65" i="5" s="1"/>
  <c r="PA63" i="5"/>
  <c r="OZ63" i="5" s="1"/>
  <c r="PA76" i="5"/>
  <c r="PA70" i="5"/>
  <c r="PA68" i="5"/>
  <c r="PA75" i="5"/>
  <c r="PA77" i="5"/>
  <c r="PA72" i="5"/>
  <c r="PA66" i="5"/>
  <c r="OZ66" i="5" s="1"/>
  <c r="PA71" i="5"/>
  <c r="PA69" i="5"/>
  <c r="PA64" i="5"/>
  <c r="OZ64" i="5" s="1"/>
  <c r="PA62" i="5"/>
  <c r="OZ62" i="5" s="1"/>
  <c r="PY68" i="5"/>
  <c r="PY69" i="5"/>
  <c r="PA73" i="5"/>
  <c r="PU71" i="5"/>
  <c r="OW69" i="5"/>
  <c r="PU76" i="5"/>
  <c r="OQ69" i="5"/>
  <c r="PV71" i="5"/>
  <c r="PM66" i="5"/>
  <c r="PL66" i="5" s="1"/>
  <c r="OO68" i="5"/>
  <c r="ON68" i="5" s="1"/>
  <c r="PM69" i="5"/>
  <c r="PL69" i="5" s="1"/>
  <c r="IN134" i="6" s="1"/>
  <c r="OO67" i="5"/>
  <c r="ON67" i="5" s="1"/>
  <c r="IO132" i="6" s="1"/>
  <c r="IP132" i="6" s="1"/>
  <c r="PM75" i="5"/>
  <c r="PL75" i="5" s="1"/>
  <c r="OO73" i="5"/>
  <c r="ON73" i="5" s="1"/>
  <c r="OO70" i="5"/>
  <c r="ON70" i="5" s="1"/>
  <c r="PM73" i="5"/>
  <c r="PL73" i="5" s="1"/>
  <c r="OS69" i="5"/>
  <c r="PP71" i="5"/>
  <c r="PM70" i="5"/>
  <c r="PL70" i="5" s="1"/>
  <c r="OO72" i="5"/>
  <c r="ON72" i="5" s="1"/>
  <c r="PM77" i="5"/>
  <c r="PL77" i="5" s="1"/>
  <c r="OO75" i="5"/>
  <c r="ON75" i="5" s="1"/>
  <c r="IO140" i="6" s="1"/>
  <c r="IP140" i="6" s="1"/>
  <c r="PM63" i="5"/>
  <c r="PL63" i="5" s="1"/>
  <c r="OO61" i="5"/>
  <c r="ON61" i="5" s="1"/>
  <c r="OO77" i="5"/>
  <c r="ON77" i="5" s="1"/>
  <c r="IO142" i="6" s="1"/>
  <c r="IP142" i="6" s="1"/>
  <c r="PM64" i="5"/>
  <c r="PL64" i="5" s="1"/>
  <c r="OO71" i="5"/>
  <c r="ON71" i="5" s="1"/>
  <c r="IO136" i="6" s="1"/>
  <c r="IP136" i="6" s="1"/>
  <c r="RR73" i="5"/>
  <c r="RV58" i="5"/>
  <c r="RU58" i="5" s="1"/>
  <c r="RV74" i="5"/>
  <c r="RV65" i="5"/>
  <c r="RV67" i="5"/>
  <c r="RV69" i="5"/>
  <c r="RV76" i="5"/>
  <c r="RV70" i="5"/>
  <c r="RV72" i="5"/>
  <c r="RV73" i="5"/>
  <c r="RV71" i="5"/>
  <c r="RV77" i="5"/>
  <c r="RV64" i="5"/>
  <c r="RU64" i="5" s="1"/>
  <c r="RV62" i="5"/>
  <c r="RU62" i="5" s="1"/>
  <c r="RV63" i="5"/>
  <c r="RU63" i="5" s="1"/>
  <c r="RV61" i="5"/>
  <c r="RU61" i="5" s="1"/>
  <c r="RV68" i="5"/>
  <c r="RR63" i="5"/>
  <c r="RR74" i="5"/>
  <c r="QL65" i="5"/>
  <c r="QK65" i="5" s="1"/>
  <c r="QL71" i="5"/>
  <c r="QK71" i="5" s="1"/>
  <c r="JJ136" i="6" s="1"/>
  <c r="JK136" i="6" s="1"/>
  <c r="QL62" i="5"/>
  <c r="QK62" i="5" s="1"/>
  <c r="RJ70" i="5"/>
  <c r="RI70" i="5" s="1"/>
  <c r="QX70" i="5"/>
  <c r="QL72" i="5"/>
  <c r="QK72" i="5" s="1"/>
  <c r="JJ137" i="6" s="1"/>
  <c r="JK137" i="6" s="1"/>
  <c r="QX71" i="5"/>
  <c r="QL77" i="5"/>
  <c r="QK77" i="5" s="1"/>
  <c r="JJ142" i="6" s="1"/>
  <c r="JK142" i="6" s="1"/>
  <c r="QX64" i="5"/>
  <c r="QW64" i="5" s="1"/>
  <c r="QL74" i="5"/>
  <c r="QK74" i="5" s="1"/>
  <c r="JJ139" i="6" s="1"/>
  <c r="JK139" i="6" s="1"/>
  <c r="RJ69" i="5"/>
  <c r="RI69" i="5" s="1"/>
  <c r="QX65" i="5"/>
  <c r="QW65" i="5" s="1"/>
  <c r="QL63" i="5"/>
  <c r="QK63" i="5" s="1"/>
  <c r="QX75" i="5"/>
  <c r="RJ64" i="5"/>
  <c r="RI64" i="5" s="1"/>
  <c r="QL64" i="5"/>
  <c r="QK64" i="5" s="1"/>
  <c r="RR77" i="5"/>
  <c r="RJ66" i="5"/>
  <c r="RI66" i="5" s="1"/>
  <c r="QX66" i="5"/>
  <c r="QW66" i="5" s="1"/>
  <c r="QL68" i="5"/>
  <c r="QK68" i="5" s="1"/>
  <c r="JJ133" i="6" s="1"/>
  <c r="JK133" i="6" s="1"/>
  <c r="RJ75" i="5"/>
  <c r="RI75" i="5" s="1"/>
  <c r="QL69" i="5"/>
  <c r="QK69" i="5" s="1"/>
  <c r="JJ134" i="6" s="1"/>
  <c r="JK134" i="6" s="1"/>
  <c r="RJ68" i="5"/>
  <c r="RI68" i="5" s="1"/>
  <c r="QL66" i="5"/>
  <c r="QK66" i="5" s="1"/>
  <c r="RJ65" i="5"/>
  <c r="RI65" i="5" s="1"/>
  <c r="QX61" i="5"/>
  <c r="QW61" i="5" s="1"/>
  <c r="QX77" i="5"/>
  <c r="QL75" i="5"/>
  <c r="QK75" i="5" s="1"/>
  <c r="QX67" i="5"/>
  <c r="QX68" i="5"/>
  <c r="QL70" i="5"/>
  <c r="QK70" i="5" s="1"/>
  <c r="JJ135" i="6" s="1"/>
  <c r="JK135" i="6" s="1"/>
  <c r="R37" i="7"/>
  <c r="R35" i="7"/>
  <c r="R34" i="7"/>
  <c r="R36" i="7"/>
  <c r="P34" i="7"/>
  <c r="Q34" i="7"/>
  <c r="P35" i="7"/>
  <c r="Q35" i="7"/>
  <c r="P36" i="7"/>
  <c r="OA60" i="5"/>
  <c r="NZ60" i="5" s="1"/>
  <c r="MD60" i="5"/>
  <c r="MC60" i="5" s="1"/>
  <c r="RJ60" i="5"/>
  <c r="RI60" i="5" s="1"/>
  <c r="QX60" i="5"/>
  <c r="QW60" i="5" s="1"/>
  <c r="RV60" i="5"/>
  <c r="RU60" i="5" s="1"/>
  <c r="PA60" i="5"/>
  <c r="OZ60" i="5" s="1"/>
  <c r="PM60" i="5"/>
  <c r="PL60" i="5" s="1"/>
  <c r="PY60" i="5"/>
  <c r="PX60" i="5" s="1"/>
  <c r="NC60" i="5"/>
  <c r="NB60" i="5" s="1"/>
  <c r="NO60" i="5"/>
  <c r="NN60" i="5" s="1"/>
  <c r="LF60" i="5"/>
  <c r="LE60" i="5" s="1"/>
  <c r="LR60" i="5"/>
  <c r="LQ60" i="5" s="1"/>
  <c r="QL60" i="5"/>
  <c r="QK60" i="5" s="1"/>
  <c r="QT55" i="5"/>
  <c r="OW55" i="5"/>
  <c r="OO60" i="5"/>
  <c r="ON60" i="5" s="1"/>
  <c r="MY55" i="5"/>
  <c r="MQ60" i="5"/>
  <c r="MP60" i="5" s="1"/>
  <c r="LB55" i="5"/>
  <c r="KT60" i="5"/>
  <c r="KS60" i="5" s="1"/>
  <c r="MK78" i="5"/>
  <c r="AO112" i="6" s="1"/>
  <c r="LA56" i="5"/>
  <c r="LA78" i="5" s="1"/>
  <c r="AL112" i="6" s="1"/>
  <c r="KZ78" i="5"/>
  <c r="MQ58" i="5"/>
  <c r="MP58" i="5" s="1"/>
  <c r="MX56" i="5"/>
  <c r="MX78" i="5" s="1"/>
  <c r="AR112" i="6" s="1"/>
  <c r="MW78" i="5"/>
  <c r="NC57" i="5"/>
  <c r="NB57" i="5" s="1"/>
  <c r="PA59" i="5"/>
  <c r="OZ59" i="5" s="1"/>
  <c r="QS56" i="5"/>
  <c r="QS78" i="5" s="1"/>
  <c r="BD112" i="6" s="1"/>
  <c r="QR78" i="5"/>
  <c r="PM59" i="5"/>
  <c r="PL59" i="5" s="1"/>
  <c r="PO59" i="5" s="1"/>
  <c r="OV55" i="5"/>
  <c r="OV78" i="5" s="1"/>
  <c r="AX112" i="6" s="1"/>
  <c r="OU78" i="5"/>
  <c r="PM57" i="5"/>
  <c r="PL57" i="5" s="1"/>
  <c r="OO57" i="5"/>
  <c r="ON57" i="5" s="1"/>
  <c r="OH78" i="5"/>
  <c r="AU112" i="6" s="1"/>
  <c r="MJ78" i="5"/>
  <c r="QX59" i="5"/>
  <c r="QW59" i="5" s="1"/>
  <c r="QX56" i="5"/>
  <c r="QW56" i="5" s="1"/>
  <c r="QN55" i="5"/>
  <c r="RJ57" i="5"/>
  <c r="RI57" i="5" s="1"/>
  <c r="QL58" i="5"/>
  <c r="QK58" i="5" s="1"/>
  <c r="QX55" i="5"/>
  <c r="QW55" i="5" s="1"/>
  <c r="RJ56" i="5"/>
  <c r="RI56" i="5" s="1"/>
  <c r="QX58" i="5"/>
  <c r="QW58" i="5" s="1"/>
  <c r="PY59" i="5"/>
  <c r="PX59" i="5" s="1"/>
  <c r="PY58" i="5"/>
  <c r="PX58" i="5" s="1"/>
  <c r="PY57" i="5"/>
  <c r="PX57" i="5" s="1"/>
  <c r="PY56" i="5"/>
  <c r="PX56" i="5" s="1"/>
  <c r="PM58" i="5"/>
  <c r="PL58" i="5" s="1"/>
  <c r="PM56" i="5"/>
  <c r="PL56" i="5" s="1"/>
  <c r="MT55" i="5"/>
  <c r="NO58" i="5"/>
  <c r="NN58" i="5" s="1"/>
  <c r="NO57" i="5"/>
  <c r="NN57" i="5" s="1"/>
  <c r="KX55" i="5"/>
  <c r="LF57" i="5"/>
  <c r="LE57" i="5" s="1"/>
  <c r="LF56" i="5"/>
  <c r="LE56" i="5" s="1"/>
  <c r="KT59" i="5"/>
  <c r="KS59" i="5" s="1"/>
  <c r="LF59" i="5"/>
  <c r="LE59" i="5" s="1"/>
  <c r="KV55" i="5"/>
  <c r="LR59" i="5"/>
  <c r="LQ59" i="5" s="1"/>
  <c r="MA59" i="5" s="1"/>
  <c r="LR55" i="5"/>
  <c r="LQ55" i="5" s="1"/>
  <c r="LF55" i="5"/>
  <c r="LE55" i="5" s="1"/>
  <c r="OG78" i="5"/>
  <c r="QO55" i="5"/>
  <c r="MU55" i="5"/>
  <c r="MS55" i="5"/>
  <c r="OR55" i="5"/>
  <c r="MZ55" i="5"/>
  <c r="OS55" i="5"/>
  <c r="OQ55" i="5"/>
  <c r="OX55" i="5"/>
  <c r="RR58" i="5"/>
  <c r="RN58" i="5"/>
  <c r="RS58" i="5"/>
  <c r="RM58" i="5"/>
  <c r="RL58" i="5"/>
  <c r="RE56" i="5"/>
  <c r="RE78" i="5" s="1"/>
  <c r="BE112" i="6" s="1"/>
  <c r="RD78" i="5"/>
  <c r="RV57" i="5"/>
  <c r="RU57" i="5" s="1"/>
  <c r="RV56" i="5"/>
  <c r="RU56" i="5" s="1"/>
  <c r="RV59" i="5"/>
  <c r="RU59" i="5" s="1"/>
  <c r="RJ55" i="5"/>
  <c r="RV55" i="5"/>
  <c r="RU55" i="5" s="1"/>
  <c r="SC55" i="5"/>
  <c r="SC78" i="5" s="1"/>
  <c r="BG112" i="6" s="1"/>
  <c r="SB78" i="5"/>
  <c r="QL57" i="5"/>
  <c r="QK57" i="5" s="1"/>
  <c r="QP55" i="5"/>
  <c r="QU55" i="5"/>
  <c r="QL56" i="5"/>
  <c r="QK56" i="5" s="1"/>
  <c r="RJ59" i="5"/>
  <c r="RI59" i="5" s="1"/>
  <c r="QL59" i="5"/>
  <c r="QK59" i="5" s="1"/>
  <c r="PL55" i="5"/>
  <c r="OO56" i="5"/>
  <c r="PA58" i="5"/>
  <c r="OZ58" i="5" s="1"/>
  <c r="PA57" i="5"/>
  <c r="OZ57" i="5" s="1"/>
  <c r="PA55" i="5"/>
  <c r="OZ55" i="5" s="1"/>
  <c r="PH55" i="5"/>
  <c r="PH78" i="5" s="1"/>
  <c r="AY112" i="6" s="1"/>
  <c r="PG78" i="5"/>
  <c r="OO58" i="5"/>
  <c r="ON58" i="5" s="1"/>
  <c r="OO59" i="5"/>
  <c r="ON59" i="5" s="1"/>
  <c r="OA56" i="5"/>
  <c r="NZ56" i="5" s="1"/>
  <c r="MQ56" i="5"/>
  <c r="MP56" i="5" s="1"/>
  <c r="NO59" i="5"/>
  <c r="NN59" i="5" s="1"/>
  <c r="NC55" i="5"/>
  <c r="NB55" i="5" s="1"/>
  <c r="OA59" i="5"/>
  <c r="NZ59" i="5" s="1"/>
  <c r="MQ57" i="5"/>
  <c r="MP57" i="5" s="1"/>
  <c r="NJ55" i="5"/>
  <c r="NJ78" i="5" s="1"/>
  <c r="AS112" i="6" s="1"/>
  <c r="NI78" i="5"/>
  <c r="NO55" i="5"/>
  <c r="NC59" i="5"/>
  <c r="NB59" i="5" s="1"/>
  <c r="OA58" i="5"/>
  <c r="NZ58" i="5" s="1"/>
  <c r="NC56" i="5"/>
  <c r="NB56" i="5" s="1"/>
  <c r="OA57" i="5"/>
  <c r="NZ57" i="5" s="1"/>
  <c r="MQ59" i="5"/>
  <c r="MP59" i="5" s="1"/>
  <c r="LZ57" i="5"/>
  <c r="LU57" i="5"/>
  <c r="LT57" i="5"/>
  <c r="MA57" i="5"/>
  <c r="LV57" i="5"/>
  <c r="MD57" i="5"/>
  <c r="MC57" i="5" s="1"/>
  <c r="LM55" i="5"/>
  <c r="LM78" i="5" s="1"/>
  <c r="AM112" i="6" s="1"/>
  <c r="LL78" i="5"/>
  <c r="MD55" i="5"/>
  <c r="MC55" i="5" s="1"/>
  <c r="KT58" i="5"/>
  <c r="KS58" i="5" s="1"/>
  <c r="LC55" i="5"/>
  <c r="KT57" i="5"/>
  <c r="KS57" i="5" s="1"/>
  <c r="MD59" i="5"/>
  <c r="MC59" i="5" s="1"/>
  <c r="LR56" i="5"/>
  <c r="LQ56" i="5" s="1"/>
  <c r="MD58" i="5"/>
  <c r="MC58" i="5" s="1"/>
  <c r="KW55" i="5"/>
  <c r="LR58" i="5"/>
  <c r="LQ58" i="5" s="1"/>
  <c r="KT56" i="5"/>
  <c r="KS56" i="5" s="1"/>
  <c r="IN120" i="6" l="1"/>
  <c r="IO120" i="6" s="1"/>
  <c r="GY135" i="6"/>
  <c r="GZ135" i="6" s="1"/>
  <c r="GY140" i="6"/>
  <c r="GZ140" i="6" s="1"/>
  <c r="IO138" i="6"/>
  <c r="IP138" i="6" s="1"/>
  <c r="IO133" i="6"/>
  <c r="IP133" i="6" s="1"/>
  <c r="HT137" i="6"/>
  <c r="HU137" i="6" s="1"/>
  <c r="HT142" i="6"/>
  <c r="HU142" i="6" s="1"/>
  <c r="GY133" i="6"/>
  <c r="GZ133" i="6" s="1"/>
  <c r="GY134" i="6"/>
  <c r="GZ134" i="6" s="1"/>
  <c r="HT136" i="6"/>
  <c r="HU136" i="6" s="1"/>
  <c r="JJ140" i="6"/>
  <c r="JK140" i="6" s="1"/>
  <c r="JJ132" i="6"/>
  <c r="JK132" i="6" s="1"/>
  <c r="JJ141" i="6"/>
  <c r="JK141" i="6" s="1"/>
  <c r="IO135" i="6"/>
  <c r="IP135" i="6" s="1"/>
  <c r="IO141" i="6"/>
  <c r="IP141" i="6" s="1"/>
  <c r="IO139" i="6"/>
  <c r="IP139" i="6" s="1"/>
  <c r="IO137" i="6"/>
  <c r="IP137" i="6" s="1"/>
  <c r="IO134" i="6"/>
  <c r="IP134" i="6" s="1"/>
  <c r="HT141" i="6"/>
  <c r="HU141" i="6" s="1"/>
  <c r="HT140" i="6"/>
  <c r="HU140" i="6" s="1"/>
  <c r="HT139" i="6"/>
  <c r="HU139" i="6" s="1"/>
  <c r="HT134" i="6"/>
  <c r="HU134" i="6" s="1"/>
  <c r="HS135" i="6"/>
  <c r="HT133" i="6"/>
  <c r="HU133" i="6" s="1"/>
  <c r="GX120" i="6"/>
  <c r="GY120" i="6" s="1"/>
  <c r="GY141" i="6"/>
  <c r="GZ141" i="6" s="1"/>
  <c r="GY132" i="6"/>
  <c r="GZ132" i="6" s="1"/>
  <c r="GY138" i="6"/>
  <c r="GZ138" i="6" s="1"/>
  <c r="GY136" i="6"/>
  <c r="GZ136" i="6" s="1"/>
  <c r="HY135" i="6"/>
  <c r="HZ135" i="6" s="1"/>
  <c r="IB135" i="6" s="1"/>
  <c r="IP120" i="6"/>
  <c r="GZ120" i="6"/>
  <c r="JI122" i="6"/>
  <c r="JJ122" i="6" s="1"/>
  <c r="JK122" i="6" s="1"/>
  <c r="JI135" i="6"/>
  <c r="JI127" i="6"/>
  <c r="JJ127" i="6" s="1"/>
  <c r="JK127" i="6" s="1"/>
  <c r="JI141" i="6"/>
  <c r="JI123" i="6"/>
  <c r="JJ123" i="6" s="1"/>
  <c r="JK123" i="6" s="1"/>
  <c r="JI134" i="6"/>
  <c r="JI137" i="6"/>
  <c r="JI125" i="6"/>
  <c r="JJ125" i="6" s="1"/>
  <c r="JK125" i="6" s="1"/>
  <c r="JI128" i="6"/>
  <c r="JJ128" i="6" s="1"/>
  <c r="JK128" i="6" s="1"/>
  <c r="JI130" i="6"/>
  <c r="JJ130" i="6" s="1"/>
  <c r="JK130" i="6" s="1"/>
  <c r="RB66" i="5"/>
  <c r="QZ66" i="5"/>
  <c r="RF66" i="5"/>
  <c r="RG66" i="5"/>
  <c r="RA66" i="5"/>
  <c r="JI121" i="6"/>
  <c r="JJ121" i="6" s="1"/>
  <c r="JK121" i="6" s="1"/>
  <c r="JI139" i="6"/>
  <c r="JI136" i="6"/>
  <c r="JI132" i="6"/>
  <c r="JI126" i="6"/>
  <c r="JJ126" i="6" s="1"/>
  <c r="JK126" i="6" s="1"/>
  <c r="JI124" i="6"/>
  <c r="JJ124" i="6" s="1"/>
  <c r="JK124" i="6" s="1"/>
  <c r="JI140" i="6"/>
  <c r="JI131" i="6"/>
  <c r="JJ131" i="6" s="1"/>
  <c r="JK131" i="6" s="1"/>
  <c r="JI133" i="6"/>
  <c r="JI129" i="6"/>
  <c r="JJ129" i="6" s="1"/>
  <c r="JK129" i="6" s="1"/>
  <c r="RG65" i="5"/>
  <c r="QZ65" i="5"/>
  <c r="RF65" i="5"/>
  <c r="RB65" i="5"/>
  <c r="RA65" i="5"/>
  <c r="JI142" i="6"/>
  <c r="JI138" i="6"/>
  <c r="JO120" i="6"/>
  <c r="JP120" i="6" s="1"/>
  <c r="JR120" i="6" s="1"/>
  <c r="IN135" i="6"/>
  <c r="IN122" i="6"/>
  <c r="IO122" i="6" s="1"/>
  <c r="IP122" i="6" s="1"/>
  <c r="IN142" i="6"/>
  <c r="IN139" i="6"/>
  <c r="IN126" i="6"/>
  <c r="IO126" i="6" s="1"/>
  <c r="IP126" i="6" s="1"/>
  <c r="IN137" i="6"/>
  <c r="IN132" i="6"/>
  <c r="PD66" i="5"/>
  <c r="PI66" i="5"/>
  <c r="PC66" i="5"/>
  <c r="PJ66" i="5"/>
  <c r="PE66" i="5"/>
  <c r="PD65" i="5"/>
  <c r="PI65" i="5"/>
  <c r="PC65" i="5"/>
  <c r="PE65" i="5"/>
  <c r="PJ65" i="5"/>
  <c r="IN131" i="6"/>
  <c r="IO131" i="6" s="1"/>
  <c r="IP131" i="6" s="1"/>
  <c r="IN127" i="6"/>
  <c r="IO127" i="6" s="1"/>
  <c r="IP127" i="6" s="1"/>
  <c r="IN124" i="6"/>
  <c r="IO124" i="6" s="1"/>
  <c r="IP124" i="6" s="1"/>
  <c r="IN136" i="6"/>
  <c r="IN129" i="6"/>
  <c r="IO129" i="6" s="1"/>
  <c r="IP129" i="6" s="1"/>
  <c r="IN128" i="6"/>
  <c r="IO128" i="6" s="1"/>
  <c r="IP128" i="6" s="1"/>
  <c r="IN141" i="6"/>
  <c r="IN123" i="6"/>
  <c r="IO123" i="6" s="1"/>
  <c r="IP123" i="6" s="1"/>
  <c r="IN125" i="6"/>
  <c r="IO125" i="6" s="1"/>
  <c r="IP125" i="6" s="1"/>
  <c r="IN140" i="6"/>
  <c r="IN138" i="6"/>
  <c r="IN133" i="6"/>
  <c r="IN130" i="6"/>
  <c r="IO130" i="6" s="1"/>
  <c r="IP130" i="6" s="1"/>
  <c r="HS123" i="6"/>
  <c r="HT123" i="6" s="1"/>
  <c r="HU123" i="6" s="1"/>
  <c r="HS132" i="6"/>
  <c r="HS134" i="6"/>
  <c r="HS124" i="6"/>
  <c r="HT124" i="6" s="1"/>
  <c r="HU124" i="6" s="1"/>
  <c r="HS122" i="6"/>
  <c r="HT122" i="6" s="1"/>
  <c r="HU122" i="6" s="1"/>
  <c r="HS121" i="6"/>
  <c r="HT121" i="6" s="1"/>
  <c r="HU121" i="6" s="1"/>
  <c r="HS130" i="6"/>
  <c r="HT130" i="6" s="1"/>
  <c r="HU130" i="6" s="1"/>
  <c r="HS127" i="6"/>
  <c r="HT127" i="6" s="1"/>
  <c r="HU127" i="6" s="1"/>
  <c r="NE65" i="5"/>
  <c r="NK65" i="5"/>
  <c r="NG65" i="5"/>
  <c r="NF65" i="5"/>
  <c r="NL65" i="5"/>
  <c r="HS133" i="6"/>
  <c r="HS128" i="6"/>
  <c r="HT128" i="6" s="1"/>
  <c r="HU128" i="6" s="1"/>
  <c r="HS125" i="6"/>
  <c r="HT125" i="6" s="1"/>
  <c r="HU125" i="6" s="1"/>
  <c r="HS138" i="6"/>
  <c r="HS137" i="6"/>
  <c r="HS142" i="6"/>
  <c r="HS126" i="6"/>
  <c r="HT126" i="6" s="1"/>
  <c r="HU126" i="6" s="1"/>
  <c r="HS131" i="6"/>
  <c r="HT131" i="6" s="1"/>
  <c r="HU131" i="6" s="1"/>
  <c r="HS140" i="6"/>
  <c r="HS129" i="6"/>
  <c r="HT129" i="6" s="1"/>
  <c r="HU129" i="6" s="1"/>
  <c r="HS139" i="6"/>
  <c r="NG66" i="5"/>
  <c r="NF66" i="5"/>
  <c r="NE66" i="5"/>
  <c r="NK66" i="5"/>
  <c r="NL66" i="5"/>
  <c r="HS141" i="6"/>
  <c r="HS136" i="6"/>
  <c r="GX121" i="6"/>
  <c r="GY121" i="6" s="1"/>
  <c r="GZ121" i="6" s="1"/>
  <c r="GX123" i="6"/>
  <c r="GY123" i="6" s="1"/>
  <c r="GZ123" i="6" s="1"/>
  <c r="GX125" i="6"/>
  <c r="GY125" i="6" s="1"/>
  <c r="GZ125" i="6" s="1"/>
  <c r="GX139" i="6"/>
  <c r="GX135" i="6"/>
  <c r="GX142" i="6"/>
  <c r="GX140" i="6"/>
  <c r="GX122" i="6"/>
  <c r="GY122" i="6" s="1"/>
  <c r="GZ122" i="6" s="1"/>
  <c r="GX138" i="6"/>
  <c r="LO65" i="5"/>
  <c r="LJ65" i="5"/>
  <c r="LN65" i="5"/>
  <c r="LI65" i="5"/>
  <c r="LH65" i="5"/>
  <c r="GX137" i="6"/>
  <c r="GX134" i="6"/>
  <c r="GX127" i="6"/>
  <c r="GY127" i="6" s="1"/>
  <c r="GZ127" i="6" s="1"/>
  <c r="GX129" i="6"/>
  <c r="GY129" i="6" s="1"/>
  <c r="GZ129" i="6" s="1"/>
  <c r="GX124" i="6"/>
  <c r="GY124" i="6" s="1"/>
  <c r="GZ124" i="6" s="1"/>
  <c r="GX141" i="6"/>
  <c r="LN66" i="5"/>
  <c r="LO66" i="5"/>
  <c r="LJ66" i="5"/>
  <c r="LH66" i="5"/>
  <c r="LI66" i="5"/>
  <c r="GX130" i="6"/>
  <c r="GY130" i="6" s="1"/>
  <c r="GZ130" i="6" s="1"/>
  <c r="GX136" i="6"/>
  <c r="GX131" i="6"/>
  <c r="GY131" i="6" s="1"/>
  <c r="GZ131" i="6" s="1"/>
  <c r="GX133" i="6"/>
  <c r="GX126" i="6"/>
  <c r="GY126" i="6" s="1"/>
  <c r="GZ126" i="6" s="1"/>
  <c r="GX128" i="6"/>
  <c r="GY128" i="6" s="1"/>
  <c r="GZ128" i="6" s="1"/>
  <c r="GX132" i="6"/>
  <c r="HY120" i="6"/>
  <c r="HZ120" i="6" s="1"/>
  <c r="IT120" i="6"/>
  <c r="IU120" i="6" s="1"/>
  <c r="IT134" i="6"/>
  <c r="IU134" i="6" s="1"/>
  <c r="IJ135" i="6"/>
  <c r="HC122" i="6"/>
  <c r="HB122" i="6"/>
  <c r="HX121" i="6"/>
  <c r="HW121" i="6"/>
  <c r="HC121" i="6"/>
  <c r="HB121" i="6"/>
  <c r="HC123" i="6"/>
  <c r="HB123" i="6"/>
  <c r="IR124" i="6"/>
  <c r="IS124" i="6"/>
  <c r="JM125" i="6"/>
  <c r="JN125" i="6"/>
  <c r="JM128" i="6"/>
  <c r="JN128" i="6"/>
  <c r="JM130" i="6"/>
  <c r="JN130" i="6"/>
  <c r="IR136" i="6"/>
  <c r="IS136" i="6"/>
  <c r="IS135" i="6"/>
  <c r="IR135" i="6"/>
  <c r="HX131" i="6"/>
  <c r="HW131" i="6"/>
  <c r="HW140" i="6"/>
  <c r="HX140" i="6"/>
  <c r="HX129" i="6"/>
  <c r="HW129" i="6"/>
  <c r="HX139" i="6"/>
  <c r="HW139" i="6"/>
  <c r="HC126" i="6"/>
  <c r="HB126" i="6"/>
  <c r="HC128" i="6"/>
  <c r="HB128" i="6"/>
  <c r="OQ64" i="5"/>
  <c r="IS129" i="6"/>
  <c r="IR129" i="6"/>
  <c r="OS63" i="5"/>
  <c r="IR128" i="6"/>
  <c r="IS128" i="6"/>
  <c r="MY76" i="5"/>
  <c r="HW141" i="6"/>
  <c r="HX141" i="6"/>
  <c r="MY71" i="5"/>
  <c r="HW136" i="6"/>
  <c r="HX136" i="6"/>
  <c r="KV67" i="5"/>
  <c r="HC132" i="6"/>
  <c r="HB132" i="6"/>
  <c r="OS76" i="5"/>
  <c r="IS141" i="6"/>
  <c r="IR141" i="6"/>
  <c r="IS123" i="6"/>
  <c r="IR123" i="6"/>
  <c r="JM124" i="6"/>
  <c r="JN124" i="6"/>
  <c r="HX123" i="6"/>
  <c r="HW123" i="6"/>
  <c r="HC125" i="6"/>
  <c r="HB125" i="6"/>
  <c r="IS125" i="6"/>
  <c r="IR125" i="6"/>
  <c r="JM140" i="6"/>
  <c r="JN140" i="6"/>
  <c r="JM131" i="6"/>
  <c r="JN131" i="6"/>
  <c r="JM133" i="6"/>
  <c r="JN133" i="6"/>
  <c r="JM129" i="6"/>
  <c r="JN129" i="6"/>
  <c r="JM142" i="6"/>
  <c r="JN142" i="6"/>
  <c r="IR140" i="6"/>
  <c r="IS140" i="6"/>
  <c r="IS138" i="6"/>
  <c r="IR138" i="6"/>
  <c r="IS133" i="6"/>
  <c r="IR133" i="6"/>
  <c r="HW138" i="6"/>
  <c r="HX138" i="6"/>
  <c r="HW132" i="6"/>
  <c r="HX132" i="6"/>
  <c r="HC139" i="6"/>
  <c r="HB139" i="6"/>
  <c r="HC135" i="6"/>
  <c r="HB135" i="6"/>
  <c r="HC142" i="6"/>
  <c r="HB142" i="6"/>
  <c r="HC140" i="6"/>
  <c r="HB140" i="6"/>
  <c r="MZ69" i="5"/>
  <c r="HX134" i="6"/>
  <c r="HW134" i="6"/>
  <c r="OR65" i="5"/>
  <c r="IS130" i="6"/>
  <c r="IR130" i="6"/>
  <c r="QO73" i="5"/>
  <c r="JM138" i="6"/>
  <c r="JN138" i="6"/>
  <c r="HW124" i="6"/>
  <c r="HX124" i="6"/>
  <c r="HW122" i="6"/>
  <c r="HX122" i="6"/>
  <c r="JM122" i="6"/>
  <c r="JN122" i="6"/>
  <c r="IS122" i="6"/>
  <c r="IR122" i="6"/>
  <c r="JM135" i="6"/>
  <c r="JN135" i="6"/>
  <c r="JM127" i="6"/>
  <c r="JN127" i="6"/>
  <c r="IS142" i="6"/>
  <c r="IR142" i="6"/>
  <c r="HX137" i="6"/>
  <c r="HW137" i="6"/>
  <c r="HW130" i="6"/>
  <c r="HX130" i="6"/>
  <c r="HX127" i="6"/>
  <c r="HW127" i="6"/>
  <c r="HX142" i="6"/>
  <c r="HW142" i="6"/>
  <c r="HC138" i="6"/>
  <c r="HB138" i="6"/>
  <c r="MT68" i="5"/>
  <c r="HW133" i="6"/>
  <c r="HX133" i="6"/>
  <c r="QT76" i="5"/>
  <c r="JM141" i="6"/>
  <c r="JN141" i="6"/>
  <c r="LB72" i="5"/>
  <c r="HC137" i="6"/>
  <c r="HB137" i="6"/>
  <c r="MS61" i="5"/>
  <c r="HX126" i="6"/>
  <c r="HW126" i="6"/>
  <c r="MY63" i="5"/>
  <c r="HW128" i="6"/>
  <c r="HX128" i="6"/>
  <c r="KW69" i="5"/>
  <c r="HC134" i="6"/>
  <c r="HB134" i="6"/>
  <c r="KV62" i="5"/>
  <c r="HC127" i="6"/>
  <c r="HB127" i="6"/>
  <c r="OS74" i="5"/>
  <c r="IS139" i="6"/>
  <c r="IR139" i="6"/>
  <c r="KW64" i="5"/>
  <c r="HC129" i="6"/>
  <c r="HB129" i="6"/>
  <c r="JM121" i="6"/>
  <c r="JN121" i="6"/>
  <c r="HC124" i="6"/>
  <c r="HB124" i="6"/>
  <c r="QO58" i="5"/>
  <c r="JM123" i="6"/>
  <c r="JN123" i="6"/>
  <c r="HW125" i="6"/>
  <c r="HX125" i="6"/>
  <c r="JM134" i="6"/>
  <c r="JN134" i="6"/>
  <c r="JM139" i="6"/>
  <c r="JN139" i="6"/>
  <c r="JM137" i="6"/>
  <c r="JN137" i="6"/>
  <c r="JM136" i="6"/>
  <c r="JN136" i="6"/>
  <c r="IS126" i="6"/>
  <c r="IR126" i="6"/>
  <c r="IS137" i="6"/>
  <c r="IR137" i="6"/>
  <c r="IR132" i="6"/>
  <c r="IS132" i="6"/>
  <c r="HC141" i="6"/>
  <c r="HB141" i="6"/>
  <c r="LB65" i="5"/>
  <c r="HC130" i="6"/>
  <c r="HB130" i="6"/>
  <c r="OQ66" i="5"/>
  <c r="IS131" i="6"/>
  <c r="IR131" i="6"/>
  <c r="QP67" i="5"/>
  <c r="JM132" i="6"/>
  <c r="JN132" i="6"/>
  <c r="LC71" i="5"/>
  <c r="HC136" i="6"/>
  <c r="HB136" i="6"/>
  <c r="IS127" i="6"/>
  <c r="IR127" i="6"/>
  <c r="LC66" i="5"/>
  <c r="HC131" i="6"/>
  <c r="HB131" i="6"/>
  <c r="KV68" i="5"/>
  <c r="HC133" i="6"/>
  <c r="HB133" i="6"/>
  <c r="QP61" i="5"/>
  <c r="JM126" i="6"/>
  <c r="JN126" i="6"/>
  <c r="HD120" i="6"/>
  <c r="HE120" i="6" s="1"/>
  <c r="LU67" i="5"/>
  <c r="LV71" i="5"/>
  <c r="SD59" i="5"/>
  <c r="RZ59" i="5"/>
  <c r="RX59" i="5"/>
  <c r="RY59" i="5"/>
  <c r="SE59" i="5"/>
  <c r="SD62" i="5"/>
  <c r="SE62" i="5"/>
  <c r="RX62" i="5"/>
  <c r="RY62" i="5"/>
  <c r="RZ62" i="5"/>
  <c r="SE58" i="5"/>
  <c r="RZ58" i="5"/>
  <c r="SD58" i="5"/>
  <c r="RX58" i="5"/>
  <c r="RY58" i="5"/>
  <c r="SD55" i="5"/>
  <c r="SE55" i="5"/>
  <c r="RU78" i="5"/>
  <c r="RX55" i="5"/>
  <c r="RY55" i="5"/>
  <c r="RZ55" i="5"/>
  <c r="RZ56" i="5"/>
  <c r="RX56" i="5"/>
  <c r="SD56" i="5"/>
  <c r="RY56" i="5"/>
  <c r="SE56" i="5"/>
  <c r="SD60" i="5"/>
  <c r="RZ60" i="5"/>
  <c r="RX60" i="5"/>
  <c r="SE60" i="5"/>
  <c r="RY60" i="5"/>
  <c r="QO67" i="5"/>
  <c r="RY61" i="5"/>
  <c r="RX61" i="5"/>
  <c r="RZ61" i="5"/>
  <c r="SE61" i="5"/>
  <c r="SD61" i="5"/>
  <c r="RZ64" i="5"/>
  <c r="RX64" i="5"/>
  <c r="SE64" i="5"/>
  <c r="RY64" i="5"/>
  <c r="SD64" i="5"/>
  <c r="RX57" i="5"/>
  <c r="RY57" i="5"/>
  <c r="SE57" i="5"/>
  <c r="SD57" i="5"/>
  <c r="RZ57" i="5"/>
  <c r="SD63" i="5"/>
  <c r="RZ63" i="5"/>
  <c r="SE63" i="5"/>
  <c r="RX63" i="5"/>
  <c r="RY63" i="5"/>
  <c r="QG59" i="5"/>
  <c r="QH59" i="5"/>
  <c r="QC59" i="5"/>
  <c r="QB59" i="5"/>
  <c r="QA59" i="5"/>
  <c r="QG62" i="5"/>
  <c r="QC62" i="5"/>
  <c r="QA62" i="5"/>
  <c r="QH62" i="5"/>
  <c r="QB62" i="5"/>
  <c r="QC56" i="5"/>
  <c r="QH56" i="5"/>
  <c r="QA56" i="5"/>
  <c r="QG56" i="5"/>
  <c r="QB56" i="5"/>
  <c r="QH63" i="5"/>
  <c r="QC63" i="5"/>
  <c r="QA63" i="5"/>
  <c r="QB63" i="5"/>
  <c r="QG63" i="5"/>
  <c r="QB58" i="5"/>
  <c r="QC58" i="5"/>
  <c r="QG58" i="5"/>
  <c r="QA58" i="5"/>
  <c r="QH58" i="5"/>
  <c r="QA57" i="5"/>
  <c r="QB57" i="5"/>
  <c r="QG57" i="5"/>
  <c r="QC57" i="5"/>
  <c r="QH57" i="5"/>
  <c r="QB60" i="5"/>
  <c r="QG60" i="5"/>
  <c r="QH60" i="5"/>
  <c r="QA60" i="5"/>
  <c r="QC60" i="5"/>
  <c r="QG61" i="5"/>
  <c r="QH61" i="5"/>
  <c r="QA61" i="5"/>
  <c r="QB61" i="5"/>
  <c r="QC61" i="5"/>
  <c r="QB64" i="5"/>
  <c r="QH64" i="5"/>
  <c r="QA64" i="5"/>
  <c r="QG64" i="5"/>
  <c r="QC64" i="5"/>
  <c r="QA55" i="5"/>
  <c r="QG55" i="5"/>
  <c r="QC55" i="5"/>
  <c r="QC78" i="5" s="1"/>
  <c r="BA116" i="6" s="1"/>
  <c r="PX78" i="5"/>
  <c r="QH55" i="5"/>
  <c r="QB55" i="5"/>
  <c r="OC57" i="5"/>
  <c r="OI57" i="5"/>
  <c r="OD57" i="5"/>
  <c r="OJ57" i="5"/>
  <c r="OE57" i="5"/>
  <c r="OC61" i="5"/>
  <c r="OI61" i="5"/>
  <c r="OD61" i="5"/>
  <c r="OJ61" i="5"/>
  <c r="OE61" i="5"/>
  <c r="OD58" i="5"/>
  <c r="OI58" i="5"/>
  <c r="OJ58" i="5"/>
  <c r="OC58" i="5"/>
  <c r="OE58" i="5"/>
  <c r="OI59" i="5"/>
  <c r="OJ59" i="5"/>
  <c r="OE59" i="5"/>
  <c r="OC59" i="5"/>
  <c r="OD59" i="5"/>
  <c r="OI63" i="5"/>
  <c r="OJ63" i="5"/>
  <c r="OE63" i="5"/>
  <c r="OC63" i="5"/>
  <c r="OD63" i="5"/>
  <c r="OI64" i="5"/>
  <c r="OJ64" i="5"/>
  <c r="OE64" i="5"/>
  <c r="OC64" i="5"/>
  <c r="OD64" i="5"/>
  <c r="OI62" i="5"/>
  <c r="OC62" i="5"/>
  <c r="OE62" i="5"/>
  <c r="OD62" i="5"/>
  <c r="OJ62" i="5"/>
  <c r="OJ56" i="5"/>
  <c r="OE56" i="5"/>
  <c r="OE78" i="5" s="1"/>
  <c r="AU116" i="6" s="1"/>
  <c r="OD56" i="5"/>
  <c r="OD78" i="5" s="1"/>
  <c r="AU107" i="6" s="1"/>
  <c r="NZ78" i="5"/>
  <c r="OC56" i="5"/>
  <c r="OI56" i="5"/>
  <c r="OI78" i="5" s="1"/>
  <c r="AU113" i="6" s="1"/>
  <c r="OJ60" i="5"/>
  <c r="OI60" i="5"/>
  <c r="OE60" i="5"/>
  <c r="OD60" i="5"/>
  <c r="OC60" i="5"/>
  <c r="MF60" i="5"/>
  <c r="MM60" i="5"/>
  <c r="MH60" i="5"/>
  <c r="ML60" i="5"/>
  <c r="MG60" i="5"/>
  <c r="ML64" i="5"/>
  <c r="MF64" i="5"/>
  <c r="MM64" i="5"/>
  <c r="MH64" i="5"/>
  <c r="MG64" i="5"/>
  <c r="MF55" i="5"/>
  <c r="MC78" i="5"/>
  <c r="ML55" i="5"/>
  <c r="MH55" i="5"/>
  <c r="MG55" i="5"/>
  <c r="MM55" i="5"/>
  <c r="MM78" i="5" s="1"/>
  <c r="MN57" i="5" s="1"/>
  <c r="MM57" i="5"/>
  <c r="MH57" i="5"/>
  <c r="ML57" i="5"/>
  <c r="MF57" i="5"/>
  <c r="MG57" i="5"/>
  <c r="MG62" i="5"/>
  <c r="MH62" i="5"/>
  <c r="ML62" i="5"/>
  <c r="MF62" i="5"/>
  <c r="MM62" i="5"/>
  <c r="MM59" i="5"/>
  <c r="MH59" i="5"/>
  <c r="MG59" i="5"/>
  <c r="ML59" i="5"/>
  <c r="MF59" i="5"/>
  <c r="MG63" i="5"/>
  <c r="MF63" i="5"/>
  <c r="MM63" i="5"/>
  <c r="ML63" i="5"/>
  <c r="MH63" i="5"/>
  <c r="ML58" i="5"/>
  <c r="MG58" i="5"/>
  <c r="MH58" i="5"/>
  <c r="MF58" i="5"/>
  <c r="MM58" i="5"/>
  <c r="MM61" i="5"/>
  <c r="MH61" i="5"/>
  <c r="ML61" i="5"/>
  <c r="MF61" i="5"/>
  <c r="MG61" i="5"/>
  <c r="KW62" i="5"/>
  <c r="LT71" i="5"/>
  <c r="PV74" i="5"/>
  <c r="RS77" i="5"/>
  <c r="MA70" i="5"/>
  <c r="KX68" i="5"/>
  <c r="MA71" i="5"/>
  <c r="MY61" i="5"/>
  <c r="QU73" i="5"/>
  <c r="QT61" i="5"/>
  <c r="LU70" i="5"/>
  <c r="LT59" i="5"/>
  <c r="LT67" i="5"/>
  <c r="PP76" i="5"/>
  <c r="PV62" i="5"/>
  <c r="RG56" i="5"/>
  <c r="RF56" i="5"/>
  <c r="QZ56" i="5"/>
  <c r="RA56" i="5"/>
  <c r="RB56" i="5"/>
  <c r="RB61" i="5"/>
  <c r="RA61" i="5"/>
  <c r="RF61" i="5"/>
  <c r="QZ61" i="5"/>
  <c r="RG61" i="5"/>
  <c r="RG59" i="5"/>
  <c r="RB59" i="5"/>
  <c r="QZ59" i="5"/>
  <c r="RF59" i="5"/>
  <c r="RA59" i="5"/>
  <c r="RF64" i="5"/>
  <c r="RG64" i="5"/>
  <c r="QZ64" i="5"/>
  <c r="RB64" i="5"/>
  <c r="RA64" i="5"/>
  <c r="QU76" i="5"/>
  <c r="RA62" i="5"/>
  <c r="RB62" i="5"/>
  <c r="QZ62" i="5"/>
  <c r="RF62" i="5"/>
  <c r="RG62" i="5"/>
  <c r="RA55" i="5"/>
  <c r="RF55" i="5"/>
  <c r="RB55" i="5"/>
  <c r="QZ55" i="5"/>
  <c r="QW78" i="5"/>
  <c r="RG55" i="5"/>
  <c r="QZ58" i="5"/>
  <c r="RF58" i="5"/>
  <c r="RB58" i="5"/>
  <c r="RA58" i="5"/>
  <c r="RG58" i="5"/>
  <c r="RG60" i="5"/>
  <c r="QZ60" i="5"/>
  <c r="RB60" i="5"/>
  <c r="RF60" i="5"/>
  <c r="RA60" i="5"/>
  <c r="RM72" i="5"/>
  <c r="RF63" i="5"/>
  <c r="RA63" i="5"/>
  <c r="RB63" i="5"/>
  <c r="RG63" i="5"/>
  <c r="QZ63" i="5"/>
  <c r="PJ63" i="5"/>
  <c r="PC63" i="5"/>
  <c r="PD63" i="5"/>
  <c r="PI63" i="5"/>
  <c r="PE63" i="5"/>
  <c r="PJ55" i="5"/>
  <c r="PC55" i="5"/>
  <c r="OZ78" i="5"/>
  <c r="PE55" i="5"/>
  <c r="PI55" i="5"/>
  <c r="PD55" i="5"/>
  <c r="PD59" i="5"/>
  <c r="PJ59" i="5"/>
  <c r="PE59" i="5"/>
  <c r="PI59" i="5"/>
  <c r="PC59" i="5"/>
  <c r="PE60" i="5"/>
  <c r="PC60" i="5"/>
  <c r="PI60" i="5"/>
  <c r="PD60" i="5"/>
  <c r="PJ60" i="5"/>
  <c r="OX74" i="5"/>
  <c r="PU62" i="5"/>
  <c r="PI62" i="5"/>
  <c r="PJ62" i="5"/>
  <c r="PD62" i="5"/>
  <c r="PE62" i="5"/>
  <c r="PC62" i="5"/>
  <c r="PD61" i="5"/>
  <c r="PJ61" i="5"/>
  <c r="PI61" i="5"/>
  <c r="PC61" i="5"/>
  <c r="PE61" i="5"/>
  <c r="PD57" i="5"/>
  <c r="PI57" i="5"/>
  <c r="PJ57" i="5"/>
  <c r="PC57" i="5"/>
  <c r="PE57" i="5"/>
  <c r="PI64" i="5"/>
  <c r="PD64" i="5"/>
  <c r="PJ64" i="5"/>
  <c r="PE64" i="5"/>
  <c r="PC64" i="5"/>
  <c r="PI56" i="5"/>
  <c r="PD56" i="5"/>
  <c r="PJ56" i="5"/>
  <c r="PE56" i="5"/>
  <c r="PC56" i="5"/>
  <c r="PJ58" i="5"/>
  <c r="PD58" i="5"/>
  <c r="PI58" i="5"/>
  <c r="PE58" i="5"/>
  <c r="PC58" i="5"/>
  <c r="NK57" i="5"/>
  <c r="NE57" i="5"/>
  <c r="NG57" i="5"/>
  <c r="NF57" i="5"/>
  <c r="NL57" i="5"/>
  <c r="NF60" i="5"/>
  <c r="NL60" i="5"/>
  <c r="NG60" i="5"/>
  <c r="NE60" i="5"/>
  <c r="NK60" i="5"/>
  <c r="NK56" i="5"/>
  <c r="NL56" i="5"/>
  <c r="NE56" i="5"/>
  <c r="NG56" i="5"/>
  <c r="NF56" i="5"/>
  <c r="NG58" i="5"/>
  <c r="NK58" i="5"/>
  <c r="NE58" i="5"/>
  <c r="NL58" i="5"/>
  <c r="NF58" i="5"/>
  <c r="NF59" i="5"/>
  <c r="NE59" i="5"/>
  <c r="NL59" i="5"/>
  <c r="NG59" i="5"/>
  <c r="NK59" i="5"/>
  <c r="NF63" i="5"/>
  <c r="NE63" i="5"/>
  <c r="NL63" i="5"/>
  <c r="NG63" i="5"/>
  <c r="NK63" i="5"/>
  <c r="NK62" i="5"/>
  <c r="NG62" i="5"/>
  <c r="NE62" i="5"/>
  <c r="NL62" i="5"/>
  <c r="NF62" i="5"/>
  <c r="NE55" i="5"/>
  <c r="NB78" i="5"/>
  <c r="NG55" i="5"/>
  <c r="NF55" i="5"/>
  <c r="NK55" i="5"/>
  <c r="NL55" i="5"/>
  <c r="NL64" i="5"/>
  <c r="NE64" i="5"/>
  <c r="NG64" i="5"/>
  <c r="NK64" i="5"/>
  <c r="NF64" i="5"/>
  <c r="NK61" i="5"/>
  <c r="NE61" i="5"/>
  <c r="NG61" i="5"/>
  <c r="NF61" i="5"/>
  <c r="NL61" i="5"/>
  <c r="LJ57" i="5"/>
  <c r="LO57" i="5"/>
  <c r="LI57" i="5"/>
  <c r="LN57" i="5"/>
  <c r="LH57" i="5"/>
  <c r="LO64" i="5"/>
  <c r="LH64" i="5"/>
  <c r="LI64" i="5"/>
  <c r="LJ64" i="5"/>
  <c r="LN64" i="5"/>
  <c r="LJ63" i="5"/>
  <c r="LH63" i="5"/>
  <c r="LO63" i="5"/>
  <c r="LN63" i="5"/>
  <c r="LI63" i="5"/>
  <c r="LI61" i="5"/>
  <c r="LO61" i="5"/>
  <c r="LH61" i="5"/>
  <c r="LJ61" i="5"/>
  <c r="LN61" i="5"/>
  <c r="LJ55" i="5"/>
  <c r="LN55" i="5"/>
  <c r="LO55" i="5"/>
  <c r="LH55" i="5"/>
  <c r="LI55" i="5"/>
  <c r="LE78" i="5"/>
  <c r="LI59" i="5"/>
  <c r="LJ59" i="5"/>
  <c r="LH59" i="5"/>
  <c r="LN59" i="5"/>
  <c r="LO59" i="5"/>
  <c r="LO60" i="5"/>
  <c r="LN60" i="5"/>
  <c r="LJ60" i="5"/>
  <c r="LH60" i="5"/>
  <c r="LI60" i="5"/>
  <c r="LJ62" i="5"/>
  <c r="LH62" i="5"/>
  <c r="LO62" i="5"/>
  <c r="LI62" i="5"/>
  <c r="LN62" i="5"/>
  <c r="LN56" i="5"/>
  <c r="LI56" i="5"/>
  <c r="LO56" i="5"/>
  <c r="LH56" i="5"/>
  <c r="LJ56" i="5"/>
  <c r="LU64" i="5"/>
  <c r="LZ64" i="5"/>
  <c r="LJ58" i="5"/>
  <c r="LH58" i="5"/>
  <c r="LN58" i="5"/>
  <c r="LO58" i="5"/>
  <c r="LI58" i="5"/>
  <c r="OX64" i="5"/>
  <c r="OW64" i="5"/>
  <c r="OR64" i="5"/>
  <c r="MT63" i="5"/>
  <c r="MU63" i="5"/>
  <c r="KW66" i="5"/>
  <c r="LC68" i="5"/>
  <c r="KX64" i="5"/>
  <c r="KW68" i="5"/>
  <c r="KV64" i="5"/>
  <c r="KV72" i="5"/>
  <c r="LC64" i="5"/>
  <c r="QN61" i="5"/>
  <c r="RL73" i="5"/>
  <c r="QU61" i="5"/>
  <c r="QO61" i="5"/>
  <c r="PP68" i="5"/>
  <c r="PV72" i="5"/>
  <c r="PQ61" i="5"/>
  <c r="PO62" i="5"/>
  <c r="MS76" i="5"/>
  <c r="MU71" i="5"/>
  <c r="KX62" i="5"/>
  <c r="LC67" i="5"/>
  <c r="RR61" i="5"/>
  <c r="PU61" i="5"/>
  <c r="PV68" i="5"/>
  <c r="PQ68" i="5"/>
  <c r="MA69" i="5"/>
  <c r="RM77" i="5"/>
  <c r="NS56" i="5"/>
  <c r="RM62" i="5"/>
  <c r="RM73" i="5"/>
  <c r="OQ74" i="5"/>
  <c r="PQ74" i="5"/>
  <c r="PP74" i="5"/>
  <c r="PQ72" i="5"/>
  <c r="OX76" i="5"/>
  <c r="LB69" i="5"/>
  <c r="KW72" i="5"/>
  <c r="LB62" i="5"/>
  <c r="KX65" i="5"/>
  <c r="OR74" i="5"/>
  <c r="OQ76" i="5"/>
  <c r="QT67" i="5"/>
  <c r="RL77" i="5"/>
  <c r="RS62" i="5"/>
  <c r="RN73" i="5"/>
  <c r="PP62" i="5"/>
  <c r="OS64" i="5"/>
  <c r="OW74" i="5"/>
  <c r="OX66" i="5"/>
  <c r="PU74" i="5"/>
  <c r="PP72" i="5"/>
  <c r="OR76" i="5"/>
  <c r="LV67" i="5"/>
  <c r="LZ67" i="5"/>
  <c r="LC62" i="5"/>
  <c r="KV65" i="5"/>
  <c r="KW65" i="5"/>
  <c r="LC69" i="5"/>
  <c r="KX69" i="5"/>
  <c r="LB67" i="5"/>
  <c r="LU66" i="5"/>
  <c r="RR71" i="5"/>
  <c r="PV61" i="5"/>
  <c r="OS66" i="5"/>
  <c r="PU68" i="5"/>
  <c r="MY68" i="5"/>
  <c r="KV69" i="5"/>
  <c r="LV70" i="5"/>
  <c r="KW67" i="5"/>
  <c r="LT69" i="5"/>
  <c r="MA66" i="5"/>
  <c r="PQ67" i="5"/>
  <c r="PO67" i="5"/>
  <c r="LV64" i="5"/>
  <c r="LT64" i="5"/>
  <c r="NW56" i="5"/>
  <c r="RN71" i="5"/>
  <c r="QP76" i="5"/>
  <c r="NQ56" i="5"/>
  <c r="QN73" i="5"/>
  <c r="RL74" i="5"/>
  <c r="PU65" i="5"/>
  <c r="PP61" i="5"/>
  <c r="OR66" i="5"/>
  <c r="PP67" i="5"/>
  <c r="MZ76" i="5"/>
  <c r="LZ70" i="5"/>
  <c r="LU69" i="5"/>
  <c r="LC65" i="5"/>
  <c r="KX67" i="5"/>
  <c r="LV69" i="5"/>
  <c r="KV66" i="5"/>
  <c r="KX66" i="5"/>
  <c r="KX71" i="5"/>
  <c r="KW71" i="5"/>
  <c r="KV71" i="5"/>
  <c r="OR62" i="5"/>
  <c r="OQ62" i="5"/>
  <c r="OX62" i="5"/>
  <c r="RL76" i="5"/>
  <c r="MA73" i="5"/>
  <c r="LV73" i="5"/>
  <c r="LU73" i="5"/>
  <c r="RL67" i="5"/>
  <c r="RS67" i="5"/>
  <c r="RN67" i="5"/>
  <c r="RS71" i="5"/>
  <c r="RN72" i="5"/>
  <c r="RR72" i="5"/>
  <c r="QT73" i="5"/>
  <c r="RS74" i="5"/>
  <c r="RS63" i="5"/>
  <c r="PQ65" i="5"/>
  <c r="LT66" i="5"/>
  <c r="QU67" i="5"/>
  <c r="QN67" i="5"/>
  <c r="QO76" i="5"/>
  <c r="QN76" i="5"/>
  <c r="RN61" i="5"/>
  <c r="RM61" i="5"/>
  <c r="RS61" i="5"/>
  <c r="MU69" i="5"/>
  <c r="MS69" i="5"/>
  <c r="OS65" i="5"/>
  <c r="OQ65" i="5"/>
  <c r="RS76" i="5"/>
  <c r="RN76" i="5"/>
  <c r="OQ63" i="5"/>
  <c r="OX63" i="5"/>
  <c r="OR63" i="5"/>
  <c r="RM76" i="5"/>
  <c r="RL63" i="5"/>
  <c r="RL72" i="5"/>
  <c r="RN63" i="5"/>
  <c r="OX65" i="5"/>
  <c r="LB71" i="5"/>
  <c r="MU68" i="5"/>
  <c r="MS68" i="5"/>
  <c r="MZ68" i="5"/>
  <c r="MU76" i="5"/>
  <c r="MT76" i="5"/>
  <c r="MT71" i="5"/>
  <c r="MS71" i="5"/>
  <c r="MZ71" i="5"/>
  <c r="PV65" i="5"/>
  <c r="PO65" i="5"/>
  <c r="RM67" i="5"/>
  <c r="RM71" i="5"/>
  <c r="QP73" i="5"/>
  <c r="RN74" i="5"/>
  <c r="OS62" i="5"/>
  <c r="OW62" i="5"/>
  <c r="OW63" i="5"/>
  <c r="OW65" i="5"/>
  <c r="MT69" i="5"/>
  <c r="LZ73" i="5"/>
  <c r="LZ66" i="5"/>
  <c r="PO76" i="5"/>
  <c r="PV76" i="5"/>
  <c r="RL62" i="5"/>
  <c r="RN62" i="5"/>
  <c r="KX72" i="5"/>
  <c r="LC72" i="5"/>
  <c r="MZ61" i="5"/>
  <c r="MT61" i="5"/>
  <c r="MU61" i="5"/>
  <c r="MZ63" i="5"/>
  <c r="MS63" i="5"/>
  <c r="LZ72" i="5"/>
  <c r="LU72" i="5"/>
  <c r="MA72" i="5"/>
  <c r="LV72" i="5"/>
  <c r="LT72" i="5"/>
  <c r="LZ74" i="5"/>
  <c r="LT74" i="5"/>
  <c r="MA74" i="5"/>
  <c r="LU74" i="5"/>
  <c r="LV74" i="5"/>
  <c r="MN72" i="5"/>
  <c r="MN64" i="5"/>
  <c r="MN71" i="5"/>
  <c r="MN70" i="5"/>
  <c r="MN62" i="5"/>
  <c r="MN77" i="5"/>
  <c r="MN69" i="5"/>
  <c r="MN61" i="5"/>
  <c r="MN76" i="5"/>
  <c r="MN68" i="5"/>
  <c r="MN66" i="5"/>
  <c r="MN73" i="5"/>
  <c r="MN74" i="5"/>
  <c r="MN67" i="5"/>
  <c r="MN75" i="5"/>
  <c r="MN65" i="5"/>
  <c r="LB74" i="5"/>
  <c r="KW74" i="5"/>
  <c r="KX74" i="5"/>
  <c r="LC74" i="5"/>
  <c r="KV74" i="5"/>
  <c r="LZ76" i="5"/>
  <c r="LV76" i="5"/>
  <c r="MA76" i="5"/>
  <c r="LT76" i="5"/>
  <c r="LU76" i="5"/>
  <c r="LZ62" i="5"/>
  <c r="MA62" i="5"/>
  <c r="LV62" i="5"/>
  <c r="LT62" i="5"/>
  <c r="LU62" i="5"/>
  <c r="LZ61" i="5"/>
  <c r="MA61" i="5"/>
  <c r="LV61" i="5"/>
  <c r="LT61" i="5"/>
  <c r="LU61" i="5"/>
  <c r="LP76" i="5"/>
  <c r="LP68" i="5"/>
  <c r="LP74" i="5"/>
  <c r="LP72" i="5"/>
  <c r="LP75" i="5"/>
  <c r="LP67" i="5"/>
  <c r="LP77" i="5"/>
  <c r="LP73" i="5"/>
  <c r="LP70" i="5"/>
  <c r="LP71" i="5"/>
  <c r="LP69" i="5"/>
  <c r="LB73" i="5"/>
  <c r="KW73" i="5"/>
  <c r="KX73" i="5"/>
  <c r="LC73" i="5"/>
  <c r="KV73" i="5"/>
  <c r="LZ65" i="5"/>
  <c r="LT65" i="5"/>
  <c r="MA65" i="5"/>
  <c r="LV65" i="5"/>
  <c r="LU65" i="5"/>
  <c r="LZ75" i="5"/>
  <c r="LT75" i="5"/>
  <c r="LV75" i="5"/>
  <c r="MA75" i="5"/>
  <c r="LU75" i="5"/>
  <c r="LZ63" i="5"/>
  <c r="LV63" i="5"/>
  <c r="LT63" i="5"/>
  <c r="MA63" i="5"/>
  <c r="LU63" i="5"/>
  <c r="LB61" i="5"/>
  <c r="KV61" i="5"/>
  <c r="KW61" i="5"/>
  <c r="LC61" i="5"/>
  <c r="KX61" i="5"/>
  <c r="LB63" i="5"/>
  <c r="LC63" i="5"/>
  <c r="KX63" i="5"/>
  <c r="KW63" i="5"/>
  <c r="KV63" i="5"/>
  <c r="LZ77" i="5"/>
  <c r="LT77" i="5"/>
  <c r="LU77" i="5"/>
  <c r="MA77" i="5"/>
  <c r="LV77" i="5"/>
  <c r="LB76" i="5"/>
  <c r="LC76" i="5"/>
  <c r="KV76" i="5"/>
  <c r="KX76" i="5"/>
  <c r="KW76" i="5"/>
  <c r="LZ68" i="5"/>
  <c r="LU68" i="5"/>
  <c r="MA68" i="5"/>
  <c r="LT68" i="5"/>
  <c r="LV68" i="5"/>
  <c r="LB70" i="5"/>
  <c r="KW70" i="5"/>
  <c r="KX70" i="5"/>
  <c r="LC70" i="5"/>
  <c r="KV70" i="5"/>
  <c r="LB77" i="5"/>
  <c r="KV77" i="5"/>
  <c r="LC77" i="5"/>
  <c r="KW77" i="5"/>
  <c r="KX77" i="5"/>
  <c r="LB75" i="5"/>
  <c r="LC75" i="5"/>
  <c r="KX75" i="5"/>
  <c r="KW75" i="5"/>
  <c r="KV75" i="5"/>
  <c r="NW63" i="5"/>
  <c r="NS63" i="5"/>
  <c r="NX63" i="5"/>
  <c r="NQ63" i="5"/>
  <c r="NR63" i="5"/>
  <c r="NW64" i="5"/>
  <c r="NS64" i="5"/>
  <c r="NX64" i="5"/>
  <c r="NQ64" i="5"/>
  <c r="NR64" i="5"/>
  <c r="MY66" i="5"/>
  <c r="MS66" i="5"/>
  <c r="MT66" i="5"/>
  <c r="MZ66" i="5"/>
  <c r="MU66" i="5"/>
  <c r="MY75" i="5"/>
  <c r="MT75" i="5"/>
  <c r="MU75" i="5"/>
  <c r="MS75" i="5"/>
  <c r="MZ75" i="5"/>
  <c r="NW66" i="5"/>
  <c r="NS66" i="5"/>
  <c r="NR66" i="5"/>
  <c r="NQ66" i="5"/>
  <c r="NX66" i="5"/>
  <c r="NW74" i="5"/>
  <c r="NS74" i="5"/>
  <c r="NR74" i="5"/>
  <c r="NQ74" i="5"/>
  <c r="NX74" i="5"/>
  <c r="NX56" i="5"/>
  <c r="MY73" i="5"/>
  <c r="MU73" i="5"/>
  <c r="MZ73" i="5"/>
  <c r="MT73" i="5"/>
  <c r="MS73" i="5"/>
  <c r="MY67" i="5"/>
  <c r="MT67" i="5"/>
  <c r="MU67" i="5"/>
  <c r="MZ67" i="5"/>
  <c r="MS67" i="5"/>
  <c r="NW61" i="5"/>
  <c r="NX61" i="5"/>
  <c r="NS61" i="5"/>
  <c r="NQ61" i="5"/>
  <c r="NR61" i="5"/>
  <c r="NW65" i="5"/>
  <c r="NS65" i="5"/>
  <c r="NR65" i="5"/>
  <c r="NX65" i="5"/>
  <c r="NQ65" i="5"/>
  <c r="NW70" i="5"/>
  <c r="NQ70" i="5"/>
  <c r="NS70" i="5"/>
  <c r="NX70" i="5"/>
  <c r="NR70" i="5"/>
  <c r="NW72" i="5"/>
  <c r="NQ72" i="5"/>
  <c r="NX72" i="5"/>
  <c r="NS72" i="5"/>
  <c r="NR72" i="5"/>
  <c r="NM71" i="5"/>
  <c r="NM69" i="5"/>
  <c r="NM72" i="5"/>
  <c r="NM74" i="5"/>
  <c r="NM75" i="5"/>
  <c r="NM67" i="5"/>
  <c r="NM77" i="5"/>
  <c r="NM73" i="5"/>
  <c r="NM76" i="5"/>
  <c r="NM68" i="5"/>
  <c r="NM70" i="5"/>
  <c r="NW62" i="5"/>
  <c r="NQ62" i="5"/>
  <c r="NS62" i="5"/>
  <c r="NR62" i="5"/>
  <c r="NX62" i="5"/>
  <c r="NW69" i="5"/>
  <c r="NX69" i="5"/>
  <c r="NS69" i="5"/>
  <c r="NQ69" i="5"/>
  <c r="NR69" i="5"/>
  <c r="NW68" i="5"/>
  <c r="NQ68" i="5"/>
  <c r="NX68" i="5"/>
  <c r="NR68" i="5"/>
  <c r="NS68" i="5"/>
  <c r="OK74" i="5"/>
  <c r="OK66" i="5"/>
  <c r="OK76" i="5"/>
  <c r="OK68" i="5"/>
  <c r="OK77" i="5"/>
  <c r="OK69" i="5"/>
  <c r="OK75" i="5"/>
  <c r="OK67" i="5"/>
  <c r="OK70" i="5"/>
  <c r="OK72" i="5"/>
  <c r="OK73" i="5"/>
  <c r="OK65" i="5"/>
  <c r="OK71" i="5"/>
  <c r="MY64" i="5"/>
  <c r="MT64" i="5"/>
  <c r="MU64" i="5"/>
  <c r="MZ64" i="5"/>
  <c r="MS64" i="5"/>
  <c r="MY74" i="5"/>
  <c r="MS74" i="5"/>
  <c r="MU74" i="5"/>
  <c r="MT74" i="5"/>
  <c r="MZ74" i="5"/>
  <c r="NW76" i="5"/>
  <c r="NQ76" i="5"/>
  <c r="NX76" i="5"/>
  <c r="NR76" i="5"/>
  <c r="NS76" i="5"/>
  <c r="NW75" i="5"/>
  <c r="NR75" i="5"/>
  <c r="NX75" i="5"/>
  <c r="NS75" i="5"/>
  <c r="NQ75" i="5"/>
  <c r="MY72" i="5"/>
  <c r="MT72" i="5"/>
  <c r="MU72" i="5"/>
  <c r="MZ72" i="5"/>
  <c r="MS72" i="5"/>
  <c r="MY65" i="5"/>
  <c r="MU65" i="5"/>
  <c r="MZ65" i="5"/>
  <c r="MT65" i="5"/>
  <c r="MS65" i="5"/>
  <c r="MY62" i="5"/>
  <c r="MZ62" i="5"/>
  <c r="MU62" i="5"/>
  <c r="MS62" i="5"/>
  <c r="MT62" i="5"/>
  <c r="MY77" i="5"/>
  <c r="MT77" i="5"/>
  <c r="MS77" i="5"/>
  <c r="MU77" i="5"/>
  <c r="MZ77" i="5"/>
  <c r="NW77" i="5"/>
  <c r="NX77" i="5"/>
  <c r="NS77" i="5"/>
  <c r="NQ77" i="5"/>
  <c r="NR77" i="5"/>
  <c r="NW67" i="5"/>
  <c r="NS67" i="5"/>
  <c r="NX67" i="5"/>
  <c r="NR67" i="5"/>
  <c r="NQ67" i="5"/>
  <c r="NW71" i="5"/>
  <c r="NS71" i="5"/>
  <c r="NX71" i="5"/>
  <c r="NQ71" i="5"/>
  <c r="NR71" i="5"/>
  <c r="NW73" i="5"/>
  <c r="NS73" i="5"/>
  <c r="NR73" i="5"/>
  <c r="NQ73" i="5"/>
  <c r="NX73" i="5"/>
  <c r="PU64" i="5"/>
  <c r="PQ64" i="5"/>
  <c r="PP64" i="5"/>
  <c r="PV64" i="5"/>
  <c r="PO64" i="5"/>
  <c r="OW75" i="5"/>
  <c r="OQ75" i="5"/>
  <c r="OX75" i="5"/>
  <c r="OR75" i="5"/>
  <c r="OS75" i="5"/>
  <c r="OW77" i="5"/>
  <c r="OS77" i="5"/>
  <c r="OQ77" i="5"/>
  <c r="OX77" i="5"/>
  <c r="OR77" i="5"/>
  <c r="PU77" i="5"/>
  <c r="PQ77" i="5"/>
  <c r="PV77" i="5"/>
  <c r="PO77" i="5"/>
  <c r="PP77" i="5"/>
  <c r="OW61" i="5"/>
  <c r="OS61" i="5"/>
  <c r="OQ61" i="5"/>
  <c r="OX61" i="5"/>
  <c r="OR61" i="5"/>
  <c r="OW72" i="5"/>
  <c r="OR72" i="5"/>
  <c r="OX72" i="5"/>
  <c r="OS72" i="5"/>
  <c r="OQ72" i="5"/>
  <c r="OW70" i="5"/>
  <c r="OS70" i="5"/>
  <c r="OQ70" i="5"/>
  <c r="OR70" i="5"/>
  <c r="OX70" i="5"/>
  <c r="PU69" i="5"/>
  <c r="PP69" i="5"/>
  <c r="PV69" i="5"/>
  <c r="PO69" i="5"/>
  <c r="PQ69" i="5"/>
  <c r="QI76" i="5"/>
  <c r="QI68" i="5"/>
  <c r="QI75" i="5"/>
  <c r="QI67" i="5"/>
  <c r="QI74" i="5"/>
  <c r="QI66" i="5"/>
  <c r="QI73" i="5"/>
  <c r="QI65" i="5"/>
  <c r="QI72" i="5"/>
  <c r="QI71" i="5"/>
  <c r="QI77" i="5"/>
  <c r="QI70" i="5"/>
  <c r="QI69" i="5"/>
  <c r="OW71" i="5"/>
  <c r="OR71" i="5"/>
  <c r="OX71" i="5"/>
  <c r="OS71" i="5"/>
  <c r="OQ71" i="5"/>
  <c r="PU63" i="5"/>
  <c r="PP63" i="5"/>
  <c r="PV63" i="5"/>
  <c r="PO63" i="5"/>
  <c r="PQ63" i="5"/>
  <c r="PU70" i="5"/>
  <c r="PP70" i="5"/>
  <c r="PV70" i="5"/>
  <c r="PO70" i="5"/>
  <c r="PQ70" i="5"/>
  <c r="OW73" i="5"/>
  <c r="OR73" i="5"/>
  <c r="OX73" i="5"/>
  <c r="OS73" i="5"/>
  <c r="OQ73" i="5"/>
  <c r="OW68" i="5"/>
  <c r="OX68" i="5"/>
  <c r="OS68" i="5"/>
  <c r="OQ68" i="5"/>
  <c r="OR68" i="5"/>
  <c r="PU75" i="5"/>
  <c r="PP75" i="5"/>
  <c r="PV75" i="5"/>
  <c r="PO75" i="5"/>
  <c r="PQ75" i="5"/>
  <c r="PU66" i="5"/>
  <c r="PP66" i="5"/>
  <c r="PV66" i="5"/>
  <c r="PQ66" i="5"/>
  <c r="PO66" i="5"/>
  <c r="PK70" i="5"/>
  <c r="PK73" i="5"/>
  <c r="PK76" i="5"/>
  <c r="PK68" i="5"/>
  <c r="PK71" i="5"/>
  <c r="PK77" i="5"/>
  <c r="PK74" i="5"/>
  <c r="PK67" i="5"/>
  <c r="PK72" i="5"/>
  <c r="PK69" i="5"/>
  <c r="PK75" i="5"/>
  <c r="PU73" i="5"/>
  <c r="PQ73" i="5"/>
  <c r="PP73" i="5"/>
  <c r="PO73" i="5"/>
  <c r="PV73" i="5"/>
  <c r="OW67" i="5"/>
  <c r="OX67" i="5"/>
  <c r="OS67" i="5"/>
  <c r="OQ67" i="5"/>
  <c r="OR67" i="5"/>
  <c r="QT74" i="5"/>
  <c r="QU74" i="5"/>
  <c r="QO74" i="5"/>
  <c r="QN74" i="5"/>
  <c r="QP74" i="5"/>
  <c r="QT72" i="5"/>
  <c r="QN72" i="5"/>
  <c r="QO72" i="5"/>
  <c r="QP72" i="5"/>
  <c r="QU72" i="5"/>
  <c r="QT63" i="5"/>
  <c r="QU63" i="5"/>
  <c r="QP63" i="5"/>
  <c r="QO63" i="5"/>
  <c r="QN63" i="5"/>
  <c r="SF72" i="5"/>
  <c r="SF73" i="5"/>
  <c r="SF65" i="5"/>
  <c r="SF75" i="5"/>
  <c r="SF67" i="5"/>
  <c r="SF74" i="5"/>
  <c r="SF66" i="5"/>
  <c r="SF71" i="5"/>
  <c r="SF70" i="5"/>
  <c r="SF76" i="5"/>
  <c r="SF69" i="5"/>
  <c r="SF68" i="5"/>
  <c r="SF77" i="5"/>
  <c r="QT70" i="5"/>
  <c r="QP70" i="5"/>
  <c r="QU70" i="5"/>
  <c r="QO70" i="5"/>
  <c r="QN70" i="5"/>
  <c r="RR68" i="5"/>
  <c r="RL68" i="5"/>
  <c r="RN68" i="5"/>
  <c r="RS68" i="5"/>
  <c r="RM68" i="5"/>
  <c r="RR64" i="5"/>
  <c r="RM64" i="5"/>
  <c r="RL64" i="5"/>
  <c r="RS64" i="5"/>
  <c r="RN64" i="5"/>
  <c r="RR69" i="5"/>
  <c r="RL69" i="5"/>
  <c r="RN69" i="5"/>
  <c r="RM69" i="5"/>
  <c r="RS69" i="5"/>
  <c r="QT69" i="5"/>
  <c r="QU69" i="5"/>
  <c r="QP69" i="5"/>
  <c r="QO69" i="5"/>
  <c r="QN69" i="5"/>
  <c r="RR66" i="5"/>
  <c r="RM66" i="5"/>
  <c r="RS66" i="5"/>
  <c r="RN66" i="5"/>
  <c r="RL66" i="5"/>
  <c r="RH73" i="5"/>
  <c r="RH74" i="5"/>
  <c r="RH71" i="5"/>
  <c r="RH76" i="5"/>
  <c r="RH68" i="5"/>
  <c r="RH72" i="5"/>
  <c r="RH77" i="5"/>
  <c r="RH67" i="5"/>
  <c r="RH69" i="5"/>
  <c r="RH75" i="5"/>
  <c r="RH70" i="5"/>
  <c r="RR65" i="5"/>
  <c r="RL65" i="5"/>
  <c r="RN65" i="5"/>
  <c r="RM65" i="5"/>
  <c r="RS65" i="5"/>
  <c r="RR75" i="5"/>
  <c r="RN75" i="5"/>
  <c r="RM75" i="5"/>
  <c r="RS75" i="5"/>
  <c r="RL75" i="5"/>
  <c r="QT71" i="5"/>
  <c r="QU71" i="5"/>
  <c r="QN71" i="5"/>
  <c r="QO71" i="5"/>
  <c r="QP71" i="5"/>
  <c r="QT75" i="5"/>
  <c r="QN75" i="5"/>
  <c r="QU75" i="5"/>
  <c r="QP75" i="5"/>
  <c r="QO75" i="5"/>
  <c r="QT66" i="5"/>
  <c r="QU66" i="5"/>
  <c r="QP66" i="5"/>
  <c r="QN66" i="5"/>
  <c r="QO66" i="5"/>
  <c r="QT68" i="5"/>
  <c r="QO68" i="5"/>
  <c r="QU68" i="5"/>
  <c r="QN68" i="5"/>
  <c r="QP68" i="5"/>
  <c r="QT64" i="5"/>
  <c r="QU64" i="5"/>
  <c r="QP64" i="5"/>
  <c r="QO64" i="5"/>
  <c r="QN64" i="5"/>
  <c r="QT77" i="5"/>
  <c r="QN77" i="5"/>
  <c r="QO77" i="5"/>
  <c r="QP77" i="5"/>
  <c r="QU77" i="5"/>
  <c r="RR70" i="5"/>
  <c r="RN70" i="5"/>
  <c r="RS70" i="5"/>
  <c r="RL70" i="5"/>
  <c r="RM70" i="5"/>
  <c r="QT62" i="5"/>
  <c r="QN62" i="5"/>
  <c r="QO62" i="5"/>
  <c r="QP62" i="5"/>
  <c r="QU62" i="5"/>
  <c r="QT65" i="5"/>
  <c r="QO65" i="5"/>
  <c r="QP65" i="5"/>
  <c r="QU65" i="5"/>
  <c r="QN65" i="5"/>
  <c r="QP60" i="5"/>
  <c r="QU60" i="5"/>
  <c r="QN60" i="5"/>
  <c r="QT60" i="5"/>
  <c r="QO60" i="5"/>
  <c r="RR60" i="5"/>
  <c r="RL60" i="5"/>
  <c r="RS60" i="5"/>
  <c r="RM60" i="5"/>
  <c r="RN60" i="5"/>
  <c r="PU60" i="5"/>
  <c r="PQ60" i="5"/>
  <c r="PV60" i="5"/>
  <c r="PO60" i="5"/>
  <c r="PP60" i="5"/>
  <c r="OS60" i="5"/>
  <c r="OW60" i="5"/>
  <c r="OQ60" i="5"/>
  <c r="OR60" i="5"/>
  <c r="OX60" i="5"/>
  <c r="NW60" i="5"/>
  <c r="NQ60" i="5"/>
  <c r="NS60" i="5"/>
  <c r="NR60" i="5"/>
  <c r="NX60" i="5"/>
  <c r="MU60" i="5"/>
  <c r="MY60" i="5"/>
  <c r="MS60" i="5"/>
  <c r="MT60" i="5"/>
  <c r="MZ60" i="5"/>
  <c r="KX60" i="5"/>
  <c r="LB60" i="5"/>
  <c r="KW60" i="5"/>
  <c r="LC60" i="5"/>
  <c r="KV60" i="5"/>
  <c r="LZ60" i="5"/>
  <c r="LV60" i="5"/>
  <c r="MA60" i="5"/>
  <c r="LT60" i="5"/>
  <c r="LU60" i="5"/>
  <c r="MN55" i="5"/>
  <c r="MN60" i="5"/>
  <c r="RR56" i="5"/>
  <c r="QT58" i="5"/>
  <c r="RR57" i="5"/>
  <c r="PO56" i="5"/>
  <c r="PO58" i="5"/>
  <c r="PP56" i="5"/>
  <c r="OW57" i="5"/>
  <c r="PU59" i="5"/>
  <c r="PU57" i="5"/>
  <c r="NR58" i="5"/>
  <c r="NX58" i="5"/>
  <c r="LU55" i="5"/>
  <c r="LZ59" i="5"/>
  <c r="LV59" i="5"/>
  <c r="LB59" i="5"/>
  <c r="PQ59" i="5"/>
  <c r="QX78" i="5"/>
  <c r="LC59" i="5"/>
  <c r="AL101" i="6"/>
  <c r="N34" i="7" s="1"/>
  <c r="KX59" i="5"/>
  <c r="LF78" i="5"/>
  <c r="KW59" i="5"/>
  <c r="LT55" i="5"/>
  <c r="OX57" i="5"/>
  <c r="PQ58" i="5"/>
  <c r="AX101" i="6"/>
  <c r="N36" i="7" s="1"/>
  <c r="Q36" i="7" s="1"/>
  <c r="OQ57" i="5"/>
  <c r="OS57" i="5"/>
  <c r="PV59" i="5"/>
  <c r="PP59" i="5"/>
  <c r="OR57" i="5"/>
  <c r="PV57" i="5"/>
  <c r="PO57" i="5"/>
  <c r="PP57" i="5"/>
  <c r="PQ57" i="5"/>
  <c r="PM78" i="5"/>
  <c r="PV58" i="5"/>
  <c r="PY78" i="5"/>
  <c r="QN58" i="5"/>
  <c r="RL57" i="5"/>
  <c r="RS57" i="5"/>
  <c r="QU58" i="5"/>
  <c r="RL56" i="5"/>
  <c r="RM57" i="5"/>
  <c r="RN57" i="5"/>
  <c r="RM56" i="5"/>
  <c r="RS56" i="5"/>
  <c r="RN56" i="5"/>
  <c r="QP58" i="5"/>
  <c r="PU56" i="5"/>
  <c r="PQ56" i="5"/>
  <c r="PU58" i="5"/>
  <c r="PP58" i="5"/>
  <c r="PV56" i="5"/>
  <c r="NW57" i="5"/>
  <c r="NR57" i="5"/>
  <c r="NX57" i="5"/>
  <c r="NQ57" i="5"/>
  <c r="NS57" i="5"/>
  <c r="NW58" i="5"/>
  <c r="NS58" i="5"/>
  <c r="NQ58" i="5"/>
  <c r="KV59" i="5"/>
  <c r="LU59" i="5"/>
  <c r="LZ55" i="5"/>
  <c r="MA55" i="5"/>
  <c r="LV55" i="5"/>
  <c r="RV78" i="5"/>
  <c r="OA78" i="5"/>
  <c r="PA78" i="5"/>
  <c r="QL78" i="5"/>
  <c r="RR59" i="5"/>
  <c r="RL59" i="5"/>
  <c r="RS59" i="5"/>
  <c r="RM59" i="5"/>
  <c r="RN59" i="5"/>
  <c r="QT57" i="5"/>
  <c r="QO57" i="5"/>
  <c r="QN57" i="5"/>
  <c r="QU57" i="5"/>
  <c r="QP57" i="5"/>
  <c r="QT59" i="5"/>
  <c r="QO59" i="5"/>
  <c r="QU59" i="5"/>
  <c r="QP59" i="5"/>
  <c r="QN59" i="5"/>
  <c r="QT56" i="5"/>
  <c r="QO56" i="5"/>
  <c r="QK78" i="5"/>
  <c r="QU56" i="5"/>
  <c r="QN56" i="5"/>
  <c r="QP56" i="5"/>
  <c r="RI55" i="5"/>
  <c r="JI120" i="6" s="1"/>
  <c r="JJ120" i="6" s="1"/>
  <c r="JK120" i="6" s="1"/>
  <c r="RJ78" i="5"/>
  <c r="OW59" i="5"/>
  <c r="OS59" i="5"/>
  <c r="OX59" i="5"/>
  <c r="OQ59" i="5"/>
  <c r="OR59" i="5"/>
  <c r="ON56" i="5"/>
  <c r="OO78" i="5"/>
  <c r="OW58" i="5"/>
  <c r="OS58" i="5"/>
  <c r="OR58" i="5"/>
  <c r="OX58" i="5"/>
  <c r="OQ58" i="5"/>
  <c r="PU55" i="5"/>
  <c r="PQ55" i="5"/>
  <c r="PO55" i="5"/>
  <c r="PV55" i="5"/>
  <c r="PP55" i="5"/>
  <c r="PL78" i="5"/>
  <c r="NW59" i="5"/>
  <c r="NR59" i="5"/>
  <c r="NS59" i="5"/>
  <c r="NX59" i="5"/>
  <c r="NQ59" i="5"/>
  <c r="MY57" i="5"/>
  <c r="MZ57" i="5"/>
  <c r="MT57" i="5"/>
  <c r="MU57" i="5"/>
  <c r="MS57" i="5"/>
  <c r="MY59" i="5"/>
  <c r="MZ59" i="5"/>
  <c r="MS59" i="5"/>
  <c r="MU59" i="5"/>
  <c r="MT59" i="5"/>
  <c r="NN55" i="5"/>
  <c r="HS120" i="6" s="1"/>
  <c r="HT120" i="6" s="1"/>
  <c r="NO78" i="5"/>
  <c r="OA52" i="5"/>
  <c r="AU111" i="6" s="1"/>
  <c r="NC78" i="5"/>
  <c r="MY58" i="5"/>
  <c r="MT58" i="5"/>
  <c r="MZ58" i="5"/>
  <c r="MU58" i="5"/>
  <c r="MS58" i="5"/>
  <c r="MY56" i="5"/>
  <c r="MS56" i="5"/>
  <c r="MU56" i="5"/>
  <c r="MT56" i="5"/>
  <c r="MZ56" i="5"/>
  <c r="MP78" i="5"/>
  <c r="MQ78" i="5"/>
  <c r="LZ56" i="5"/>
  <c r="LU56" i="5"/>
  <c r="MA56" i="5"/>
  <c r="LV56" i="5"/>
  <c r="LT56" i="5"/>
  <c r="LZ58" i="5"/>
  <c r="LV58" i="5"/>
  <c r="LU58" i="5"/>
  <c r="MA58" i="5"/>
  <c r="LT58" i="5"/>
  <c r="LB58" i="5"/>
  <c r="KV58" i="5"/>
  <c r="KW58" i="5"/>
  <c r="LC58" i="5"/>
  <c r="KX58" i="5"/>
  <c r="LB56" i="5"/>
  <c r="LC56" i="5"/>
  <c r="KS78" i="5"/>
  <c r="KX56" i="5"/>
  <c r="KV56" i="5"/>
  <c r="KW56" i="5"/>
  <c r="MD78" i="5"/>
  <c r="KT78" i="5"/>
  <c r="LR78" i="5"/>
  <c r="LQ78" i="5"/>
  <c r="LB57" i="5"/>
  <c r="KV57" i="5"/>
  <c r="LC57" i="5"/>
  <c r="KW57" i="5"/>
  <c r="KX57" i="5"/>
  <c r="JE120" i="6" l="1"/>
  <c r="HH120" i="6"/>
  <c r="IA135" i="6"/>
  <c r="IH135" i="6"/>
  <c r="HU120" i="6"/>
  <c r="IF120" i="6" s="1"/>
  <c r="HT143" i="6"/>
  <c r="HT144" i="6"/>
  <c r="IF135" i="6"/>
  <c r="GY143" i="6"/>
  <c r="GY144" i="6"/>
  <c r="GZ143" i="6"/>
  <c r="GZ144" i="6"/>
  <c r="JQ120" i="6"/>
  <c r="IN121" i="6"/>
  <c r="IO121" i="6" s="1"/>
  <c r="IW134" i="6"/>
  <c r="JA134" i="6"/>
  <c r="JC134" i="6"/>
  <c r="JE134" i="6"/>
  <c r="IV120" i="6"/>
  <c r="JA120" i="6"/>
  <c r="IA120" i="6"/>
  <c r="HM120" i="6"/>
  <c r="JJ144" i="6"/>
  <c r="JJ143" i="6"/>
  <c r="IV134" i="6"/>
  <c r="HD136" i="6"/>
  <c r="HE136" i="6" s="1"/>
  <c r="IT132" i="6"/>
  <c r="IU132" i="6" s="1"/>
  <c r="IB120" i="6"/>
  <c r="HD127" i="6"/>
  <c r="HE127" i="6" s="1"/>
  <c r="IT122" i="6"/>
  <c r="IU122" i="6" s="1"/>
  <c r="HD132" i="6"/>
  <c r="HE132" i="6" s="1"/>
  <c r="HD128" i="6"/>
  <c r="HE128" i="6" s="1"/>
  <c r="IW120" i="6"/>
  <c r="HY130" i="6"/>
  <c r="HZ130" i="6" s="1"/>
  <c r="HY124" i="6"/>
  <c r="HZ124" i="6" s="1"/>
  <c r="HY140" i="6"/>
  <c r="HZ140" i="6" s="1"/>
  <c r="IT136" i="6"/>
  <c r="IU136" i="6" s="1"/>
  <c r="JO122" i="6"/>
  <c r="JP122" i="6" s="1"/>
  <c r="JO142" i="6"/>
  <c r="JP142" i="6" s="1"/>
  <c r="IT127" i="6"/>
  <c r="IU127" i="6" s="1"/>
  <c r="JO136" i="6"/>
  <c r="JP136" i="6" s="1"/>
  <c r="HD122" i="6"/>
  <c r="HE122" i="6" s="1"/>
  <c r="HY133" i="6"/>
  <c r="HZ133" i="6" s="1"/>
  <c r="IT140" i="6"/>
  <c r="IU140" i="6" s="1"/>
  <c r="JO140" i="6"/>
  <c r="JP140" i="6" s="1"/>
  <c r="JO124" i="6"/>
  <c r="JP124" i="6" s="1"/>
  <c r="HY142" i="6"/>
  <c r="HZ142" i="6" s="1"/>
  <c r="HY127" i="6"/>
  <c r="HZ127" i="6" s="1"/>
  <c r="HD135" i="6"/>
  <c r="HE135" i="6" s="1"/>
  <c r="IT133" i="6"/>
  <c r="IU133" i="6" s="1"/>
  <c r="IT125" i="6"/>
  <c r="IU125" i="6" s="1"/>
  <c r="HY121" i="6"/>
  <c r="HZ121" i="6" s="1"/>
  <c r="JO132" i="6"/>
  <c r="JP132" i="6" s="1"/>
  <c r="HD139" i="6"/>
  <c r="HE139" i="6" s="1"/>
  <c r="HY138" i="6"/>
  <c r="HZ138" i="6" s="1"/>
  <c r="HD125" i="6"/>
  <c r="HE125" i="6" s="1"/>
  <c r="HD123" i="6"/>
  <c r="HE123" i="6" s="1"/>
  <c r="GX143" i="6"/>
  <c r="HY128" i="6"/>
  <c r="HZ128" i="6" s="1"/>
  <c r="JO131" i="6"/>
  <c r="JP131" i="6" s="1"/>
  <c r="IT123" i="6"/>
  <c r="IU123" i="6" s="1"/>
  <c r="JO130" i="6"/>
  <c r="JP130" i="6" s="1"/>
  <c r="IT124" i="6"/>
  <c r="IU124" i="6" s="1"/>
  <c r="JZ120" i="6"/>
  <c r="JI144" i="6"/>
  <c r="JI143" i="6"/>
  <c r="HS144" i="6"/>
  <c r="HS143" i="6"/>
  <c r="IT131" i="6"/>
  <c r="IU131" i="6" s="1"/>
  <c r="HD130" i="6"/>
  <c r="HE130" i="6" s="1"/>
  <c r="HD141" i="6"/>
  <c r="HE141" i="6" s="1"/>
  <c r="JO139" i="6"/>
  <c r="JP139" i="6" s="1"/>
  <c r="IT142" i="6"/>
  <c r="IU142" i="6" s="1"/>
  <c r="JO135" i="6"/>
  <c r="JP135" i="6" s="1"/>
  <c r="HD142" i="6"/>
  <c r="HE142" i="6" s="1"/>
  <c r="JO133" i="6"/>
  <c r="JP133" i="6" s="1"/>
  <c r="HY136" i="6"/>
  <c r="HZ136" i="6" s="1"/>
  <c r="HY139" i="6"/>
  <c r="HZ139" i="6" s="1"/>
  <c r="HD133" i="6"/>
  <c r="HE133" i="6" s="1"/>
  <c r="HD131" i="6"/>
  <c r="HE131" i="6" s="1"/>
  <c r="IT126" i="6"/>
  <c r="IU126" i="6" s="1"/>
  <c r="JO137" i="6"/>
  <c r="JP137" i="6" s="1"/>
  <c r="HY125" i="6"/>
  <c r="HZ125" i="6" s="1"/>
  <c r="JO123" i="6"/>
  <c r="JP123" i="6" s="1"/>
  <c r="HD129" i="6"/>
  <c r="HE129" i="6" s="1"/>
  <c r="IT139" i="6"/>
  <c r="IU139" i="6" s="1"/>
  <c r="HD134" i="6"/>
  <c r="HE134" i="6" s="1"/>
  <c r="HY126" i="6"/>
  <c r="HZ126" i="6" s="1"/>
  <c r="HD137" i="6"/>
  <c r="HE137" i="6" s="1"/>
  <c r="HD138" i="6"/>
  <c r="HE138" i="6" s="1"/>
  <c r="HY137" i="6"/>
  <c r="HZ137" i="6" s="1"/>
  <c r="JO127" i="6"/>
  <c r="JP127" i="6" s="1"/>
  <c r="HY122" i="6"/>
  <c r="HZ122" i="6" s="1"/>
  <c r="IT130" i="6"/>
  <c r="IU130" i="6" s="1"/>
  <c r="HY134" i="6"/>
  <c r="HZ134" i="6" s="1"/>
  <c r="HD140" i="6"/>
  <c r="HE140" i="6" s="1"/>
  <c r="JO129" i="6"/>
  <c r="JP129" i="6" s="1"/>
  <c r="HY123" i="6"/>
  <c r="HZ123" i="6" s="1"/>
  <c r="HD126" i="6"/>
  <c r="HE126" i="6" s="1"/>
  <c r="HY131" i="6"/>
  <c r="HZ131" i="6" s="1"/>
  <c r="IT135" i="6"/>
  <c r="IU135" i="6" s="1"/>
  <c r="JO125" i="6"/>
  <c r="JP125" i="6" s="1"/>
  <c r="HD121" i="6"/>
  <c r="HE121" i="6" s="1"/>
  <c r="IS121" i="6"/>
  <c r="IR121" i="6"/>
  <c r="HG120" i="6"/>
  <c r="HF120" i="6"/>
  <c r="ID135" i="6"/>
  <c r="IC135" i="6"/>
  <c r="GX144" i="6"/>
  <c r="JO126" i="6"/>
  <c r="JP126" i="6" s="1"/>
  <c r="IT137" i="6"/>
  <c r="IU137" i="6" s="1"/>
  <c r="JO134" i="6"/>
  <c r="JP134" i="6" s="1"/>
  <c r="HD124" i="6"/>
  <c r="HE124" i="6" s="1"/>
  <c r="JO121" i="6"/>
  <c r="JP121" i="6" s="1"/>
  <c r="JO141" i="6"/>
  <c r="JP141" i="6" s="1"/>
  <c r="JO138" i="6"/>
  <c r="JP138" i="6" s="1"/>
  <c r="HY132" i="6"/>
  <c r="HZ132" i="6" s="1"/>
  <c r="IT138" i="6"/>
  <c r="IU138" i="6" s="1"/>
  <c r="IT141" i="6"/>
  <c r="IU141" i="6" s="1"/>
  <c r="HY141" i="6"/>
  <c r="HZ141" i="6" s="1"/>
  <c r="IT128" i="6"/>
  <c r="IU128" i="6" s="1"/>
  <c r="IT129" i="6"/>
  <c r="IU129" i="6" s="1"/>
  <c r="HY129" i="6"/>
  <c r="HZ129" i="6" s="1"/>
  <c r="JO128" i="6"/>
  <c r="JP128" i="6" s="1"/>
  <c r="IY134" i="6"/>
  <c r="IX134" i="6"/>
  <c r="HI120" i="6"/>
  <c r="AO114" i="6"/>
  <c r="RX78" i="5"/>
  <c r="BG108" i="6" s="1"/>
  <c r="RY78" i="5"/>
  <c r="BG107" i="6" s="1"/>
  <c r="SD78" i="5"/>
  <c r="BG113" i="6" s="1"/>
  <c r="RZ78" i="5"/>
  <c r="SE78" i="5"/>
  <c r="QB78" i="5"/>
  <c r="BA107" i="6" s="1"/>
  <c r="QG78" i="5"/>
  <c r="BA113" i="6" s="1"/>
  <c r="PY52" i="5"/>
  <c r="BA111" i="6" s="1"/>
  <c r="BA110" i="6" s="1"/>
  <c r="QH78" i="5"/>
  <c r="QA78" i="5"/>
  <c r="BA108" i="6" s="1"/>
  <c r="OC78" i="5"/>
  <c r="AU108" i="6" s="1"/>
  <c r="OJ78" i="5"/>
  <c r="MG78" i="5"/>
  <c r="AO107" i="6" s="1"/>
  <c r="MF78" i="5"/>
  <c r="AO108" i="6" s="1"/>
  <c r="MN56" i="5"/>
  <c r="MN59" i="5"/>
  <c r="MN63" i="5"/>
  <c r="MN58" i="5"/>
  <c r="MH78" i="5"/>
  <c r="ML78" i="5"/>
  <c r="AO113" i="6" s="1"/>
  <c r="LH78" i="5"/>
  <c r="AM108" i="6" s="1"/>
  <c r="PO78" i="5"/>
  <c r="AZ108" i="6" s="1"/>
  <c r="PP78" i="5"/>
  <c r="AZ107" i="6" s="1"/>
  <c r="RG78" i="5"/>
  <c r="RF78" i="5"/>
  <c r="BE113" i="6" s="1"/>
  <c r="QO78" i="5"/>
  <c r="BD107" i="6" s="1"/>
  <c r="RA78" i="5"/>
  <c r="BE107" i="6" s="1"/>
  <c r="QZ78" i="5"/>
  <c r="BE108" i="6" s="1"/>
  <c r="RB78" i="5"/>
  <c r="PD78" i="5"/>
  <c r="AY107" i="6" s="1"/>
  <c r="PC78" i="5"/>
  <c r="AY108" i="6" s="1"/>
  <c r="PI78" i="5"/>
  <c r="AY113" i="6" s="1"/>
  <c r="PJ78" i="5"/>
  <c r="PE78" i="5"/>
  <c r="NE78" i="5"/>
  <c r="AS108" i="6" s="1"/>
  <c r="NG78" i="5"/>
  <c r="NK78" i="5"/>
  <c r="AS113" i="6" s="1"/>
  <c r="NF78" i="5"/>
  <c r="AS107" i="6" s="1"/>
  <c r="MS78" i="5"/>
  <c r="AR108" i="6" s="1"/>
  <c r="NL78" i="5"/>
  <c r="LT78" i="5"/>
  <c r="AN108" i="6" s="1"/>
  <c r="LU78" i="5"/>
  <c r="AN107" i="6" s="1"/>
  <c r="LN78" i="5"/>
  <c r="AM113" i="6" s="1"/>
  <c r="LO78" i="5"/>
  <c r="KV78" i="5"/>
  <c r="AL108" i="6" s="1"/>
  <c r="KW78" i="5"/>
  <c r="AL107" i="6" s="1"/>
  <c r="LI78" i="5"/>
  <c r="AM107" i="6" s="1"/>
  <c r="LJ78" i="5"/>
  <c r="QN78" i="5"/>
  <c r="BD108" i="6" s="1"/>
  <c r="MT78" i="5"/>
  <c r="AR107" i="6" s="1"/>
  <c r="PQ78" i="5"/>
  <c r="AZ116" i="6" s="1"/>
  <c r="QP78" i="5"/>
  <c r="BD116" i="6" s="1"/>
  <c r="QU78" i="5"/>
  <c r="QV57" i="5" s="1"/>
  <c r="PU78" i="5"/>
  <c r="AZ113" i="6" s="1"/>
  <c r="PV78" i="5"/>
  <c r="PW57" i="5" s="1"/>
  <c r="MY78" i="5"/>
  <c r="AR113" i="6" s="1"/>
  <c r="MN78" i="5"/>
  <c r="AO115" i="6" s="1"/>
  <c r="LV78" i="5"/>
  <c r="AN116" i="6" s="1"/>
  <c r="LZ78" i="5"/>
  <c r="AN113" i="6" s="1"/>
  <c r="LB78" i="5"/>
  <c r="AL113" i="6" s="1"/>
  <c r="MA78" i="5"/>
  <c r="MB57" i="5" s="1"/>
  <c r="RR55" i="5"/>
  <c r="RR78" i="5" s="1"/>
  <c r="BF113" i="6" s="1"/>
  <c r="RL55" i="5"/>
  <c r="RI78" i="5"/>
  <c r="RN55" i="5"/>
  <c r="RN78" i="5" s="1"/>
  <c r="BF116" i="6" s="1"/>
  <c r="BJ117" i="6" s="1"/>
  <c r="RM55" i="5"/>
  <c r="RS55" i="5"/>
  <c r="RS78" i="5" s="1"/>
  <c r="RT57" i="5" s="1"/>
  <c r="QT78" i="5"/>
  <c r="BD113" i="6" s="1"/>
  <c r="OW56" i="5"/>
  <c r="OW78" i="5" s="1"/>
  <c r="AX113" i="6" s="1"/>
  <c r="OX56" i="5"/>
  <c r="OX78" i="5" s="1"/>
  <c r="OY57" i="5" s="1"/>
  <c r="OQ56" i="5"/>
  <c r="ON78" i="5"/>
  <c r="OS56" i="5"/>
  <c r="OS78" i="5" s="1"/>
  <c r="AX116" i="6" s="1"/>
  <c r="OR56" i="5"/>
  <c r="NW55" i="5"/>
  <c r="NW78" i="5" s="1"/>
  <c r="AT113" i="6" s="1"/>
  <c r="NX55" i="5"/>
  <c r="NX78" i="5" s="1"/>
  <c r="NY57" i="5" s="1"/>
  <c r="NR55" i="5"/>
  <c r="NN78" i="5"/>
  <c r="NS55" i="5"/>
  <c r="NS78" i="5" s="1"/>
  <c r="AT116" i="6" s="1"/>
  <c r="NQ55" i="5"/>
  <c r="MU78" i="5"/>
  <c r="AR116" i="6" s="1"/>
  <c r="MZ78" i="5"/>
  <c r="NA57" i="5" s="1"/>
  <c r="AU109" i="6"/>
  <c r="AU110" i="6"/>
  <c r="LC78" i="5"/>
  <c r="LD57" i="5" s="1"/>
  <c r="KX78" i="5"/>
  <c r="AL116" i="6" s="1"/>
  <c r="IX120" i="6" l="1"/>
  <c r="IY120" i="6"/>
  <c r="JC120" i="6"/>
  <c r="HK120" i="6"/>
  <c r="HO120" i="6"/>
  <c r="JX120" i="6"/>
  <c r="JV120" i="6"/>
  <c r="IP121" i="6"/>
  <c r="IO143" i="6"/>
  <c r="IO144" i="6"/>
  <c r="IJ120" i="6"/>
  <c r="IH120" i="6"/>
  <c r="HU144" i="6"/>
  <c r="HU143" i="6"/>
  <c r="JX128" i="6"/>
  <c r="JV128" i="6"/>
  <c r="JZ128" i="6"/>
  <c r="JZ125" i="6"/>
  <c r="JX125" i="6"/>
  <c r="JV125" i="6"/>
  <c r="JR131" i="6"/>
  <c r="JV131" i="6"/>
  <c r="JX131" i="6"/>
  <c r="JZ131" i="6"/>
  <c r="RH65" i="5"/>
  <c r="RH66" i="5"/>
  <c r="JZ141" i="6"/>
  <c r="JV141" i="6"/>
  <c r="JX141" i="6"/>
  <c r="JX134" i="6"/>
  <c r="JZ134" i="6"/>
  <c r="JV134" i="6"/>
  <c r="JZ137" i="6"/>
  <c r="JV137" i="6"/>
  <c r="JX137" i="6"/>
  <c r="JX133" i="6"/>
  <c r="JZ133" i="6"/>
  <c r="JV133" i="6"/>
  <c r="JQ130" i="6"/>
  <c r="JZ130" i="6"/>
  <c r="JV130" i="6"/>
  <c r="JX130" i="6"/>
  <c r="JQ124" i="6"/>
  <c r="JV124" i="6"/>
  <c r="JZ124" i="6"/>
  <c r="JX124" i="6"/>
  <c r="JR122" i="6"/>
  <c r="JZ122" i="6"/>
  <c r="JV122" i="6"/>
  <c r="JX122" i="6"/>
  <c r="JX127" i="6"/>
  <c r="JZ127" i="6"/>
  <c r="JV127" i="6"/>
  <c r="JZ123" i="6"/>
  <c r="JV123" i="6"/>
  <c r="JX123" i="6"/>
  <c r="JR132" i="6"/>
  <c r="JZ132" i="6"/>
  <c r="JV132" i="6"/>
  <c r="JX132" i="6"/>
  <c r="JQ140" i="6"/>
  <c r="JZ140" i="6"/>
  <c r="JV140" i="6"/>
  <c r="JX140" i="6"/>
  <c r="JR136" i="6"/>
  <c r="JZ136" i="6"/>
  <c r="JV136" i="6"/>
  <c r="JX136" i="6"/>
  <c r="JZ121" i="6"/>
  <c r="JX121" i="6"/>
  <c r="JV121" i="6"/>
  <c r="JV135" i="6"/>
  <c r="JX135" i="6"/>
  <c r="JZ135" i="6"/>
  <c r="JZ138" i="6"/>
  <c r="JV138" i="6"/>
  <c r="JX138" i="6"/>
  <c r="JX126" i="6"/>
  <c r="JV126" i="6"/>
  <c r="JZ126" i="6"/>
  <c r="JV129" i="6"/>
  <c r="JZ129" i="6"/>
  <c r="JX129" i="6"/>
  <c r="JV139" i="6"/>
  <c r="JX139" i="6"/>
  <c r="JZ139" i="6"/>
  <c r="JQ142" i="6"/>
  <c r="JZ142" i="6"/>
  <c r="JV142" i="6"/>
  <c r="JX142" i="6"/>
  <c r="JC138" i="6"/>
  <c r="JA138" i="6"/>
  <c r="JE138" i="6"/>
  <c r="JA135" i="6"/>
  <c r="JC135" i="6"/>
  <c r="JE135" i="6"/>
  <c r="PK66" i="5"/>
  <c r="PK65" i="5"/>
  <c r="IV124" i="6"/>
  <c r="JC124" i="6"/>
  <c r="JE124" i="6"/>
  <c r="JA124" i="6"/>
  <c r="IV125" i="6"/>
  <c r="JC125" i="6"/>
  <c r="JE125" i="6"/>
  <c r="JA125" i="6"/>
  <c r="IW132" i="6"/>
  <c r="JE132" i="6"/>
  <c r="JA132" i="6"/>
  <c r="JC132" i="6"/>
  <c r="JC129" i="6"/>
  <c r="JE129" i="6"/>
  <c r="JA129" i="6"/>
  <c r="JE141" i="6"/>
  <c r="JC141" i="6"/>
  <c r="JA141" i="6"/>
  <c r="JA142" i="6"/>
  <c r="JC142" i="6"/>
  <c r="JE142" i="6"/>
  <c r="JA131" i="6"/>
  <c r="JC131" i="6"/>
  <c r="JE131" i="6"/>
  <c r="IW133" i="6"/>
  <c r="JE133" i="6"/>
  <c r="JC133" i="6"/>
  <c r="JA133" i="6"/>
  <c r="IW122" i="6"/>
  <c r="JC122" i="6"/>
  <c r="JE122" i="6"/>
  <c r="JA122" i="6"/>
  <c r="JE128" i="6"/>
  <c r="JC128" i="6"/>
  <c r="JA128" i="6"/>
  <c r="JA130" i="6"/>
  <c r="JC130" i="6"/>
  <c r="JE130" i="6"/>
  <c r="JA126" i="6"/>
  <c r="JC126" i="6"/>
  <c r="JE126" i="6"/>
  <c r="IV123" i="6"/>
  <c r="JC123" i="6"/>
  <c r="JA123" i="6"/>
  <c r="JE123" i="6"/>
  <c r="IV136" i="6"/>
  <c r="JC136" i="6"/>
  <c r="JE136" i="6"/>
  <c r="JA136" i="6"/>
  <c r="JC137" i="6"/>
  <c r="JE137" i="6"/>
  <c r="JA137" i="6"/>
  <c r="JC139" i="6"/>
  <c r="JE139" i="6"/>
  <c r="JA139" i="6"/>
  <c r="IW140" i="6"/>
  <c r="JC140" i="6"/>
  <c r="JE140" i="6"/>
  <c r="JA140" i="6"/>
  <c r="IW127" i="6"/>
  <c r="JE127" i="6"/>
  <c r="JC127" i="6"/>
  <c r="JA127" i="6"/>
  <c r="IH132" i="6"/>
  <c r="IF132" i="6"/>
  <c r="IJ132" i="6"/>
  <c r="IF137" i="6"/>
  <c r="IH137" i="6"/>
  <c r="IJ137" i="6"/>
  <c r="IJ139" i="6"/>
  <c r="IF139" i="6"/>
  <c r="IH139" i="6"/>
  <c r="IB138" i="6"/>
  <c r="IJ138" i="6"/>
  <c r="IF138" i="6"/>
  <c r="IH138" i="6"/>
  <c r="IB133" i="6"/>
  <c r="IJ133" i="6"/>
  <c r="IF133" i="6"/>
  <c r="IH133" i="6"/>
  <c r="NM65" i="5"/>
  <c r="NM66" i="5"/>
  <c r="IF134" i="6"/>
  <c r="IH134" i="6"/>
  <c r="IJ134" i="6"/>
  <c r="IA130" i="6"/>
  <c r="IF130" i="6"/>
  <c r="IH130" i="6"/>
  <c r="IJ130" i="6"/>
  <c r="IH129" i="6"/>
  <c r="IF129" i="6"/>
  <c r="IJ129" i="6"/>
  <c r="IJ122" i="6"/>
  <c r="IF122" i="6"/>
  <c r="IH122" i="6"/>
  <c r="IH126" i="6"/>
  <c r="IJ126" i="6"/>
  <c r="IF126" i="6"/>
  <c r="IH136" i="6"/>
  <c r="IJ136" i="6"/>
  <c r="IF136" i="6"/>
  <c r="IA128" i="6"/>
  <c r="IH128" i="6"/>
  <c r="IF128" i="6"/>
  <c r="IJ128" i="6"/>
  <c r="IB142" i="6"/>
  <c r="IF142" i="6"/>
  <c r="IH142" i="6"/>
  <c r="IJ142" i="6"/>
  <c r="IA124" i="6"/>
  <c r="IH124" i="6"/>
  <c r="IF124" i="6"/>
  <c r="IJ124" i="6"/>
  <c r="IF141" i="6"/>
  <c r="IH141" i="6"/>
  <c r="IJ141" i="6"/>
  <c r="IJ131" i="6"/>
  <c r="IF131" i="6"/>
  <c r="IH131" i="6"/>
  <c r="IF123" i="6"/>
  <c r="IH123" i="6"/>
  <c r="IJ123" i="6"/>
  <c r="IJ125" i="6"/>
  <c r="IH125" i="6"/>
  <c r="IF125" i="6"/>
  <c r="IB121" i="6"/>
  <c r="IH121" i="6"/>
  <c r="IF121" i="6"/>
  <c r="IJ121" i="6"/>
  <c r="IB127" i="6"/>
  <c r="IH127" i="6"/>
  <c r="IJ127" i="6"/>
  <c r="IF127" i="6"/>
  <c r="IB140" i="6"/>
  <c r="IH140" i="6"/>
  <c r="IF140" i="6"/>
  <c r="IJ140" i="6"/>
  <c r="HM124" i="6"/>
  <c r="HK124" i="6"/>
  <c r="HO124" i="6"/>
  <c r="HK140" i="6"/>
  <c r="HM140" i="6"/>
  <c r="HO140" i="6"/>
  <c r="HO142" i="6"/>
  <c r="HK142" i="6"/>
  <c r="HM142" i="6"/>
  <c r="HG132" i="6"/>
  <c r="HO132" i="6"/>
  <c r="HM132" i="6"/>
  <c r="HK132" i="6"/>
  <c r="HO121" i="6"/>
  <c r="HM121" i="6"/>
  <c r="HK121" i="6"/>
  <c r="HO134" i="6"/>
  <c r="HK134" i="6"/>
  <c r="HM134" i="6"/>
  <c r="HO131" i="6"/>
  <c r="HK131" i="6"/>
  <c r="HM131" i="6"/>
  <c r="HG139" i="6"/>
  <c r="HM139" i="6"/>
  <c r="HK139" i="6"/>
  <c r="HO139" i="6"/>
  <c r="HG136" i="6"/>
  <c r="HO136" i="6"/>
  <c r="HM136" i="6"/>
  <c r="HK136" i="6"/>
  <c r="HM126" i="6"/>
  <c r="HK126" i="6"/>
  <c r="HO126" i="6"/>
  <c r="HK133" i="6"/>
  <c r="HO133" i="6"/>
  <c r="HM133" i="6"/>
  <c r="HG123" i="6"/>
  <c r="HO123" i="6"/>
  <c r="HM123" i="6"/>
  <c r="HK123" i="6"/>
  <c r="HF135" i="6"/>
  <c r="HM135" i="6"/>
  <c r="HO135" i="6"/>
  <c r="HK135" i="6"/>
  <c r="HF127" i="6"/>
  <c r="HM127" i="6"/>
  <c r="HK127" i="6"/>
  <c r="HO127" i="6"/>
  <c r="HK129" i="6"/>
  <c r="HO129" i="6"/>
  <c r="HM129" i="6"/>
  <c r="HM130" i="6"/>
  <c r="HO130" i="6"/>
  <c r="HK130" i="6"/>
  <c r="LP65" i="5"/>
  <c r="LP66" i="5"/>
  <c r="HO138" i="6"/>
  <c r="HK138" i="6"/>
  <c r="HM138" i="6"/>
  <c r="HG122" i="6"/>
  <c r="HM122" i="6"/>
  <c r="HK122" i="6"/>
  <c r="HO122" i="6"/>
  <c r="HK137" i="6"/>
  <c r="HM137" i="6"/>
  <c r="HO137" i="6"/>
  <c r="HM141" i="6"/>
  <c r="HO141" i="6"/>
  <c r="HK141" i="6"/>
  <c r="HF125" i="6"/>
  <c r="HK125" i="6"/>
  <c r="HM125" i="6"/>
  <c r="HO125" i="6"/>
  <c r="HF128" i="6"/>
  <c r="HO128" i="6"/>
  <c r="HM128" i="6"/>
  <c r="HK128" i="6"/>
  <c r="HF136" i="6"/>
  <c r="IW136" i="6"/>
  <c r="HG127" i="6"/>
  <c r="HG135" i="6"/>
  <c r="JR140" i="6"/>
  <c r="JK144" i="6"/>
  <c r="JK143" i="6"/>
  <c r="HF139" i="6"/>
  <c r="JQ122" i="6"/>
  <c r="IA133" i="6"/>
  <c r="HF122" i="6"/>
  <c r="IV133" i="6"/>
  <c r="IB130" i="6"/>
  <c r="JR124" i="6"/>
  <c r="IV122" i="6"/>
  <c r="IV127" i="6"/>
  <c r="JR142" i="6"/>
  <c r="HG128" i="6"/>
  <c r="IA142" i="6"/>
  <c r="IA140" i="6"/>
  <c r="HF132" i="6"/>
  <c r="IA138" i="6"/>
  <c r="IW125" i="6"/>
  <c r="IV132" i="6"/>
  <c r="IB128" i="6"/>
  <c r="IB124" i="6"/>
  <c r="IA127" i="6"/>
  <c r="IW123" i="6"/>
  <c r="IV140" i="6"/>
  <c r="IA121" i="6"/>
  <c r="HF123" i="6"/>
  <c r="JQ131" i="6"/>
  <c r="JQ136" i="6"/>
  <c r="JQ132" i="6"/>
  <c r="IW124" i="6"/>
  <c r="HG125" i="6"/>
  <c r="JR130" i="6"/>
  <c r="HA144" i="6"/>
  <c r="JQ128" i="6"/>
  <c r="JR128" i="6"/>
  <c r="IA141" i="6"/>
  <c r="IB141" i="6"/>
  <c r="IV138" i="6"/>
  <c r="IW138" i="6"/>
  <c r="HI135" i="6"/>
  <c r="HH135" i="6"/>
  <c r="ID137" i="6"/>
  <c r="IC137" i="6"/>
  <c r="IC126" i="6"/>
  <c r="ID126" i="6"/>
  <c r="JQ121" i="6"/>
  <c r="JR121" i="6"/>
  <c r="IV137" i="6"/>
  <c r="IW137" i="6"/>
  <c r="IC131" i="6"/>
  <c r="ID131" i="6"/>
  <c r="IY141" i="6"/>
  <c r="IX141" i="6"/>
  <c r="ID123" i="6"/>
  <c r="IC123" i="6"/>
  <c r="IY130" i="6"/>
  <c r="IX130" i="6"/>
  <c r="HI134" i="6"/>
  <c r="HH134" i="6"/>
  <c r="HH129" i="6"/>
  <c r="HI129" i="6"/>
  <c r="HI131" i="6"/>
  <c r="HH131" i="6"/>
  <c r="IN144" i="6"/>
  <c r="IN143" i="6"/>
  <c r="HF121" i="6"/>
  <c r="HG121" i="6"/>
  <c r="IW135" i="6"/>
  <c r="IV135" i="6"/>
  <c r="HF126" i="6"/>
  <c r="HG126" i="6"/>
  <c r="IC132" i="6"/>
  <c r="ID132" i="6"/>
  <c r="IV130" i="6"/>
  <c r="IW130" i="6"/>
  <c r="JR127" i="6"/>
  <c r="JQ127" i="6"/>
  <c r="JT141" i="6"/>
  <c r="JS141" i="6"/>
  <c r="HH127" i="6"/>
  <c r="HI127" i="6"/>
  <c r="HH124" i="6"/>
  <c r="HI124" i="6"/>
  <c r="JR123" i="6"/>
  <c r="JQ123" i="6"/>
  <c r="IV126" i="6"/>
  <c r="IW126" i="6"/>
  <c r="IY131" i="6"/>
  <c r="IX131" i="6"/>
  <c r="HF133" i="6"/>
  <c r="HG133" i="6"/>
  <c r="IC141" i="6"/>
  <c r="ID141" i="6"/>
  <c r="JT124" i="6"/>
  <c r="JS124" i="6"/>
  <c r="JT129" i="6"/>
  <c r="JS129" i="6"/>
  <c r="JS127" i="6"/>
  <c r="JT127" i="6"/>
  <c r="JT137" i="6"/>
  <c r="JS137" i="6"/>
  <c r="HF141" i="6"/>
  <c r="HG141" i="6"/>
  <c r="HA143" i="6"/>
  <c r="IA129" i="6"/>
  <c r="IB129" i="6"/>
  <c r="ID136" i="6"/>
  <c r="IC136" i="6"/>
  <c r="IY133" i="6"/>
  <c r="IX133" i="6"/>
  <c r="HH140" i="6"/>
  <c r="HI140" i="6"/>
  <c r="ID127" i="6"/>
  <c r="IC127" i="6"/>
  <c r="HF124" i="6"/>
  <c r="HG124" i="6"/>
  <c r="JQ126" i="6"/>
  <c r="JR126" i="6"/>
  <c r="ID140" i="6"/>
  <c r="IC140" i="6"/>
  <c r="IX129" i="6"/>
  <c r="IY129" i="6"/>
  <c r="JT131" i="6"/>
  <c r="JS131" i="6"/>
  <c r="ID124" i="6"/>
  <c r="IC124" i="6"/>
  <c r="IC130" i="6"/>
  <c r="ID130" i="6"/>
  <c r="IY126" i="6"/>
  <c r="IX126" i="6"/>
  <c r="HH136" i="6"/>
  <c r="HI136" i="6"/>
  <c r="HH133" i="6"/>
  <c r="HI133" i="6"/>
  <c r="IT121" i="6"/>
  <c r="IU121" i="6" s="1"/>
  <c r="IX124" i="6"/>
  <c r="IY124" i="6"/>
  <c r="JQ125" i="6"/>
  <c r="JR125" i="6"/>
  <c r="IB131" i="6"/>
  <c r="IA131" i="6"/>
  <c r="IB123" i="6"/>
  <c r="IA123" i="6"/>
  <c r="HH142" i="6"/>
  <c r="HI142" i="6"/>
  <c r="JS138" i="6"/>
  <c r="JT138" i="6"/>
  <c r="IY142" i="6"/>
  <c r="IX142" i="6"/>
  <c r="HF137" i="6"/>
  <c r="HG137" i="6"/>
  <c r="IW139" i="6"/>
  <c r="IV139" i="6"/>
  <c r="IA125" i="6"/>
  <c r="IB125" i="6"/>
  <c r="IX132" i="6"/>
  <c r="IY132" i="6"/>
  <c r="JT132" i="6"/>
  <c r="JS132" i="6"/>
  <c r="JS126" i="6"/>
  <c r="JT126" i="6"/>
  <c r="HI122" i="6"/>
  <c r="HH122" i="6"/>
  <c r="IB139" i="6"/>
  <c r="IA139" i="6"/>
  <c r="IA136" i="6"/>
  <c r="IB136" i="6"/>
  <c r="JS142" i="6"/>
  <c r="JT142" i="6"/>
  <c r="IC122" i="6"/>
  <c r="ID122" i="6"/>
  <c r="IV142" i="6"/>
  <c r="IW142" i="6"/>
  <c r="JT121" i="6"/>
  <c r="JS121" i="6"/>
  <c r="JT136" i="6"/>
  <c r="JS136" i="6"/>
  <c r="HF130" i="6"/>
  <c r="HG130" i="6"/>
  <c r="IV129" i="6"/>
  <c r="IW129" i="6"/>
  <c r="IV141" i="6"/>
  <c r="IW141" i="6"/>
  <c r="HH125" i="6"/>
  <c r="HI125" i="6"/>
  <c r="JS133" i="6"/>
  <c r="JT133" i="6"/>
  <c r="IA132" i="6"/>
  <c r="IB132" i="6"/>
  <c r="JQ138" i="6"/>
  <c r="JR138" i="6"/>
  <c r="IC133" i="6"/>
  <c r="ID133" i="6"/>
  <c r="JQ134" i="6"/>
  <c r="JR134" i="6"/>
  <c r="IC121" i="6"/>
  <c r="ID121" i="6"/>
  <c r="JT125" i="6"/>
  <c r="JS125" i="6"/>
  <c r="HH126" i="6"/>
  <c r="HI126" i="6"/>
  <c r="IX138" i="6"/>
  <c r="IY138" i="6"/>
  <c r="IC142" i="6"/>
  <c r="ID142" i="6"/>
  <c r="HH137" i="6"/>
  <c r="HI137" i="6"/>
  <c r="IC125" i="6"/>
  <c r="ID125" i="6"/>
  <c r="IX137" i="6"/>
  <c r="IY137" i="6"/>
  <c r="JS128" i="6"/>
  <c r="JT128" i="6"/>
  <c r="IC129" i="6"/>
  <c r="ID129" i="6"/>
  <c r="JQ129" i="6"/>
  <c r="JR129" i="6"/>
  <c r="HG140" i="6"/>
  <c r="HF140" i="6"/>
  <c r="IA122" i="6"/>
  <c r="IB122" i="6"/>
  <c r="IA137" i="6"/>
  <c r="IB137" i="6"/>
  <c r="IA126" i="6"/>
  <c r="IB126" i="6"/>
  <c r="HF129" i="6"/>
  <c r="HG129" i="6"/>
  <c r="JS134" i="6"/>
  <c r="JT134" i="6"/>
  <c r="HI141" i="6"/>
  <c r="HH141" i="6"/>
  <c r="IX127" i="6"/>
  <c r="IY127" i="6"/>
  <c r="IY135" i="6"/>
  <c r="IX135" i="6"/>
  <c r="HH128" i="6"/>
  <c r="HI128" i="6"/>
  <c r="HH132" i="6"/>
  <c r="HI132" i="6"/>
  <c r="JT140" i="6"/>
  <c r="JS140" i="6"/>
  <c r="HF142" i="6"/>
  <c r="HG142" i="6"/>
  <c r="JS122" i="6"/>
  <c r="JT122" i="6"/>
  <c r="JT123" i="6"/>
  <c r="JS123" i="6"/>
  <c r="IW131" i="6"/>
  <c r="IV131" i="6"/>
  <c r="JS120" i="6"/>
  <c r="JT120" i="6"/>
  <c r="JL144" i="6"/>
  <c r="JL143" i="6"/>
  <c r="HI123" i="6"/>
  <c r="HH123" i="6"/>
  <c r="IW128" i="6"/>
  <c r="IV128" i="6"/>
  <c r="IY125" i="6"/>
  <c r="IX125" i="6"/>
  <c r="IX140" i="6"/>
  <c r="IY140" i="6"/>
  <c r="HI139" i="6"/>
  <c r="HH139" i="6"/>
  <c r="JS135" i="6"/>
  <c r="JT135" i="6"/>
  <c r="JQ141" i="6"/>
  <c r="JR141" i="6"/>
  <c r="JT139" i="6"/>
  <c r="JS139" i="6"/>
  <c r="HH121" i="6"/>
  <c r="HI121" i="6"/>
  <c r="JS130" i="6"/>
  <c r="JT130" i="6"/>
  <c r="IC134" i="6"/>
  <c r="ID134" i="6"/>
  <c r="HI138" i="6"/>
  <c r="HH138" i="6"/>
  <c r="ID128" i="6"/>
  <c r="IC128" i="6"/>
  <c r="IY139" i="6"/>
  <c r="IX139" i="6"/>
  <c r="IX136" i="6"/>
  <c r="IY136" i="6"/>
  <c r="ID139" i="6"/>
  <c r="IC139" i="6"/>
  <c r="IC138" i="6"/>
  <c r="ID138" i="6"/>
  <c r="IA134" i="6"/>
  <c r="IB134" i="6"/>
  <c r="IX122" i="6"/>
  <c r="IY122" i="6"/>
  <c r="HF138" i="6"/>
  <c r="HG138" i="6"/>
  <c r="HF134" i="6"/>
  <c r="HG134" i="6"/>
  <c r="JQ137" i="6"/>
  <c r="JR137" i="6"/>
  <c r="HI130" i="6"/>
  <c r="HH130" i="6"/>
  <c r="HG131" i="6"/>
  <c r="HF131" i="6"/>
  <c r="IX128" i="6"/>
  <c r="IY128" i="6"/>
  <c r="IY123" i="6"/>
  <c r="IX123" i="6"/>
  <c r="JQ133" i="6"/>
  <c r="JR133" i="6"/>
  <c r="JR135" i="6"/>
  <c r="JQ135" i="6"/>
  <c r="JR139" i="6"/>
  <c r="JQ139" i="6"/>
  <c r="IC120" i="6"/>
  <c r="ID120" i="6"/>
  <c r="HV144" i="6"/>
  <c r="HV143" i="6"/>
  <c r="BA109" i="6"/>
  <c r="BG116" i="6"/>
  <c r="RV52" i="5"/>
  <c r="BG111" i="6" s="1"/>
  <c r="SF57" i="5"/>
  <c r="SF62" i="5"/>
  <c r="SF58" i="5"/>
  <c r="SF64" i="5"/>
  <c r="SF63" i="5"/>
  <c r="SF60" i="5"/>
  <c r="SF56" i="5"/>
  <c r="SF59" i="5"/>
  <c r="SF61" i="5"/>
  <c r="SF55" i="5"/>
  <c r="SF78" i="5" s="1"/>
  <c r="BG115" i="6" s="1"/>
  <c r="BG114" i="6"/>
  <c r="QI57" i="5"/>
  <c r="QI55" i="5"/>
  <c r="QI61" i="5"/>
  <c r="QI58" i="5"/>
  <c r="QI59" i="5"/>
  <c r="QI64" i="5"/>
  <c r="QI62" i="5"/>
  <c r="QI56" i="5"/>
  <c r="QI63" i="5"/>
  <c r="QI60" i="5"/>
  <c r="BA114" i="6"/>
  <c r="OK57" i="5"/>
  <c r="OK64" i="5"/>
  <c r="OK63" i="5"/>
  <c r="OK55" i="5"/>
  <c r="OK59" i="5"/>
  <c r="OK58" i="5"/>
  <c r="OK61" i="5"/>
  <c r="OK62" i="5"/>
  <c r="AU114" i="6"/>
  <c r="OK60" i="5"/>
  <c r="OK56" i="5"/>
  <c r="AO116" i="6"/>
  <c r="MD52" i="5"/>
  <c r="AO111" i="6" s="1"/>
  <c r="BE116" i="6"/>
  <c r="BD105" i="6" s="1"/>
  <c r="QX52" i="5"/>
  <c r="BE111" i="6" s="1"/>
  <c r="RH57" i="5"/>
  <c r="RH63" i="5"/>
  <c r="RH55" i="5"/>
  <c r="RH59" i="5"/>
  <c r="RH64" i="5"/>
  <c r="RH60" i="5"/>
  <c r="RH56" i="5"/>
  <c r="RH62" i="5"/>
  <c r="RH61" i="5"/>
  <c r="RH58" i="5"/>
  <c r="BE114" i="6"/>
  <c r="PK57" i="5"/>
  <c r="PK61" i="5"/>
  <c r="PK55" i="5"/>
  <c r="PK59" i="5"/>
  <c r="PK63" i="5"/>
  <c r="PK58" i="5"/>
  <c r="AY114" i="6"/>
  <c r="PK56" i="5"/>
  <c r="PK62" i="5"/>
  <c r="PK64" i="5"/>
  <c r="PK60" i="5"/>
  <c r="AY116" i="6"/>
  <c r="PA52" i="5"/>
  <c r="AY111" i="6" s="1"/>
  <c r="AS116" i="6"/>
  <c r="AR105" i="6" s="1"/>
  <c r="NC52" i="5"/>
  <c r="AS111" i="6" s="1"/>
  <c r="NM57" i="5"/>
  <c r="NM58" i="5"/>
  <c r="NM60" i="5"/>
  <c r="AS114" i="6"/>
  <c r="NM63" i="5"/>
  <c r="NM62" i="5"/>
  <c r="NM55" i="5"/>
  <c r="NM61" i="5"/>
  <c r="NM56" i="5"/>
  <c r="NM59" i="5"/>
  <c r="NM64" i="5"/>
  <c r="AM116" i="6"/>
  <c r="LF52" i="5"/>
  <c r="AM111" i="6" s="1"/>
  <c r="AM110" i="6" s="1"/>
  <c r="LP57" i="5"/>
  <c r="LP58" i="5"/>
  <c r="LP59" i="5"/>
  <c r="LP63" i="5"/>
  <c r="AM114" i="6"/>
  <c r="LP56" i="5"/>
  <c r="LP64" i="5"/>
  <c r="LP62" i="5"/>
  <c r="LP55" i="5"/>
  <c r="LP60" i="5"/>
  <c r="LP61" i="5"/>
  <c r="RL78" i="5"/>
  <c r="BF108" i="6" s="1"/>
  <c r="RM78" i="5"/>
  <c r="BF107" i="6" s="1"/>
  <c r="OQ78" i="5"/>
  <c r="AX108" i="6" s="1"/>
  <c r="AX97" i="6" s="1"/>
  <c r="I36" i="7" s="1"/>
  <c r="OR78" i="5"/>
  <c r="AX107" i="6" s="1"/>
  <c r="NQ78" i="5"/>
  <c r="AT108" i="6" s="1"/>
  <c r="AR97" i="6" s="1"/>
  <c r="I35" i="7" s="1"/>
  <c r="NR78" i="5"/>
  <c r="AT107" i="6" s="1"/>
  <c r="AR96" i="6" s="1"/>
  <c r="J35" i="7" s="1"/>
  <c r="MB66" i="5"/>
  <c r="MB69" i="5"/>
  <c r="MB67" i="5"/>
  <c r="MB64" i="5"/>
  <c r="MB71" i="5"/>
  <c r="MB70" i="5"/>
  <c r="MB73" i="5"/>
  <c r="MB72" i="5"/>
  <c r="MB63" i="5"/>
  <c r="MB61" i="5"/>
  <c r="MB75" i="5"/>
  <c r="MB77" i="5"/>
  <c r="MB68" i="5"/>
  <c r="MB62" i="5"/>
  <c r="MB65" i="5"/>
  <c r="MB76" i="5"/>
  <c r="MB59" i="5"/>
  <c r="MB74" i="5"/>
  <c r="LD58" i="5"/>
  <c r="LD64" i="5"/>
  <c r="LD62" i="5"/>
  <c r="LD69" i="5"/>
  <c r="LD67" i="5"/>
  <c r="LD68" i="5"/>
  <c r="LD65" i="5"/>
  <c r="LD72" i="5"/>
  <c r="LD66" i="5"/>
  <c r="LD71" i="5"/>
  <c r="LD63" i="5"/>
  <c r="LD76" i="5"/>
  <c r="LD70" i="5"/>
  <c r="LD75" i="5"/>
  <c r="LD73" i="5"/>
  <c r="LD61" i="5"/>
  <c r="LD74" i="5"/>
  <c r="LD59" i="5"/>
  <c r="LD77" i="5"/>
  <c r="NA58" i="5"/>
  <c r="NA63" i="5"/>
  <c r="NA70" i="5"/>
  <c r="NA71" i="5"/>
  <c r="NA61" i="5"/>
  <c r="NA68" i="5"/>
  <c r="NA69" i="5"/>
  <c r="NA76" i="5"/>
  <c r="NA75" i="5"/>
  <c r="NA74" i="5"/>
  <c r="NA65" i="5"/>
  <c r="NA77" i="5"/>
  <c r="NA64" i="5"/>
  <c r="NA59" i="5"/>
  <c r="NA67" i="5"/>
  <c r="NA66" i="5"/>
  <c r="NA72" i="5"/>
  <c r="NA62" i="5"/>
  <c r="NA73" i="5"/>
  <c r="NY63" i="5"/>
  <c r="NY59" i="5"/>
  <c r="NY74" i="5"/>
  <c r="NY69" i="5"/>
  <c r="NY75" i="5"/>
  <c r="NY67" i="5"/>
  <c r="NY73" i="5"/>
  <c r="NY66" i="5"/>
  <c r="NY62" i="5"/>
  <c r="NY68" i="5"/>
  <c r="NY76" i="5"/>
  <c r="NY77" i="5"/>
  <c r="NY71" i="5"/>
  <c r="NY61" i="5"/>
  <c r="NY70" i="5"/>
  <c r="NY65" i="5"/>
  <c r="NY72" i="5"/>
  <c r="NY64" i="5"/>
  <c r="OY58" i="5"/>
  <c r="OY74" i="5"/>
  <c r="OY63" i="5"/>
  <c r="OY69" i="5"/>
  <c r="OY62" i="5"/>
  <c r="OY76" i="5"/>
  <c r="OY64" i="5"/>
  <c r="OY66" i="5"/>
  <c r="OY65" i="5"/>
  <c r="OY59" i="5"/>
  <c r="OY75" i="5"/>
  <c r="OY68" i="5"/>
  <c r="OY77" i="5"/>
  <c r="OY61" i="5"/>
  <c r="OY70" i="5"/>
  <c r="OY73" i="5"/>
  <c r="OY67" i="5"/>
  <c r="OY72" i="5"/>
  <c r="OY71" i="5"/>
  <c r="PW68" i="5"/>
  <c r="PW61" i="5"/>
  <c r="PW62" i="5"/>
  <c r="PW67" i="5"/>
  <c r="PW72" i="5"/>
  <c r="PW65" i="5"/>
  <c r="PW71" i="5"/>
  <c r="PW76" i="5"/>
  <c r="PW74" i="5"/>
  <c r="PW69" i="5"/>
  <c r="PW70" i="5"/>
  <c r="PW66" i="5"/>
  <c r="PW73" i="5"/>
  <c r="PW59" i="5"/>
  <c r="PW64" i="5"/>
  <c r="PW63" i="5"/>
  <c r="PW75" i="5"/>
  <c r="PW77" i="5"/>
  <c r="RT73" i="5"/>
  <c r="RT72" i="5"/>
  <c r="RT62" i="5"/>
  <c r="RT61" i="5"/>
  <c r="RT74" i="5"/>
  <c r="RT67" i="5"/>
  <c r="RT76" i="5"/>
  <c r="RT71" i="5"/>
  <c r="RT77" i="5"/>
  <c r="RT63" i="5"/>
  <c r="RT68" i="5"/>
  <c r="RT69" i="5"/>
  <c r="RT66" i="5"/>
  <c r="RT65" i="5"/>
  <c r="RT70" i="5"/>
  <c r="RT59" i="5"/>
  <c r="RT64" i="5"/>
  <c r="RT75" i="5"/>
  <c r="QV58" i="5"/>
  <c r="QV61" i="5"/>
  <c r="QV76" i="5"/>
  <c r="QV73" i="5"/>
  <c r="QV67" i="5"/>
  <c r="QV74" i="5"/>
  <c r="QV59" i="5"/>
  <c r="QV71" i="5"/>
  <c r="QV66" i="5"/>
  <c r="QV64" i="5"/>
  <c r="QV65" i="5"/>
  <c r="QV72" i="5"/>
  <c r="QV70" i="5"/>
  <c r="QV69" i="5"/>
  <c r="QV75" i="5"/>
  <c r="QV77" i="5"/>
  <c r="QV62" i="5"/>
  <c r="QV63" i="5"/>
  <c r="QV68" i="5"/>
  <c r="RT58" i="5"/>
  <c r="RT60" i="5"/>
  <c r="RT56" i="5"/>
  <c r="RT55" i="5"/>
  <c r="PW55" i="5"/>
  <c r="PW58" i="5"/>
  <c r="PW60" i="5"/>
  <c r="PW56" i="5"/>
  <c r="NY56" i="5"/>
  <c r="NY60" i="5"/>
  <c r="NY58" i="5"/>
  <c r="NY55" i="5"/>
  <c r="MB56" i="5"/>
  <c r="MB58" i="5"/>
  <c r="MB60" i="5"/>
  <c r="MB55" i="5"/>
  <c r="QV60" i="5"/>
  <c r="QV55" i="5"/>
  <c r="QV56" i="5"/>
  <c r="BD114" i="6"/>
  <c r="OY60" i="5"/>
  <c r="OY55" i="5"/>
  <c r="OY56" i="5"/>
  <c r="NA60" i="5"/>
  <c r="NA55" i="5"/>
  <c r="NA56" i="5"/>
  <c r="LD60" i="5"/>
  <c r="LD55" i="5"/>
  <c r="LD56" i="5"/>
  <c r="AL97" i="6"/>
  <c r="I34" i="7" s="1"/>
  <c r="PM52" i="5"/>
  <c r="AZ111" i="6" s="1"/>
  <c r="AZ109" i="6" s="1"/>
  <c r="AX105" i="6"/>
  <c r="BD102" i="6"/>
  <c r="C22" i="7" s="1"/>
  <c r="AZ114" i="6"/>
  <c r="AX102" i="6"/>
  <c r="C21" i="7" s="1"/>
  <c r="QL52" i="5"/>
  <c r="BD111" i="6" s="1"/>
  <c r="BD110" i="6" s="1"/>
  <c r="AR102" i="6"/>
  <c r="C20" i="7" s="1"/>
  <c r="AN114" i="6"/>
  <c r="AL96" i="6"/>
  <c r="J34" i="7" s="1"/>
  <c r="AL102" i="6"/>
  <c r="C19" i="7" s="1"/>
  <c r="LR52" i="5"/>
  <c r="AN111" i="6" s="1"/>
  <c r="AN109" i="6" s="1"/>
  <c r="BF114" i="6"/>
  <c r="RJ52" i="5"/>
  <c r="BF111" i="6" s="1"/>
  <c r="OO52" i="5"/>
  <c r="AX111" i="6" s="1"/>
  <c r="AX114" i="6"/>
  <c r="AR114" i="6"/>
  <c r="AT114" i="6"/>
  <c r="MQ52" i="5"/>
  <c r="AR111" i="6" s="1"/>
  <c r="NO52" i="5"/>
  <c r="AT111" i="6" s="1"/>
  <c r="KT52" i="5"/>
  <c r="AL111" i="6" s="1"/>
  <c r="AL114" i="6"/>
  <c r="M56" i="5"/>
  <c r="M57" i="5"/>
  <c r="M58" i="5"/>
  <c r="M59" i="5"/>
  <c r="IP143" i="6" l="1"/>
  <c r="IP144" i="6"/>
  <c r="HO143" i="6"/>
  <c r="JC121" i="6"/>
  <c r="JC143" i="6" s="1"/>
  <c r="BW131" i="6" s="1"/>
  <c r="JA121" i="6"/>
  <c r="JA143" i="6" s="1"/>
  <c r="JE121" i="6"/>
  <c r="IF143" i="6"/>
  <c r="HG143" i="6"/>
  <c r="HG145" i="6" s="1"/>
  <c r="HF143" i="6"/>
  <c r="IH143" i="6"/>
  <c r="BW121" i="6" s="1"/>
  <c r="HM143" i="6"/>
  <c r="BW111" i="6" s="1"/>
  <c r="IB143" i="6"/>
  <c r="IB145" i="6" s="1"/>
  <c r="IJ143" i="6"/>
  <c r="IJ145" i="6" s="1"/>
  <c r="JE143" i="6"/>
  <c r="JE145" i="6" s="1"/>
  <c r="HK143" i="6"/>
  <c r="JV143" i="6"/>
  <c r="IA143" i="6"/>
  <c r="IA145" i="6" s="1"/>
  <c r="ID143" i="6"/>
  <c r="JZ143" i="6"/>
  <c r="JZ145" i="6" s="1"/>
  <c r="JS143" i="6"/>
  <c r="BW138" i="6" s="1"/>
  <c r="HF145" i="6"/>
  <c r="HI143" i="6"/>
  <c r="IC143" i="6"/>
  <c r="JX143" i="6"/>
  <c r="BW141" i="6" s="1"/>
  <c r="JT143" i="6"/>
  <c r="BW139" i="6" s="1"/>
  <c r="IV121" i="6"/>
  <c r="IV143" i="6" s="1"/>
  <c r="IV145" i="6" s="1"/>
  <c r="IW121" i="6"/>
  <c r="IW143" i="6" s="1"/>
  <c r="IX121" i="6"/>
  <c r="IX143" i="6" s="1"/>
  <c r="IY121" i="6"/>
  <c r="IY143" i="6" s="1"/>
  <c r="IQ144" i="6"/>
  <c r="IQ143" i="6"/>
  <c r="JR143" i="6"/>
  <c r="JQ143" i="6"/>
  <c r="HH143" i="6"/>
  <c r="BG109" i="6"/>
  <c r="BG110" i="6"/>
  <c r="QI78" i="5"/>
  <c r="BA115" i="6" s="1"/>
  <c r="OK78" i="5"/>
  <c r="AU115" i="6" s="1"/>
  <c r="AL105" i="6"/>
  <c r="HO145" i="6" s="1"/>
  <c r="AO110" i="6"/>
  <c r="AO109" i="6"/>
  <c r="BE109" i="6"/>
  <c r="BE110" i="6"/>
  <c r="RH78" i="5"/>
  <c r="BE115" i="6" s="1"/>
  <c r="PK78" i="5"/>
  <c r="AY115" i="6" s="1"/>
  <c r="AY109" i="6"/>
  <c r="AY110" i="6"/>
  <c r="AS110" i="6"/>
  <c r="AS109" i="6"/>
  <c r="NM78" i="5"/>
  <c r="AS115" i="6" s="1"/>
  <c r="LP78" i="5"/>
  <c r="AM115" i="6" s="1"/>
  <c r="BD103" i="6"/>
  <c r="D22" i="7" s="1"/>
  <c r="QV78" i="5"/>
  <c r="BD115" i="6" s="1"/>
  <c r="AZ110" i="6"/>
  <c r="AL103" i="6"/>
  <c r="D19" i="7" s="1"/>
  <c r="AN110" i="6"/>
  <c r="MB78" i="5"/>
  <c r="AN115" i="6" s="1"/>
  <c r="AX103" i="6"/>
  <c r="D21" i="7" s="1"/>
  <c r="PW78" i="5"/>
  <c r="AZ115" i="6" s="1"/>
  <c r="BD109" i="6"/>
  <c r="AR103" i="6"/>
  <c r="D20" i="7" s="1"/>
  <c r="LD78" i="5"/>
  <c r="AL115" i="6" s="1"/>
  <c r="BF110" i="6"/>
  <c r="BF109" i="6"/>
  <c r="RT78" i="5"/>
  <c r="BF115" i="6" s="1"/>
  <c r="OY78" i="5"/>
  <c r="AX115" i="6" s="1"/>
  <c r="AX100" i="6"/>
  <c r="AX110" i="6"/>
  <c r="AT110" i="6"/>
  <c r="AT109" i="6"/>
  <c r="NY78" i="5"/>
  <c r="AT115" i="6" s="1"/>
  <c r="NA78" i="5"/>
  <c r="AR115" i="6" s="1"/>
  <c r="AR109" i="6"/>
  <c r="AR110" i="6"/>
  <c r="AR100" i="6"/>
  <c r="AL100" i="6"/>
  <c r="AL110" i="6"/>
  <c r="G20" i="16"/>
  <c r="R20" i="16" s="1"/>
  <c r="S20" i="16" s="1"/>
  <c r="G19" i="16"/>
  <c r="R19" i="16" s="1"/>
  <c r="S19" i="16" s="1"/>
  <c r="G18" i="16"/>
  <c r="R18" i="16" s="1"/>
  <c r="S18" i="16" s="1"/>
  <c r="G17" i="16"/>
  <c r="R17" i="16" s="1"/>
  <c r="S17" i="16" s="1"/>
  <c r="G16" i="16"/>
  <c r="R16" i="16" s="1"/>
  <c r="S16" i="16" s="1"/>
  <c r="G13" i="16"/>
  <c r="R13" i="16" s="1"/>
  <c r="S13" i="16" s="1"/>
  <c r="I19" i="16"/>
  <c r="T19" i="16" s="1"/>
  <c r="U19" i="16" s="1"/>
  <c r="I18" i="16"/>
  <c r="T18" i="16" s="1"/>
  <c r="U18" i="16" s="1"/>
  <c r="I17" i="16"/>
  <c r="T17" i="16" s="1"/>
  <c r="U17" i="16" s="1"/>
  <c r="I16" i="16"/>
  <c r="T16" i="16" s="1"/>
  <c r="U16" i="16" s="1"/>
  <c r="I13" i="16"/>
  <c r="T13" i="16" s="1"/>
  <c r="U13" i="16" s="1"/>
  <c r="E20" i="16"/>
  <c r="P20" i="16" s="1"/>
  <c r="Q20" i="16" s="1"/>
  <c r="E19" i="16"/>
  <c r="P19" i="16" s="1"/>
  <c r="Q19" i="16" s="1"/>
  <c r="E18" i="16"/>
  <c r="P18" i="16" s="1"/>
  <c r="Q18" i="16" s="1"/>
  <c r="E17" i="16"/>
  <c r="P17" i="16" s="1"/>
  <c r="Q17" i="16" s="1"/>
  <c r="E16" i="16"/>
  <c r="P16" i="16" s="1"/>
  <c r="Q16" i="16" s="1"/>
  <c r="C20" i="16"/>
  <c r="N20" i="16" s="1"/>
  <c r="O20" i="16" s="1"/>
  <c r="C19" i="16"/>
  <c r="N19" i="16" s="1"/>
  <c r="O19" i="16" s="1"/>
  <c r="C18" i="16"/>
  <c r="N18" i="16" s="1"/>
  <c r="O18" i="16" s="1"/>
  <c r="C17" i="16"/>
  <c r="N17" i="16" s="1"/>
  <c r="O17" i="16" s="1"/>
  <c r="C16" i="16"/>
  <c r="N16" i="16" s="1"/>
  <c r="O16" i="16" s="1"/>
  <c r="BW129" i="6" l="1"/>
  <c r="JV145" i="6"/>
  <c r="BW140" i="6"/>
  <c r="AE22" i="7" s="1"/>
  <c r="AG22" i="7"/>
  <c r="AG21" i="7"/>
  <c r="AG20" i="7"/>
  <c r="AG19" i="7"/>
  <c r="JA145" i="6"/>
  <c r="BW130" i="6"/>
  <c r="AE21" i="7" s="1"/>
  <c r="IX145" i="6"/>
  <c r="BW128" i="6"/>
  <c r="AD36" i="7" s="1"/>
  <c r="IC145" i="6"/>
  <c r="BW118" i="6"/>
  <c r="AD35" i="7" s="1"/>
  <c r="ID145" i="6"/>
  <c r="BW119" i="6"/>
  <c r="AE35" i="7" s="1"/>
  <c r="IF145" i="6"/>
  <c r="BW120" i="6"/>
  <c r="AE20" i="7" s="1"/>
  <c r="HH145" i="6"/>
  <c r="BW108" i="6"/>
  <c r="AD34" i="7" s="1"/>
  <c r="HI145" i="6"/>
  <c r="BW109" i="6"/>
  <c r="AE34" i="7" s="1"/>
  <c r="HK145" i="6"/>
  <c r="BW110" i="6"/>
  <c r="AE19" i="7" s="1"/>
  <c r="JE148" i="6"/>
  <c r="BW133" i="6" s="1"/>
  <c r="HO148" i="6"/>
  <c r="BW113" i="6" s="1"/>
  <c r="IJ148" i="6"/>
  <c r="BW123" i="6" s="1"/>
  <c r="JX145" i="6"/>
  <c r="IH145" i="6"/>
  <c r="HM145" i="6"/>
  <c r="JC145" i="6"/>
  <c r="N19" i="7"/>
  <c r="X19" i="7" s="1"/>
  <c r="M34" i="7"/>
  <c r="U34" i="7" s="1"/>
  <c r="N20" i="7"/>
  <c r="X20" i="7" s="1"/>
  <c r="M35" i="7"/>
  <c r="U35" i="7" s="1"/>
  <c r="N21" i="7"/>
  <c r="X21" i="7" s="1"/>
  <c r="M36" i="7"/>
  <c r="BD104" i="6"/>
  <c r="G22" i="7" s="1"/>
  <c r="AX104" i="6"/>
  <c r="G21" i="7" s="1"/>
  <c r="AL104" i="6"/>
  <c r="G19" i="7" s="1"/>
  <c r="AX99" i="6"/>
  <c r="K36" i="7" s="1"/>
  <c r="AL99" i="6"/>
  <c r="K34" i="7" s="1"/>
  <c r="AR98" i="6"/>
  <c r="L35" i="7" s="1"/>
  <c r="AR104" i="6"/>
  <c r="G20" i="7" s="1"/>
  <c r="AR99" i="6"/>
  <c r="K35" i="7" s="1"/>
  <c r="I93" i="2"/>
  <c r="I97" i="2"/>
  <c r="I89" i="2"/>
  <c r="H93" i="2"/>
  <c r="H89" i="2"/>
  <c r="H85" i="2"/>
  <c r="KA121" i="6" l="1"/>
  <c r="KA125" i="6"/>
  <c r="KA129" i="6"/>
  <c r="KA133" i="6"/>
  <c r="KA137" i="6"/>
  <c r="KA141" i="6"/>
  <c r="KA122" i="6"/>
  <c r="KA126" i="6"/>
  <c r="KA130" i="6"/>
  <c r="KA134" i="6"/>
  <c r="KA138" i="6"/>
  <c r="KA142" i="6"/>
  <c r="KA123" i="6"/>
  <c r="KA127" i="6"/>
  <c r="KA131" i="6"/>
  <c r="KA135" i="6"/>
  <c r="KA139" i="6"/>
  <c r="KA120" i="6"/>
  <c r="KA124" i="6"/>
  <c r="KA128" i="6"/>
  <c r="KA132" i="6"/>
  <c r="KA136" i="6"/>
  <c r="KA140" i="6"/>
  <c r="JF121" i="6"/>
  <c r="JF125" i="6"/>
  <c r="JF129" i="6"/>
  <c r="JF133" i="6"/>
  <c r="JF137" i="6"/>
  <c r="JF141" i="6"/>
  <c r="JF122" i="6"/>
  <c r="JF126" i="6"/>
  <c r="JF130" i="6"/>
  <c r="JF134" i="6"/>
  <c r="JF138" i="6"/>
  <c r="JF142" i="6"/>
  <c r="JF123" i="6"/>
  <c r="JF127" i="6"/>
  <c r="JF131" i="6"/>
  <c r="JF135" i="6"/>
  <c r="JF139" i="6"/>
  <c r="JF120" i="6"/>
  <c r="JF124" i="6"/>
  <c r="JF128" i="6"/>
  <c r="JF132" i="6"/>
  <c r="JF136" i="6"/>
  <c r="JF140" i="6"/>
  <c r="IK121" i="6"/>
  <c r="IK125" i="6"/>
  <c r="IK129" i="6"/>
  <c r="IK133" i="6"/>
  <c r="IK137" i="6"/>
  <c r="IK141" i="6"/>
  <c r="IK123" i="6"/>
  <c r="IK135" i="6"/>
  <c r="IK120" i="6"/>
  <c r="IK124" i="6"/>
  <c r="IK132" i="6"/>
  <c r="IK122" i="6"/>
  <c r="IK126" i="6"/>
  <c r="IK130" i="6"/>
  <c r="IK134" i="6"/>
  <c r="IK138" i="6"/>
  <c r="IK142" i="6"/>
  <c r="IK127" i="6"/>
  <c r="IK131" i="6"/>
  <c r="IK139" i="6"/>
  <c r="IK128" i="6"/>
  <c r="IK136" i="6"/>
  <c r="IK140" i="6"/>
  <c r="HP121" i="6"/>
  <c r="HP125" i="6"/>
  <c r="HP129" i="6"/>
  <c r="HP133" i="6"/>
  <c r="HP137" i="6"/>
  <c r="HP141" i="6"/>
  <c r="HP127" i="6"/>
  <c r="HP131" i="6"/>
  <c r="HP139" i="6"/>
  <c r="HP124" i="6"/>
  <c r="HP136" i="6"/>
  <c r="HP140" i="6"/>
  <c r="HP122" i="6"/>
  <c r="HP126" i="6"/>
  <c r="HP130" i="6"/>
  <c r="HP134" i="6"/>
  <c r="HP138" i="6"/>
  <c r="HP142" i="6"/>
  <c r="HP123" i="6"/>
  <c r="HP135" i="6"/>
  <c r="HP120" i="6"/>
  <c r="HP128" i="6"/>
  <c r="HP132" i="6"/>
  <c r="AF36" i="7"/>
  <c r="AT36" i="7"/>
  <c r="AT21" i="7"/>
  <c r="AS21" i="7" s="1"/>
  <c r="AN21" i="7" s="1"/>
  <c r="BA21" i="7" s="1"/>
  <c r="BG21" i="7" s="1"/>
  <c r="AT35" i="7"/>
  <c r="AF35" i="7"/>
  <c r="AT20" i="7"/>
  <c r="AS20" i="7" s="1"/>
  <c r="AN20" i="7" s="1"/>
  <c r="BA20" i="7" s="1"/>
  <c r="BG20" i="7" s="1"/>
  <c r="AF34" i="7"/>
  <c r="AT34" i="7"/>
  <c r="AT19" i="7"/>
  <c r="AS19" i="7" s="1"/>
  <c r="AN19" i="7" s="1"/>
  <c r="BA19" i="7" s="1"/>
  <c r="BG19" i="7" s="1"/>
  <c r="Y19" i="7"/>
  <c r="U36" i="7"/>
  <c r="V34" i="7"/>
  <c r="W34" i="7"/>
  <c r="Y20" i="7"/>
  <c r="V35" i="7"/>
  <c r="W35" i="7"/>
  <c r="Y21" i="7"/>
  <c r="AI51" i="6"/>
  <c r="AH51" i="6"/>
  <c r="AG51" i="6"/>
  <c r="AF51" i="6"/>
  <c r="AC51" i="6"/>
  <c r="AB51" i="6"/>
  <c r="AA51" i="6"/>
  <c r="Z51" i="6"/>
  <c r="W51" i="6"/>
  <c r="V51" i="6"/>
  <c r="U51" i="6"/>
  <c r="T51" i="6"/>
  <c r="Q51" i="6"/>
  <c r="P51" i="6"/>
  <c r="O51" i="6"/>
  <c r="N51" i="6"/>
  <c r="K51" i="6"/>
  <c r="J51" i="6"/>
  <c r="I51" i="6"/>
  <c r="H51" i="6"/>
  <c r="E51" i="6"/>
  <c r="D51" i="6"/>
  <c r="C51" i="6"/>
  <c r="B51" i="6"/>
  <c r="AI144" i="6"/>
  <c r="AH144" i="6"/>
  <c r="AG144" i="6"/>
  <c r="AF144" i="6"/>
  <c r="AC144" i="6"/>
  <c r="AB144" i="6"/>
  <c r="AA144" i="6"/>
  <c r="Z144" i="6"/>
  <c r="W144" i="6"/>
  <c r="V144" i="6"/>
  <c r="U144" i="6"/>
  <c r="T144" i="6"/>
  <c r="Q144" i="6"/>
  <c r="P144" i="6"/>
  <c r="O144" i="6"/>
  <c r="N144" i="6"/>
  <c r="K144" i="6"/>
  <c r="J144" i="6"/>
  <c r="I144" i="6"/>
  <c r="H144" i="6"/>
  <c r="E144" i="6"/>
  <c r="D144" i="6"/>
  <c r="C144" i="6"/>
  <c r="B144" i="6"/>
  <c r="AR36" i="7" l="1"/>
  <c r="AS36" i="7"/>
  <c r="AR35" i="7"/>
  <c r="AS35" i="7"/>
  <c r="AR34" i="7"/>
  <c r="AS34" i="7"/>
  <c r="KA143" i="6"/>
  <c r="JF143" i="6"/>
  <c r="IK143" i="6"/>
  <c r="HP143" i="6"/>
  <c r="R205" i="12"/>
  <c r="BK205" i="12" s="1"/>
  <c r="BM205" i="12" s="1"/>
  <c r="KA145" i="6" l="1"/>
  <c r="BW142" i="6"/>
  <c r="AJ22" i="7" s="1"/>
  <c r="AK36" i="7"/>
  <c r="AX36" i="7" s="1"/>
  <c r="BD36" i="7" s="1"/>
  <c r="AK35" i="7"/>
  <c r="AX35" i="7" s="1"/>
  <c r="BD35" i="7" s="1"/>
  <c r="AL35" i="7"/>
  <c r="AY35" i="7" s="1"/>
  <c r="BE35" i="7" s="1"/>
  <c r="AM35" i="7"/>
  <c r="AZ35" i="7" s="1"/>
  <c r="BF35" i="7" s="1"/>
  <c r="AM34" i="7"/>
  <c r="AZ34" i="7" s="1"/>
  <c r="BF34" i="7" s="1"/>
  <c r="AK34" i="7"/>
  <c r="AX34" i="7" s="1"/>
  <c r="BD34" i="7" s="1"/>
  <c r="AL34" i="7"/>
  <c r="AY34" i="7" s="1"/>
  <c r="BE34" i="7" s="1"/>
  <c r="JF145" i="6"/>
  <c r="BW132" i="6"/>
  <c r="AJ21" i="7" s="1"/>
  <c r="AO21" i="7" s="1"/>
  <c r="BB21" i="7" s="1"/>
  <c r="BH21" i="7" s="1"/>
  <c r="IK145" i="6"/>
  <c r="BW122" i="6"/>
  <c r="AJ20" i="7" s="1"/>
  <c r="AO20" i="7" s="1"/>
  <c r="BB20" i="7" s="1"/>
  <c r="BH20" i="7" s="1"/>
  <c r="HP145" i="6"/>
  <c r="BW112" i="6"/>
  <c r="AJ19" i="7" s="1"/>
  <c r="AO19" i="7" s="1"/>
  <c r="BB19" i="7" s="1"/>
  <c r="BH19" i="7" s="1"/>
  <c r="H6" i="9"/>
  <c r="H5" i="9"/>
  <c r="E6" i="9"/>
  <c r="E5" i="9"/>
  <c r="A5" i="9"/>
  <c r="A6" i="9"/>
  <c r="A7" i="9"/>
  <c r="X52" i="8" l="1"/>
  <c r="AY52" i="8" s="1"/>
  <c r="BF52" i="8" s="1"/>
  <c r="X51" i="8"/>
  <c r="AY51" i="8" s="1"/>
  <c r="BF51" i="8" s="1"/>
  <c r="U51" i="8"/>
  <c r="AV51" i="8" s="1"/>
  <c r="BC51" i="8" s="1"/>
  <c r="T51" i="8"/>
  <c r="AU51" i="8" s="1"/>
  <c r="BB51" i="8" s="1"/>
  <c r="S51" i="8"/>
  <c r="AT51" i="8" s="1"/>
  <c r="BA51" i="8" s="1"/>
  <c r="X17" i="8"/>
  <c r="AY17" i="8" s="1"/>
  <c r="BF17" i="8" s="1"/>
  <c r="X18" i="8"/>
  <c r="AY18" i="8" s="1"/>
  <c r="BF18" i="8" s="1"/>
  <c r="X16" i="8"/>
  <c r="S17" i="8"/>
  <c r="AT17" i="8" s="1"/>
  <c r="BA17" i="8" s="1"/>
  <c r="S18" i="8"/>
  <c r="AT18" i="8" s="1"/>
  <c r="BA18" i="8" s="1"/>
  <c r="T17" i="8"/>
  <c r="AU17" i="8" s="1"/>
  <c r="BB17" i="8" s="1"/>
  <c r="T18" i="8"/>
  <c r="AU18" i="8" s="1"/>
  <c r="BB18" i="8" s="1"/>
  <c r="T16" i="8"/>
  <c r="AU16" i="8" s="1"/>
  <c r="BB16" i="8" s="1"/>
  <c r="F8" i="8" l="1"/>
  <c r="AY16" i="8"/>
  <c r="BF16" i="8" s="1"/>
  <c r="F5" i="8"/>
  <c r="AH5" i="8" s="1"/>
  <c r="F4" i="8"/>
  <c r="AH4" i="8" s="1"/>
  <c r="I7" i="8"/>
  <c r="I8" i="8"/>
  <c r="I5" i="8"/>
  <c r="I6" i="8"/>
  <c r="I4" i="8"/>
  <c r="Y102" i="2"/>
  <c r="Y107" i="2"/>
  <c r="Y106" i="2"/>
  <c r="Y105" i="2"/>
  <c r="Y104" i="2"/>
  <c r="Y103" i="2"/>
  <c r="Y101" i="2"/>
  <c r="Y100" i="2"/>
  <c r="Y99" i="2"/>
  <c r="Y98" i="2"/>
  <c r="Y97" i="2"/>
  <c r="Y96" i="2"/>
  <c r="Y95" i="2"/>
  <c r="Y94" i="2"/>
  <c r="Y93" i="2"/>
  <c r="Y92" i="2"/>
  <c r="Y91" i="2"/>
  <c r="AH8" i="8" l="1"/>
  <c r="L13" i="16" s="1"/>
  <c r="G14" i="16"/>
  <c r="AL7" i="8"/>
  <c r="H14" i="16" s="1"/>
  <c r="I14" i="16"/>
  <c r="AL6" i="8"/>
  <c r="J14" i="16" s="1"/>
  <c r="C14" i="16"/>
  <c r="AL5" i="8"/>
  <c r="D14" i="16" s="1"/>
  <c r="K14" i="16"/>
  <c r="AL8" i="8"/>
  <c r="L14" i="16" s="1"/>
  <c r="E14" i="16"/>
  <c r="AL4" i="8"/>
  <c r="K13" i="16"/>
  <c r="E13" i="16"/>
  <c r="F13" i="16"/>
  <c r="F14" i="16"/>
  <c r="D13" i="16"/>
  <c r="C13" i="16"/>
  <c r="Z105" i="2"/>
  <c r="Z101" i="2"/>
  <c r="Z89" i="2"/>
  <c r="Z93" i="2"/>
  <c r="Z97" i="2"/>
  <c r="Z137" i="2"/>
  <c r="O112" i="2"/>
  <c r="O111" i="2"/>
  <c r="O110" i="2"/>
  <c r="O109" i="2"/>
  <c r="K111" i="2"/>
  <c r="K110" i="2"/>
  <c r="K112" i="2"/>
  <c r="O108" i="2"/>
  <c r="O107" i="2"/>
  <c r="O106" i="2"/>
  <c r="O105" i="2"/>
  <c r="O104" i="2"/>
  <c r="O103" i="2"/>
  <c r="O102" i="2"/>
  <c r="O101" i="2"/>
  <c r="O100" i="2"/>
  <c r="O99" i="2"/>
  <c r="O98" i="2"/>
  <c r="O97" i="2"/>
  <c r="O96" i="2"/>
  <c r="O95" i="2"/>
  <c r="O94" i="2"/>
  <c r="O93" i="2"/>
  <c r="O92" i="2"/>
  <c r="O91" i="2"/>
  <c r="O90" i="2"/>
  <c r="O89" i="2"/>
  <c r="O88" i="2"/>
  <c r="O87" i="2"/>
  <c r="O86" i="2"/>
  <c r="K140" i="2"/>
  <c r="K139" i="2"/>
  <c r="K138" i="2"/>
  <c r="K108" i="2"/>
  <c r="K107" i="2"/>
  <c r="K106" i="2"/>
  <c r="K104" i="2"/>
  <c r="K103" i="2"/>
  <c r="K102" i="2"/>
  <c r="K100" i="2"/>
  <c r="K98" i="2"/>
  <c r="K97" i="2"/>
  <c r="K96" i="2"/>
  <c r="K95" i="2"/>
  <c r="K94" i="2"/>
  <c r="K88" i="2"/>
  <c r="K91" i="2"/>
  <c r="K90" i="2"/>
  <c r="K89" i="2"/>
  <c r="K87" i="2"/>
  <c r="K86" i="2"/>
  <c r="K93" i="2"/>
  <c r="K101" i="2"/>
  <c r="P14" i="16" l="1"/>
  <c r="Q14" i="16" s="1"/>
  <c r="N14" i="16"/>
  <c r="O14" i="16" s="1"/>
  <c r="V14" i="16"/>
  <c r="W14" i="16" s="1"/>
  <c r="R14" i="16"/>
  <c r="S14" i="16" s="1"/>
  <c r="T14" i="16"/>
  <c r="U14" i="16" s="1"/>
  <c r="V13" i="16"/>
  <c r="W13" i="16" s="1"/>
  <c r="P13" i="16"/>
  <c r="Q13" i="16" s="1"/>
  <c r="N13" i="16"/>
  <c r="O13" i="16" s="1"/>
  <c r="F6" i="2"/>
  <c r="K14" i="2"/>
  <c r="K15" i="2"/>
  <c r="K16" i="2"/>
  <c r="K17" i="2"/>
  <c r="K18" i="2"/>
  <c r="K19" i="2"/>
  <c r="K20" i="2"/>
  <c r="K21" i="2"/>
  <c r="K42" i="2"/>
  <c r="K13" i="2"/>
  <c r="G11" i="16" l="1"/>
  <c r="H11" i="16"/>
  <c r="R11" i="16" s="1"/>
  <c r="S11" i="16" s="1"/>
  <c r="B208" i="4"/>
  <c r="B207" i="4"/>
  <c r="I20" i="16"/>
  <c r="T20" i="16" s="1"/>
  <c r="U20" i="16" s="1"/>
  <c r="T14" i="14"/>
  <c r="BG14" i="14" s="1"/>
  <c r="T15" i="14"/>
  <c r="BG15" i="14" s="1"/>
  <c r="P301" i="12"/>
  <c r="P290" i="12"/>
  <c r="P291" i="12"/>
  <c r="P292" i="12"/>
  <c r="P293" i="12"/>
  <c r="P294" i="12"/>
  <c r="P295" i="12"/>
  <c r="P296" i="12"/>
  <c r="P297" i="12"/>
  <c r="P298" i="12"/>
  <c r="P299" i="12"/>
  <c r="P300" i="12"/>
  <c r="P302" i="12"/>
  <c r="P303" i="12"/>
  <c r="P304" i="12"/>
  <c r="P305" i="12"/>
  <c r="P306" i="12"/>
  <c r="P307" i="12"/>
  <c r="P308" i="12"/>
  <c r="P309" i="12"/>
  <c r="P310" i="12"/>
  <c r="P311" i="12"/>
  <c r="P312" i="12"/>
  <c r="P313" i="12"/>
  <c r="P314" i="12"/>
  <c r="P315" i="12"/>
  <c r="P316" i="12"/>
  <c r="P317" i="12"/>
  <c r="P318" i="12"/>
  <c r="P319" i="12"/>
  <c r="P320" i="12"/>
  <c r="P321" i="12"/>
  <c r="P322" i="12"/>
  <c r="P323" i="12"/>
  <c r="P324" i="12"/>
  <c r="P325" i="12"/>
  <c r="P326" i="12"/>
  <c r="P327" i="12"/>
  <c r="P328" i="12"/>
  <c r="P329" i="12"/>
  <c r="P330" i="12"/>
  <c r="P331" i="12"/>
  <c r="P332" i="12"/>
  <c r="P333" i="12"/>
  <c r="P334" i="12"/>
  <c r="P335" i="12"/>
  <c r="P336" i="12"/>
  <c r="P337" i="12"/>
  <c r="P338" i="12"/>
  <c r="P339" i="12"/>
  <c r="P340" i="12"/>
  <c r="P341" i="12"/>
  <c r="P342" i="12"/>
  <c r="P343" i="12"/>
  <c r="P344" i="12"/>
  <c r="P345" i="12"/>
  <c r="P346" i="12"/>
  <c r="P347" i="12"/>
  <c r="P348" i="12"/>
  <c r="P349" i="12"/>
  <c r="P350" i="12"/>
  <c r="P351" i="12"/>
  <c r="P352" i="12"/>
  <c r="P353" i="12"/>
  <c r="P354" i="12"/>
  <c r="P355" i="12"/>
  <c r="P356" i="12"/>
  <c r="P357" i="12"/>
  <c r="P358" i="12"/>
  <c r="P359" i="12"/>
  <c r="P360" i="12"/>
  <c r="P361" i="12"/>
  <c r="P362" i="12"/>
  <c r="P363" i="12"/>
  <c r="P364" i="12"/>
  <c r="P365" i="12"/>
  <c r="P366" i="12"/>
  <c r="P367" i="12"/>
  <c r="P368" i="12"/>
  <c r="P369" i="12"/>
  <c r="P370" i="12"/>
  <c r="P371" i="12"/>
  <c r="P372" i="12"/>
  <c r="P373" i="12"/>
  <c r="P374" i="12"/>
  <c r="P375" i="12"/>
  <c r="P376" i="12"/>
  <c r="P377" i="12"/>
  <c r="P378" i="12"/>
  <c r="P379" i="12"/>
  <c r="P380" i="12"/>
  <c r="P381" i="12"/>
  <c r="P382" i="12"/>
  <c r="P383" i="12"/>
  <c r="P384" i="12"/>
  <c r="P385" i="12"/>
  <c r="P386" i="12"/>
  <c r="P387" i="12"/>
  <c r="P388" i="12"/>
  <c r="P389" i="12"/>
  <c r="P390" i="12"/>
  <c r="P391" i="12"/>
  <c r="P392" i="12"/>
  <c r="P393" i="12"/>
  <c r="P394" i="12"/>
  <c r="P395" i="12"/>
  <c r="P396" i="12"/>
  <c r="R273" i="12"/>
  <c r="BK273" i="12" s="1"/>
  <c r="BM273" i="12" s="1"/>
  <c r="R167" i="12"/>
  <c r="BK167" i="12" s="1"/>
  <c r="BM167" i="12" s="1"/>
  <c r="R168" i="12"/>
  <c r="BK168" i="12" s="1"/>
  <c r="BM168" i="12" s="1"/>
  <c r="R169" i="12"/>
  <c r="BK169" i="12" s="1"/>
  <c r="BM169" i="12" s="1"/>
  <c r="R170" i="12"/>
  <c r="BK170" i="12" s="1"/>
  <c r="BM170" i="12" s="1"/>
  <c r="R171" i="12"/>
  <c r="BK171" i="12" s="1"/>
  <c r="BM171" i="12" s="1"/>
  <c r="R172" i="12"/>
  <c r="BK172" i="12" s="1"/>
  <c r="BM172" i="12" s="1"/>
  <c r="R173" i="12"/>
  <c r="BK173" i="12" s="1"/>
  <c r="BM173" i="12" s="1"/>
  <c r="R174" i="12"/>
  <c r="BK174" i="12" s="1"/>
  <c r="BM174" i="12" s="1"/>
  <c r="R175" i="12"/>
  <c r="BK175" i="12" s="1"/>
  <c r="BM175" i="12" s="1"/>
  <c r="R176" i="12"/>
  <c r="BK176" i="12" s="1"/>
  <c r="BM176" i="12" s="1"/>
  <c r="R177" i="12"/>
  <c r="BK177" i="12" s="1"/>
  <c r="BM177" i="12" s="1"/>
  <c r="R178" i="12"/>
  <c r="BK178" i="12" s="1"/>
  <c r="BM178" i="12" s="1"/>
  <c r="R179" i="12"/>
  <c r="BK179" i="12" s="1"/>
  <c r="BM179" i="12" s="1"/>
  <c r="R180" i="12"/>
  <c r="BK180" i="12" s="1"/>
  <c r="BM180" i="12" s="1"/>
  <c r="R181" i="12"/>
  <c r="BK181" i="12" s="1"/>
  <c r="BM181" i="12" s="1"/>
  <c r="R182" i="12"/>
  <c r="BK182" i="12" s="1"/>
  <c r="BM182" i="12" s="1"/>
  <c r="R183" i="12"/>
  <c r="BK183" i="12" s="1"/>
  <c r="BM183" i="12" s="1"/>
  <c r="R184" i="12"/>
  <c r="BK184" i="12" s="1"/>
  <c r="BM184" i="12" s="1"/>
  <c r="R185" i="12"/>
  <c r="BK185" i="12" s="1"/>
  <c r="BM185" i="12" s="1"/>
  <c r="R186" i="12"/>
  <c r="BK186" i="12" s="1"/>
  <c r="BM186" i="12" s="1"/>
  <c r="R187" i="12"/>
  <c r="BK187" i="12" s="1"/>
  <c r="BM187" i="12" s="1"/>
  <c r="R188" i="12"/>
  <c r="BK188" i="12" s="1"/>
  <c r="BM188" i="12" s="1"/>
  <c r="R189" i="12"/>
  <c r="BK189" i="12" s="1"/>
  <c r="BM189" i="12" s="1"/>
  <c r="R190" i="12"/>
  <c r="BK190" i="12" s="1"/>
  <c r="BM190" i="12" s="1"/>
  <c r="R191" i="12"/>
  <c r="BK191" i="12" s="1"/>
  <c r="BM191" i="12" s="1"/>
  <c r="R192" i="12"/>
  <c r="BK192" i="12" s="1"/>
  <c r="BM192" i="12" s="1"/>
  <c r="R193" i="12"/>
  <c r="BK193" i="12" s="1"/>
  <c r="BM193" i="12" s="1"/>
  <c r="R194" i="12"/>
  <c r="BK194" i="12" s="1"/>
  <c r="BM194" i="12" s="1"/>
  <c r="R195" i="12"/>
  <c r="BK195" i="12" s="1"/>
  <c r="BM195" i="12" s="1"/>
  <c r="R196" i="12"/>
  <c r="BK196" i="12" s="1"/>
  <c r="BM196" i="12" s="1"/>
  <c r="R197" i="12"/>
  <c r="BK197" i="12" s="1"/>
  <c r="BM197" i="12" s="1"/>
  <c r="R198" i="12"/>
  <c r="BK198" i="12" s="1"/>
  <c r="BM198" i="12" s="1"/>
  <c r="R199" i="12"/>
  <c r="BK199" i="12" s="1"/>
  <c r="BM199" i="12" s="1"/>
  <c r="R200" i="12"/>
  <c r="BK200" i="12" s="1"/>
  <c r="BM200" i="12" s="1"/>
  <c r="R201" i="12"/>
  <c r="BK201" i="12" s="1"/>
  <c r="BM201" i="12" s="1"/>
  <c r="R202" i="12"/>
  <c r="BK202" i="12" s="1"/>
  <c r="BM202" i="12" s="1"/>
  <c r="R203" i="12"/>
  <c r="BK203" i="12" s="1"/>
  <c r="BM203" i="12" s="1"/>
  <c r="R204" i="12"/>
  <c r="BK204" i="12" s="1"/>
  <c r="BM204" i="12" s="1"/>
  <c r="R206" i="12"/>
  <c r="BK206" i="12" s="1"/>
  <c r="BM206" i="12" s="1"/>
  <c r="R207" i="12"/>
  <c r="BK207" i="12" s="1"/>
  <c r="BM207" i="12" s="1"/>
  <c r="R208" i="12"/>
  <c r="BK208" i="12" s="1"/>
  <c r="BM208" i="12" s="1"/>
  <c r="R209" i="12"/>
  <c r="BK209" i="12" s="1"/>
  <c r="BM209" i="12" s="1"/>
  <c r="R210" i="12"/>
  <c r="BK210" i="12" s="1"/>
  <c r="BM210" i="12" s="1"/>
  <c r="R211" i="12"/>
  <c r="BK211" i="12" s="1"/>
  <c r="BM211" i="12" s="1"/>
  <c r="R212" i="12"/>
  <c r="BK212" i="12" s="1"/>
  <c r="BM212" i="12" s="1"/>
  <c r="R213" i="12"/>
  <c r="BK213" i="12" s="1"/>
  <c r="BM213" i="12" s="1"/>
  <c r="R214" i="12"/>
  <c r="BK214" i="12" s="1"/>
  <c r="BM214" i="12" s="1"/>
  <c r="R215" i="12"/>
  <c r="BK215" i="12" s="1"/>
  <c r="BM215" i="12" s="1"/>
  <c r="R216" i="12"/>
  <c r="BK216" i="12" s="1"/>
  <c r="BM216" i="12" s="1"/>
  <c r="R217" i="12"/>
  <c r="BK217" i="12" s="1"/>
  <c r="BM217" i="12" s="1"/>
  <c r="R218" i="12"/>
  <c r="BK218" i="12" s="1"/>
  <c r="BM218" i="12" s="1"/>
  <c r="R219" i="12"/>
  <c r="BK219" i="12" s="1"/>
  <c r="BM219" i="12" s="1"/>
  <c r="R220" i="12"/>
  <c r="BK220" i="12" s="1"/>
  <c r="BM220" i="12" s="1"/>
  <c r="R221" i="12"/>
  <c r="BK221" i="12" s="1"/>
  <c r="BM221" i="12" s="1"/>
  <c r="R222" i="12"/>
  <c r="BK222" i="12" s="1"/>
  <c r="BM222" i="12" s="1"/>
  <c r="R223" i="12"/>
  <c r="BK223" i="12" s="1"/>
  <c r="BM223" i="12" s="1"/>
  <c r="R224" i="12"/>
  <c r="BK224" i="12" s="1"/>
  <c r="BM224" i="12" s="1"/>
  <c r="R225" i="12"/>
  <c r="BK225" i="12" s="1"/>
  <c r="BM225" i="12" s="1"/>
  <c r="R226" i="12"/>
  <c r="BK226" i="12" s="1"/>
  <c r="BM226" i="12" s="1"/>
  <c r="R227" i="12"/>
  <c r="BK227" i="12" s="1"/>
  <c r="BM227" i="12" s="1"/>
  <c r="R228" i="12"/>
  <c r="BK228" i="12" s="1"/>
  <c r="BM228" i="12" s="1"/>
  <c r="R229" i="12"/>
  <c r="BK229" i="12" s="1"/>
  <c r="BM229" i="12" s="1"/>
  <c r="R230" i="12"/>
  <c r="BK230" i="12" s="1"/>
  <c r="BM230" i="12" s="1"/>
  <c r="R231" i="12"/>
  <c r="BK231" i="12" s="1"/>
  <c r="BM231" i="12" s="1"/>
  <c r="R232" i="12"/>
  <c r="BK232" i="12" s="1"/>
  <c r="BM232" i="12" s="1"/>
  <c r="R233" i="12"/>
  <c r="BK233" i="12" s="1"/>
  <c r="BM233" i="12" s="1"/>
  <c r="R234" i="12"/>
  <c r="BK234" i="12" s="1"/>
  <c r="BM234" i="12" s="1"/>
  <c r="R235" i="12"/>
  <c r="BK235" i="12" s="1"/>
  <c r="BM235" i="12" s="1"/>
  <c r="R236" i="12"/>
  <c r="BK236" i="12" s="1"/>
  <c r="BM236" i="12" s="1"/>
  <c r="R237" i="12"/>
  <c r="BK237" i="12" s="1"/>
  <c r="BM237" i="12" s="1"/>
  <c r="R238" i="12"/>
  <c r="BK238" i="12" s="1"/>
  <c r="BM238" i="12" s="1"/>
  <c r="R239" i="12"/>
  <c r="BK239" i="12" s="1"/>
  <c r="BM239" i="12" s="1"/>
  <c r="R240" i="12"/>
  <c r="BK240" i="12" s="1"/>
  <c r="BM240" i="12" s="1"/>
  <c r="R241" i="12"/>
  <c r="BK241" i="12" s="1"/>
  <c r="BM241" i="12" s="1"/>
  <c r="R242" i="12"/>
  <c r="BK242" i="12" s="1"/>
  <c r="BM242" i="12" s="1"/>
  <c r="R243" i="12"/>
  <c r="BK243" i="12" s="1"/>
  <c r="BM243" i="12" s="1"/>
  <c r="R244" i="12"/>
  <c r="BK244" i="12" s="1"/>
  <c r="BM244" i="12" s="1"/>
  <c r="R245" i="12"/>
  <c r="BK245" i="12" s="1"/>
  <c r="BM245" i="12" s="1"/>
  <c r="R246" i="12"/>
  <c r="BK246" i="12" s="1"/>
  <c r="BM246" i="12" s="1"/>
  <c r="R247" i="12"/>
  <c r="BK247" i="12" s="1"/>
  <c r="BM247" i="12" s="1"/>
  <c r="R248" i="12"/>
  <c r="BK248" i="12" s="1"/>
  <c r="BM248" i="12" s="1"/>
  <c r="R249" i="12"/>
  <c r="BK249" i="12" s="1"/>
  <c r="BM249" i="12" s="1"/>
  <c r="R250" i="12"/>
  <c r="BK250" i="12" s="1"/>
  <c r="BM250" i="12" s="1"/>
  <c r="R251" i="12"/>
  <c r="BK251" i="12" s="1"/>
  <c r="BM251" i="12" s="1"/>
  <c r="R252" i="12"/>
  <c r="BK252" i="12" s="1"/>
  <c r="BM252" i="12" s="1"/>
  <c r="R253" i="12"/>
  <c r="BK253" i="12" s="1"/>
  <c r="BM253" i="12" s="1"/>
  <c r="R254" i="12"/>
  <c r="BK254" i="12" s="1"/>
  <c r="BM254" i="12" s="1"/>
  <c r="R255" i="12"/>
  <c r="BK255" i="12" s="1"/>
  <c r="BM255" i="12" s="1"/>
  <c r="R256" i="12"/>
  <c r="BK256" i="12" s="1"/>
  <c r="BM256" i="12" s="1"/>
  <c r="R257" i="12"/>
  <c r="BK257" i="12" s="1"/>
  <c r="BM257" i="12" s="1"/>
  <c r="R258" i="12"/>
  <c r="BK258" i="12" s="1"/>
  <c r="BM258" i="12" s="1"/>
  <c r="R259" i="12"/>
  <c r="BK259" i="12" s="1"/>
  <c r="BM259" i="12" s="1"/>
  <c r="R260" i="12"/>
  <c r="BK260" i="12" s="1"/>
  <c r="BM260" i="12" s="1"/>
  <c r="R261" i="12"/>
  <c r="BK261" i="12" s="1"/>
  <c r="BM261" i="12" s="1"/>
  <c r="R262" i="12"/>
  <c r="BK262" i="12" s="1"/>
  <c r="BM262" i="12" s="1"/>
  <c r="R263" i="12"/>
  <c r="BK263" i="12" s="1"/>
  <c r="BM263" i="12" s="1"/>
  <c r="R264" i="12"/>
  <c r="BK264" i="12" s="1"/>
  <c r="BM264" i="12" s="1"/>
  <c r="R265" i="12"/>
  <c r="BK265" i="12" s="1"/>
  <c r="BM265" i="12" s="1"/>
  <c r="R266" i="12"/>
  <c r="BK266" i="12" s="1"/>
  <c r="BM266" i="12" s="1"/>
  <c r="R267" i="12"/>
  <c r="BK267" i="12" s="1"/>
  <c r="BM267" i="12" s="1"/>
  <c r="R268" i="12"/>
  <c r="BK268" i="12" s="1"/>
  <c r="BM268" i="12" s="1"/>
  <c r="R269" i="12"/>
  <c r="BK269" i="12" s="1"/>
  <c r="BM269" i="12" s="1"/>
  <c r="R270" i="12"/>
  <c r="BK270" i="12" s="1"/>
  <c r="BM270" i="12" s="1"/>
  <c r="R271" i="12"/>
  <c r="BK271" i="12" s="1"/>
  <c r="BM271" i="12" s="1"/>
  <c r="R272" i="12"/>
  <c r="BK272" i="12" s="1"/>
  <c r="BM272" i="12" s="1"/>
  <c r="R166" i="12"/>
  <c r="BK166" i="12" s="1"/>
  <c r="BM166" i="12" s="1"/>
  <c r="BH13" i="14" l="1"/>
  <c r="Z13" i="14"/>
  <c r="P285" i="12"/>
  <c r="K20" i="16"/>
  <c r="V20" i="16" s="1"/>
  <c r="W20" i="16" s="1"/>
  <c r="R162" i="12"/>
  <c r="Z22" i="12"/>
  <c r="Y22" i="12"/>
  <c r="X22" i="12"/>
  <c r="W22" i="12"/>
  <c r="V22" i="12"/>
  <c r="U22" i="12"/>
  <c r="T22" i="12"/>
  <c r="S22" i="12"/>
  <c r="R22" i="12"/>
  <c r="Q22" i="12"/>
  <c r="P22" i="12"/>
  <c r="O22" i="12"/>
  <c r="N22" i="12"/>
  <c r="M22" i="12"/>
  <c r="L22" i="12"/>
  <c r="K22" i="12"/>
  <c r="J22" i="12"/>
  <c r="I22" i="12"/>
  <c r="H22" i="12"/>
  <c r="G22" i="12"/>
  <c r="F22" i="12"/>
  <c r="E22" i="12"/>
  <c r="D22" i="12"/>
  <c r="J64" i="11"/>
  <c r="J65" i="11"/>
  <c r="J66" i="11"/>
  <c r="J67" i="11"/>
  <c r="J68" i="11"/>
  <c r="J69" i="11"/>
  <c r="J70" i="11"/>
  <c r="J71" i="11"/>
  <c r="J72" i="11"/>
  <c r="I64" i="11"/>
  <c r="I65" i="11"/>
  <c r="I66" i="11"/>
  <c r="I67" i="11"/>
  <c r="I68" i="11"/>
  <c r="I69" i="11"/>
  <c r="I70" i="11"/>
  <c r="I71" i="11"/>
  <c r="I72" i="11"/>
  <c r="L72" i="11"/>
  <c r="L71" i="11"/>
  <c r="L70" i="11"/>
  <c r="L69" i="11"/>
  <c r="L68" i="11"/>
  <c r="L67" i="11"/>
  <c r="L66" i="11"/>
  <c r="L65" i="11"/>
  <c r="L64" i="11"/>
  <c r="T41" i="11"/>
  <c r="T42" i="11"/>
  <c r="T43" i="11"/>
  <c r="T44" i="11"/>
  <c r="T45" i="11"/>
  <c r="T46" i="11"/>
  <c r="T47" i="11"/>
  <c r="T48" i="11"/>
  <c r="T49" i="11"/>
  <c r="L49" i="11"/>
  <c r="Y49" i="11" s="1"/>
  <c r="L48" i="11"/>
  <c r="Y48" i="11" s="1"/>
  <c r="L47" i="11"/>
  <c r="L46" i="11"/>
  <c r="L45" i="11"/>
  <c r="Y45" i="11" s="1"/>
  <c r="L44" i="11"/>
  <c r="Y44" i="11" s="1"/>
  <c r="L43" i="11"/>
  <c r="L42" i="11"/>
  <c r="L41" i="11"/>
  <c r="Y41" i="11" s="1"/>
  <c r="L40" i="11"/>
  <c r="T20" i="11"/>
  <c r="T21" i="11"/>
  <c r="T22" i="11"/>
  <c r="T23" i="11"/>
  <c r="T24" i="11"/>
  <c r="T25" i="11"/>
  <c r="T26" i="11"/>
  <c r="T27" i="11"/>
  <c r="T19" i="11"/>
  <c r="L20" i="11"/>
  <c r="L21" i="11"/>
  <c r="Y21" i="11" s="1"/>
  <c r="AX21" i="11" s="1"/>
  <c r="BD21" i="11" s="1"/>
  <c r="L22" i="11"/>
  <c r="Y22" i="11" s="1"/>
  <c r="L23" i="11"/>
  <c r="L24" i="11"/>
  <c r="Y24" i="11" s="1"/>
  <c r="L25" i="11"/>
  <c r="Y25" i="11" s="1"/>
  <c r="L26" i="11"/>
  <c r="Y26" i="11" s="1"/>
  <c r="AX26" i="11" s="1"/>
  <c r="BD26" i="11" s="1"/>
  <c r="L27" i="11"/>
  <c r="L28" i="11"/>
  <c r="Y28" i="11" s="1"/>
  <c r="AX28" i="11" s="1"/>
  <c r="BD28" i="11" s="1"/>
  <c r="L19" i="11"/>
  <c r="BH19" i="11" s="1"/>
  <c r="AQ19" i="11" s="1"/>
  <c r="Y20" i="11" l="1"/>
  <c r="AX20" i="11" s="1"/>
  <c r="BD20" i="11" s="1"/>
  <c r="BI13" i="14"/>
  <c r="AR13" i="14" s="1"/>
  <c r="AY13" i="14" s="1"/>
  <c r="BE13" i="14" s="1"/>
  <c r="Y40" i="11"/>
  <c r="BH40" i="11"/>
  <c r="AQ40" i="11" s="1"/>
  <c r="F7" i="14"/>
  <c r="AG7" i="14" s="1"/>
  <c r="BP27" i="12"/>
  <c r="BQ27" i="12" s="1"/>
  <c r="BR27" i="12" s="1"/>
  <c r="BP28" i="12"/>
  <c r="BQ28" i="12" s="1"/>
  <c r="BR28" i="12" s="1"/>
  <c r="BP31" i="12"/>
  <c r="BQ31" i="12" s="1"/>
  <c r="BR31" i="12" s="1"/>
  <c r="BP32" i="12"/>
  <c r="BQ32" i="12" s="1"/>
  <c r="BR32" i="12" s="1"/>
  <c r="BP37" i="12"/>
  <c r="BQ37" i="12" s="1"/>
  <c r="BR37" i="12" s="1"/>
  <c r="BP38" i="12"/>
  <c r="BQ38" i="12" s="1"/>
  <c r="BR38" i="12" s="1"/>
  <c r="BO41" i="12"/>
  <c r="BO42" i="12"/>
  <c r="BP43" i="12"/>
  <c r="BQ43" i="12" s="1"/>
  <c r="BR43" i="12" s="1"/>
  <c r="BP44" i="12"/>
  <c r="BQ44" i="12" s="1"/>
  <c r="BR44" i="12" s="1"/>
  <c r="BO27" i="12"/>
  <c r="BO28" i="12"/>
  <c r="BO31" i="12"/>
  <c r="BO32" i="12"/>
  <c r="BP33" i="12"/>
  <c r="BQ33" i="12" s="1"/>
  <c r="BR33" i="12" s="1"/>
  <c r="BH33" i="12" s="1"/>
  <c r="BK33" i="12" s="1"/>
  <c r="BM33" i="12" s="1"/>
  <c r="BP34" i="12"/>
  <c r="BQ34" i="12" s="1"/>
  <c r="BR34" i="12" s="1"/>
  <c r="BO37" i="12"/>
  <c r="BO38" i="12"/>
  <c r="BO43" i="12"/>
  <c r="BO44" i="12"/>
  <c r="BO48" i="12"/>
  <c r="BO52" i="12"/>
  <c r="BO56" i="12"/>
  <c r="BO60" i="12"/>
  <c r="BO64" i="12"/>
  <c r="BO68" i="12"/>
  <c r="BO72" i="12"/>
  <c r="BO76" i="12"/>
  <c r="BO80" i="12"/>
  <c r="BP29" i="12"/>
  <c r="BQ29" i="12" s="1"/>
  <c r="BR29" i="12" s="1"/>
  <c r="BO34" i="12"/>
  <c r="BP36" i="12"/>
  <c r="BQ36" i="12" s="1"/>
  <c r="BR36" i="12" s="1"/>
  <c r="BP39" i="12"/>
  <c r="BQ39" i="12" s="1"/>
  <c r="BR39" i="12" s="1"/>
  <c r="BO46" i="12"/>
  <c r="BP51" i="12"/>
  <c r="BQ51" i="12" s="1"/>
  <c r="BR51" i="12" s="1"/>
  <c r="BH51" i="12" s="1"/>
  <c r="BK51" i="12" s="1"/>
  <c r="BM51" i="12" s="1"/>
  <c r="BP53" i="12"/>
  <c r="BQ53" i="12" s="1"/>
  <c r="BR53" i="12" s="1"/>
  <c r="BO55" i="12"/>
  <c r="BO57" i="12"/>
  <c r="BP60" i="12"/>
  <c r="BQ60" i="12" s="1"/>
  <c r="BR60" i="12" s="1"/>
  <c r="BH60" i="12" s="1"/>
  <c r="BK60" i="12" s="1"/>
  <c r="BM60" i="12" s="1"/>
  <c r="BO62" i="12"/>
  <c r="BP67" i="12"/>
  <c r="BQ67" i="12" s="1"/>
  <c r="BR67" i="12" s="1"/>
  <c r="BO73" i="12"/>
  <c r="BO78" i="12"/>
  <c r="BO85" i="12"/>
  <c r="BP87" i="12"/>
  <c r="BQ87" i="12" s="1"/>
  <c r="BR87" i="12" s="1"/>
  <c r="BO90" i="12"/>
  <c r="BO94" i="12"/>
  <c r="BO98" i="12"/>
  <c r="BO102" i="12"/>
  <c r="BO105" i="12"/>
  <c r="BO109" i="12"/>
  <c r="BP111" i="12"/>
  <c r="BQ111" i="12" s="1"/>
  <c r="BR111" i="12" s="1"/>
  <c r="BP114" i="12"/>
  <c r="BQ114" i="12" s="1"/>
  <c r="BR114" i="12" s="1"/>
  <c r="BO116" i="12"/>
  <c r="BP122" i="12"/>
  <c r="BQ122" i="12" s="1"/>
  <c r="BR122" i="12" s="1"/>
  <c r="BO124" i="12"/>
  <c r="BP130" i="12"/>
  <c r="BQ130" i="12" s="1"/>
  <c r="BR130" i="12" s="1"/>
  <c r="BO132" i="12"/>
  <c r="BO29" i="12"/>
  <c r="BO36" i="12"/>
  <c r="BO39" i="12"/>
  <c r="BP41" i="12"/>
  <c r="BQ41" i="12" s="1"/>
  <c r="BR41" i="12" s="1"/>
  <c r="BP47" i="12"/>
  <c r="BQ47" i="12" s="1"/>
  <c r="BR47" i="12" s="1"/>
  <c r="BH47" i="12" s="1"/>
  <c r="BK47" i="12" s="1"/>
  <c r="BM47" i="12" s="1"/>
  <c r="BP49" i="12"/>
  <c r="BQ49" i="12" s="1"/>
  <c r="BR49" i="12" s="1"/>
  <c r="BO51" i="12"/>
  <c r="BO53" i="12"/>
  <c r="BP54" i="12"/>
  <c r="BQ54" i="12" s="1"/>
  <c r="BR54" i="12" s="1"/>
  <c r="BH54" i="12" s="1"/>
  <c r="BK54" i="12" s="1"/>
  <c r="BM54" i="12" s="1"/>
  <c r="BP56" i="12"/>
  <c r="BQ56" i="12" s="1"/>
  <c r="BR56" i="12" s="1"/>
  <c r="BO58" i="12"/>
  <c r="BP63" i="12"/>
  <c r="BQ63" i="12" s="1"/>
  <c r="BR63" i="12" s="1"/>
  <c r="BH63" i="12" s="1"/>
  <c r="BK63" i="12" s="1"/>
  <c r="BM63" i="12" s="1"/>
  <c r="BP65" i="12"/>
  <c r="BQ65" i="12" s="1"/>
  <c r="BR65" i="12" s="1"/>
  <c r="BH65" i="12" s="1"/>
  <c r="BK65" i="12" s="1"/>
  <c r="BM65" i="12" s="1"/>
  <c r="BO67" i="12"/>
  <c r="BO69" i="12"/>
  <c r="BP70" i="12"/>
  <c r="BQ70" i="12" s="1"/>
  <c r="BR70" i="12" s="1"/>
  <c r="BH70" i="12" s="1"/>
  <c r="BK70" i="12" s="1"/>
  <c r="BM70" i="12" s="1"/>
  <c r="BP72" i="12"/>
  <c r="BQ72" i="12" s="1"/>
  <c r="BR72" i="12" s="1"/>
  <c r="BH72" i="12" s="1"/>
  <c r="BK72" i="12" s="1"/>
  <c r="BM72" i="12" s="1"/>
  <c r="BO74" i="12"/>
  <c r="BP79" i="12"/>
  <c r="BQ79" i="12" s="1"/>
  <c r="BR79" i="12" s="1"/>
  <c r="BP81" i="12"/>
  <c r="BQ81" i="12" s="1"/>
  <c r="BR81" i="12" s="1"/>
  <c r="BH81" i="12" s="1"/>
  <c r="BK81" i="12" s="1"/>
  <c r="BM81" i="12" s="1"/>
  <c r="BO83" i="12"/>
  <c r="BP84" i="12"/>
  <c r="BQ84" i="12" s="1"/>
  <c r="BR84" i="12" s="1"/>
  <c r="BO87" i="12"/>
  <c r="BP88" i="12"/>
  <c r="BQ88" i="12" s="1"/>
  <c r="BR88" i="12" s="1"/>
  <c r="BH88" i="12" s="1"/>
  <c r="BK88" i="12" s="1"/>
  <c r="BM88" i="12" s="1"/>
  <c r="BO91" i="12"/>
  <c r="BP92" i="12"/>
  <c r="BQ92" i="12" s="1"/>
  <c r="BR92" i="12" s="1"/>
  <c r="BO95" i="12"/>
  <c r="BP96" i="12"/>
  <c r="BQ96" i="12" s="1"/>
  <c r="BR96" i="12" s="1"/>
  <c r="BH96" i="12" s="1"/>
  <c r="BK96" i="12" s="1"/>
  <c r="BM96" i="12" s="1"/>
  <c r="BO99" i="12"/>
  <c r="BP100" i="12"/>
  <c r="BQ100" i="12" s="1"/>
  <c r="BR100" i="12" s="1"/>
  <c r="BO103" i="12"/>
  <c r="BP104" i="12"/>
  <c r="BQ104" i="12" s="1"/>
  <c r="BR104" i="12" s="1"/>
  <c r="BO107" i="12"/>
  <c r="BP108" i="12"/>
  <c r="BQ108" i="12" s="1"/>
  <c r="BR108" i="12" s="1"/>
  <c r="BO111" i="12"/>
  <c r="BP112" i="12"/>
  <c r="BQ112" i="12" s="1"/>
  <c r="BR112" i="12" s="1"/>
  <c r="BO114" i="12"/>
  <c r="BP117" i="12"/>
  <c r="BQ117" i="12" s="1"/>
  <c r="BR117" i="12" s="1"/>
  <c r="BO119" i="12"/>
  <c r="BP120" i="12"/>
  <c r="BQ120" i="12" s="1"/>
  <c r="BR120" i="12" s="1"/>
  <c r="BH120" i="12" s="1"/>
  <c r="BK120" i="12" s="1"/>
  <c r="BM120" i="12" s="1"/>
  <c r="BO122" i="12"/>
  <c r="BP125" i="12"/>
  <c r="BQ125" i="12" s="1"/>
  <c r="BR125" i="12" s="1"/>
  <c r="BO127" i="12"/>
  <c r="BP128" i="12"/>
  <c r="BQ128" i="12" s="1"/>
  <c r="BR128" i="12" s="1"/>
  <c r="BH128" i="12" s="1"/>
  <c r="BK128" i="12" s="1"/>
  <c r="BM128" i="12" s="1"/>
  <c r="BO130" i="12"/>
  <c r="BP133" i="12"/>
  <c r="BQ133" i="12" s="1"/>
  <c r="BR133" i="12" s="1"/>
  <c r="BP26" i="12"/>
  <c r="BP58" i="12"/>
  <c r="BQ58" i="12" s="1"/>
  <c r="BR58" i="12" s="1"/>
  <c r="BH58" i="12" s="1"/>
  <c r="BK58" i="12" s="1"/>
  <c r="BM58" i="12" s="1"/>
  <c r="BP69" i="12"/>
  <c r="BQ69" i="12" s="1"/>
  <c r="BR69" i="12" s="1"/>
  <c r="BO71" i="12"/>
  <c r="BP74" i="12"/>
  <c r="BQ74" i="12" s="1"/>
  <c r="BR74" i="12" s="1"/>
  <c r="BP76" i="12"/>
  <c r="BQ76" i="12" s="1"/>
  <c r="BR76" i="12" s="1"/>
  <c r="BH76" i="12" s="1"/>
  <c r="BK76" i="12" s="1"/>
  <c r="BM76" i="12" s="1"/>
  <c r="BP83" i="12"/>
  <c r="BQ83" i="12" s="1"/>
  <c r="BR83" i="12" s="1"/>
  <c r="BO86" i="12"/>
  <c r="BO89" i="12"/>
  <c r="BP91" i="12"/>
  <c r="BQ91" i="12" s="1"/>
  <c r="BR91" i="12" s="1"/>
  <c r="BO93" i="12"/>
  <c r="BP95" i="12"/>
  <c r="BQ95" i="12" s="1"/>
  <c r="BR95" i="12" s="1"/>
  <c r="BO97" i="12"/>
  <c r="BP99" i="12"/>
  <c r="BQ99" i="12" s="1"/>
  <c r="BR99" i="12" s="1"/>
  <c r="BO101" i="12"/>
  <c r="BP103" i="12"/>
  <c r="BQ103" i="12" s="1"/>
  <c r="BR103" i="12" s="1"/>
  <c r="BO106" i="12"/>
  <c r="BP107" i="12"/>
  <c r="BQ107" i="12" s="1"/>
  <c r="BR107" i="12" s="1"/>
  <c r="BH107" i="12" s="1"/>
  <c r="BK107" i="12" s="1"/>
  <c r="BM107" i="12" s="1"/>
  <c r="BO110" i="12"/>
  <c r="BO113" i="12"/>
  <c r="BP119" i="12"/>
  <c r="BQ119" i="12" s="1"/>
  <c r="BR119" i="12" s="1"/>
  <c r="BO121" i="12"/>
  <c r="BP127" i="12"/>
  <c r="BQ127" i="12" s="1"/>
  <c r="BR127" i="12" s="1"/>
  <c r="BH127" i="12" s="1"/>
  <c r="BK127" i="12" s="1"/>
  <c r="BM127" i="12" s="1"/>
  <c r="BO129" i="12"/>
  <c r="BO30" i="12"/>
  <c r="BO35" i="12"/>
  <c r="BO40" i="12"/>
  <c r="BP42" i="12"/>
  <c r="BQ42" i="12" s="1"/>
  <c r="BR42" i="12" s="1"/>
  <c r="BO45" i="12"/>
  <c r="BP46" i="12"/>
  <c r="BQ46" i="12" s="1"/>
  <c r="BR46" i="12" s="1"/>
  <c r="BH46" i="12" s="1"/>
  <c r="BK46" i="12" s="1"/>
  <c r="BM46" i="12" s="1"/>
  <c r="BP48" i="12"/>
  <c r="BQ48" i="12" s="1"/>
  <c r="BR48" i="12" s="1"/>
  <c r="BH48" i="12" s="1"/>
  <c r="BK48" i="12" s="1"/>
  <c r="BM48" i="12" s="1"/>
  <c r="BO50" i="12"/>
  <c r="BP55" i="12"/>
  <c r="BQ55" i="12" s="1"/>
  <c r="BR55" i="12" s="1"/>
  <c r="BP57" i="12"/>
  <c r="BQ57" i="12" s="1"/>
  <c r="BR57" i="12" s="1"/>
  <c r="BO59" i="12"/>
  <c r="BO61" i="12"/>
  <c r="BP62" i="12"/>
  <c r="BQ62" i="12" s="1"/>
  <c r="BR62" i="12" s="1"/>
  <c r="BP64" i="12"/>
  <c r="BQ64" i="12" s="1"/>
  <c r="BR64" i="12" s="1"/>
  <c r="BO66" i="12"/>
  <c r="BP71" i="12"/>
  <c r="BQ71" i="12" s="1"/>
  <c r="BR71" i="12" s="1"/>
  <c r="BP73" i="12"/>
  <c r="BQ73" i="12" s="1"/>
  <c r="BR73" i="12" s="1"/>
  <c r="BO75" i="12"/>
  <c r="BO77" i="12"/>
  <c r="BP78" i="12"/>
  <c r="BQ78" i="12" s="1"/>
  <c r="BR78" i="12" s="1"/>
  <c r="BP80" i="12"/>
  <c r="BQ80" i="12" s="1"/>
  <c r="BR80" i="12" s="1"/>
  <c r="BO82" i="12"/>
  <c r="BP85" i="12"/>
  <c r="BQ85" i="12" s="1"/>
  <c r="BR85" i="12" s="1"/>
  <c r="BH85" i="12" s="1"/>
  <c r="BK85" i="12" s="1"/>
  <c r="BM85" i="12" s="1"/>
  <c r="BP86" i="12"/>
  <c r="BQ86" i="12" s="1"/>
  <c r="BR86" i="12" s="1"/>
  <c r="BP89" i="12"/>
  <c r="BQ89" i="12" s="1"/>
  <c r="BR89" i="12" s="1"/>
  <c r="BP35" i="12"/>
  <c r="BQ35" i="12" s="1"/>
  <c r="BR35" i="12" s="1"/>
  <c r="BH35" i="12" s="1"/>
  <c r="BK35" i="12" s="1"/>
  <c r="BM35" i="12" s="1"/>
  <c r="BP45" i="12"/>
  <c r="BQ45" i="12" s="1"/>
  <c r="BR45" i="12" s="1"/>
  <c r="BH45" i="12" s="1"/>
  <c r="BK45" i="12" s="1"/>
  <c r="BM45" i="12" s="1"/>
  <c r="BP52" i="12"/>
  <c r="BQ52" i="12" s="1"/>
  <c r="BR52" i="12" s="1"/>
  <c r="BP59" i="12"/>
  <c r="BQ59" i="12" s="1"/>
  <c r="BR59" i="12" s="1"/>
  <c r="BP66" i="12"/>
  <c r="BQ66" i="12" s="1"/>
  <c r="BR66" i="12" s="1"/>
  <c r="BO81" i="12"/>
  <c r="BO96" i="12"/>
  <c r="BO104" i="12"/>
  <c r="BO112" i="12"/>
  <c r="BP115" i="12"/>
  <c r="BQ115" i="12" s="1"/>
  <c r="BR115" i="12" s="1"/>
  <c r="BH115" i="12" s="1"/>
  <c r="BK115" i="12" s="1"/>
  <c r="BM115" i="12" s="1"/>
  <c r="BP118" i="12"/>
  <c r="BQ118" i="12" s="1"/>
  <c r="BR118" i="12" s="1"/>
  <c r="BO125" i="12"/>
  <c r="BO128" i="12"/>
  <c r="BP131" i="12"/>
  <c r="BQ131" i="12" s="1"/>
  <c r="BR131" i="12" s="1"/>
  <c r="BH131" i="12" s="1"/>
  <c r="BK131" i="12" s="1"/>
  <c r="BM131" i="12" s="1"/>
  <c r="BO47" i="12"/>
  <c r="BO54" i="12"/>
  <c r="BP61" i="12"/>
  <c r="BQ61" i="12" s="1"/>
  <c r="BR61" i="12" s="1"/>
  <c r="BP68" i="12"/>
  <c r="BQ68" i="12" s="1"/>
  <c r="BR68" i="12" s="1"/>
  <c r="BH68" i="12" s="1"/>
  <c r="BK68" i="12" s="1"/>
  <c r="BM68" i="12" s="1"/>
  <c r="BP75" i="12"/>
  <c r="BQ75" i="12" s="1"/>
  <c r="BR75" i="12" s="1"/>
  <c r="BP82" i="12"/>
  <c r="BQ82" i="12" s="1"/>
  <c r="BR82" i="12" s="1"/>
  <c r="BO88" i="12"/>
  <c r="BP94" i="12"/>
  <c r="BQ94" i="12" s="1"/>
  <c r="BR94" i="12" s="1"/>
  <c r="BH94" i="12" s="1"/>
  <c r="BK94" i="12" s="1"/>
  <c r="BM94" i="12" s="1"/>
  <c r="BP97" i="12"/>
  <c r="BQ97" i="12" s="1"/>
  <c r="BR97" i="12" s="1"/>
  <c r="BP102" i="12"/>
  <c r="BQ102" i="12" s="1"/>
  <c r="BR102" i="12" s="1"/>
  <c r="BP105" i="12"/>
  <c r="BQ105" i="12" s="1"/>
  <c r="BR105" i="12" s="1"/>
  <c r="BP110" i="12"/>
  <c r="BQ110" i="12" s="1"/>
  <c r="BR110" i="12" s="1"/>
  <c r="BH110" i="12" s="1"/>
  <c r="BK110" i="12" s="1"/>
  <c r="BM110" i="12" s="1"/>
  <c r="BP113" i="12"/>
  <c r="BQ113" i="12" s="1"/>
  <c r="BR113" i="12" s="1"/>
  <c r="BP116" i="12"/>
  <c r="BQ116" i="12" s="1"/>
  <c r="BR116" i="12" s="1"/>
  <c r="BO123" i="12"/>
  <c r="BO126" i="12"/>
  <c r="BP129" i="12"/>
  <c r="BQ129" i="12" s="1"/>
  <c r="BR129" i="12" s="1"/>
  <c r="BP132" i="12"/>
  <c r="BQ132" i="12" s="1"/>
  <c r="BR132" i="12" s="1"/>
  <c r="BP30" i="12"/>
  <c r="BQ30" i="12" s="1"/>
  <c r="BR30" i="12" s="1"/>
  <c r="BP40" i="12"/>
  <c r="BQ40" i="12" s="1"/>
  <c r="BR40" i="12" s="1"/>
  <c r="BH40" i="12" s="1"/>
  <c r="BK40" i="12" s="1"/>
  <c r="BM40" i="12" s="1"/>
  <c r="BO49" i="12"/>
  <c r="BO63" i="12"/>
  <c r="BO70" i="12"/>
  <c r="BP77" i="12"/>
  <c r="BQ77" i="12" s="1"/>
  <c r="BR77" i="12" s="1"/>
  <c r="BH77" i="12" s="1"/>
  <c r="BK77" i="12" s="1"/>
  <c r="BM77" i="12" s="1"/>
  <c r="BO84" i="12"/>
  <c r="BO92" i="12"/>
  <c r="BO100" i="12"/>
  <c r="BO108" i="12"/>
  <c r="BO117" i="12"/>
  <c r="BO120" i="12"/>
  <c r="BP123" i="12"/>
  <c r="BQ123" i="12" s="1"/>
  <c r="BR123" i="12" s="1"/>
  <c r="BH123" i="12" s="1"/>
  <c r="BK123" i="12" s="1"/>
  <c r="BM123" i="12" s="1"/>
  <c r="BP126" i="12"/>
  <c r="BQ126" i="12" s="1"/>
  <c r="BR126" i="12" s="1"/>
  <c r="BH126" i="12" s="1"/>
  <c r="BK126" i="12" s="1"/>
  <c r="BM126" i="12" s="1"/>
  <c r="BO133" i="12"/>
  <c r="BO33" i="12"/>
  <c r="BP50" i="12"/>
  <c r="BQ50" i="12" s="1"/>
  <c r="BR50" i="12" s="1"/>
  <c r="BH50" i="12" s="1"/>
  <c r="BK50" i="12" s="1"/>
  <c r="BM50" i="12" s="1"/>
  <c r="BO65" i="12"/>
  <c r="BO79" i="12"/>
  <c r="BP90" i="12"/>
  <c r="BQ90" i="12" s="1"/>
  <c r="BR90" i="12" s="1"/>
  <c r="BP93" i="12"/>
  <c r="BQ93" i="12" s="1"/>
  <c r="BR93" i="12" s="1"/>
  <c r="BP98" i="12"/>
  <c r="BQ98" i="12" s="1"/>
  <c r="BR98" i="12" s="1"/>
  <c r="BP101" i="12"/>
  <c r="BQ101" i="12" s="1"/>
  <c r="BR101" i="12" s="1"/>
  <c r="BP106" i="12"/>
  <c r="BQ106" i="12" s="1"/>
  <c r="BR106" i="12" s="1"/>
  <c r="BP109" i="12"/>
  <c r="BQ109" i="12" s="1"/>
  <c r="BR109" i="12" s="1"/>
  <c r="BH109" i="12" s="1"/>
  <c r="BK109" i="12" s="1"/>
  <c r="BM109" i="12" s="1"/>
  <c r="BO115" i="12"/>
  <c r="BO118" i="12"/>
  <c r="BP121" i="12"/>
  <c r="BQ121" i="12" s="1"/>
  <c r="BR121" i="12" s="1"/>
  <c r="BP124" i="12"/>
  <c r="BQ124" i="12" s="1"/>
  <c r="BR124" i="12" s="1"/>
  <c r="BO131" i="12"/>
  <c r="BO26" i="12"/>
  <c r="BH36" i="12"/>
  <c r="BH52" i="12"/>
  <c r="BK52" i="12" s="1"/>
  <c r="BM52" i="12" s="1"/>
  <c r="BH56" i="12"/>
  <c r="BH84" i="12"/>
  <c r="BK84" i="12" s="1"/>
  <c r="BM84" i="12" s="1"/>
  <c r="BH37" i="12"/>
  <c r="BH42" i="12"/>
  <c r="BK42" i="12" s="1"/>
  <c r="BM42" i="12" s="1"/>
  <c r="BH49" i="12"/>
  <c r="BK49" i="12" s="1"/>
  <c r="BM49" i="12" s="1"/>
  <c r="BH53" i="12"/>
  <c r="BH69" i="12"/>
  <c r="BH74" i="12"/>
  <c r="BH93" i="12"/>
  <c r="BK93" i="12" s="1"/>
  <c r="BM93" i="12" s="1"/>
  <c r="BH95" i="12"/>
  <c r="BH97" i="12"/>
  <c r="BH98" i="12"/>
  <c r="BK98" i="12" s="1"/>
  <c r="BM98" i="12" s="1"/>
  <c r="BH111" i="12"/>
  <c r="BK111" i="12" s="1"/>
  <c r="BM111" i="12" s="1"/>
  <c r="BH113" i="12"/>
  <c r="BK113" i="12" s="1"/>
  <c r="BM113" i="12" s="1"/>
  <c r="BH114" i="12"/>
  <c r="BH125" i="12"/>
  <c r="BH28" i="12"/>
  <c r="BH31" i="12"/>
  <c r="BH39" i="12"/>
  <c r="BH41" i="12"/>
  <c r="BK41" i="12" s="1"/>
  <c r="BM41" i="12" s="1"/>
  <c r="BH44" i="12"/>
  <c r="BK44" i="12" s="1"/>
  <c r="BM44" i="12" s="1"/>
  <c r="BH55" i="12"/>
  <c r="BK55" i="12" s="1"/>
  <c r="BM55" i="12" s="1"/>
  <c r="BH57" i="12"/>
  <c r="BK57" i="12" s="1"/>
  <c r="BM57" i="12" s="1"/>
  <c r="BH67" i="12"/>
  <c r="BH71" i="12"/>
  <c r="BK71" i="12" s="1"/>
  <c r="BM71" i="12" s="1"/>
  <c r="BH73" i="12"/>
  <c r="BH79" i="12"/>
  <c r="BH83" i="12"/>
  <c r="BK83" i="12" s="1"/>
  <c r="BM83" i="12" s="1"/>
  <c r="BH100" i="12"/>
  <c r="BH104" i="12"/>
  <c r="BK104" i="12" s="1"/>
  <c r="BM104" i="12" s="1"/>
  <c r="BH116" i="12"/>
  <c r="BK116" i="12" s="1"/>
  <c r="BM116" i="12" s="1"/>
  <c r="BH132" i="12"/>
  <c r="BH30" i="12"/>
  <c r="BH32" i="12"/>
  <c r="BK32" i="12" s="1"/>
  <c r="BM32" i="12" s="1"/>
  <c r="BH62" i="12"/>
  <c r="BK62" i="12" s="1"/>
  <c r="BM62" i="12" s="1"/>
  <c r="BH64" i="12"/>
  <c r="BK64" i="12" s="1"/>
  <c r="BM64" i="12" s="1"/>
  <c r="BH78" i="12"/>
  <c r="BH80" i="12"/>
  <c r="BH87" i="12"/>
  <c r="BK87" i="12" s="1"/>
  <c r="BM87" i="12" s="1"/>
  <c r="BH92" i="12"/>
  <c r="BK92" i="12" s="1"/>
  <c r="BM92" i="12" s="1"/>
  <c r="BH103" i="12"/>
  <c r="BH108" i="12"/>
  <c r="BH27" i="12"/>
  <c r="BH34" i="12"/>
  <c r="BH90" i="12"/>
  <c r="BK90" i="12" s="1"/>
  <c r="BM90" i="12" s="1"/>
  <c r="BH101" i="12"/>
  <c r="BH106" i="12"/>
  <c r="BH119" i="12"/>
  <c r="BK119" i="12" s="1"/>
  <c r="BM119" i="12" s="1"/>
  <c r="BH124" i="12"/>
  <c r="BK124" i="12" s="1"/>
  <c r="BM124" i="12" s="1"/>
  <c r="BH38" i="12"/>
  <c r="BK38" i="12" s="1"/>
  <c r="BM38" i="12" s="1"/>
  <c r="BH59" i="12"/>
  <c r="BH66" i="12"/>
  <c r="BH61" i="12"/>
  <c r="BK61" i="12" s="1"/>
  <c r="BM61" i="12" s="1"/>
  <c r="BH75" i="12"/>
  <c r="BH89" i="12"/>
  <c r="BH99" i="12"/>
  <c r="BH105" i="12"/>
  <c r="BK105" i="12" s="1"/>
  <c r="BM105" i="12" s="1"/>
  <c r="BH118" i="12"/>
  <c r="BH29" i="12"/>
  <c r="BK29" i="12" s="1"/>
  <c r="BM29" i="12" s="1"/>
  <c r="BH43" i="12"/>
  <c r="BH86" i="12"/>
  <c r="BH91" i="12"/>
  <c r="BK91" i="12" s="1"/>
  <c r="BM91" i="12" s="1"/>
  <c r="BH102" i="12"/>
  <c r="BH117" i="12"/>
  <c r="BH122" i="12"/>
  <c r="BK122" i="12" s="1"/>
  <c r="BM122" i="12" s="1"/>
  <c r="BH130" i="12"/>
  <c r="AE26" i="12"/>
  <c r="BH112" i="12"/>
  <c r="BH129" i="12"/>
  <c r="BK129" i="12" s="1"/>
  <c r="BM129" i="12" s="1"/>
  <c r="BH133" i="12"/>
  <c r="BH82" i="12"/>
  <c r="BK82" i="12" s="1"/>
  <c r="BM82" i="12" s="1"/>
  <c r="BH121" i="12"/>
  <c r="Y42" i="11"/>
  <c r="Y46" i="11"/>
  <c r="Y27" i="11"/>
  <c r="AX27" i="11" s="1"/>
  <c r="BD27" i="11" s="1"/>
  <c r="Y23" i="11"/>
  <c r="Y43" i="11"/>
  <c r="Y47" i="11"/>
  <c r="Y19" i="11"/>
  <c r="AX19" i="11" s="1"/>
  <c r="BD19" i="11" s="1"/>
  <c r="T70" i="11"/>
  <c r="Y70" i="11" s="1"/>
  <c r="AE42" i="12"/>
  <c r="T63" i="11"/>
  <c r="Y63" i="11" s="1"/>
  <c r="AX63" i="11" s="1"/>
  <c r="BD63" i="11" s="1"/>
  <c r="T69" i="11"/>
  <c r="Y69" i="11" s="1"/>
  <c r="T65" i="11"/>
  <c r="Y65" i="11" s="1"/>
  <c r="T71" i="11"/>
  <c r="Y71" i="11" s="1"/>
  <c r="T67" i="11"/>
  <c r="Y67" i="11" s="1"/>
  <c r="T72" i="11"/>
  <c r="Y72" i="11" s="1"/>
  <c r="T68" i="11"/>
  <c r="Y68" i="11" s="1"/>
  <c r="T64" i="11"/>
  <c r="Y64" i="11" s="1"/>
  <c r="AE29" i="12"/>
  <c r="AE33" i="12"/>
  <c r="AE37" i="12"/>
  <c r="AE41" i="12"/>
  <c r="AE45" i="12"/>
  <c r="AE49" i="12"/>
  <c r="AE53" i="12"/>
  <c r="AE57" i="12"/>
  <c r="AE61" i="12"/>
  <c r="AE65" i="12"/>
  <c r="AE69" i="12"/>
  <c r="AE73" i="12"/>
  <c r="AE77" i="12"/>
  <c r="AE81" i="12"/>
  <c r="AE85" i="12"/>
  <c r="AE89" i="12"/>
  <c r="AE93" i="12"/>
  <c r="AE97" i="12"/>
  <c r="AE101" i="12"/>
  <c r="AE105" i="12"/>
  <c r="AE109" i="12"/>
  <c r="AE113" i="12"/>
  <c r="AE117" i="12"/>
  <c r="AE121" i="12"/>
  <c r="AE125" i="12"/>
  <c r="AE129" i="12"/>
  <c r="AE31" i="12"/>
  <c r="AE55" i="12"/>
  <c r="AE63" i="12"/>
  <c r="AE71" i="12"/>
  <c r="AE79" i="12"/>
  <c r="AE87" i="12"/>
  <c r="AE95" i="12"/>
  <c r="AE103" i="12"/>
  <c r="AE115" i="12"/>
  <c r="AE123" i="12"/>
  <c r="AE131" i="12"/>
  <c r="AE44" i="12"/>
  <c r="AE56" i="12"/>
  <c r="AE64" i="12"/>
  <c r="AE72" i="12"/>
  <c r="AE80" i="12"/>
  <c r="AE88" i="12"/>
  <c r="AE96" i="12"/>
  <c r="AE104" i="12"/>
  <c r="AE112" i="12"/>
  <c r="AE120" i="12"/>
  <c r="AE132" i="12"/>
  <c r="AE133" i="12"/>
  <c r="AE30" i="12"/>
  <c r="AE34" i="12"/>
  <c r="AE38" i="12"/>
  <c r="AE46" i="12"/>
  <c r="AE50" i="12"/>
  <c r="AE54" i="12"/>
  <c r="AE58" i="12"/>
  <c r="AE62" i="12"/>
  <c r="AE66" i="12"/>
  <c r="AE70" i="12"/>
  <c r="AE74" i="12"/>
  <c r="AE78" i="12"/>
  <c r="AE82" i="12"/>
  <c r="AE86" i="12"/>
  <c r="AE90" i="12"/>
  <c r="AE94" i="12"/>
  <c r="AE98" i="12"/>
  <c r="AE102" i="12"/>
  <c r="AE106" i="12"/>
  <c r="AE110" i="12"/>
  <c r="AE114" i="12"/>
  <c r="AE118" i="12"/>
  <c r="AE122" i="12"/>
  <c r="AE126" i="12"/>
  <c r="AE130" i="12"/>
  <c r="AE27" i="12"/>
  <c r="AE35" i="12"/>
  <c r="AE39" i="12"/>
  <c r="AE43" i="12"/>
  <c r="AE47" i="12"/>
  <c r="AE51" i="12"/>
  <c r="AE59" i="12"/>
  <c r="AE67" i="12"/>
  <c r="AE75" i="12"/>
  <c r="AE83" i="12"/>
  <c r="AE91" i="12"/>
  <c r="AE99" i="12"/>
  <c r="AE107" i="12"/>
  <c r="AE111" i="12"/>
  <c r="AE119" i="12"/>
  <c r="AE127" i="12"/>
  <c r="AE28" i="12"/>
  <c r="AE32" i="12"/>
  <c r="AE36" i="12"/>
  <c r="AE40" i="12"/>
  <c r="AE48" i="12"/>
  <c r="AE52" i="12"/>
  <c r="AE60" i="12"/>
  <c r="AE68" i="12"/>
  <c r="AE76" i="12"/>
  <c r="AE84" i="12"/>
  <c r="AE92" i="12"/>
  <c r="AE100" i="12"/>
  <c r="AE108" i="12"/>
  <c r="AE116" i="12"/>
  <c r="AE124" i="12"/>
  <c r="AE128" i="12"/>
  <c r="T66" i="11"/>
  <c r="Y66" i="11" s="1"/>
  <c r="T71" i="10"/>
  <c r="Y71" i="10" s="1"/>
  <c r="T70" i="10"/>
  <c r="Y70" i="10" s="1"/>
  <c r="T69" i="10"/>
  <c r="Y69" i="10" s="1"/>
  <c r="T68" i="10"/>
  <c r="Y68" i="10" s="1"/>
  <c r="T67" i="10"/>
  <c r="Y67" i="10" s="1"/>
  <c r="T66" i="10"/>
  <c r="Y66" i="10" s="1"/>
  <c r="T65" i="10"/>
  <c r="Y65" i="10" s="1"/>
  <c r="T64" i="10"/>
  <c r="Y64" i="10" s="1"/>
  <c r="T63" i="10"/>
  <c r="Y63" i="10" s="1"/>
  <c r="T62" i="10"/>
  <c r="Y62" i="10" s="1"/>
  <c r="T61" i="10"/>
  <c r="Y61" i="10" s="1"/>
  <c r="AV61" i="10" s="1"/>
  <c r="BB61" i="10" s="1"/>
  <c r="T49" i="10"/>
  <c r="Y49" i="10" s="1"/>
  <c r="T48" i="10"/>
  <c r="Y48" i="10" s="1"/>
  <c r="T47" i="10"/>
  <c r="Y47" i="10" s="1"/>
  <c r="T46" i="10"/>
  <c r="Y46" i="10" s="1"/>
  <c r="T45" i="10"/>
  <c r="Y45" i="10" s="1"/>
  <c r="T44" i="10"/>
  <c r="Y44" i="10" s="1"/>
  <c r="T43" i="10"/>
  <c r="Y43" i="10" s="1"/>
  <c r="T42" i="10"/>
  <c r="Y42" i="10" s="1"/>
  <c r="T41" i="10"/>
  <c r="Y41" i="10" s="1"/>
  <c r="T28" i="10"/>
  <c r="Y28" i="10" s="1"/>
  <c r="AV28" i="10" s="1"/>
  <c r="BB28" i="10" s="1"/>
  <c r="T27" i="10"/>
  <c r="Y27" i="10" s="1"/>
  <c r="AV27" i="10" s="1"/>
  <c r="BB27" i="10" s="1"/>
  <c r="T40" i="10"/>
  <c r="Y40" i="10" s="1"/>
  <c r="T23" i="10"/>
  <c r="Y23" i="10" s="1"/>
  <c r="T22" i="10"/>
  <c r="Y22" i="10" s="1"/>
  <c r="T21" i="10"/>
  <c r="Y21" i="10" s="1"/>
  <c r="T20" i="10"/>
  <c r="Y20" i="10" s="1"/>
  <c r="T24" i="10"/>
  <c r="Y24" i="10" s="1"/>
  <c r="T25" i="10"/>
  <c r="Y25" i="10" s="1"/>
  <c r="T26" i="10"/>
  <c r="Y26" i="10" s="1"/>
  <c r="Y116" i="9"/>
  <c r="AV116" i="9" s="1"/>
  <c r="BB116" i="9" s="1"/>
  <c r="Y115" i="9"/>
  <c r="AV115" i="9" s="1"/>
  <c r="BB115" i="9" s="1"/>
  <c r="X114" i="9"/>
  <c r="AU114" i="9" s="1"/>
  <c r="BA114" i="9" s="1"/>
  <c r="W102" i="9"/>
  <c r="AT102" i="9" s="1"/>
  <c r="AZ102" i="9" s="1"/>
  <c r="Y96" i="9"/>
  <c r="AV96" i="9" s="1"/>
  <c r="BB96" i="9" s="1"/>
  <c r="Y84" i="9"/>
  <c r="AV84" i="9" s="1"/>
  <c r="BB84" i="9" s="1"/>
  <c r="Y66" i="9"/>
  <c r="AV66" i="9" s="1"/>
  <c r="BB66" i="9" s="1"/>
  <c r="Y72" i="9"/>
  <c r="AV72" i="9" s="1"/>
  <c r="BB72" i="9" s="1"/>
  <c r="T60" i="9"/>
  <c r="Y60" i="9" s="1"/>
  <c r="R60" i="9"/>
  <c r="W60" i="9" s="1"/>
  <c r="AT60" i="9" s="1"/>
  <c r="AZ60" i="9" s="1"/>
  <c r="K19" i="16" l="1"/>
  <c r="L19" i="16"/>
  <c r="BQ26" i="12"/>
  <c r="BR26" i="12" s="1"/>
  <c r="BH26" i="12" s="1"/>
  <c r="BK26" i="12" s="1"/>
  <c r="BM26" i="12" s="1"/>
  <c r="AX40" i="11"/>
  <c r="BD40" i="11" s="1"/>
  <c r="H8" i="10"/>
  <c r="AH7" i="10" s="1"/>
  <c r="L16" i="16" s="1"/>
  <c r="AV40" i="10"/>
  <c r="BB40" i="10" s="1"/>
  <c r="AV60" i="9"/>
  <c r="BB60" i="9" s="1"/>
  <c r="BK69" i="12"/>
  <c r="BM69" i="12" s="1"/>
  <c r="BK67" i="12"/>
  <c r="BM67" i="12" s="1"/>
  <c r="BK28" i="12"/>
  <c r="BM28" i="12" s="1"/>
  <c r="BK133" i="12"/>
  <c r="BM133" i="12" s="1"/>
  <c r="BK130" i="12"/>
  <c r="BM130" i="12" s="1"/>
  <c r="BK102" i="12"/>
  <c r="BM102" i="12" s="1"/>
  <c r="BK43" i="12"/>
  <c r="BM43" i="12" s="1"/>
  <c r="BK118" i="12"/>
  <c r="BM118" i="12" s="1"/>
  <c r="BK75" i="12"/>
  <c r="BM75" i="12" s="1"/>
  <c r="BK101" i="12"/>
  <c r="BM101" i="12" s="1"/>
  <c r="BK34" i="12"/>
  <c r="BM34" i="12" s="1"/>
  <c r="BK78" i="12"/>
  <c r="BM78" i="12" s="1"/>
  <c r="BK73" i="12"/>
  <c r="BM73" i="12" s="1"/>
  <c r="BK114" i="12"/>
  <c r="BM114" i="12" s="1"/>
  <c r="BK74" i="12"/>
  <c r="BM74" i="12" s="1"/>
  <c r="BK53" i="12"/>
  <c r="BM53" i="12" s="1"/>
  <c r="BK56" i="12"/>
  <c r="BM56" i="12" s="1"/>
  <c r="BK27" i="12"/>
  <c r="BM27" i="12" s="1"/>
  <c r="BK31" i="12"/>
  <c r="BM31" i="12" s="1"/>
  <c r="BK112" i="12"/>
  <c r="BM112" i="12" s="1"/>
  <c r="BK117" i="12"/>
  <c r="BM117" i="12" s="1"/>
  <c r="BK86" i="12"/>
  <c r="BM86" i="12" s="1"/>
  <c r="BK99" i="12"/>
  <c r="BM99" i="12" s="1"/>
  <c r="BK66" i="12"/>
  <c r="BM66" i="12" s="1"/>
  <c r="BK108" i="12"/>
  <c r="BM108" i="12" s="1"/>
  <c r="BK30" i="12"/>
  <c r="BM30" i="12" s="1"/>
  <c r="BK79" i="12"/>
  <c r="BM79" i="12" s="1"/>
  <c r="BK97" i="12"/>
  <c r="BM97" i="12" s="1"/>
  <c r="BK121" i="12"/>
  <c r="BM121" i="12" s="1"/>
  <c r="BK89" i="12"/>
  <c r="BM89" i="12" s="1"/>
  <c r="BK59" i="12"/>
  <c r="BM59" i="12" s="1"/>
  <c r="BK106" i="12"/>
  <c r="BM106" i="12" s="1"/>
  <c r="BK103" i="12"/>
  <c r="BM103" i="12" s="1"/>
  <c r="BK80" i="12"/>
  <c r="BM80" i="12" s="1"/>
  <c r="BK132" i="12"/>
  <c r="BM132" i="12" s="1"/>
  <c r="BK100" i="12"/>
  <c r="BM100" i="12" s="1"/>
  <c r="BK39" i="12"/>
  <c r="BM39" i="12" s="1"/>
  <c r="BK125" i="12"/>
  <c r="BM125" i="12" s="1"/>
  <c r="BK95" i="12"/>
  <c r="BM95" i="12" s="1"/>
  <c r="BK37" i="12"/>
  <c r="BM37" i="12" s="1"/>
  <c r="BK36" i="12"/>
  <c r="BM36" i="12" s="1"/>
  <c r="AE22" i="12"/>
  <c r="E7" i="11"/>
  <c r="E7" i="12"/>
  <c r="AL7" i="12" s="1"/>
  <c r="V19" i="16" l="1"/>
  <c r="W19" i="16" s="1"/>
  <c r="K18" i="16"/>
  <c r="L18" i="16"/>
  <c r="K17" i="16"/>
  <c r="AF7" i="11"/>
  <c r="L17" i="16" s="1"/>
  <c r="K16" i="16"/>
  <c r="V16" i="16" s="1"/>
  <c r="W16" i="16" s="1"/>
  <c r="Z40" i="9"/>
  <c r="V37" i="9"/>
  <c r="W37" i="9"/>
  <c r="AT37" i="9" s="1"/>
  <c r="AZ37" i="9" s="1"/>
  <c r="X37" i="9"/>
  <c r="Y37" i="9"/>
  <c r="U37" i="9"/>
  <c r="AR37" i="9" s="1"/>
  <c r="AS37" i="9" l="1"/>
  <c r="AY37" i="9" s="1"/>
  <c r="F9" i="9"/>
  <c r="AV37" i="9"/>
  <c r="BB37" i="9" s="1"/>
  <c r="F12" i="9"/>
  <c r="V18" i="16"/>
  <c r="W18" i="16" s="1"/>
  <c r="V17" i="16"/>
  <c r="W17" i="16" s="1"/>
  <c r="F11" i="9"/>
  <c r="AF9" i="9" s="1"/>
  <c r="AU37" i="9"/>
  <c r="BA37" i="9" s="1"/>
  <c r="F10" i="9"/>
  <c r="F8" i="9"/>
  <c r="AF6" i="9" s="1"/>
  <c r="AX37" i="9"/>
  <c r="C31" i="7"/>
  <c r="C30" i="7"/>
  <c r="C29" i="7"/>
  <c r="C33" i="7"/>
  <c r="C32" i="7"/>
  <c r="T27" i="7"/>
  <c r="S27" i="7"/>
  <c r="R27" i="7"/>
  <c r="Q27" i="7"/>
  <c r="P27" i="7"/>
  <c r="AF7" i="9" l="1"/>
  <c r="D15" i="16" s="1"/>
  <c r="AF8" i="9"/>
  <c r="J15" i="16" s="1"/>
  <c r="K15" i="16"/>
  <c r="AF10" i="9"/>
  <c r="L15" i="16" s="1"/>
  <c r="F15" i="16"/>
  <c r="G15" i="16"/>
  <c r="H15" i="16"/>
  <c r="AH30" i="7"/>
  <c r="AI30" i="7"/>
  <c r="AG30" i="7"/>
  <c r="AG32" i="7"/>
  <c r="AH32" i="7"/>
  <c r="AI32" i="7"/>
  <c r="AG31" i="7"/>
  <c r="AH31" i="7"/>
  <c r="AI31" i="7"/>
  <c r="AH33" i="7"/>
  <c r="AI33" i="7"/>
  <c r="AG33" i="7"/>
  <c r="AH29" i="7"/>
  <c r="AI29" i="7"/>
  <c r="AG29" i="7"/>
  <c r="I15" i="16"/>
  <c r="C15" i="16"/>
  <c r="E15" i="16"/>
  <c r="R30" i="7"/>
  <c r="Q33" i="7"/>
  <c r="R33" i="7"/>
  <c r="R29" i="7"/>
  <c r="Q32" i="7"/>
  <c r="Q31" i="7"/>
  <c r="P31" i="7"/>
  <c r="R32" i="7"/>
  <c r="R31" i="7"/>
  <c r="V15" i="16" l="1"/>
  <c r="W15" i="16" s="1"/>
  <c r="N15" i="16"/>
  <c r="O15" i="16" s="1"/>
  <c r="T15" i="16"/>
  <c r="U15" i="16" s="1"/>
  <c r="P15" i="16"/>
  <c r="Q15" i="16" s="1"/>
  <c r="R15" i="16"/>
  <c r="S15" i="16" s="1"/>
  <c r="KB65" i="5"/>
  <c r="KB66" i="5"/>
  <c r="KB67" i="5"/>
  <c r="KB68" i="5"/>
  <c r="KB69" i="5"/>
  <c r="KB70" i="5"/>
  <c r="KB71" i="5"/>
  <c r="KB72" i="5"/>
  <c r="KB73" i="5"/>
  <c r="KB74" i="5"/>
  <c r="KB75" i="5"/>
  <c r="KB76" i="5"/>
  <c r="KB77" i="5"/>
  <c r="JD67" i="5"/>
  <c r="JD68" i="5"/>
  <c r="JD69" i="5"/>
  <c r="JD70" i="5"/>
  <c r="JD71" i="5"/>
  <c r="JD72" i="5"/>
  <c r="JD73" i="5"/>
  <c r="JD74" i="5"/>
  <c r="JD75" i="5"/>
  <c r="JD76" i="5"/>
  <c r="JD77" i="5"/>
  <c r="IE65" i="5"/>
  <c r="IE66" i="5"/>
  <c r="IE67" i="5"/>
  <c r="IE68" i="5"/>
  <c r="IE69" i="5"/>
  <c r="IE70" i="5"/>
  <c r="IE71" i="5"/>
  <c r="IE72" i="5"/>
  <c r="IE73" i="5"/>
  <c r="IE74" i="5"/>
  <c r="IE75" i="5"/>
  <c r="IE76" i="5"/>
  <c r="IE77" i="5"/>
  <c r="HQ56" i="5"/>
  <c r="HQ57" i="5"/>
  <c r="HQ58" i="5"/>
  <c r="HQ59" i="5"/>
  <c r="HQ60" i="5"/>
  <c r="HQ61" i="5"/>
  <c r="HQ62" i="5"/>
  <c r="HQ63" i="5"/>
  <c r="HQ64" i="5"/>
  <c r="HQ65" i="5"/>
  <c r="HQ66" i="5"/>
  <c r="HQ67" i="5"/>
  <c r="HQ68" i="5"/>
  <c r="HQ69" i="5"/>
  <c r="HQ70" i="5"/>
  <c r="HQ71" i="5"/>
  <c r="HQ72" i="5"/>
  <c r="HQ73" i="5"/>
  <c r="HQ74" i="5"/>
  <c r="HQ75" i="5"/>
  <c r="HQ76" i="5"/>
  <c r="HQ77" i="5"/>
  <c r="HE56" i="5"/>
  <c r="HE57" i="5"/>
  <c r="HE58" i="5"/>
  <c r="HE59" i="5"/>
  <c r="HE60" i="5"/>
  <c r="HE61" i="5"/>
  <c r="HE62" i="5"/>
  <c r="HE63" i="5"/>
  <c r="HE64" i="5"/>
  <c r="HE65" i="5"/>
  <c r="HG65" i="5"/>
  <c r="HE66" i="5"/>
  <c r="HG66" i="5"/>
  <c r="HE67" i="5"/>
  <c r="HG67" i="5"/>
  <c r="HE68" i="5"/>
  <c r="HG68" i="5"/>
  <c r="HE69" i="5"/>
  <c r="HG69" i="5"/>
  <c r="HE70" i="5"/>
  <c r="HG70" i="5"/>
  <c r="HE71" i="5"/>
  <c r="HG71" i="5"/>
  <c r="HE72" i="5"/>
  <c r="HG72" i="5"/>
  <c r="HE73" i="5"/>
  <c r="HG73" i="5"/>
  <c r="HE74" i="5"/>
  <c r="HG74" i="5"/>
  <c r="HE75" i="5"/>
  <c r="HG75" i="5"/>
  <c r="HE76" i="5"/>
  <c r="HG76" i="5"/>
  <c r="HE77" i="5"/>
  <c r="HG77" i="5"/>
  <c r="Q58" i="5"/>
  <c r="Q59" i="5"/>
  <c r="Q60" i="5"/>
  <c r="Q61" i="5"/>
  <c r="Q62" i="5"/>
  <c r="Q63" i="5"/>
  <c r="Q64" i="5"/>
  <c r="Q65" i="5"/>
  <c r="Q66" i="5"/>
  <c r="Q67" i="5"/>
  <c r="S67" i="5"/>
  <c r="Q68" i="5"/>
  <c r="S68" i="5"/>
  <c r="Q69" i="5"/>
  <c r="S69" i="5"/>
  <c r="Q70" i="5"/>
  <c r="S70" i="5"/>
  <c r="Q71" i="5"/>
  <c r="S71" i="5"/>
  <c r="Q72" i="5"/>
  <c r="S72" i="5"/>
  <c r="Q73" i="5"/>
  <c r="S73" i="5"/>
  <c r="Q74" i="5"/>
  <c r="S74" i="5"/>
  <c r="Q75" i="5"/>
  <c r="S75" i="5"/>
  <c r="Q76" i="5"/>
  <c r="S76" i="5"/>
  <c r="Q77" i="5"/>
  <c r="AC56" i="5"/>
  <c r="AC57" i="5"/>
  <c r="AC58" i="5"/>
  <c r="AC59" i="5"/>
  <c r="AC60" i="5"/>
  <c r="AC61" i="5"/>
  <c r="AC62" i="5"/>
  <c r="AC63" i="5"/>
  <c r="AC64" i="5"/>
  <c r="AC65" i="5"/>
  <c r="AC66" i="5"/>
  <c r="AC67" i="5"/>
  <c r="AC68" i="5"/>
  <c r="AC69" i="5"/>
  <c r="AC70" i="5"/>
  <c r="AC71" i="5"/>
  <c r="AC72" i="5"/>
  <c r="AC73" i="5"/>
  <c r="AC74" i="5"/>
  <c r="AC75" i="5"/>
  <c r="AC76" i="5"/>
  <c r="AC77" i="5"/>
  <c r="AO56" i="5"/>
  <c r="AO57" i="5"/>
  <c r="AO58" i="5"/>
  <c r="AO59" i="5"/>
  <c r="AO60" i="5"/>
  <c r="AO61" i="5"/>
  <c r="AO62" i="5"/>
  <c r="AO63" i="5"/>
  <c r="AO64" i="5"/>
  <c r="AO65" i="5"/>
  <c r="AO66" i="5"/>
  <c r="AQ66" i="5"/>
  <c r="AO67" i="5"/>
  <c r="AQ67" i="5"/>
  <c r="AO68" i="5"/>
  <c r="AQ68" i="5"/>
  <c r="AO69" i="5"/>
  <c r="AQ69" i="5"/>
  <c r="AO70" i="5"/>
  <c r="AQ70" i="5"/>
  <c r="AO71" i="5"/>
  <c r="AQ71" i="5"/>
  <c r="AO72" i="5"/>
  <c r="AQ72" i="5"/>
  <c r="AO73" i="5"/>
  <c r="AQ73" i="5"/>
  <c r="AO74" i="5"/>
  <c r="AQ74" i="5"/>
  <c r="AO75" i="5"/>
  <c r="AQ75" i="5"/>
  <c r="AO76" i="5"/>
  <c r="AQ76" i="5"/>
  <c r="AO77" i="5"/>
  <c r="AQ77" i="5"/>
  <c r="BA56" i="5"/>
  <c r="BA57" i="5"/>
  <c r="BA58" i="5"/>
  <c r="BA59" i="5"/>
  <c r="BA60" i="5"/>
  <c r="BA61" i="5"/>
  <c r="BA62" i="5"/>
  <c r="BA63" i="5"/>
  <c r="BA64" i="5"/>
  <c r="BA65" i="5"/>
  <c r="BA66" i="5"/>
  <c r="BA67" i="5"/>
  <c r="BA68" i="5"/>
  <c r="BA69" i="5"/>
  <c r="BA70" i="5"/>
  <c r="BA71" i="5"/>
  <c r="BA72" i="5"/>
  <c r="BA73" i="5"/>
  <c r="BA74" i="5"/>
  <c r="BA75" i="5"/>
  <c r="BA76" i="5"/>
  <c r="BA77" i="5"/>
  <c r="BN56" i="5"/>
  <c r="BN57" i="5"/>
  <c r="BN58" i="5"/>
  <c r="BN59" i="5"/>
  <c r="BN60" i="5"/>
  <c r="BN61" i="5"/>
  <c r="BN62" i="5"/>
  <c r="BN63" i="5"/>
  <c r="BN64" i="5"/>
  <c r="BN65" i="5"/>
  <c r="BP65" i="5"/>
  <c r="BN66" i="5"/>
  <c r="BP66" i="5"/>
  <c r="BN67" i="5"/>
  <c r="BP67" i="5"/>
  <c r="BN68" i="5"/>
  <c r="BP68" i="5"/>
  <c r="BN69" i="5"/>
  <c r="BP69" i="5"/>
  <c r="BN70" i="5"/>
  <c r="BP70" i="5"/>
  <c r="BN71" i="5"/>
  <c r="BP71" i="5"/>
  <c r="BN72" i="5"/>
  <c r="BP72" i="5"/>
  <c r="BN73" i="5"/>
  <c r="BP73" i="5"/>
  <c r="BN74" i="5"/>
  <c r="BP74" i="5"/>
  <c r="BN75" i="5"/>
  <c r="BP75" i="5"/>
  <c r="BN76" i="5"/>
  <c r="BP76" i="5"/>
  <c r="BN77" i="5"/>
  <c r="BP77" i="5"/>
  <c r="BZ56" i="5"/>
  <c r="BZ57" i="5"/>
  <c r="BZ58" i="5"/>
  <c r="BZ59" i="5"/>
  <c r="BZ60" i="5"/>
  <c r="BZ61" i="5"/>
  <c r="BZ62" i="5"/>
  <c r="BZ63" i="5"/>
  <c r="BZ64" i="5"/>
  <c r="BZ65" i="5"/>
  <c r="BZ66" i="5"/>
  <c r="BZ67" i="5"/>
  <c r="BZ68" i="5"/>
  <c r="BZ69" i="5"/>
  <c r="BZ70" i="5"/>
  <c r="BZ71" i="5"/>
  <c r="BZ72" i="5"/>
  <c r="BZ73" i="5"/>
  <c r="BZ74" i="5"/>
  <c r="BZ75" i="5"/>
  <c r="BZ76" i="5"/>
  <c r="BZ77" i="5"/>
  <c r="CL56" i="5"/>
  <c r="CL57" i="5"/>
  <c r="CL58" i="5"/>
  <c r="CL59" i="5"/>
  <c r="CL60" i="5"/>
  <c r="CL61" i="5"/>
  <c r="CL62" i="5"/>
  <c r="CL63" i="5"/>
  <c r="CL64" i="5"/>
  <c r="CL65" i="5"/>
  <c r="CN65" i="5"/>
  <c r="CL66" i="5"/>
  <c r="CN66" i="5"/>
  <c r="CL67" i="5"/>
  <c r="CN67" i="5"/>
  <c r="CL68" i="5"/>
  <c r="CN68" i="5"/>
  <c r="CL69" i="5"/>
  <c r="CN69" i="5"/>
  <c r="CL70" i="5"/>
  <c r="CN70" i="5"/>
  <c r="CL71" i="5"/>
  <c r="CN71" i="5"/>
  <c r="CL72" i="5"/>
  <c r="CN72" i="5"/>
  <c r="CL73" i="5"/>
  <c r="CN73" i="5"/>
  <c r="CL74" i="5"/>
  <c r="CN74" i="5"/>
  <c r="CL75" i="5"/>
  <c r="CN75" i="5"/>
  <c r="CL76" i="5"/>
  <c r="CN76" i="5"/>
  <c r="CL77" i="5"/>
  <c r="CN77" i="5"/>
  <c r="CX56" i="5"/>
  <c r="CX57" i="5"/>
  <c r="CX58" i="5"/>
  <c r="CX59" i="5"/>
  <c r="CX60" i="5"/>
  <c r="CX61" i="5"/>
  <c r="CX62" i="5"/>
  <c r="CX63" i="5"/>
  <c r="CX64" i="5"/>
  <c r="CX65" i="5"/>
  <c r="CX66" i="5"/>
  <c r="CX67" i="5"/>
  <c r="CX68" i="5"/>
  <c r="CX69" i="5"/>
  <c r="CX70" i="5"/>
  <c r="CX71" i="5"/>
  <c r="CX72" i="5"/>
  <c r="CX73" i="5"/>
  <c r="CX74" i="5"/>
  <c r="CX75" i="5"/>
  <c r="CX76" i="5"/>
  <c r="CX77" i="5"/>
  <c r="DK56" i="5"/>
  <c r="DK57" i="5"/>
  <c r="DK58" i="5"/>
  <c r="DK59" i="5"/>
  <c r="DK60" i="5"/>
  <c r="DK61" i="5"/>
  <c r="DK62" i="5"/>
  <c r="DK63" i="5"/>
  <c r="DK64" i="5"/>
  <c r="DK65" i="5"/>
  <c r="DM65" i="5"/>
  <c r="DK66" i="5"/>
  <c r="DM66" i="5"/>
  <c r="DK67" i="5"/>
  <c r="DM67" i="5"/>
  <c r="DK68" i="5"/>
  <c r="DM68" i="5"/>
  <c r="DK69" i="5"/>
  <c r="DM69" i="5"/>
  <c r="DK70" i="5"/>
  <c r="DM70" i="5"/>
  <c r="DK71" i="5"/>
  <c r="DM71" i="5"/>
  <c r="DK72" i="5"/>
  <c r="DM72" i="5"/>
  <c r="DK73" i="5"/>
  <c r="DM73" i="5"/>
  <c r="DK74" i="5"/>
  <c r="DM74" i="5"/>
  <c r="DK75" i="5"/>
  <c r="DM75" i="5"/>
  <c r="DK76" i="5"/>
  <c r="DM76" i="5"/>
  <c r="DK77" i="5"/>
  <c r="DM77" i="5"/>
  <c r="DW56" i="5"/>
  <c r="DW57" i="5"/>
  <c r="DW58" i="5"/>
  <c r="DW59" i="5"/>
  <c r="DW60" i="5"/>
  <c r="DW61" i="5"/>
  <c r="DW62" i="5"/>
  <c r="DW63" i="5"/>
  <c r="DW64" i="5"/>
  <c r="DW65" i="5"/>
  <c r="DW66" i="5"/>
  <c r="DW67" i="5"/>
  <c r="DW68" i="5"/>
  <c r="DW69" i="5"/>
  <c r="DW70" i="5"/>
  <c r="DW71" i="5"/>
  <c r="DW72" i="5"/>
  <c r="DW73" i="5"/>
  <c r="DW74" i="5"/>
  <c r="DW75" i="5"/>
  <c r="DW76" i="5"/>
  <c r="DW77" i="5"/>
  <c r="EI56" i="5"/>
  <c r="EI57" i="5"/>
  <c r="EI58" i="5"/>
  <c r="EI59" i="5"/>
  <c r="EI60" i="5"/>
  <c r="EI61" i="5"/>
  <c r="EI62" i="5"/>
  <c r="EI63" i="5"/>
  <c r="EI64" i="5"/>
  <c r="EI65" i="5"/>
  <c r="EK65" i="5"/>
  <c r="EI66" i="5"/>
  <c r="EK66" i="5"/>
  <c r="EI67" i="5"/>
  <c r="EK67" i="5"/>
  <c r="EI68" i="5"/>
  <c r="EK68" i="5"/>
  <c r="EI69" i="5"/>
  <c r="EK69" i="5"/>
  <c r="EI70" i="5"/>
  <c r="EK70" i="5"/>
  <c r="EI71" i="5"/>
  <c r="EK71" i="5"/>
  <c r="EI72" i="5"/>
  <c r="EK72" i="5"/>
  <c r="EI73" i="5"/>
  <c r="EK73" i="5"/>
  <c r="EI74" i="5"/>
  <c r="EK74" i="5"/>
  <c r="EI75" i="5"/>
  <c r="EK75" i="5"/>
  <c r="EI76" i="5"/>
  <c r="EK76" i="5"/>
  <c r="EI77" i="5"/>
  <c r="EK77" i="5"/>
  <c r="EU56" i="5"/>
  <c r="EU57" i="5"/>
  <c r="EU58" i="5"/>
  <c r="EU59" i="5"/>
  <c r="EU60" i="5"/>
  <c r="EU61" i="5"/>
  <c r="EU62" i="5"/>
  <c r="EU63" i="5"/>
  <c r="EU64" i="5"/>
  <c r="EU65" i="5"/>
  <c r="EU66" i="5"/>
  <c r="EU67" i="5"/>
  <c r="EU68" i="5"/>
  <c r="EU69" i="5"/>
  <c r="EU70" i="5"/>
  <c r="EU71" i="5"/>
  <c r="EU72" i="5"/>
  <c r="EU73" i="5"/>
  <c r="EU74" i="5"/>
  <c r="EU75" i="5"/>
  <c r="EU76" i="5"/>
  <c r="EU77" i="5"/>
  <c r="FH56" i="5"/>
  <c r="FH57" i="5"/>
  <c r="FH58" i="5"/>
  <c r="FH59" i="5"/>
  <c r="FH60" i="5"/>
  <c r="FH61" i="5"/>
  <c r="FH62" i="5"/>
  <c r="FH63" i="5"/>
  <c r="FH64" i="5"/>
  <c r="FH65" i="5"/>
  <c r="FJ65" i="5"/>
  <c r="FH66" i="5"/>
  <c r="FJ66" i="5"/>
  <c r="FH67" i="5"/>
  <c r="FJ67" i="5"/>
  <c r="FH68" i="5"/>
  <c r="FJ68" i="5"/>
  <c r="FH69" i="5"/>
  <c r="FJ69" i="5"/>
  <c r="FH70" i="5"/>
  <c r="FJ70" i="5"/>
  <c r="FH71" i="5"/>
  <c r="FJ71" i="5"/>
  <c r="FH72" i="5"/>
  <c r="FJ72" i="5"/>
  <c r="FH73" i="5"/>
  <c r="FJ73" i="5"/>
  <c r="FH74" i="5"/>
  <c r="FJ74" i="5"/>
  <c r="FH75" i="5"/>
  <c r="FJ75" i="5"/>
  <c r="FH76" i="5"/>
  <c r="FJ76" i="5"/>
  <c r="FH77" i="5"/>
  <c r="FJ77" i="5"/>
  <c r="FT56" i="5"/>
  <c r="FT57" i="5"/>
  <c r="FT58" i="5"/>
  <c r="FT59" i="5"/>
  <c r="FT60" i="5"/>
  <c r="FT61" i="5"/>
  <c r="FT62" i="5"/>
  <c r="FT63" i="5"/>
  <c r="FT64" i="5"/>
  <c r="FT65" i="5"/>
  <c r="FT66" i="5"/>
  <c r="FT67" i="5"/>
  <c r="FT68" i="5"/>
  <c r="FT69" i="5"/>
  <c r="FT70" i="5"/>
  <c r="FT71" i="5"/>
  <c r="FT72" i="5"/>
  <c r="FT73" i="5"/>
  <c r="FT74" i="5"/>
  <c r="FT75" i="5"/>
  <c r="FT76" i="5"/>
  <c r="FT77" i="5"/>
  <c r="GF56" i="5"/>
  <c r="GF57" i="5"/>
  <c r="GF58" i="5"/>
  <c r="GF59" i="5"/>
  <c r="GF60" i="5"/>
  <c r="GF61" i="5"/>
  <c r="GF62" i="5"/>
  <c r="GF63" i="5"/>
  <c r="GF64" i="5"/>
  <c r="GF65" i="5"/>
  <c r="GH65" i="5"/>
  <c r="GF66" i="5"/>
  <c r="GH66" i="5"/>
  <c r="GF67" i="5"/>
  <c r="GH67" i="5"/>
  <c r="GF68" i="5"/>
  <c r="GH68" i="5"/>
  <c r="GF69" i="5"/>
  <c r="GH69" i="5"/>
  <c r="GF70" i="5"/>
  <c r="GH70" i="5"/>
  <c r="GF71" i="5"/>
  <c r="GH71" i="5"/>
  <c r="GF72" i="5"/>
  <c r="GH72" i="5"/>
  <c r="GF73" i="5"/>
  <c r="GH73" i="5"/>
  <c r="GF74" i="5"/>
  <c r="GH74" i="5"/>
  <c r="GF75" i="5"/>
  <c r="GH75" i="5"/>
  <c r="GF76" i="5"/>
  <c r="GH76" i="5"/>
  <c r="GF77" i="5"/>
  <c r="GH77" i="5"/>
  <c r="BZ55" i="5"/>
  <c r="CL55" i="5"/>
  <c r="CX55" i="5"/>
  <c r="DK55" i="5"/>
  <c r="DW55" i="5"/>
  <c r="EI55" i="5"/>
  <c r="EU55" i="5"/>
  <c r="FH55" i="5"/>
  <c r="FD55" i="5"/>
  <c r="FT55" i="5"/>
  <c r="GF55" i="5"/>
  <c r="GR56" i="5"/>
  <c r="GR57" i="5"/>
  <c r="GR58" i="5"/>
  <c r="GR59" i="5"/>
  <c r="GR60" i="5"/>
  <c r="GR61" i="5"/>
  <c r="GR62" i="5"/>
  <c r="GR63" i="5"/>
  <c r="GR64" i="5"/>
  <c r="GR65" i="5"/>
  <c r="GR66" i="5"/>
  <c r="GR67" i="5"/>
  <c r="GR68" i="5"/>
  <c r="GR69" i="5"/>
  <c r="GR70" i="5"/>
  <c r="GR71" i="5"/>
  <c r="GR72" i="5"/>
  <c r="GR73" i="5"/>
  <c r="GR74" i="5"/>
  <c r="GR75" i="5"/>
  <c r="GR76" i="5"/>
  <c r="GR77" i="5"/>
  <c r="GR55" i="5"/>
  <c r="HE55" i="5"/>
  <c r="HQ55" i="5"/>
  <c r="IC56" i="5"/>
  <c r="IC57" i="5"/>
  <c r="IC58" i="5"/>
  <c r="IC59" i="5"/>
  <c r="IC60" i="5"/>
  <c r="IC61" i="5"/>
  <c r="IC62" i="5"/>
  <c r="IC63" i="5"/>
  <c r="IC64" i="5"/>
  <c r="IC65" i="5"/>
  <c r="IC66" i="5"/>
  <c r="IC67" i="5"/>
  <c r="IC68" i="5"/>
  <c r="IC69" i="5"/>
  <c r="IC70" i="5"/>
  <c r="IC71" i="5"/>
  <c r="IC72" i="5"/>
  <c r="IC73" i="5"/>
  <c r="IC74" i="5"/>
  <c r="IC75" i="5"/>
  <c r="IC76" i="5"/>
  <c r="IC77" i="5"/>
  <c r="IC55" i="5"/>
  <c r="IO56" i="5"/>
  <c r="IO57" i="5"/>
  <c r="IO58" i="5"/>
  <c r="IO59" i="5"/>
  <c r="IO60" i="5"/>
  <c r="IO61" i="5"/>
  <c r="IO62" i="5"/>
  <c r="IO63" i="5"/>
  <c r="IO64" i="5"/>
  <c r="IO65" i="5"/>
  <c r="IO66" i="5"/>
  <c r="IO67" i="5"/>
  <c r="IO68" i="5"/>
  <c r="IO69" i="5"/>
  <c r="IO70" i="5"/>
  <c r="IO71" i="5"/>
  <c r="IO72" i="5"/>
  <c r="IO73" i="5"/>
  <c r="IO74" i="5"/>
  <c r="IO75" i="5"/>
  <c r="IO76" i="5"/>
  <c r="IO77" i="5"/>
  <c r="IO55" i="5"/>
  <c r="JB56" i="5"/>
  <c r="JB57" i="5"/>
  <c r="JB58" i="5"/>
  <c r="JB59" i="5"/>
  <c r="JB60" i="5"/>
  <c r="JB61" i="5"/>
  <c r="JB62" i="5"/>
  <c r="JB63" i="5"/>
  <c r="JB64" i="5"/>
  <c r="JB65" i="5"/>
  <c r="JB66" i="5"/>
  <c r="JB67" i="5"/>
  <c r="JB68" i="5"/>
  <c r="JB69" i="5"/>
  <c r="JB70" i="5"/>
  <c r="JB71" i="5"/>
  <c r="JB72" i="5"/>
  <c r="JB73" i="5"/>
  <c r="JB74" i="5"/>
  <c r="JB75" i="5"/>
  <c r="JB76" i="5"/>
  <c r="JB77" i="5"/>
  <c r="JB55" i="5"/>
  <c r="JN56" i="5"/>
  <c r="JN57" i="5"/>
  <c r="JN58" i="5"/>
  <c r="JN59" i="5"/>
  <c r="JN60" i="5"/>
  <c r="JN61" i="5"/>
  <c r="JN62" i="5"/>
  <c r="JN63" i="5"/>
  <c r="JN64" i="5"/>
  <c r="JN65" i="5"/>
  <c r="JN66" i="5"/>
  <c r="JN67" i="5"/>
  <c r="JN68" i="5"/>
  <c r="JN69" i="5"/>
  <c r="JN70" i="5"/>
  <c r="JN71" i="5"/>
  <c r="JN72" i="5"/>
  <c r="JN73" i="5"/>
  <c r="JN74" i="5"/>
  <c r="JN75" i="5"/>
  <c r="JN76" i="5"/>
  <c r="JN77" i="5"/>
  <c r="JN55" i="5"/>
  <c r="JZ56" i="5"/>
  <c r="JZ57" i="5"/>
  <c r="JZ58" i="5"/>
  <c r="JZ59" i="5"/>
  <c r="JZ60" i="5"/>
  <c r="JZ61" i="5"/>
  <c r="JZ62" i="5"/>
  <c r="JZ63" i="5"/>
  <c r="JZ64" i="5"/>
  <c r="JZ65" i="5"/>
  <c r="JZ66" i="5"/>
  <c r="JZ67" i="5"/>
  <c r="JZ68" i="5"/>
  <c r="JZ69" i="5"/>
  <c r="JZ70" i="5"/>
  <c r="JZ71" i="5"/>
  <c r="JZ72" i="5"/>
  <c r="JZ73" i="5"/>
  <c r="JZ74" i="5"/>
  <c r="JZ75" i="5"/>
  <c r="JZ76" i="5"/>
  <c r="JZ77" i="5"/>
  <c r="JZ55" i="5"/>
  <c r="KL56" i="5"/>
  <c r="KL57" i="5"/>
  <c r="KL58" i="5"/>
  <c r="KL59" i="5"/>
  <c r="KL60" i="5"/>
  <c r="KL61" i="5"/>
  <c r="KL62" i="5"/>
  <c r="KL63" i="5"/>
  <c r="KL64" i="5"/>
  <c r="KL65" i="5"/>
  <c r="KL66" i="5"/>
  <c r="KL67" i="5"/>
  <c r="KL68" i="5"/>
  <c r="KL69" i="5"/>
  <c r="KL70" i="5"/>
  <c r="KL71" i="5"/>
  <c r="KL72" i="5"/>
  <c r="KL73" i="5"/>
  <c r="KL74" i="5"/>
  <c r="KL75" i="5"/>
  <c r="KL76" i="5"/>
  <c r="KL77" i="5"/>
  <c r="KL55" i="5"/>
  <c r="BA55" i="5"/>
  <c r="AO55" i="5"/>
  <c r="BN55" i="5"/>
  <c r="AC55" i="5"/>
  <c r="ID56" i="5" l="1"/>
  <c r="IE56" i="5" s="1"/>
  <c r="ID63" i="5"/>
  <c r="IE63" i="5" s="1"/>
  <c r="ID55" i="5"/>
  <c r="IE55" i="5" s="1"/>
  <c r="ID58" i="5"/>
  <c r="IE58" i="5" s="1"/>
  <c r="HF64" i="5"/>
  <c r="HF56" i="5"/>
  <c r="HF62" i="5"/>
  <c r="HF57" i="5"/>
  <c r="ID57" i="5"/>
  <c r="IE57" i="5" s="1"/>
  <c r="HF59" i="5"/>
  <c r="FI60" i="5"/>
  <c r="FI59" i="5"/>
  <c r="FI55" i="5"/>
  <c r="FI64" i="5"/>
  <c r="FI56" i="5"/>
  <c r="FI62" i="5"/>
  <c r="FI58" i="5"/>
  <c r="FI61" i="5"/>
  <c r="FI57" i="5"/>
  <c r="EJ60" i="5"/>
  <c r="EK60" i="5" s="1"/>
  <c r="EJ61" i="5"/>
  <c r="EK61" i="5" s="1"/>
  <c r="CM55" i="5"/>
  <c r="CN55" i="5" s="1"/>
  <c r="CM59" i="5"/>
  <c r="CN59" i="5" s="1"/>
  <c r="CM57" i="5"/>
  <c r="CN57" i="5" s="1"/>
  <c r="BO62" i="5"/>
  <c r="CM62" i="5"/>
  <c r="CN62" i="5" s="1"/>
  <c r="CM60" i="5"/>
  <c r="CN60" i="5" s="1"/>
  <c r="BO57" i="5"/>
  <c r="HG64" i="5"/>
  <c r="EI78" i="5"/>
  <c r="EJ62" i="5" s="1"/>
  <c r="EK62" i="5" s="1"/>
  <c r="AC78" i="5"/>
  <c r="AE62" i="5" s="1"/>
  <c r="BZ78" i="5"/>
  <c r="CB72" i="5" s="1"/>
  <c r="CL78" i="5"/>
  <c r="CM63" i="5" s="1"/>
  <c r="CN63" i="5" s="1"/>
  <c r="CX78" i="5"/>
  <c r="DK78" i="5"/>
  <c r="DL64" i="5" s="1"/>
  <c r="DW78" i="5"/>
  <c r="DY74" i="5" s="1"/>
  <c r="EU78" i="5"/>
  <c r="FH78" i="5"/>
  <c r="FI63" i="5" s="1"/>
  <c r="FT78" i="5"/>
  <c r="FV65" i="5" s="1"/>
  <c r="GF78" i="5"/>
  <c r="GG64" i="5" s="1"/>
  <c r="GH64" i="5" s="1"/>
  <c r="GR78" i="5"/>
  <c r="GT68" i="5" s="1"/>
  <c r="HE78" i="5"/>
  <c r="HF61" i="5" s="1"/>
  <c r="HQ78" i="5"/>
  <c r="HS65" i="5" s="1"/>
  <c r="IC78" i="5"/>
  <c r="ID64" i="5" s="1"/>
  <c r="IE64" i="5" s="1"/>
  <c r="IO78" i="5"/>
  <c r="IQ72" i="5" s="1"/>
  <c r="JB78" i="5"/>
  <c r="JC56" i="5" s="1"/>
  <c r="JN78" i="5"/>
  <c r="JP73" i="5" s="1"/>
  <c r="JZ78" i="5"/>
  <c r="KA60" i="5" s="1"/>
  <c r="KB60" i="5" s="1"/>
  <c r="KL78" i="5"/>
  <c r="BN78" i="5"/>
  <c r="BO64" i="5" s="1"/>
  <c r="BA78" i="5"/>
  <c r="AO78" i="5"/>
  <c r="AP65" i="5" s="1"/>
  <c r="AQ65" i="5" s="1"/>
  <c r="JO62" i="5" l="1"/>
  <c r="JO60" i="5"/>
  <c r="JC66" i="5"/>
  <c r="JD66" i="5" s="1"/>
  <c r="JC62" i="5"/>
  <c r="JD62" i="5" s="1"/>
  <c r="JC55" i="5"/>
  <c r="JO66" i="5"/>
  <c r="JP66" i="5" s="1"/>
  <c r="JO59" i="5"/>
  <c r="JO64" i="5"/>
  <c r="JP64" i="5" s="1"/>
  <c r="JC57" i="5"/>
  <c r="JC63" i="5"/>
  <c r="JD63" i="5" s="1"/>
  <c r="JC65" i="5"/>
  <c r="JD65" i="5" s="1"/>
  <c r="JO55" i="5"/>
  <c r="JP55" i="5" s="1"/>
  <c r="JO63" i="5"/>
  <c r="JO57" i="5"/>
  <c r="JP57" i="5" s="1"/>
  <c r="JC58" i="5"/>
  <c r="JD58" i="5" s="1"/>
  <c r="JC64" i="5"/>
  <c r="JD64" i="5" s="1"/>
  <c r="JC61" i="5"/>
  <c r="JC60" i="5"/>
  <c r="JD60" i="5" s="1"/>
  <c r="JO58" i="5"/>
  <c r="JP58" i="5" s="1"/>
  <c r="JO61" i="5"/>
  <c r="JP61" i="5" s="1"/>
  <c r="JO56" i="5"/>
  <c r="JO65" i="5"/>
  <c r="JP65" i="5" s="1"/>
  <c r="KA59" i="5"/>
  <c r="KB59" i="5" s="1"/>
  <c r="KA64" i="5"/>
  <c r="KB64" i="5" s="1"/>
  <c r="KA61" i="5"/>
  <c r="KB61" i="5" s="1"/>
  <c r="KA58" i="5"/>
  <c r="KB58" i="5" s="1"/>
  <c r="KA56" i="5"/>
  <c r="KB56" i="5" s="1"/>
  <c r="KA55" i="5"/>
  <c r="KA57" i="5"/>
  <c r="KB57" i="5" s="1"/>
  <c r="KA63" i="5"/>
  <c r="KB63" i="5" s="1"/>
  <c r="JC59" i="5"/>
  <c r="JD59" i="5" s="1"/>
  <c r="KA62" i="5"/>
  <c r="KB62" i="5" s="1"/>
  <c r="HF63" i="5"/>
  <c r="HG63" i="5" s="1"/>
  <c r="ID59" i="5"/>
  <c r="IE59" i="5" s="1"/>
  <c r="HF60" i="5"/>
  <c r="HG60" i="5" s="1"/>
  <c r="ID62" i="5"/>
  <c r="IE62" i="5" s="1"/>
  <c r="HF58" i="5"/>
  <c r="HG58" i="5" s="1"/>
  <c r="ID61" i="5"/>
  <c r="IE61" i="5" s="1"/>
  <c r="ID60" i="5"/>
  <c r="IE60" i="5" s="1"/>
  <c r="HF55" i="5"/>
  <c r="HG55" i="5" s="1"/>
  <c r="GG63" i="5"/>
  <c r="GH63" i="5" s="1"/>
  <c r="GG56" i="5"/>
  <c r="GH56" i="5" s="1"/>
  <c r="GG57" i="5"/>
  <c r="GH57" i="5" s="1"/>
  <c r="GG55" i="5"/>
  <c r="GG60" i="5"/>
  <c r="GH60" i="5" s="1"/>
  <c r="GG58" i="5"/>
  <c r="GH58" i="5" s="1"/>
  <c r="GG61" i="5"/>
  <c r="GH61" i="5" s="1"/>
  <c r="GG62" i="5"/>
  <c r="GH62" i="5" s="1"/>
  <c r="GG59" i="5"/>
  <c r="GH59" i="5" s="1"/>
  <c r="DL59" i="5"/>
  <c r="DM59" i="5" s="1"/>
  <c r="DL63" i="5"/>
  <c r="DM63" i="5" s="1"/>
  <c r="EJ63" i="5"/>
  <c r="EK63" i="5" s="1"/>
  <c r="EJ64" i="5"/>
  <c r="EK64" i="5" s="1"/>
  <c r="EJ55" i="5"/>
  <c r="EJ56" i="5"/>
  <c r="EK56" i="5" s="1"/>
  <c r="EJ57" i="5"/>
  <c r="EK57" i="5" s="1"/>
  <c r="DL60" i="5"/>
  <c r="DM60" i="5" s="1"/>
  <c r="DL55" i="5"/>
  <c r="DL56" i="5"/>
  <c r="DM56" i="5" s="1"/>
  <c r="EJ58" i="5"/>
  <c r="EK58" i="5" s="1"/>
  <c r="DL62" i="5"/>
  <c r="DM62" i="5" s="1"/>
  <c r="DL57" i="5"/>
  <c r="DM57" i="5" s="1"/>
  <c r="EJ59" i="5"/>
  <c r="EK59" i="5" s="1"/>
  <c r="DL61" i="5"/>
  <c r="DM61" i="5" s="1"/>
  <c r="DL58" i="5"/>
  <c r="DM58" i="5" s="1"/>
  <c r="BO55" i="5"/>
  <c r="BO56" i="5"/>
  <c r="BP56" i="5" s="1"/>
  <c r="CM56" i="5"/>
  <c r="CN56" i="5" s="1"/>
  <c r="CN78" i="5" s="1"/>
  <c r="J112" i="6" s="1"/>
  <c r="CM64" i="5"/>
  <c r="CN64" i="5" s="1"/>
  <c r="BO59" i="5"/>
  <c r="BP59" i="5" s="1"/>
  <c r="CM61" i="5"/>
  <c r="CN61" i="5" s="1"/>
  <c r="BO60" i="5"/>
  <c r="BP60" i="5" s="1"/>
  <c r="BO61" i="5"/>
  <c r="BP61" i="5" s="1"/>
  <c r="CM58" i="5"/>
  <c r="CN58" i="5" s="1"/>
  <c r="BO58" i="5"/>
  <c r="BP58" i="5" s="1"/>
  <c r="BO63" i="5"/>
  <c r="BP63" i="5" s="1"/>
  <c r="AP58" i="5"/>
  <c r="AQ58" i="5" s="1"/>
  <c r="AP62" i="5"/>
  <c r="AQ62" i="5" s="1"/>
  <c r="AP59" i="5"/>
  <c r="AQ59" i="5" s="1"/>
  <c r="AP63" i="5"/>
  <c r="AQ63" i="5" s="1"/>
  <c r="AP56" i="5"/>
  <c r="AQ56" i="5" s="1"/>
  <c r="AP60" i="5"/>
  <c r="AQ60" i="5" s="1"/>
  <c r="AP64" i="5"/>
  <c r="AQ64" i="5" s="1"/>
  <c r="AP57" i="5"/>
  <c r="AQ57" i="5" s="1"/>
  <c r="AP61" i="5"/>
  <c r="AQ61" i="5" s="1"/>
  <c r="AP55" i="5"/>
  <c r="JD61" i="5"/>
  <c r="HG61" i="5"/>
  <c r="HG62" i="5"/>
  <c r="FJ56" i="5"/>
  <c r="FJ60" i="5"/>
  <c r="FJ62" i="5"/>
  <c r="FJ64" i="5"/>
  <c r="FJ61" i="5"/>
  <c r="FJ63" i="5"/>
  <c r="GT64" i="5"/>
  <c r="DM64" i="5"/>
  <c r="BP62" i="5"/>
  <c r="BP64" i="5"/>
  <c r="BP57" i="5"/>
  <c r="HS75" i="5"/>
  <c r="IQ71" i="5"/>
  <c r="HS77" i="5"/>
  <c r="JP76" i="5"/>
  <c r="DY66" i="5"/>
  <c r="JP69" i="5"/>
  <c r="HS61" i="5"/>
  <c r="DY64" i="5"/>
  <c r="DY62" i="5"/>
  <c r="JP68" i="5"/>
  <c r="HS71" i="5"/>
  <c r="HS73" i="5"/>
  <c r="GT76" i="5"/>
  <c r="CB64" i="5"/>
  <c r="FV64" i="5"/>
  <c r="FV68" i="5"/>
  <c r="FV72" i="5"/>
  <c r="FV76" i="5"/>
  <c r="FV62" i="5"/>
  <c r="FV66" i="5"/>
  <c r="FV70" i="5"/>
  <c r="FV74" i="5"/>
  <c r="FV69" i="5"/>
  <c r="FV63" i="5"/>
  <c r="FV73" i="5"/>
  <c r="FV67" i="5"/>
  <c r="FV75" i="5"/>
  <c r="GT65" i="5"/>
  <c r="GT77" i="5"/>
  <c r="GT62" i="5"/>
  <c r="GT66" i="5"/>
  <c r="GT70" i="5"/>
  <c r="GT74" i="5"/>
  <c r="GT63" i="5"/>
  <c r="GT67" i="5"/>
  <c r="GT71" i="5"/>
  <c r="GT75" i="5"/>
  <c r="GT61" i="5"/>
  <c r="GT69" i="5"/>
  <c r="GT73" i="5"/>
  <c r="FV61" i="5"/>
  <c r="FV77" i="5"/>
  <c r="FV71" i="5"/>
  <c r="GT72" i="5"/>
  <c r="IQ58" i="5"/>
  <c r="IQ61" i="5"/>
  <c r="IQ65" i="5"/>
  <c r="IQ69" i="5"/>
  <c r="IQ73" i="5"/>
  <c r="IQ62" i="5"/>
  <c r="IQ66" i="5"/>
  <c r="IQ70" i="5"/>
  <c r="IQ77" i="5"/>
  <c r="IQ76" i="5"/>
  <c r="HS63" i="5"/>
  <c r="IQ74" i="5"/>
  <c r="IQ64" i="5"/>
  <c r="IQ67" i="5"/>
  <c r="HS62" i="5"/>
  <c r="HS64" i="5"/>
  <c r="HS68" i="5"/>
  <c r="HS72" i="5"/>
  <c r="HS76" i="5"/>
  <c r="HS66" i="5"/>
  <c r="HS70" i="5"/>
  <c r="HS74" i="5"/>
  <c r="HS67" i="5"/>
  <c r="IQ63" i="5"/>
  <c r="HS69" i="5"/>
  <c r="IQ68" i="5"/>
  <c r="IQ75" i="5"/>
  <c r="KN58" i="5"/>
  <c r="KN63" i="5"/>
  <c r="KN67" i="5"/>
  <c r="KN75" i="5"/>
  <c r="KN71" i="5"/>
  <c r="KN76" i="5"/>
  <c r="KN61" i="5"/>
  <c r="KN64" i="5"/>
  <c r="KN77" i="5"/>
  <c r="KN70" i="5"/>
  <c r="KN65" i="5"/>
  <c r="KN72" i="5"/>
  <c r="JP72" i="5"/>
  <c r="KN73" i="5"/>
  <c r="KN74" i="5"/>
  <c r="KN66" i="5"/>
  <c r="JP62" i="5"/>
  <c r="JP70" i="5"/>
  <c r="JP71" i="5"/>
  <c r="JP74" i="5"/>
  <c r="JP63" i="5"/>
  <c r="JP67" i="5"/>
  <c r="JP75" i="5"/>
  <c r="KN68" i="5"/>
  <c r="KN69" i="5"/>
  <c r="KN62" i="5"/>
  <c r="JP77" i="5"/>
  <c r="DY61" i="5"/>
  <c r="DY63" i="5"/>
  <c r="DY67" i="5"/>
  <c r="DY71" i="5"/>
  <c r="DY75" i="5"/>
  <c r="DY65" i="5"/>
  <c r="DY69" i="5"/>
  <c r="DY73" i="5"/>
  <c r="DY77" i="5"/>
  <c r="DY68" i="5"/>
  <c r="DY76" i="5"/>
  <c r="EW62" i="5"/>
  <c r="EW66" i="5"/>
  <c r="EW70" i="5"/>
  <c r="EW74" i="5"/>
  <c r="EW61" i="5"/>
  <c r="EW63" i="5"/>
  <c r="EW65" i="5"/>
  <c r="EW67" i="5"/>
  <c r="EW69" i="5"/>
  <c r="EW71" i="5"/>
  <c r="EW73" i="5"/>
  <c r="EW75" i="5"/>
  <c r="EW77" i="5"/>
  <c r="EW64" i="5"/>
  <c r="EW68" i="5"/>
  <c r="EW72" i="5"/>
  <c r="EW76" i="5"/>
  <c r="DY72" i="5"/>
  <c r="DY70" i="5"/>
  <c r="CB74" i="5"/>
  <c r="CB62" i="5"/>
  <c r="CB68" i="5"/>
  <c r="CB66" i="5"/>
  <c r="CB71" i="5"/>
  <c r="CB77" i="5"/>
  <c r="CB61" i="5"/>
  <c r="CB63" i="5"/>
  <c r="CB65" i="5"/>
  <c r="CB67" i="5"/>
  <c r="CB69" i="5"/>
  <c r="CB73" i="5"/>
  <c r="CB75" i="5"/>
  <c r="CZ61" i="5"/>
  <c r="CZ63" i="5"/>
  <c r="CZ65" i="5"/>
  <c r="CZ67" i="5"/>
  <c r="CZ69" i="5"/>
  <c r="CZ71" i="5"/>
  <c r="CZ73" i="5"/>
  <c r="CZ75" i="5"/>
  <c r="CZ77" i="5"/>
  <c r="CZ62" i="5"/>
  <c r="CZ66" i="5"/>
  <c r="CZ68" i="5"/>
  <c r="CZ72" i="5"/>
  <c r="CZ76" i="5"/>
  <c r="CZ64" i="5"/>
  <c r="CZ70" i="5"/>
  <c r="CZ74" i="5"/>
  <c r="CB70" i="5"/>
  <c r="CB76" i="5"/>
  <c r="AE72" i="5"/>
  <c r="AE66" i="5"/>
  <c r="AE68" i="5"/>
  <c r="AE70" i="5"/>
  <c r="AE64" i="5"/>
  <c r="BC63" i="5"/>
  <c r="BC65" i="5"/>
  <c r="BC67" i="5"/>
  <c r="BC71" i="5"/>
  <c r="BC75" i="5"/>
  <c r="BC66" i="5"/>
  <c r="BC70" i="5"/>
  <c r="BC74" i="5"/>
  <c r="BC61" i="5"/>
  <c r="BC69" i="5"/>
  <c r="BC73" i="5"/>
  <c r="BC77" i="5"/>
  <c r="BC62" i="5"/>
  <c r="BC64" i="5"/>
  <c r="BC68" i="5"/>
  <c r="BC72" i="5"/>
  <c r="BC76" i="5"/>
  <c r="AE59" i="5"/>
  <c r="AE61" i="5"/>
  <c r="AE63" i="5"/>
  <c r="AE65" i="5"/>
  <c r="AE67" i="5"/>
  <c r="AE69" i="5"/>
  <c r="AE71" i="5"/>
  <c r="AE73" i="5"/>
  <c r="AE75" i="5"/>
  <c r="AE77" i="5"/>
  <c r="AE76" i="5"/>
  <c r="AE74" i="5"/>
  <c r="FJ59" i="5"/>
  <c r="FJ58" i="5"/>
  <c r="FJ57" i="5"/>
  <c r="HG57" i="5"/>
  <c r="HG59" i="5"/>
  <c r="HG56" i="5"/>
  <c r="JD56" i="5"/>
  <c r="JD57" i="5"/>
  <c r="AE57" i="5"/>
  <c r="AE58" i="5"/>
  <c r="AE55" i="5"/>
  <c r="AE60" i="5"/>
  <c r="AE56" i="5"/>
  <c r="IQ60" i="5"/>
  <c r="KN55" i="5"/>
  <c r="KN60" i="5"/>
  <c r="IQ57" i="5"/>
  <c r="IQ55" i="5"/>
  <c r="GT58" i="5"/>
  <c r="GT56" i="5"/>
  <c r="GT60" i="5"/>
  <c r="GT55" i="5"/>
  <c r="IQ59" i="5"/>
  <c r="JP59" i="5"/>
  <c r="JP56" i="5"/>
  <c r="KN59" i="5"/>
  <c r="KN57" i="5"/>
  <c r="JP60" i="5"/>
  <c r="GT59" i="5"/>
  <c r="IQ56" i="5"/>
  <c r="KN56" i="5"/>
  <c r="GT57" i="5"/>
  <c r="HS58" i="5"/>
  <c r="HS55" i="5"/>
  <c r="HS57" i="5"/>
  <c r="HS59" i="5"/>
  <c r="HS56" i="5"/>
  <c r="HS60" i="5"/>
  <c r="BC58" i="5"/>
  <c r="BC55" i="5"/>
  <c r="BC57" i="5"/>
  <c r="BC59" i="5"/>
  <c r="BC56" i="5"/>
  <c r="BC60" i="5"/>
  <c r="CB58" i="5"/>
  <c r="CB55" i="5"/>
  <c r="CB57" i="5"/>
  <c r="CB59" i="5"/>
  <c r="CB56" i="5"/>
  <c r="CB60" i="5"/>
  <c r="CZ60" i="5"/>
  <c r="CZ55" i="5"/>
  <c r="CZ57" i="5"/>
  <c r="CZ59" i="5"/>
  <c r="CZ56" i="5"/>
  <c r="CZ58" i="5"/>
  <c r="DY58" i="5"/>
  <c r="DY57" i="5"/>
  <c r="DY59" i="5"/>
  <c r="DY56" i="5"/>
  <c r="DY60" i="5"/>
  <c r="DY55" i="5"/>
  <c r="EW58" i="5"/>
  <c r="EW57" i="5"/>
  <c r="EW59" i="5"/>
  <c r="EW56" i="5"/>
  <c r="EW60" i="5"/>
  <c r="EW55" i="5"/>
  <c r="FV58" i="5"/>
  <c r="FV57" i="5"/>
  <c r="FV59" i="5"/>
  <c r="FV56" i="5"/>
  <c r="FV60" i="5"/>
  <c r="FV55" i="5"/>
  <c r="Q78" i="5"/>
  <c r="Y56" i="5"/>
  <c r="AK56" i="5"/>
  <c r="AW56" i="5"/>
  <c r="BJ56" i="5"/>
  <c r="BV56" i="5"/>
  <c r="CH56" i="5"/>
  <c r="CT56" i="5"/>
  <c r="DG56" i="5"/>
  <c r="DS56" i="5"/>
  <c r="EE56" i="5"/>
  <c r="EQ56" i="5"/>
  <c r="FD56" i="5"/>
  <c r="FP56" i="5"/>
  <c r="GB56" i="5"/>
  <c r="GN56" i="5"/>
  <c r="HA56" i="5"/>
  <c r="HM56" i="5"/>
  <c r="HY56" i="5"/>
  <c r="IK56" i="5"/>
  <c r="IX56" i="5"/>
  <c r="JJ56" i="5"/>
  <c r="JV56" i="5"/>
  <c r="KH56" i="5"/>
  <c r="Y57" i="5"/>
  <c r="AK57" i="5"/>
  <c r="AW57" i="5"/>
  <c r="BJ57" i="5"/>
  <c r="BV57" i="5"/>
  <c r="CH57" i="5"/>
  <c r="CT57" i="5"/>
  <c r="DG57" i="5"/>
  <c r="DS57" i="5"/>
  <c r="EE57" i="5"/>
  <c r="EQ57" i="5"/>
  <c r="FD57" i="5"/>
  <c r="FP57" i="5"/>
  <c r="GB57" i="5"/>
  <c r="GN57" i="5"/>
  <c r="HA57" i="5"/>
  <c r="HM57" i="5"/>
  <c r="HY57" i="5"/>
  <c r="IK57" i="5"/>
  <c r="IX57" i="5"/>
  <c r="JJ57" i="5"/>
  <c r="JV57" i="5"/>
  <c r="KH57" i="5"/>
  <c r="Y58" i="5"/>
  <c r="AK58" i="5"/>
  <c r="AW58" i="5"/>
  <c r="BJ58" i="5"/>
  <c r="BV58" i="5"/>
  <c r="CH58" i="5"/>
  <c r="CT58" i="5"/>
  <c r="DG58" i="5"/>
  <c r="DS58" i="5"/>
  <c r="EE58" i="5"/>
  <c r="EQ58" i="5"/>
  <c r="FD58" i="5"/>
  <c r="FP58" i="5"/>
  <c r="GB58" i="5"/>
  <c r="GN58" i="5"/>
  <c r="HA58" i="5"/>
  <c r="HM58" i="5"/>
  <c r="HY58" i="5"/>
  <c r="IK58" i="5"/>
  <c r="IX58" i="5"/>
  <c r="JJ58" i="5"/>
  <c r="JV58" i="5"/>
  <c r="KH58" i="5"/>
  <c r="Y59" i="5"/>
  <c r="AK59" i="5"/>
  <c r="AW59" i="5"/>
  <c r="BJ59" i="5"/>
  <c r="BV59" i="5"/>
  <c r="CH59" i="5"/>
  <c r="CT59" i="5"/>
  <c r="DG59" i="5"/>
  <c r="DS59" i="5"/>
  <c r="EE59" i="5"/>
  <c r="EQ59" i="5"/>
  <c r="FD59" i="5"/>
  <c r="FP59" i="5"/>
  <c r="GB59" i="5"/>
  <c r="GN59" i="5"/>
  <c r="HA59" i="5"/>
  <c r="HM59" i="5"/>
  <c r="HY59" i="5"/>
  <c r="IK59" i="5"/>
  <c r="IX59" i="5"/>
  <c r="JJ59" i="5"/>
  <c r="JV59" i="5"/>
  <c r="KH59" i="5"/>
  <c r="M60" i="5"/>
  <c r="Y60" i="5"/>
  <c r="AK60" i="5"/>
  <c r="AW60" i="5"/>
  <c r="BJ60" i="5"/>
  <c r="BV60" i="5"/>
  <c r="CH60" i="5"/>
  <c r="CT60" i="5"/>
  <c r="DG60" i="5"/>
  <c r="DS60" i="5"/>
  <c r="EE60" i="5"/>
  <c r="EQ60" i="5"/>
  <c r="FD60" i="5"/>
  <c r="FP60" i="5"/>
  <c r="GB60" i="5"/>
  <c r="GN60" i="5"/>
  <c r="HA60" i="5"/>
  <c r="HM60" i="5"/>
  <c r="HY60" i="5"/>
  <c r="IK60" i="5"/>
  <c r="IX60" i="5"/>
  <c r="JJ60" i="5"/>
  <c r="JV60" i="5"/>
  <c r="KH60" i="5"/>
  <c r="M61" i="5"/>
  <c r="Y61" i="5"/>
  <c r="AK61" i="5"/>
  <c r="AW61" i="5"/>
  <c r="BJ61" i="5"/>
  <c r="BV61" i="5"/>
  <c r="CH61" i="5"/>
  <c r="CT61" i="5"/>
  <c r="DG61" i="5"/>
  <c r="DS61" i="5"/>
  <c r="EE61" i="5"/>
  <c r="EQ61" i="5"/>
  <c r="FD61" i="5"/>
  <c r="FP61" i="5"/>
  <c r="GB61" i="5"/>
  <c r="GN61" i="5"/>
  <c r="HA61" i="5"/>
  <c r="HM61" i="5"/>
  <c r="HY61" i="5"/>
  <c r="IK61" i="5"/>
  <c r="IX61" i="5"/>
  <c r="JJ61" i="5"/>
  <c r="JV61" i="5"/>
  <c r="KH61" i="5"/>
  <c r="M62" i="5"/>
  <c r="Y62" i="5"/>
  <c r="AK62" i="5"/>
  <c r="AW62" i="5"/>
  <c r="BJ62" i="5"/>
  <c r="BV62" i="5"/>
  <c r="CH62" i="5"/>
  <c r="CT62" i="5"/>
  <c r="DG62" i="5"/>
  <c r="DS62" i="5"/>
  <c r="EE62" i="5"/>
  <c r="EQ62" i="5"/>
  <c r="FD62" i="5"/>
  <c r="FP62" i="5"/>
  <c r="GB62" i="5"/>
  <c r="GN62" i="5"/>
  <c r="HA62" i="5"/>
  <c r="HM62" i="5"/>
  <c r="HY62" i="5"/>
  <c r="IK62" i="5"/>
  <c r="IX62" i="5"/>
  <c r="JJ62" i="5"/>
  <c r="JV62" i="5"/>
  <c r="KH62" i="5"/>
  <c r="M63" i="5"/>
  <c r="Y63" i="5"/>
  <c r="AK63" i="5"/>
  <c r="AW63" i="5"/>
  <c r="BJ63" i="5"/>
  <c r="BV63" i="5"/>
  <c r="CH63" i="5"/>
  <c r="CT63" i="5"/>
  <c r="DG63" i="5"/>
  <c r="DS63" i="5"/>
  <c r="EE63" i="5"/>
  <c r="EQ63" i="5"/>
  <c r="FD63" i="5"/>
  <c r="FP63" i="5"/>
  <c r="GB63" i="5"/>
  <c r="GN63" i="5"/>
  <c r="HA63" i="5"/>
  <c r="HM63" i="5"/>
  <c r="HY63" i="5"/>
  <c r="IK63" i="5"/>
  <c r="IX63" i="5"/>
  <c r="JJ63" i="5"/>
  <c r="JV63" i="5"/>
  <c r="KH63" i="5"/>
  <c r="M64" i="5"/>
  <c r="Y64" i="5"/>
  <c r="AK64" i="5"/>
  <c r="AW64" i="5"/>
  <c r="BJ64" i="5"/>
  <c r="BV64" i="5"/>
  <c r="CH64" i="5"/>
  <c r="CT64" i="5"/>
  <c r="DG64" i="5"/>
  <c r="DS64" i="5"/>
  <c r="EE64" i="5"/>
  <c r="EQ64" i="5"/>
  <c r="FD64" i="5"/>
  <c r="FP64" i="5"/>
  <c r="GB64" i="5"/>
  <c r="GN64" i="5"/>
  <c r="HA64" i="5"/>
  <c r="HM64" i="5"/>
  <c r="HY64" i="5"/>
  <c r="IK64" i="5"/>
  <c r="IX64" i="5"/>
  <c r="JJ64" i="5"/>
  <c r="JV64" i="5"/>
  <c r="KH64" i="5"/>
  <c r="M65" i="5"/>
  <c r="Y65" i="5"/>
  <c r="AK65" i="5"/>
  <c r="AW65" i="5"/>
  <c r="BJ65" i="5"/>
  <c r="BV65" i="5"/>
  <c r="CH65" i="5"/>
  <c r="CT65" i="5"/>
  <c r="DG65" i="5"/>
  <c r="DS65" i="5"/>
  <c r="EE65" i="5"/>
  <c r="EQ65" i="5"/>
  <c r="FD65" i="5"/>
  <c r="FP65" i="5"/>
  <c r="GB65" i="5"/>
  <c r="GL65" i="5"/>
  <c r="GN65" i="5"/>
  <c r="HA65" i="5"/>
  <c r="HM65" i="5"/>
  <c r="HY65" i="5"/>
  <c r="II65" i="5"/>
  <c r="IK65" i="5"/>
  <c r="IX65" i="5"/>
  <c r="JJ65" i="5"/>
  <c r="JV65" i="5"/>
  <c r="KF65" i="5"/>
  <c r="KH65" i="5"/>
  <c r="M66" i="5"/>
  <c r="Y66" i="5"/>
  <c r="AK66" i="5"/>
  <c r="AW66" i="5"/>
  <c r="BJ66" i="5"/>
  <c r="BV66" i="5"/>
  <c r="CH66" i="5"/>
  <c r="CT66" i="5"/>
  <c r="DG66" i="5"/>
  <c r="DS66" i="5"/>
  <c r="EE66" i="5"/>
  <c r="EQ66" i="5"/>
  <c r="FD66" i="5"/>
  <c r="FP66" i="5"/>
  <c r="GB66" i="5"/>
  <c r="GL66" i="5"/>
  <c r="GN66" i="5"/>
  <c r="HA66" i="5"/>
  <c r="HM66" i="5"/>
  <c r="HY66" i="5"/>
  <c r="II66" i="5"/>
  <c r="IK66" i="5"/>
  <c r="IX66" i="5"/>
  <c r="JJ66" i="5"/>
  <c r="JV66" i="5"/>
  <c r="KF66" i="5"/>
  <c r="KH66" i="5"/>
  <c r="M67" i="5"/>
  <c r="W67" i="5"/>
  <c r="Y67" i="5"/>
  <c r="AK67" i="5"/>
  <c r="AU67" i="5"/>
  <c r="AW67" i="5"/>
  <c r="BJ67" i="5"/>
  <c r="BT67" i="5"/>
  <c r="BV67" i="5"/>
  <c r="CH67" i="5"/>
  <c r="CR67" i="5"/>
  <c r="CT67" i="5"/>
  <c r="DG67" i="5"/>
  <c r="DQ67" i="5"/>
  <c r="DS67" i="5"/>
  <c r="EE67" i="5"/>
  <c r="EO67" i="5"/>
  <c r="EQ67" i="5"/>
  <c r="FD67" i="5"/>
  <c r="FN67" i="5"/>
  <c r="FP67" i="5"/>
  <c r="GB67" i="5"/>
  <c r="GL67" i="5"/>
  <c r="GN67" i="5"/>
  <c r="HA67" i="5"/>
  <c r="HK67" i="5"/>
  <c r="HM67" i="5"/>
  <c r="HY67" i="5"/>
  <c r="II67" i="5"/>
  <c r="IK67" i="5"/>
  <c r="IX67" i="5"/>
  <c r="JH67" i="5"/>
  <c r="JJ67" i="5"/>
  <c r="JV67" i="5"/>
  <c r="KF67" i="5"/>
  <c r="KH67" i="5"/>
  <c r="M68" i="5"/>
  <c r="W68" i="5"/>
  <c r="Y68" i="5"/>
  <c r="AK68" i="5"/>
  <c r="AU68" i="5"/>
  <c r="AW68" i="5"/>
  <c r="BJ68" i="5"/>
  <c r="BT68" i="5"/>
  <c r="BV68" i="5"/>
  <c r="CH68" i="5"/>
  <c r="CR68" i="5"/>
  <c r="CT68" i="5"/>
  <c r="DG68" i="5"/>
  <c r="DQ68" i="5"/>
  <c r="DS68" i="5"/>
  <c r="EE68" i="5"/>
  <c r="EO68" i="5"/>
  <c r="EQ68" i="5"/>
  <c r="FD68" i="5"/>
  <c r="FN68" i="5"/>
  <c r="FP68" i="5"/>
  <c r="GB68" i="5"/>
  <c r="GL68" i="5"/>
  <c r="GN68" i="5"/>
  <c r="HA68" i="5"/>
  <c r="HK68" i="5"/>
  <c r="HM68" i="5"/>
  <c r="HY68" i="5"/>
  <c r="II68" i="5"/>
  <c r="IK68" i="5"/>
  <c r="IX68" i="5"/>
  <c r="JH68" i="5"/>
  <c r="JJ68" i="5"/>
  <c r="JV68" i="5"/>
  <c r="KF68" i="5"/>
  <c r="KH68" i="5"/>
  <c r="M69" i="5"/>
  <c r="W69" i="5"/>
  <c r="Y69" i="5"/>
  <c r="AK69" i="5"/>
  <c r="AU69" i="5"/>
  <c r="AW69" i="5"/>
  <c r="BJ69" i="5"/>
  <c r="BT69" i="5"/>
  <c r="BV69" i="5"/>
  <c r="CH69" i="5"/>
  <c r="CR69" i="5"/>
  <c r="CT69" i="5"/>
  <c r="DG69" i="5"/>
  <c r="DQ69" i="5"/>
  <c r="DS69" i="5"/>
  <c r="EE69" i="5"/>
  <c r="EO69" i="5"/>
  <c r="EQ69" i="5"/>
  <c r="FD69" i="5"/>
  <c r="FN69" i="5"/>
  <c r="FP69" i="5"/>
  <c r="GB69" i="5"/>
  <c r="GL69" i="5"/>
  <c r="GN69" i="5"/>
  <c r="HA69" i="5"/>
  <c r="HK69" i="5"/>
  <c r="HM69" i="5"/>
  <c r="HY69" i="5"/>
  <c r="II69" i="5"/>
  <c r="IK69" i="5"/>
  <c r="IX69" i="5"/>
  <c r="JH69" i="5"/>
  <c r="JJ69" i="5"/>
  <c r="JV69" i="5"/>
  <c r="KF69" i="5"/>
  <c r="KH69" i="5"/>
  <c r="M70" i="5"/>
  <c r="W70" i="5"/>
  <c r="Y70" i="5"/>
  <c r="AK70" i="5"/>
  <c r="AU70" i="5"/>
  <c r="AW70" i="5"/>
  <c r="BJ70" i="5"/>
  <c r="BT70" i="5"/>
  <c r="BV70" i="5"/>
  <c r="CH70" i="5"/>
  <c r="CR70" i="5"/>
  <c r="CT70" i="5"/>
  <c r="DG70" i="5"/>
  <c r="DQ70" i="5"/>
  <c r="DS70" i="5"/>
  <c r="EE70" i="5"/>
  <c r="EO70" i="5"/>
  <c r="EQ70" i="5"/>
  <c r="FD70" i="5"/>
  <c r="FN70" i="5"/>
  <c r="FP70" i="5"/>
  <c r="GB70" i="5"/>
  <c r="GL70" i="5"/>
  <c r="GN70" i="5"/>
  <c r="HA70" i="5"/>
  <c r="HK70" i="5"/>
  <c r="HM70" i="5"/>
  <c r="HY70" i="5"/>
  <c r="II70" i="5"/>
  <c r="IK70" i="5"/>
  <c r="IX70" i="5"/>
  <c r="JH70" i="5"/>
  <c r="JJ70" i="5"/>
  <c r="JV70" i="5"/>
  <c r="KF70" i="5"/>
  <c r="KH70" i="5"/>
  <c r="M71" i="5"/>
  <c r="W71" i="5"/>
  <c r="Y71" i="5"/>
  <c r="AK71" i="5"/>
  <c r="AU71" i="5"/>
  <c r="AW71" i="5"/>
  <c r="BJ71" i="5"/>
  <c r="BT71" i="5"/>
  <c r="BV71" i="5"/>
  <c r="CH71" i="5"/>
  <c r="CR71" i="5"/>
  <c r="CT71" i="5"/>
  <c r="DG71" i="5"/>
  <c r="DQ71" i="5"/>
  <c r="DS71" i="5"/>
  <c r="EE71" i="5"/>
  <c r="EO71" i="5"/>
  <c r="EQ71" i="5"/>
  <c r="FD71" i="5"/>
  <c r="FN71" i="5"/>
  <c r="FP71" i="5"/>
  <c r="GB71" i="5"/>
  <c r="GL71" i="5"/>
  <c r="GN71" i="5"/>
  <c r="HA71" i="5"/>
  <c r="HK71" i="5"/>
  <c r="HM71" i="5"/>
  <c r="HY71" i="5"/>
  <c r="II71" i="5"/>
  <c r="IK71" i="5"/>
  <c r="IX71" i="5"/>
  <c r="JH71" i="5"/>
  <c r="JJ71" i="5"/>
  <c r="JV71" i="5"/>
  <c r="KF71" i="5"/>
  <c r="KH71" i="5"/>
  <c r="M72" i="5"/>
  <c r="W72" i="5"/>
  <c r="Y72" i="5"/>
  <c r="AK72" i="5"/>
  <c r="AU72" i="5"/>
  <c r="AW72" i="5"/>
  <c r="BJ72" i="5"/>
  <c r="BT72" i="5"/>
  <c r="BV72" i="5"/>
  <c r="CH72" i="5"/>
  <c r="CR72" i="5"/>
  <c r="CT72" i="5"/>
  <c r="DG72" i="5"/>
  <c r="DQ72" i="5"/>
  <c r="DS72" i="5"/>
  <c r="EE72" i="5"/>
  <c r="EO72" i="5"/>
  <c r="EQ72" i="5"/>
  <c r="FD72" i="5"/>
  <c r="FN72" i="5"/>
  <c r="FP72" i="5"/>
  <c r="GB72" i="5"/>
  <c r="GL72" i="5"/>
  <c r="GN72" i="5"/>
  <c r="HA72" i="5"/>
  <c r="HK72" i="5"/>
  <c r="HM72" i="5"/>
  <c r="HY72" i="5"/>
  <c r="II72" i="5"/>
  <c r="IK72" i="5"/>
  <c r="IX72" i="5"/>
  <c r="JH72" i="5"/>
  <c r="JJ72" i="5"/>
  <c r="JV72" i="5"/>
  <c r="KF72" i="5"/>
  <c r="KH72" i="5"/>
  <c r="M73" i="5"/>
  <c r="W73" i="5"/>
  <c r="Y73" i="5"/>
  <c r="AK73" i="5"/>
  <c r="AU73" i="5"/>
  <c r="AW73" i="5"/>
  <c r="BJ73" i="5"/>
  <c r="BT73" i="5"/>
  <c r="BV73" i="5"/>
  <c r="CH73" i="5"/>
  <c r="CR73" i="5"/>
  <c r="CT73" i="5"/>
  <c r="DG73" i="5"/>
  <c r="DQ73" i="5"/>
  <c r="DS73" i="5"/>
  <c r="EE73" i="5"/>
  <c r="EO73" i="5"/>
  <c r="EQ73" i="5"/>
  <c r="FD73" i="5"/>
  <c r="FN73" i="5"/>
  <c r="FP73" i="5"/>
  <c r="GB73" i="5"/>
  <c r="GL73" i="5"/>
  <c r="GN73" i="5"/>
  <c r="HA73" i="5"/>
  <c r="HK73" i="5"/>
  <c r="HM73" i="5"/>
  <c r="HY73" i="5"/>
  <c r="II73" i="5"/>
  <c r="IK73" i="5"/>
  <c r="IX73" i="5"/>
  <c r="JH73" i="5"/>
  <c r="JJ73" i="5"/>
  <c r="JV73" i="5"/>
  <c r="KF73" i="5"/>
  <c r="KH73" i="5"/>
  <c r="M74" i="5"/>
  <c r="W74" i="5"/>
  <c r="Y74" i="5"/>
  <c r="AK74" i="5"/>
  <c r="AU74" i="5"/>
  <c r="AW74" i="5"/>
  <c r="BJ74" i="5"/>
  <c r="BT74" i="5"/>
  <c r="BV74" i="5"/>
  <c r="CH74" i="5"/>
  <c r="CR74" i="5"/>
  <c r="CT74" i="5"/>
  <c r="DG74" i="5"/>
  <c r="DQ74" i="5"/>
  <c r="DS74" i="5"/>
  <c r="EE74" i="5"/>
  <c r="EO74" i="5"/>
  <c r="EQ74" i="5"/>
  <c r="FD74" i="5"/>
  <c r="FN74" i="5"/>
  <c r="FP74" i="5"/>
  <c r="GB74" i="5"/>
  <c r="GL74" i="5"/>
  <c r="GN74" i="5"/>
  <c r="HA74" i="5"/>
  <c r="HK74" i="5"/>
  <c r="HM74" i="5"/>
  <c r="HY74" i="5"/>
  <c r="II74" i="5"/>
  <c r="IK74" i="5"/>
  <c r="IX74" i="5"/>
  <c r="JH74" i="5"/>
  <c r="JJ74" i="5"/>
  <c r="JV74" i="5"/>
  <c r="KF74" i="5"/>
  <c r="KH74" i="5"/>
  <c r="M75" i="5"/>
  <c r="W75" i="5"/>
  <c r="Y75" i="5"/>
  <c r="AK75" i="5"/>
  <c r="AU75" i="5"/>
  <c r="AW75" i="5"/>
  <c r="BJ75" i="5"/>
  <c r="BT75" i="5"/>
  <c r="BV75" i="5"/>
  <c r="CH75" i="5"/>
  <c r="CR75" i="5"/>
  <c r="CT75" i="5"/>
  <c r="DG75" i="5"/>
  <c r="DQ75" i="5"/>
  <c r="DS75" i="5"/>
  <c r="EE75" i="5"/>
  <c r="EO75" i="5"/>
  <c r="EQ75" i="5"/>
  <c r="FD75" i="5"/>
  <c r="FN75" i="5"/>
  <c r="FP75" i="5"/>
  <c r="GB75" i="5"/>
  <c r="GL75" i="5"/>
  <c r="GN75" i="5"/>
  <c r="HA75" i="5"/>
  <c r="HK75" i="5"/>
  <c r="HM75" i="5"/>
  <c r="HY75" i="5"/>
  <c r="II75" i="5"/>
  <c r="IK75" i="5"/>
  <c r="IX75" i="5"/>
  <c r="JH75" i="5"/>
  <c r="JJ75" i="5"/>
  <c r="JV75" i="5"/>
  <c r="KF75" i="5"/>
  <c r="KH75" i="5"/>
  <c r="M76" i="5"/>
  <c r="W76" i="5"/>
  <c r="Y76" i="5"/>
  <c r="AK76" i="5"/>
  <c r="AU76" i="5"/>
  <c r="AW76" i="5"/>
  <c r="BJ76" i="5"/>
  <c r="BT76" i="5"/>
  <c r="BV76" i="5"/>
  <c r="CH76" i="5"/>
  <c r="CR76" i="5"/>
  <c r="CT76" i="5"/>
  <c r="DG76" i="5"/>
  <c r="DQ76" i="5"/>
  <c r="DS76" i="5"/>
  <c r="EE76" i="5"/>
  <c r="EO76" i="5"/>
  <c r="EQ76" i="5"/>
  <c r="FD76" i="5"/>
  <c r="FN76" i="5"/>
  <c r="FP76" i="5"/>
  <c r="GB76" i="5"/>
  <c r="GL76" i="5"/>
  <c r="GN76" i="5"/>
  <c r="HA76" i="5"/>
  <c r="HK76" i="5"/>
  <c r="HM76" i="5"/>
  <c r="HY76" i="5"/>
  <c r="II76" i="5"/>
  <c r="IK76" i="5"/>
  <c r="IX76" i="5"/>
  <c r="JH76" i="5"/>
  <c r="JJ76" i="5"/>
  <c r="JV76" i="5"/>
  <c r="KF76" i="5"/>
  <c r="KH76" i="5"/>
  <c r="M77" i="5"/>
  <c r="W77" i="5"/>
  <c r="Y77" i="5"/>
  <c r="AK77" i="5"/>
  <c r="AU77" i="5"/>
  <c r="AW77" i="5"/>
  <c r="BJ77" i="5"/>
  <c r="BT77" i="5"/>
  <c r="BV77" i="5"/>
  <c r="CH77" i="5"/>
  <c r="CR77" i="5"/>
  <c r="CT77" i="5"/>
  <c r="DG77" i="5"/>
  <c r="DQ77" i="5"/>
  <c r="DS77" i="5"/>
  <c r="EE77" i="5"/>
  <c r="EO77" i="5"/>
  <c r="EQ77" i="5"/>
  <c r="FD77" i="5"/>
  <c r="FN77" i="5"/>
  <c r="FP77" i="5"/>
  <c r="GB77" i="5"/>
  <c r="GL77" i="5"/>
  <c r="GN77" i="5"/>
  <c r="HA77" i="5"/>
  <c r="HK77" i="5"/>
  <c r="HM77" i="5"/>
  <c r="HY77" i="5"/>
  <c r="II77" i="5"/>
  <c r="IK77" i="5"/>
  <c r="IX77" i="5"/>
  <c r="JH77" i="5"/>
  <c r="JJ77" i="5"/>
  <c r="JV77" i="5"/>
  <c r="KF77" i="5"/>
  <c r="KH77" i="5"/>
  <c r="KH55" i="5"/>
  <c r="JV55" i="5"/>
  <c r="JJ55" i="5"/>
  <c r="IX55" i="5"/>
  <c r="IK55" i="5"/>
  <c r="HY55" i="5"/>
  <c r="HM55" i="5"/>
  <c r="HA55" i="5"/>
  <c r="GN55" i="5"/>
  <c r="GB55" i="5"/>
  <c r="FP55" i="5"/>
  <c r="EQ55" i="5"/>
  <c r="EE55" i="5"/>
  <c r="DS55" i="5"/>
  <c r="DG55" i="5"/>
  <c r="CT55" i="5"/>
  <c r="CH55" i="5"/>
  <c r="BV55" i="5"/>
  <c r="BJ55" i="5"/>
  <c r="AW55" i="5"/>
  <c r="AK55" i="5"/>
  <c r="Y55" i="5"/>
  <c r="M12" i="5"/>
  <c r="M13" i="5"/>
  <c r="M14" i="5"/>
  <c r="M15" i="5"/>
  <c r="M16" i="5"/>
  <c r="M17" i="5"/>
  <c r="M18" i="5"/>
  <c r="M19" i="5"/>
  <c r="M20" i="5"/>
  <c r="M21" i="5"/>
  <c r="M22" i="5"/>
  <c r="M23" i="5"/>
  <c r="M24" i="5"/>
  <c r="M25" i="5"/>
  <c r="M26" i="5"/>
  <c r="M27" i="5"/>
  <c r="M28" i="5"/>
  <c r="M29" i="5"/>
  <c r="M30" i="5"/>
  <c r="M31" i="5"/>
  <c r="M32" i="5"/>
  <c r="M33" i="5"/>
  <c r="R65" i="5" l="1"/>
  <c r="S65" i="5" s="1"/>
  <c r="R66" i="5"/>
  <c r="S66" i="5" s="1"/>
  <c r="KB55" i="5"/>
  <c r="KB78" i="5" s="1"/>
  <c r="AH112" i="6" s="1"/>
  <c r="KA78" i="5"/>
  <c r="IE78" i="5"/>
  <c r="AB112" i="6" s="1"/>
  <c r="ID78" i="5"/>
  <c r="GH55" i="5"/>
  <c r="GH78" i="5" s="1"/>
  <c r="V112" i="6" s="1"/>
  <c r="GG78" i="5"/>
  <c r="EK55" i="5"/>
  <c r="EK78" i="5" s="1"/>
  <c r="P112" i="6" s="1"/>
  <c r="EJ78" i="5"/>
  <c r="CM78" i="5"/>
  <c r="R59" i="5"/>
  <c r="S59" i="5" s="1"/>
  <c r="R63" i="5"/>
  <c r="S63" i="5" s="1"/>
  <c r="R58" i="5"/>
  <c r="S58" i="5" s="1"/>
  <c r="R60" i="5"/>
  <c r="S60" i="5" s="1"/>
  <c r="R64" i="5"/>
  <c r="S64" i="5" s="1"/>
  <c r="R55" i="5"/>
  <c r="S55" i="5" s="1"/>
  <c r="R61" i="5"/>
  <c r="S61" i="5" s="1"/>
  <c r="R56" i="5"/>
  <c r="S56" i="5" s="1"/>
  <c r="R62" i="5"/>
  <c r="S62" i="5" s="1"/>
  <c r="R57" i="5"/>
  <c r="S57" i="5" s="1"/>
  <c r="AQ55" i="5"/>
  <c r="AQ78" i="5" s="1"/>
  <c r="D112" i="6" s="1"/>
  <c r="AP78" i="5"/>
  <c r="DM55" i="5"/>
  <c r="DM78" i="5" s="1"/>
  <c r="N112" i="6" s="1"/>
  <c r="DL78" i="5"/>
  <c r="BP55" i="5"/>
  <c r="BP78" i="5" s="1"/>
  <c r="H112" i="6" s="1"/>
  <c r="BO78" i="5"/>
  <c r="GU76" i="5"/>
  <c r="GU74" i="5"/>
  <c r="FW72" i="5"/>
  <c r="GU70" i="5"/>
  <c r="FW68" i="5"/>
  <c r="GU66" i="5"/>
  <c r="GU77" i="5"/>
  <c r="FW77" i="5"/>
  <c r="GU75" i="5"/>
  <c r="FW75" i="5"/>
  <c r="GU73" i="5"/>
  <c r="FW73" i="5"/>
  <c r="GU71" i="5"/>
  <c r="FW71" i="5"/>
  <c r="GU69" i="5"/>
  <c r="FW69" i="5"/>
  <c r="GU67" i="5"/>
  <c r="FW67" i="5"/>
  <c r="GU65" i="5"/>
  <c r="FW76" i="5"/>
  <c r="FW74" i="5"/>
  <c r="GU72" i="5"/>
  <c r="FW70" i="5"/>
  <c r="GU68" i="5"/>
  <c r="IR77" i="5"/>
  <c r="HT77" i="5"/>
  <c r="IR76" i="5"/>
  <c r="HT76" i="5"/>
  <c r="IR75" i="5"/>
  <c r="HT75" i="5"/>
  <c r="IR74" i="5"/>
  <c r="HT74" i="5"/>
  <c r="IR73" i="5"/>
  <c r="HT73" i="5"/>
  <c r="IR72" i="5"/>
  <c r="HT72" i="5"/>
  <c r="IR71" i="5"/>
  <c r="HT71" i="5"/>
  <c r="IR70" i="5"/>
  <c r="HT70" i="5"/>
  <c r="IR69" i="5"/>
  <c r="HT69" i="5"/>
  <c r="IR68" i="5"/>
  <c r="HT68" i="5"/>
  <c r="IR67" i="5"/>
  <c r="HT67" i="5"/>
  <c r="IR66" i="5"/>
  <c r="IR65" i="5"/>
  <c r="KO76" i="5"/>
  <c r="JQ74" i="5"/>
  <c r="JQ72" i="5"/>
  <c r="KO70" i="5"/>
  <c r="KO68" i="5"/>
  <c r="KO66" i="5"/>
  <c r="JQ76" i="5"/>
  <c r="KO74" i="5"/>
  <c r="KO72" i="5"/>
  <c r="JQ70" i="5"/>
  <c r="JQ68" i="5"/>
  <c r="KO77" i="5"/>
  <c r="JQ77" i="5"/>
  <c r="KO75" i="5"/>
  <c r="JQ75" i="5"/>
  <c r="KO73" i="5"/>
  <c r="JQ73" i="5"/>
  <c r="KO71" i="5"/>
  <c r="JQ71" i="5"/>
  <c r="KO69" i="5"/>
  <c r="JQ69" i="5"/>
  <c r="KO67" i="5"/>
  <c r="JQ67" i="5"/>
  <c r="KO65" i="5"/>
  <c r="EX77" i="5"/>
  <c r="DZ77" i="5"/>
  <c r="EX76" i="5"/>
  <c r="DZ76" i="5"/>
  <c r="EX75" i="5"/>
  <c r="DZ75" i="5"/>
  <c r="EX74" i="5"/>
  <c r="DZ74" i="5"/>
  <c r="EX73" i="5"/>
  <c r="DZ73" i="5"/>
  <c r="EX72" i="5"/>
  <c r="DZ72" i="5"/>
  <c r="EX71" i="5"/>
  <c r="DZ71" i="5"/>
  <c r="EX70" i="5"/>
  <c r="DZ70" i="5"/>
  <c r="EX69" i="5"/>
  <c r="DZ69" i="5"/>
  <c r="EX68" i="5"/>
  <c r="DZ68" i="5"/>
  <c r="EX67" i="5"/>
  <c r="DZ67" i="5"/>
  <c r="CC76" i="5"/>
  <c r="CC74" i="5"/>
  <c r="DA72" i="5"/>
  <c r="DA70" i="5"/>
  <c r="DA68" i="5"/>
  <c r="DA77" i="5"/>
  <c r="CC77" i="5"/>
  <c r="DA75" i="5"/>
  <c r="CC75" i="5"/>
  <c r="DA73" i="5"/>
  <c r="CC73" i="5"/>
  <c r="DA71" i="5"/>
  <c r="CC71" i="5"/>
  <c r="DA69" i="5"/>
  <c r="CC69" i="5"/>
  <c r="DA67" i="5"/>
  <c r="CC67" i="5"/>
  <c r="DA76" i="5"/>
  <c r="DA74" i="5"/>
  <c r="CC72" i="5"/>
  <c r="CC70" i="5"/>
  <c r="CC68" i="5"/>
  <c r="BD71" i="5"/>
  <c r="AF71" i="5"/>
  <c r="BD76" i="5"/>
  <c r="AF76" i="5"/>
  <c r="BD72" i="5"/>
  <c r="AF72" i="5"/>
  <c r="BD68" i="5"/>
  <c r="AF68" i="5"/>
  <c r="BD74" i="5"/>
  <c r="AF74" i="5"/>
  <c r="BD70" i="5"/>
  <c r="AF70" i="5"/>
  <c r="BD75" i="5"/>
  <c r="AF75" i="5"/>
  <c r="BD67" i="5"/>
  <c r="AF67" i="5"/>
  <c r="BD77" i="5"/>
  <c r="AF77" i="5"/>
  <c r="BD73" i="5"/>
  <c r="AF73" i="5"/>
  <c r="BD69" i="5"/>
  <c r="AF69" i="5"/>
  <c r="M78" i="5"/>
  <c r="FJ55" i="5"/>
  <c r="FJ78" i="5" s="1"/>
  <c r="T112" i="6" s="1"/>
  <c r="FI78" i="5"/>
  <c r="HG78" i="5"/>
  <c r="Z112" i="6" s="1"/>
  <c r="HF78" i="5"/>
  <c r="JD55" i="5"/>
  <c r="JD78" i="5" s="1"/>
  <c r="AF112" i="6" s="1"/>
  <c r="JC78" i="5"/>
  <c r="KP77" i="5"/>
  <c r="JR77" i="5"/>
  <c r="IS77" i="5"/>
  <c r="HU77" i="5"/>
  <c r="GV77" i="5"/>
  <c r="FX77" i="5"/>
  <c r="EY77" i="5"/>
  <c r="EA77" i="5"/>
  <c r="DB77" i="5"/>
  <c r="CD77" i="5"/>
  <c r="BE77" i="5"/>
  <c r="AG77" i="5"/>
  <c r="KP76" i="5"/>
  <c r="JR76" i="5"/>
  <c r="IS76" i="5"/>
  <c r="HU76" i="5"/>
  <c r="GV76" i="5"/>
  <c r="FX76" i="5"/>
  <c r="EY76" i="5"/>
  <c r="EA76" i="5"/>
  <c r="DB76" i="5"/>
  <c r="CD76" i="5"/>
  <c r="BE76" i="5"/>
  <c r="AG76" i="5"/>
  <c r="KP75" i="5"/>
  <c r="JR75" i="5"/>
  <c r="IS75" i="5"/>
  <c r="HU75" i="5"/>
  <c r="GV75" i="5"/>
  <c r="FX75" i="5"/>
  <c r="EY75" i="5"/>
  <c r="EA75" i="5"/>
  <c r="DB75" i="5"/>
  <c r="CD75" i="5"/>
  <c r="BE75" i="5"/>
  <c r="AG75" i="5"/>
  <c r="KP74" i="5"/>
  <c r="JR74" i="5"/>
  <c r="IS74" i="5"/>
  <c r="HU74" i="5"/>
  <c r="GV74" i="5"/>
  <c r="FX74" i="5"/>
  <c r="EY74" i="5"/>
  <c r="EA74" i="5"/>
  <c r="DB74" i="5"/>
  <c r="CD74" i="5"/>
  <c r="BE74" i="5"/>
  <c r="AG74" i="5"/>
  <c r="KK73" i="5"/>
  <c r="KP73" i="5"/>
  <c r="JR73" i="5"/>
  <c r="IS73" i="5"/>
  <c r="HU73" i="5"/>
  <c r="GV73" i="5"/>
  <c r="FX73" i="5"/>
  <c r="EY73" i="5"/>
  <c r="EA73" i="5"/>
  <c r="DB73" i="5"/>
  <c r="CD73" i="5"/>
  <c r="BE73" i="5"/>
  <c r="AG73" i="5"/>
  <c r="KP72" i="5"/>
  <c r="JR72" i="5"/>
  <c r="IS72" i="5"/>
  <c r="HU72" i="5"/>
  <c r="GV72" i="5"/>
  <c r="FX72" i="5"/>
  <c r="EY72" i="5"/>
  <c r="EA72" i="5"/>
  <c r="DB72" i="5"/>
  <c r="CD72" i="5"/>
  <c r="BE72" i="5"/>
  <c r="AG72" i="5"/>
  <c r="KP71" i="5"/>
  <c r="JR71" i="5"/>
  <c r="IS71" i="5"/>
  <c r="HU71" i="5"/>
  <c r="GV71" i="5"/>
  <c r="FX71" i="5"/>
  <c r="EY71" i="5"/>
  <c r="EA71" i="5"/>
  <c r="DB71" i="5"/>
  <c r="CD71" i="5"/>
  <c r="BE71" i="5"/>
  <c r="AG71" i="5"/>
  <c r="KP70" i="5"/>
  <c r="JR70" i="5"/>
  <c r="IS70" i="5"/>
  <c r="HU70" i="5"/>
  <c r="GV70" i="5"/>
  <c r="FX70" i="5"/>
  <c r="EY70" i="5"/>
  <c r="EA70" i="5"/>
  <c r="DB70" i="5"/>
  <c r="CD70" i="5"/>
  <c r="BE70" i="5"/>
  <c r="AG70" i="5"/>
  <c r="KP69" i="5"/>
  <c r="JR69" i="5"/>
  <c r="IS69" i="5"/>
  <c r="HU69" i="5"/>
  <c r="GV69" i="5"/>
  <c r="FX69" i="5"/>
  <c r="EY69" i="5"/>
  <c r="EA69" i="5"/>
  <c r="DB69" i="5"/>
  <c r="CD69" i="5"/>
  <c r="BE69" i="5"/>
  <c r="AG69" i="5"/>
  <c r="KK68" i="5"/>
  <c r="KP68" i="5"/>
  <c r="JR68" i="5"/>
  <c r="IS68" i="5"/>
  <c r="HU68" i="5"/>
  <c r="GV68" i="5"/>
  <c r="FX68" i="5"/>
  <c r="EY68" i="5"/>
  <c r="EA68" i="5"/>
  <c r="DB68" i="5"/>
  <c r="CD68" i="5"/>
  <c r="BE68" i="5"/>
  <c r="AG68" i="5"/>
  <c r="KK67" i="5"/>
  <c r="KP67" i="5"/>
  <c r="JR67" i="5"/>
  <c r="IS67" i="5"/>
  <c r="HU67" i="5"/>
  <c r="GV67" i="5"/>
  <c r="FX67" i="5"/>
  <c r="EY67" i="5"/>
  <c r="EA67" i="5"/>
  <c r="DB67" i="5"/>
  <c r="CD67" i="5"/>
  <c r="BE67" i="5"/>
  <c r="AG67" i="5"/>
  <c r="KK66" i="5"/>
  <c r="KP66" i="5"/>
  <c r="IS66" i="5"/>
  <c r="GV66" i="5"/>
  <c r="KK65" i="5"/>
  <c r="KP65" i="5"/>
  <c r="IS65" i="5"/>
  <c r="GV65" i="5"/>
  <c r="IN71" i="5"/>
  <c r="IN70" i="5"/>
  <c r="IN67" i="5"/>
  <c r="IN66" i="5"/>
  <c r="IN74" i="5"/>
  <c r="IN73" i="5"/>
  <c r="IN72" i="5"/>
  <c r="IN68" i="5"/>
  <c r="IN65" i="5"/>
  <c r="HP68" i="5"/>
  <c r="GQ68" i="5"/>
  <c r="GQ67" i="5"/>
  <c r="GQ66" i="5"/>
  <c r="GQ65" i="5"/>
  <c r="FS69" i="5"/>
  <c r="ET73" i="5"/>
  <c r="ET72" i="5"/>
  <c r="ET71" i="5"/>
  <c r="ET69" i="5"/>
  <c r="ET68" i="5"/>
  <c r="ET67" i="5"/>
  <c r="DV74" i="5"/>
  <c r="DV67" i="5"/>
  <c r="CW74" i="5"/>
  <c r="CW69" i="5"/>
  <c r="CW68" i="5"/>
  <c r="CW67" i="5"/>
  <c r="BY70" i="5"/>
  <c r="AZ73" i="5"/>
  <c r="AZ72" i="5"/>
  <c r="AZ74" i="5"/>
  <c r="AZ71" i="5"/>
  <c r="AZ69" i="5"/>
  <c r="AZ68" i="5"/>
  <c r="AZ67" i="5"/>
  <c r="AB74" i="5"/>
  <c r="AB68" i="5"/>
  <c r="S77" i="5"/>
  <c r="AE78" i="5"/>
  <c r="C112" i="6" s="1"/>
  <c r="AD78" i="5"/>
  <c r="JP78" i="5"/>
  <c r="JO78" i="5"/>
  <c r="IP78" i="5"/>
  <c r="EV78" i="5"/>
  <c r="EW78" i="5"/>
  <c r="Q112" i="6" s="1"/>
  <c r="CZ78" i="5"/>
  <c r="K112" i="6" s="1"/>
  <c r="BC78" i="5"/>
  <c r="E112" i="6" s="1"/>
  <c r="IQ78" i="5"/>
  <c r="AC112" i="6" s="1"/>
  <c r="GT78" i="5"/>
  <c r="W112" i="6" s="1"/>
  <c r="GS78" i="5"/>
  <c r="KM78" i="5"/>
  <c r="FU78" i="5"/>
  <c r="FV78" i="5"/>
  <c r="U112" i="6" s="1"/>
  <c r="DY78" i="5"/>
  <c r="O112" i="6" s="1"/>
  <c r="HR78" i="5"/>
  <c r="HS78" i="5"/>
  <c r="AA112" i="6" s="1"/>
  <c r="KN78" i="5"/>
  <c r="CA78" i="5"/>
  <c r="CB78" i="5"/>
  <c r="I112" i="6" s="1"/>
  <c r="BB78" i="5"/>
  <c r="CY78" i="5"/>
  <c r="DX78" i="5"/>
  <c r="KI77" i="5"/>
  <c r="KK77" i="5"/>
  <c r="JK77" i="5"/>
  <c r="JM77" i="5"/>
  <c r="IM77" i="5"/>
  <c r="IN77" i="5"/>
  <c r="HN77" i="5"/>
  <c r="HP77" i="5"/>
  <c r="GP77" i="5"/>
  <c r="GQ77" i="5"/>
  <c r="FQ77" i="5"/>
  <c r="FS77" i="5"/>
  <c r="ES77" i="5"/>
  <c r="ET77" i="5"/>
  <c r="DT77" i="5"/>
  <c r="DV77" i="5"/>
  <c r="KI76" i="5"/>
  <c r="KK76" i="5"/>
  <c r="JK76" i="5"/>
  <c r="JM76" i="5"/>
  <c r="IM76" i="5"/>
  <c r="IN76" i="5"/>
  <c r="HN76" i="5"/>
  <c r="HP76" i="5"/>
  <c r="GO76" i="5"/>
  <c r="GQ76" i="5"/>
  <c r="FQ76" i="5"/>
  <c r="FS76" i="5"/>
  <c r="ES76" i="5"/>
  <c r="ET76" i="5"/>
  <c r="DT76" i="5"/>
  <c r="DV76" i="5"/>
  <c r="KI75" i="5"/>
  <c r="KK75" i="5"/>
  <c r="JK75" i="5"/>
  <c r="JM75" i="5"/>
  <c r="IL75" i="5"/>
  <c r="IN75" i="5"/>
  <c r="HN75" i="5"/>
  <c r="HP75" i="5"/>
  <c r="GO75" i="5"/>
  <c r="GQ75" i="5"/>
  <c r="FQ75" i="5"/>
  <c r="FS75" i="5"/>
  <c r="ES75" i="5"/>
  <c r="ET75" i="5"/>
  <c r="DT75" i="5"/>
  <c r="DV75" i="5"/>
  <c r="KJ74" i="5"/>
  <c r="KK74" i="5"/>
  <c r="JK74" i="5"/>
  <c r="JM74" i="5"/>
  <c r="HN74" i="5"/>
  <c r="HP74" i="5"/>
  <c r="GO74" i="5"/>
  <c r="GQ74" i="5"/>
  <c r="FQ74" i="5"/>
  <c r="FS74" i="5"/>
  <c r="ER74" i="5"/>
  <c r="ET74" i="5"/>
  <c r="JK73" i="5"/>
  <c r="JM73" i="5"/>
  <c r="HN73" i="5"/>
  <c r="HP73" i="5"/>
  <c r="GO73" i="5"/>
  <c r="GQ73" i="5"/>
  <c r="FQ73" i="5"/>
  <c r="FS73" i="5"/>
  <c r="DT73" i="5"/>
  <c r="DV73" i="5"/>
  <c r="KJ72" i="5"/>
  <c r="KK72" i="5"/>
  <c r="JK72" i="5"/>
  <c r="JM72" i="5"/>
  <c r="HN72" i="5"/>
  <c r="HP72" i="5"/>
  <c r="GP72" i="5"/>
  <c r="GQ72" i="5"/>
  <c r="FQ72" i="5"/>
  <c r="FS72" i="5"/>
  <c r="DT72" i="5"/>
  <c r="DV72" i="5"/>
  <c r="KI71" i="5"/>
  <c r="KK71" i="5"/>
  <c r="JK71" i="5"/>
  <c r="JM71" i="5"/>
  <c r="HN71" i="5"/>
  <c r="HP71" i="5"/>
  <c r="GP71" i="5"/>
  <c r="GQ71" i="5"/>
  <c r="FQ71" i="5"/>
  <c r="FS71" i="5"/>
  <c r="DT71" i="5"/>
  <c r="DV71" i="5"/>
  <c r="KJ70" i="5"/>
  <c r="KK70" i="5"/>
  <c r="JK70" i="5"/>
  <c r="JM70" i="5"/>
  <c r="HN70" i="5"/>
  <c r="HP70" i="5"/>
  <c r="GO70" i="5"/>
  <c r="GQ70" i="5"/>
  <c r="FQ70" i="5"/>
  <c r="FS70" i="5"/>
  <c r="ER70" i="5"/>
  <c r="ET70" i="5"/>
  <c r="DT70" i="5"/>
  <c r="DV70" i="5"/>
  <c r="KI69" i="5"/>
  <c r="KK69" i="5"/>
  <c r="JK69" i="5"/>
  <c r="JM69" i="5"/>
  <c r="IL69" i="5"/>
  <c r="IN69" i="5"/>
  <c r="HN69" i="5"/>
  <c r="HP69" i="5"/>
  <c r="GO69" i="5"/>
  <c r="GQ69" i="5"/>
  <c r="DT69" i="5"/>
  <c r="DV69" i="5"/>
  <c r="JK68" i="5"/>
  <c r="JM68" i="5"/>
  <c r="FQ68" i="5"/>
  <c r="FS68" i="5"/>
  <c r="DT68" i="5"/>
  <c r="DV68" i="5"/>
  <c r="JK67" i="5"/>
  <c r="JM67" i="5"/>
  <c r="HN67" i="5"/>
  <c r="HP67" i="5"/>
  <c r="FQ67" i="5"/>
  <c r="FS67" i="5"/>
  <c r="CU77" i="5"/>
  <c r="CW77" i="5"/>
  <c r="BW77" i="5"/>
  <c r="BY77" i="5"/>
  <c r="CV76" i="5"/>
  <c r="CW76" i="5"/>
  <c r="BW76" i="5"/>
  <c r="BY76" i="5"/>
  <c r="CU75" i="5"/>
  <c r="CW75" i="5"/>
  <c r="BW75" i="5"/>
  <c r="BY75" i="5"/>
  <c r="BW74" i="5"/>
  <c r="BY74" i="5"/>
  <c r="CV73" i="5"/>
  <c r="CW73" i="5"/>
  <c r="BW73" i="5"/>
  <c r="BY73" i="5"/>
  <c r="CU72" i="5"/>
  <c r="CW72" i="5"/>
  <c r="BW72" i="5"/>
  <c r="BY72" i="5"/>
  <c r="CU71" i="5"/>
  <c r="CW71" i="5"/>
  <c r="BW71" i="5"/>
  <c r="BY71" i="5"/>
  <c r="CU70" i="5"/>
  <c r="CW70" i="5"/>
  <c r="BW69" i="5"/>
  <c r="BY69" i="5"/>
  <c r="BW68" i="5"/>
  <c r="BY68" i="5"/>
  <c r="BW67" i="5"/>
  <c r="BY67" i="5"/>
  <c r="AX77" i="5"/>
  <c r="AZ77" i="5"/>
  <c r="Z77" i="5"/>
  <c r="AB77" i="5"/>
  <c r="AY76" i="5"/>
  <c r="AZ76" i="5"/>
  <c r="Z76" i="5"/>
  <c r="AB76" i="5"/>
  <c r="AX75" i="5"/>
  <c r="AZ75" i="5"/>
  <c r="Z75" i="5"/>
  <c r="AB75" i="5"/>
  <c r="Z73" i="5"/>
  <c r="AB73" i="5"/>
  <c r="Z72" i="5"/>
  <c r="AB72" i="5"/>
  <c r="Z71" i="5"/>
  <c r="AB71" i="5"/>
  <c r="AX70" i="5"/>
  <c r="AZ70" i="5"/>
  <c r="Z70" i="5"/>
  <c r="AB70" i="5"/>
  <c r="Z69" i="5"/>
  <c r="AB69" i="5"/>
  <c r="Z67" i="5"/>
  <c r="AB67" i="5"/>
  <c r="HO71" i="5"/>
  <c r="HO76" i="5"/>
  <c r="KI74" i="5"/>
  <c r="JL77" i="5"/>
  <c r="GP75" i="5"/>
  <c r="DU72" i="5"/>
  <c r="HO69" i="5"/>
  <c r="CV77" i="5"/>
  <c r="HO73" i="5"/>
  <c r="GO71" i="5"/>
  <c r="KJ76" i="5"/>
  <c r="CU76" i="5"/>
  <c r="DU75" i="5"/>
  <c r="KJ75" i="5"/>
  <c r="FR71" i="5"/>
  <c r="CV71" i="5"/>
  <c r="DU76" i="5"/>
  <c r="AA75" i="5"/>
  <c r="HO77" i="5"/>
  <c r="KI72" i="5"/>
  <c r="KJ71" i="5"/>
  <c r="AA69" i="5"/>
  <c r="DU77" i="5"/>
  <c r="AA77" i="5"/>
  <c r="JL76" i="5"/>
  <c r="FR76" i="5"/>
  <c r="AA76" i="5"/>
  <c r="HO75" i="5"/>
  <c r="FR75" i="5"/>
  <c r="BX75" i="5"/>
  <c r="HO72" i="5"/>
  <c r="AY70" i="5"/>
  <c r="CU73" i="5"/>
  <c r="JL72" i="5"/>
  <c r="GO72" i="5"/>
  <c r="AA67" i="5"/>
  <c r="GO77" i="5"/>
  <c r="JL71" i="5"/>
  <c r="AA70" i="5"/>
  <c r="BX68" i="5"/>
  <c r="HO67" i="5"/>
  <c r="HO74" i="5"/>
  <c r="BX73" i="5"/>
  <c r="AA73" i="5"/>
  <c r="AA72" i="5"/>
  <c r="DU71" i="5"/>
  <c r="KI70" i="5"/>
  <c r="DU70" i="5"/>
  <c r="KJ69" i="5"/>
  <c r="DU68" i="5"/>
  <c r="KI73" i="5"/>
  <c r="KJ73" i="5"/>
  <c r="DT67" i="5"/>
  <c r="DU67" i="5"/>
  <c r="KJ77" i="5"/>
  <c r="FR77" i="5"/>
  <c r="GP76" i="5"/>
  <c r="BX76" i="5"/>
  <c r="CV75" i="5"/>
  <c r="JL74" i="5"/>
  <c r="IL74" i="5"/>
  <c r="IM74" i="5"/>
  <c r="BW70" i="5"/>
  <c r="BX70" i="5"/>
  <c r="HN68" i="5"/>
  <c r="HO68" i="5"/>
  <c r="BX77" i="5"/>
  <c r="JL75" i="5"/>
  <c r="GP74" i="5"/>
  <c r="DT74" i="5"/>
  <c r="DU74" i="5"/>
  <c r="CU74" i="5"/>
  <c r="CV74" i="5"/>
  <c r="GP73" i="5"/>
  <c r="CV72" i="5"/>
  <c r="Z74" i="5"/>
  <c r="AA74" i="5"/>
  <c r="FQ69" i="5"/>
  <c r="FR69" i="5"/>
  <c r="ER69" i="5"/>
  <c r="ES69" i="5"/>
  <c r="HO70" i="5"/>
  <c r="GP70" i="5"/>
  <c r="DU69" i="5"/>
  <c r="Z68" i="5"/>
  <c r="AA68" i="5"/>
  <c r="FR74" i="5"/>
  <c r="ES74" i="5"/>
  <c r="BX74" i="5"/>
  <c r="DU73" i="5"/>
  <c r="AA71" i="5"/>
  <c r="FR70" i="5"/>
  <c r="JL69" i="5"/>
  <c r="JL68" i="5"/>
  <c r="FR67" i="5"/>
  <c r="BX69" i="5"/>
  <c r="FR68" i="5"/>
  <c r="JL67" i="5"/>
  <c r="BX67" i="5"/>
  <c r="ER73" i="5"/>
  <c r="ES73" i="5"/>
  <c r="IL70" i="5"/>
  <c r="IM70" i="5"/>
  <c r="AX68" i="5"/>
  <c r="AY68" i="5"/>
  <c r="IM66" i="5"/>
  <c r="IL66" i="5"/>
  <c r="AY77" i="5"/>
  <c r="IM75" i="5"/>
  <c r="AY75" i="5"/>
  <c r="JL73" i="5"/>
  <c r="AX73" i="5"/>
  <c r="AY73" i="5"/>
  <c r="FR72" i="5"/>
  <c r="IL71" i="5"/>
  <c r="IM71" i="5"/>
  <c r="BX71" i="5"/>
  <c r="CV69" i="5"/>
  <c r="CU69" i="5"/>
  <c r="GP68" i="5"/>
  <c r="GO68" i="5"/>
  <c r="KI67" i="5"/>
  <c r="KJ67" i="5"/>
  <c r="CU67" i="5"/>
  <c r="CV67" i="5"/>
  <c r="GP66" i="5"/>
  <c r="GO66" i="5"/>
  <c r="KJ65" i="5"/>
  <c r="KI65" i="5"/>
  <c r="IL77" i="5"/>
  <c r="ER77" i="5"/>
  <c r="IL76" i="5"/>
  <c r="ER76" i="5"/>
  <c r="AX76" i="5"/>
  <c r="ER75" i="5"/>
  <c r="AX74" i="5"/>
  <c r="AY74" i="5"/>
  <c r="FR73" i="5"/>
  <c r="IL72" i="5"/>
  <c r="IM72" i="5"/>
  <c r="BX72" i="5"/>
  <c r="ER71" i="5"/>
  <c r="ES71" i="5"/>
  <c r="JL70" i="5"/>
  <c r="CV70" i="5"/>
  <c r="GP69" i="5"/>
  <c r="AY69" i="5"/>
  <c r="AX69" i="5"/>
  <c r="ES68" i="5"/>
  <c r="ER68" i="5"/>
  <c r="IL67" i="5"/>
  <c r="IM67" i="5"/>
  <c r="AX67" i="5"/>
  <c r="AY67" i="5"/>
  <c r="IL65" i="5"/>
  <c r="IM65" i="5"/>
  <c r="AX72" i="5"/>
  <c r="AY72" i="5"/>
  <c r="IM68" i="5"/>
  <c r="IL68" i="5"/>
  <c r="ES67" i="5"/>
  <c r="ER67" i="5"/>
  <c r="IL73" i="5"/>
  <c r="IM73" i="5"/>
  <c r="ER72" i="5"/>
  <c r="ES72" i="5"/>
  <c r="AX71" i="5"/>
  <c r="AY71" i="5"/>
  <c r="ES70" i="5"/>
  <c r="IM69" i="5"/>
  <c r="KJ68" i="5"/>
  <c r="KI68" i="5"/>
  <c r="CV68" i="5"/>
  <c r="CU68" i="5"/>
  <c r="GO67" i="5"/>
  <c r="GP67" i="5"/>
  <c r="KJ66" i="5"/>
  <c r="KI66" i="5"/>
  <c r="GO65" i="5"/>
  <c r="GP65" i="5"/>
  <c r="M11" i="5"/>
  <c r="AI143" i="6"/>
  <c r="AH143" i="6"/>
  <c r="AG143" i="6"/>
  <c r="AF143" i="6"/>
  <c r="AC143" i="6"/>
  <c r="AB143" i="6"/>
  <c r="AA143" i="6"/>
  <c r="Z143" i="6"/>
  <c r="W143" i="6"/>
  <c r="V143" i="6"/>
  <c r="U143" i="6"/>
  <c r="T143" i="6"/>
  <c r="Q143" i="6"/>
  <c r="P143" i="6"/>
  <c r="O143" i="6"/>
  <c r="N143" i="6"/>
  <c r="K143" i="6"/>
  <c r="J143" i="6"/>
  <c r="I143" i="6"/>
  <c r="H143" i="6"/>
  <c r="E143" i="6"/>
  <c r="D143" i="6"/>
  <c r="C143" i="6"/>
  <c r="B143" i="6"/>
  <c r="AW78" i="5"/>
  <c r="AV58" i="5" s="1"/>
  <c r="AU58" i="5" s="1"/>
  <c r="BD58" i="5" s="1"/>
  <c r="AK78" i="5"/>
  <c r="AJ57" i="5" s="1"/>
  <c r="AI57" i="5" s="1"/>
  <c r="L55" i="5" l="1"/>
  <c r="K55" i="5" s="1"/>
  <c r="AZ58" i="5"/>
  <c r="BE58" i="5"/>
  <c r="AY58" i="5"/>
  <c r="AX58" i="5"/>
  <c r="AJ62" i="5"/>
  <c r="AI62" i="5" s="1"/>
  <c r="AJ64" i="5"/>
  <c r="AI64" i="5" s="1"/>
  <c r="AJ61" i="5"/>
  <c r="AI61" i="5" s="1"/>
  <c r="AJ77" i="5"/>
  <c r="AI77" i="5" s="1"/>
  <c r="AJ75" i="5"/>
  <c r="AI75" i="5" s="1"/>
  <c r="AJ68" i="5"/>
  <c r="AI68" i="5" s="1"/>
  <c r="AJ65" i="5"/>
  <c r="AI65" i="5" s="1"/>
  <c r="AJ63" i="5"/>
  <c r="AI63" i="5" s="1"/>
  <c r="AV62" i="5"/>
  <c r="AU62" i="5" s="1"/>
  <c r="AV73" i="5"/>
  <c r="AV75" i="5"/>
  <c r="AJ74" i="5"/>
  <c r="AI74" i="5" s="1"/>
  <c r="AV71" i="5"/>
  <c r="AV66" i="5"/>
  <c r="AU66" i="5" s="1"/>
  <c r="AJ72" i="5"/>
  <c r="AI72" i="5" s="1"/>
  <c r="AV77" i="5"/>
  <c r="AV72" i="5"/>
  <c r="AV63" i="5"/>
  <c r="AU63" i="5" s="1"/>
  <c r="AJ69" i="5"/>
  <c r="AI69" i="5" s="1"/>
  <c r="AV61" i="5"/>
  <c r="AU61" i="5" s="1"/>
  <c r="AJ67" i="5"/>
  <c r="AI67" i="5" s="1"/>
  <c r="AV68" i="5"/>
  <c r="AV74" i="5"/>
  <c r="AV69" i="5"/>
  <c r="AV64" i="5"/>
  <c r="AU64" i="5" s="1"/>
  <c r="AV70" i="5"/>
  <c r="AJ76" i="5"/>
  <c r="AI76" i="5" s="1"/>
  <c r="AJ70" i="5"/>
  <c r="AI70" i="5" s="1"/>
  <c r="AV67" i="5"/>
  <c r="AJ73" i="5"/>
  <c r="AI73" i="5" s="1"/>
  <c r="AV65" i="5"/>
  <c r="AU65" i="5" s="1"/>
  <c r="AJ71" i="5"/>
  <c r="AI71" i="5" s="1"/>
  <c r="AJ66" i="5"/>
  <c r="AI66" i="5" s="1"/>
  <c r="AV76" i="5"/>
  <c r="L76" i="5"/>
  <c r="K76" i="5" s="1"/>
  <c r="L75" i="5"/>
  <c r="K75" i="5" s="1"/>
  <c r="L74" i="5"/>
  <c r="K74" i="5" s="1"/>
  <c r="L73" i="5"/>
  <c r="K73" i="5" s="1"/>
  <c r="L72" i="5"/>
  <c r="K72" i="5" s="1"/>
  <c r="L71" i="5"/>
  <c r="K71" i="5" s="1"/>
  <c r="L70" i="5"/>
  <c r="K70" i="5" s="1"/>
  <c r="L69" i="5"/>
  <c r="K69" i="5" s="1"/>
  <c r="L68" i="5"/>
  <c r="K68" i="5" s="1"/>
  <c r="L67" i="5"/>
  <c r="K67" i="5" s="1"/>
  <c r="L66" i="5"/>
  <c r="K66" i="5" s="1"/>
  <c r="L65" i="5"/>
  <c r="K65" i="5" s="1"/>
  <c r="L63" i="5"/>
  <c r="K63" i="5" s="1"/>
  <c r="L64" i="5"/>
  <c r="K64" i="5" s="1"/>
  <c r="L61" i="5"/>
  <c r="K61" i="5" s="1"/>
  <c r="L62" i="5"/>
  <c r="K62" i="5" s="1"/>
  <c r="AR57" i="5"/>
  <c r="Z101" i="6"/>
  <c r="N32" i="7" s="1"/>
  <c r="N101" i="6"/>
  <c r="N30" i="7" s="1"/>
  <c r="Q30" i="7" s="1"/>
  <c r="AS57" i="5"/>
  <c r="AM109" i="6"/>
  <c r="AI112" i="6"/>
  <c r="BD101" i="6"/>
  <c r="N37" i="7" s="1"/>
  <c r="Q37" i="7" s="1"/>
  <c r="AG112" i="6"/>
  <c r="AR101" i="6"/>
  <c r="N35" i="7" s="1"/>
  <c r="AN57" i="5"/>
  <c r="S78" i="5"/>
  <c r="R78" i="5"/>
  <c r="T101" i="6"/>
  <c r="N31" i="7" s="1"/>
  <c r="H101" i="6"/>
  <c r="N29" i="7" s="1"/>
  <c r="Q29" i="7" s="1"/>
  <c r="AV60" i="5"/>
  <c r="AU60" i="5" s="1"/>
  <c r="AM57" i="5"/>
  <c r="AL57" i="5"/>
  <c r="AJ59" i="5"/>
  <c r="AI59" i="5" s="1"/>
  <c r="AJ55" i="5"/>
  <c r="AI55" i="5" s="1"/>
  <c r="AJ58" i="5"/>
  <c r="AI58" i="5" s="1"/>
  <c r="AV56" i="5"/>
  <c r="AU56" i="5" s="1"/>
  <c r="AV59" i="5"/>
  <c r="AU59" i="5" s="1"/>
  <c r="AV55" i="5"/>
  <c r="AU55" i="5" s="1"/>
  <c r="AJ56" i="5"/>
  <c r="AI56" i="5" s="1"/>
  <c r="AV57" i="5"/>
  <c r="AU57" i="5" s="1"/>
  <c r="AJ60" i="5"/>
  <c r="AI60" i="5" s="1"/>
  <c r="DS78" i="5"/>
  <c r="HM78" i="5"/>
  <c r="FP78" i="5"/>
  <c r="IK78" i="5"/>
  <c r="CH78" i="5"/>
  <c r="EE78" i="5"/>
  <c r="JJ78" i="5"/>
  <c r="KH78" i="5"/>
  <c r="GN78" i="5"/>
  <c r="Y78" i="5"/>
  <c r="BV78" i="5"/>
  <c r="CT78" i="5"/>
  <c r="EQ78" i="5"/>
  <c r="GB78" i="5"/>
  <c r="HY78" i="5"/>
  <c r="JV78" i="5"/>
  <c r="AY66" i="5" l="1"/>
  <c r="BE66" i="5"/>
  <c r="AZ66" i="5"/>
  <c r="BD66" i="5"/>
  <c r="AX66" i="5"/>
  <c r="CB141" i="6"/>
  <c r="CE141" i="6" s="1"/>
  <c r="CC141" i="6"/>
  <c r="CD141" i="6" s="1"/>
  <c r="CB134" i="6"/>
  <c r="CE134" i="6" s="1"/>
  <c r="CC134" i="6"/>
  <c r="CD134" i="6" s="1"/>
  <c r="CB138" i="6"/>
  <c r="CE138" i="6" s="1"/>
  <c r="CC138" i="6"/>
  <c r="CD138" i="6" s="1"/>
  <c r="CB133" i="6"/>
  <c r="CE133" i="6" s="1"/>
  <c r="CC133" i="6"/>
  <c r="CD133" i="6" s="1"/>
  <c r="CB137" i="6"/>
  <c r="CE137" i="6" s="1"/>
  <c r="CC137" i="6"/>
  <c r="CD137" i="6" s="1"/>
  <c r="CC135" i="6"/>
  <c r="CD135" i="6" s="1"/>
  <c r="CB135" i="6"/>
  <c r="CE135" i="6" s="1"/>
  <c r="CC139" i="6"/>
  <c r="CD139" i="6" s="1"/>
  <c r="CB139" i="6"/>
  <c r="CE139" i="6" s="1"/>
  <c r="CB132" i="6"/>
  <c r="CE132" i="6" s="1"/>
  <c r="CC132" i="6"/>
  <c r="CD132" i="6" s="1"/>
  <c r="CC136" i="6"/>
  <c r="CD136" i="6" s="1"/>
  <c r="CB136" i="6"/>
  <c r="CE136" i="6" s="1"/>
  <c r="CC140" i="6"/>
  <c r="CD140" i="6" s="1"/>
  <c r="CB140" i="6"/>
  <c r="CE140" i="6" s="1"/>
  <c r="CG133" i="6"/>
  <c r="CF133" i="6"/>
  <c r="CG141" i="6"/>
  <c r="CF141" i="6"/>
  <c r="CF130" i="6"/>
  <c r="CG130" i="6"/>
  <c r="CF138" i="6"/>
  <c r="CG138" i="6"/>
  <c r="N61" i="5"/>
  <c r="CF126" i="6"/>
  <c r="CG126" i="6"/>
  <c r="CG131" i="6"/>
  <c r="CF131" i="6"/>
  <c r="CG135" i="6"/>
  <c r="CF135" i="6"/>
  <c r="CG139" i="6"/>
  <c r="CF139" i="6"/>
  <c r="T63" i="5"/>
  <c r="CF128" i="6"/>
  <c r="CG128" i="6"/>
  <c r="CG137" i="6"/>
  <c r="CF137" i="6"/>
  <c r="CG127" i="6"/>
  <c r="CF127" i="6"/>
  <c r="CF134" i="6"/>
  <c r="CG134" i="6"/>
  <c r="CG129" i="6"/>
  <c r="CF129" i="6"/>
  <c r="CF132" i="6"/>
  <c r="CG132" i="6"/>
  <c r="CF136" i="6"/>
  <c r="CG136" i="6"/>
  <c r="CF140" i="6"/>
  <c r="CG140" i="6"/>
  <c r="CG120" i="6"/>
  <c r="CF120" i="6"/>
  <c r="AS62" i="5"/>
  <c r="AS65" i="5"/>
  <c r="AN61" i="5"/>
  <c r="AN68" i="5"/>
  <c r="AN64" i="5"/>
  <c r="AR75" i="5"/>
  <c r="AM74" i="5"/>
  <c r="AN63" i="5"/>
  <c r="AN77" i="5"/>
  <c r="T55" i="5"/>
  <c r="N55" i="5"/>
  <c r="P55" i="5"/>
  <c r="O55" i="5"/>
  <c r="U55" i="5"/>
  <c r="AX65" i="5"/>
  <c r="AZ65" i="5"/>
  <c r="AY65" i="5"/>
  <c r="BE65" i="5"/>
  <c r="BD65" i="5"/>
  <c r="BD55" i="5"/>
  <c r="AX55" i="5"/>
  <c r="AU78" i="5"/>
  <c r="AZ55" i="5"/>
  <c r="AY55" i="5"/>
  <c r="BE55" i="5"/>
  <c r="BE57" i="5"/>
  <c r="AX57" i="5"/>
  <c r="AZ57" i="5"/>
  <c r="BD57" i="5"/>
  <c r="AY57" i="5"/>
  <c r="BD56" i="5"/>
  <c r="AX56" i="5"/>
  <c r="BE56" i="5"/>
  <c r="AZ56" i="5"/>
  <c r="AY56" i="5"/>
  <c r="AX61" i="5"/>
  <c r="AY61" i="5"/>
  <c r="BD61" i="5"/>
  <c r="AZ61" i="5"/>
  <c r="BE61" i="5"/>
  <c r="BD63" i="5"/>
  <c r="AX63" i="5"/>
  <c r="BE63" i="5"/>
  <c r="AY63" i="5"/>
  <c r="AZ63" i="5"/>
  <c r="BE59" i="5"/>
  <c r="AX59" i="5"/>
  <c r="AY59" i="5"/>
  <c r="BD59" i="5"/>
  <c r="AZ59" i="5"/>
  <c r="BE60" i="5"/>
  <c r="AY60" i="5"/>
  <c r="BD60" i="5"/>
  <c r="AZ60" i="5"/>
  <c r="AX60" i="5"/>
  <c r="BD64" i="5"/>
  <c r="AY64" i="5"/>
  <c r="AX64" i="5"/>
  <c r="AZ64" i="5"/>
  <c r="BE64" i="5"/>
  <c r="BE62" i="5"/>
  <c r="AY62" i="5"/>
  <c r="AZ62" i="5"/>
  <c r="AX62" i="5"/>
  <c r="BD62" i="5"/>
  <c r="AR62" i="5"/>
  <c r="AN65" i="5"/>
  <c r="AL75" i="5"/>
  <c r="AS75" i="5"/>
  <c r="AM65" i="5"/>
  <c r="AN62" i="5"/>
  <c r="AS61" i="5"/>
  <c r="AL68" i="5"/>
  <c r="AL62" i="5"/>
  <c r="AR65" i="5"/>
  <c r="AS68" i="5"/>
  <c r="AL65" i="5"/>
  <c r="AM62" i="5"/>
  <c r="AL77" i="5"/>
  <c r="AM64" i="5"/>
  <c r="AL74" i="5"/>
  <c r="AS64" i="5"/>
  <c r="AM68" i="5"/>
  <c r="AM77" i="5"/>
  <c r="AR77" i="5"/>
  <c r="AR68" i="5"/>
  <c r="AL64" i="5"/>
  <c r="AR64" i="5"/>
  <c r="AS77" i="5"/>
  <c r="AL61" i="5"/>
  <c r="AM61" i="5"/>
  <c r="AN74" i="5"/>
  <c r="AR61" i="5"/>
  <c r="GM76" i="5"/>
  <c r="GM74" i="5"/>
  <c r="GM72" i="5"/>
  <c r="GM70" i="5"/>
  <c r="GM68" i="5"/>
  <c r="GM66" i="5"/>
  <c r="GM64" i="5"/>
  <c r="GL64" i="5" s="1"/>
  <c r="GM62" i="5"/>
  <c r="GL62" i="5" s="1"/>
  <c r="GM75" i="5"/>
  <c r="GM77" i="5"/>
  <c r="GM73" i="5"/>
  <c r="GM65" i="5"/>
  <c r="GM67" i="5"/>
  <c r="GM71" i="5"/>
  <c r="GM63" i="5"/>
  <c r="GL63" i="5" s="1"/>
  <c r="GM69" i="5"/>
  <c r="GM61" i="5"/>
  <c r="GL61" i="5" s="1"/>
  <c r="FY72" i="5"/>
  <c r="FY68" i="5"/>
  <c r="FY76" i="5"/>
  <c r="FY77" i="5"/>
  <c r="FY69" i="5"/>
  <c r="FY75" i="5"/>
  <c r="FY67" i="5"/>
  <c r="FY74" i="5"/>
  <c r="FY71" i="5"/>
  <c r="FY73" i="5"/>
  <c r="FY70" i="5"/>
  <c r="GW76" i="5"/>
  <c r="GW77" i="5"/>
  <c r="GW75" i="5"/>
  <c r="GW73" i="5"/>
  <c r="GW71" i="5"/>
  <c r="GW69" i="5"/>
  <c r="GW67" i="5"/>
  <c r="GW65" i="5"/>
  <c r="GW72" i="5"/>
  <c r="GW68" i="5"/>
  <c r="GW74" i="5"/>
  <c r="GW70" i="5"/>
  <c r="GW66" i="5"/>
  <c r="GA76" i="5"/>
  <c r="FZ76" i="5" s="1"/>
  <c r="GA77" i="5"/>
  <c r="FZ77" i="5" s="1"/>
  <c r="GA75" i="5"/>
  <c r="FZ75" i="5" s="1"/>
  <c r="GA73" i="5"/>
  <c r="FZ73" i="5" s="1"/>
  <c r="GA71" i="5"/>
  <c r="FZ71" i="5" s="1"/>
  <c r="GA69" i="5"/>
  <c r="FZ69" i="5" s="1"/>
  <c r="GA67" i="5"/>
  <c r="FZ67" i="5" s="1"/>
  <c r="GA65" i="5"/>
  <c r="FZ65" i="5" s="1"/>
  <c r="GA63" i="5"/>
  <c r="FZ63" i="5" s="1"/>
  <c r="GA61" i="5"/>
  <c r="FZ61" i="5" s="1"/>
  <c r="GA72" i="5"/>
  <c r="FZ72" i="5" s="1"/>
  <c r="GA70" i="5"/>
  <c r="FZ70" i="5" s="1"/>
  <c r="GA68" i="5"/>
  <c r="FZ68" i="5" s="1"/>
  <c r="GA66" i="5"/>
  <c r="FZ66" i="5" s="1"/>
  <c r="GA64" i="5"/>
  <c r="FZ64" i="5" s="1"/>
  <c r="GA62" i="5"/>
  <c r="FZ62" i="5" s="1"/>
  <c r="GA74" i="5"/>
  <c r="FZ74" i="5" s="1"/>
  <c r="FO73" i="5"/>
  <c r="FO71" i="5"/>
  <c r="FO69" i="5"/>
  <c r="FO67" i="5"/>
  <c r="FO65" i="5"/>
  <c r="FN65" i="5" s="1"/>
  <c r="FO63" i="5"/>
  <c r="FN63" i="5" s="1"/>
  <c r="FO61" i="5"/>
  <c r="FN61" i="5" s="1"/>
  <c r="FO75" i="5"/>
  <c r="FO77" i="5"/>
  <c r="FO76" i="5"/>
  <c r="FO74" i="5"/>
  <c r="FO72" i="5"/>
  <c r="FO70" i="5"/>
  <c r="FO68" i="5"/>
  <c r="FO66" i="5"/>
  <c r="FN66" i="5" s="1"/>
  <c r="FO64" i="5"/>
  <c r="FN64" i="5" s="1"/>
  <c r="FO62" i="5"/>
  <c r="FN62" i="5" s="1"/>
  <c r="IJ69" i="5"/>
  <c r="IJ77" i="5"/>
  <c r="IJ73" i="5"/>
  <c r="IJ66" i="5"/>
  <c r="IJ64" i="5"/>
  <c r="II64" i="5" s="1"/>
  <c r="IJ62" i="5"/>
  <c r="II62" i="5" s="1"/>
  <c r="IJ76" i="5"/>
  <c r="IJ68" i="5"/>
  <c r="IJ72" i="5"/>
  <c r="IJ67" i="5"/>
  <c r="IJ75" i="5"/>
  <c r="IJ63" i="5"/>
  <c r="II63" i="5" s="1"/>
  <c r="IJ74" i="5"/>
  <c r="IJ71" i="5"/>
  <c r="IJ61" i="5"/>
  <c r="II61" i="5" s="1"/>
  <c r="IJ70" i="5"/>
  <c r="IJ65" i="5"/>
  <c r="HV77" i="5"/>
  <c r="HV76" i="5"/>
  <c r="HV75" i="5"/>
  <c r="HV74" i="5"/>
  <c r="HV73" i="5"/>
  <c r="HV72" i="5"/>
  <c r="HV71" i="5"/>
  <c r="HV70" i="5"/>
  <c r="HV69" i="5"/>
  <c r="HV68" i="5"/>
  <c r="HV67" i="5"/>
  <c r="IT75" i="5"/>
  <c r="IT71" i="5"/>
  <c r="IT67" i="5"/>
  <c r="IT76" i="5"/>
  <c r="IT72" i="5"/>
  <c r="IT68" i="5"/>
  <c r="IT73" i="5"/>
  <c r="IT69" i="5"/>
  <c r="IT65" i="5"/>
  <c r="IT74" i="5"/>
  <c r="IT70" i="5"/>
  <c r="IT66" i="5"/>
  <c r="IT77" i="5"/>
  <c r="HX77" i="5"/>
  <c r="HW77" i="5" s="1"/>
  <c r="HX73" i="5"/>
  <c r="HW73" i="5" s="1"/>
  <c r="HX69" i="5"/>
  <c r="HW69" i="5" s="1"/>
  <c r="HX65" i="5"/>
  <c r="HW65" i="5" s="1"/>
  <c r="HX61" i="5"/>
  <c r="HW61" i="5" s="1"/>
  <c r="HX76" i="5"/>
  <c r="HW76" i="5" s="1"/>
  <c r="HX72" i="5"/>
  <c r="HW72" i="5" s="1"/>
  <c r="HX68" i="5"/>
  <c r="HW68" i="5" s="1"/>
  <c r="HX64" i="5"/>
  <c r="HW64" i="5" s="1"/>
  <c r="HX75" i="5"/>
  <c r="HW75" i="5" s="1"/>
  <c r="HX71" i="5"/>
  <c r="HW71" i="5" s="1"/>
  <c r="HX67" i="5"/>
  <c r="HW67" i="5" s="1"/>
  <c r="HX63" i="5"/>
  <c r="HW63" i="5" s="1"/>
  <c r="HX74" i="5"/>
  <c r="HW74" i="5" s="1"/>
  <c r="HX70" i="5"/>
  <c r="HW70" i="5" s="1"/>
  <c r="HX66" i="5"/>
  <c r="HW66" i="5" s="1"/>
  <c r="HX62" i="5"/>
  <c r="HW62" i="5" s="1"/>
  <c r="HL74" i="5"/>
  <c r="HL70" i="5"/>
  <c r="HL73" i="5"/>
  <c r="HL77" i="5"/>
  <c r="HL69" i="5"/>
  <c r="HL66" i="5"/>
  <c r="HK66" i="5" s="1"/>
  <c r="HL64" i="5"/>
  <c r="HK64" i="5" s="1"/>
  <c r="HL62" i="5"/>
  <c r="HK62" i="5" s="1"/>
  <c r="HL76" i="5"/>
  <c r="HL72" i="5"/>
  <c r="HL75" i="5"/>
  <c r="HL68" i="5"/>
  <c r="HL71" i="5"/>
  <c r="HL67" i="5"/>
  <c r="HL63" i="5"/>
  <c r="HK63" i="5" s="1"/>
  <c r="HL65" i="5"/>
  <c r="HK65" i="5" s="1"/>
  <c r="HL61" i="5"/>
  <c r="HK61" i="5" s="1"/>
  <c r="JS72" i="5"/>
  <c r="JS70" i="5"/>
  <c r="JS74" i="5"/>
  <c r="JS77" i="5"/>
  <c r="JS75" i="5"/>
  <c r="JS73" i="5"/>
  <c r="JS71" i="5"/>
  <c r="JS69" i="5"/>
  <c r="JS67" i="5"/>
  <c r="JS76" i="5"/>
  <c r="JS68" i="5"/>
  <c r="JU72" i="5"/>
  <c r="JT72" i="5" s="1"/>
  <c r="JU70" i="5"/>
  <c r="JT70" i="5" s="1"/>
  <c r="JU68" i="5"/>
  <c r="JT68" i="5" s="1"/>
  <c r="JU66" i="5"/>
  <c r="JT66" i="5" s="1"/>
  <c r="JU64" i="5"/>
  <c r="JT64" i="5" s="1"/>
  <c r="JU62" i="5"/>
  <c r="JT62" i="5" s="1"/>
  <c r="JU77" i="5"/>
  <c r="JT77" i="5" s="1"/>
  <c r="JU75" i="5"/>
  <c r="JT75" i="5" s="1"/>
  <c r="JU73" i="5"/>
  <c r="JT73" i="5" s="1"/>
  <c r="JU71" i="5"/>
  <c r="JT71" i="5" s="1"/>
  <c r="JU69" i="5"/>
  <c r="JT69" i="5" s="1"/>
  <c r="JU67" i="5"/>
  <c r="JT67" i="5" s="1"/>
  <c r="JU65" i="5"/>
  <c r="JT65" i="5" s="1"/>
  <c r="JU63" i="5"/>
  <c r="JT63" i="5" s="1"/>
  <c r="JU61" i="5"/>
  <c r="JT61" i="5" s="1"/>
  <c r="JU74" i="5"/>
  <c r="JT74" i="5" s="1"/>
  <c r="JU76" i="5"/>
  <c r="JT76" i="5" s="1"/>
  <c r="KG55" i="5"/>
  <c r="KF55" i="5" s="1"/>
  <c r="KG77" i="5"/>
  <c r="KG73" i="5"/>
  <c r="KG75" i="5"/>
  <c r="KG71" i="5"/>
  <c r="KG69" i="5"/>
  <c r="KG67" i="5"/>
  <c r="KG65" i="5"/>
  <c r="KG63" i="5"/>
  <c r="KF63" i="5" s="1"/>
  <c r="KG61" i="5"/>
  <c r="KF61" i="5" s="1"/>
  <c r="KG76" i="5"/>
  <c r="KG74" i="5"/>
  <c r="KG72" i="5"/>
  <c r="KG70" i="5"/>
  <c r="KG68" i="5"/>
  <c r="KG66" i="5"/>
  <c r="KG64" i="5"/>
  <c r="KF64" i="5" s="1"/>
  <c r="KG62" i="5"/>
  <c r="KF62" i="5" s="1"/>
  <c r="JI76" i="5"/>
  <c r="JI74" i="5"/>
  <c r="JI72" i="5"/>
  <c r="JI70" i="5"/>
  <c r="JI68" i="5"/>
  <c r="JI66" i="5"/>
  <c r="JH66" i="5" s="1"/>
  <c r="JI64" i="5"/>
  <c r="JH64" i="5" s="1"/>
  <c r="JI62" i="5"/>
  <c r="JH62" i="5" s="1"/>
  <c r="JI77" i="5"/>
  <c r="JI75" i="5"/>
  <c r="JI73" i="5"/>
  <c r="JI71" i="5"/>
  <c r="JI69" i="5"/>
  <c r="JI67" i="5"/>
  <c r="JI65" i="5"/>
  <c r="JH65" i="5" s="1"/>
  <c r="JI63" i="5"/>
  <c r="JH63" i="5" s="1"/>
  <c r="JI61" i="5"/>
  <c r="JH61" i="5" s="1"/>
  <c r="KQ76" i="5"/>
  <c r="KQ68" i="5"/>
  <c r="KQ77" i="5"/>
  <c r="KQ75" i="5"/>
  <c r="KQ73" i="5"/>
  <c r="KQ71" i="5"/>
  <c r="KQ69" i="5"/>
  <c r="KQ67" i="5"/>
  <c r="KQ65" i="5"/>
  <c r="KQ74" i="5"/>
  <c r="KQ70" i="5"/>
  <c r="KQ66" i="5"/>
  <c r="KQ72" i="5"/>
  <c r="EB77" i="5"/>
  <c r="EB76" i="5"/>
  <c r="EB75" i="5"/>
  <c r="EB74" i="5"/>
  <c r="EB73" i="5"/>
  <c r="EB72" i="5"/>
  <c r="EB71" i="5"/>
  <c r="EB70" i="5"/>
  <c r="EB69" i="5"/>
  <c r="EB68" i="5"/>
  <c r="EB67" i="5"/>
  <c r="EZ75" i="5"/>
  <c r="EZ71" i="5"/>
  <c r="EZ67" i="5"/>
  <c r="EZ77" i="5"/>
  <c r="EZ74" i="5"/>
  <c r="EZ70" i="5"/>
  <c r="EZ76" i="5"/>
  <c r="EZ72" i="5"/>
  <c r="EZ68" i="5"/>
  <c r="EZ73" i="5"/>
  <c r="EZ69" i="5"/>
  <c r="EP69" i="5"/>
  <c r="EP77" i="5"/>
  <c r="EP73" i="5"/>
  <c r="EP66" i="5"/>
  <c r="EO66" i="5" s="1"/>
  <c r="EP64" i="5"/>
  <c r="EO64" i="5" s="1"/>
  <c r="EP62" i="5"/>
  <c r="EO62" i="5" s="1"/>
  <c r="EP68" i="5"/>
  <c r="EP76" i="5"/>
  <c r="EP72" i="5"/>
  <c r="EP67" i="5"/>
  <c r="EP75" i="5"/>
  <c r="EP71" i="5"/>
  <c r="EP65" i="5"/>
  <c r="EO65" i="5" s="1"/>
  <c r="EP63" i="5"/>
  <c r="EO63" i="5" s="1"/>
  <c r="EP61" i="5"/>
  <c r="EO61" i="5" s="1"/>
  <c r="EP74" i="5"/>
  <c r="EP70" i="5"/>
  <c r="ED73" i="5"/>
  <c r="EC73" i="5" s="1"/>
  <c r="ED69" i="5"/>
  <c r="EC69" i="5" s="1"/>
  <c r="ED64" i="5"/>
  <c r="EC64" i="5" s="1"/>
  <c r="ED76" i="5"/>
  <c r="EC76" i="5" s="1"/>
  <c r="ED72" i="5"/>
  <c r="EC72" i="5" s="1"/>
  <c r="ED68" i="5"/>
  <c r="EC68" i="5" s="1"/>
  <c r="ED75" i="5"/>
  <c r="EC75" i="5" s="1"/>
  <c r="ED63" i="5"/>
  <c r="EC63" i="5" s="1"/>
  <c r="ED71" i="5"/>
  <c r="EC71" i="5" s="1"/>
  <c r="ED67" i="5"/>
  <c r="EC67" i="5" s="1"/>
  <c r="ED74" i="5"/>
  <c r="EC74" i="5" s="1"/>
  <c r="ED70" i="5"/>
  <c r="EC70" i="5" s="1"/>
  <c r="ED66" i="5"/>
  <c r="EC66" i="5" s="1"/>
  <c r="ED62" i="5"/>
  <c r="EC62" i="5" s="1"/>
  <c r="ED65" i="5"/>
  <c r="EC65" i="5" s="1"/>
  <c r="ED77" i="5"/>
  <c r="EC77" i="5" s="1"/>
  <c r="ED61" i="5"/>
  <c r="EC61" i="5" s="1"/>
  <c r="DR74" i="5"/>
  <c r="DR70" i="5"/>
  <c r="DR77" i="5"/>
  <c r="DR73" i="5"/>
  <c r="DR69" i="5"/>
  <c r="DR66" i="5"/>
  <c r="DQ66" i="5" s="1"/>
  <c r="DR64" i="5"/>
  <c r="DQ64" i="5" s="1"/>
  <c r="DR62" i="5"/>
  <c r="DQ62" i="5" s="1"/>
  <c r="DR76" i="5"/>
  <c r="DR72" i="5"/>
  <c r="DR68" i="5"/>
  <c r="DR75" i="5"/>
  <c r="DR67" i="5"/>
  <c r="DR65" i="5"/>
  <c r="DQ65" i="5" s="1"/>
  <c r="DR61" i="5"/>
  <c r="DQ61" i="5" s="1"/>
  <c r="DR71" i="5"/>
  <c r="DR63" i="5"/>
  <c r="DQ63" i="5" s="1"/>
  <c r="CE72" i="5"/>
  <c r="CE68" i="5"/>
  <c r="CE76" i="5"/>
  <c r="CE77" i="5"/>
  <c r="CE75" i="5"/>
  <c r="CE73" i="5"/>
  <c r="CE71" i="5"/>
  <c r="CE69" i="5"/>
  <c r="CE67" i="5"/>
  <c r="CE70" i="5"/>
  <c r="CE74" i="5"/>
  <c r="CG66" i="5"/>
  <c r="CF66" i="5" s="1"/>
  <c r="CG64" i="5"/>
  <c r="CF64" i="5" s="1"/>
  <c r="CG62" i="5"/>
  <c r="CF62" i="5" s="1"/>
  <c r="CG68" i="5"/>
  <c r="CF68" i="5" s="1"/>
  <c r="CG75" i="5"/>
  <c r="CF75" i="5" s="1"/>
  <c r="CG71" i="5"/>
  <c r="CF71" i="5" s="1"/>
  <c r="CG67" i="5"/>
  <c r="CF67" i="5" s="1"/>
  <c r="CG63" i="5"/>
  <c r="CF63" i="5" s="1"/>
  <c r="CG76" i="5"/>
  <c r="CF76" i="5" s="1"/>
  <c r="CG72" i="5"/>
  <c r="CF72" i="5" s="1"/>
  <c r="CG65" i="5"/>
  <c r="CF65" i="5" s="1"/>
  <c r="CG77" i="5"/>
  <c r="CF77" i="5" s="1"/>
  <c r="CG61" i="5"/>
  <c r="CF61" i="5" s="1"/>
  <c r="CG74" i="5"/>
  <c r="CF74" i="5" s="1"/>
  <c r="CG69" i="5"/>
  <c r="CF69" i="5" s="1"/>
  <c r="CG70" i="5"/>
  <c r="CF70" i="5" s="1"/>
  <c r="CG73" i="5"/>
  <c r="CF73" i="5" s="1"/>
  <c r="DC76" i="5"/>
  <c r="DC74" i="5"/>
  <c r="DC72" i="5"/>
  <c r="DC68" i="5"/>
  <c r="DC70" i="5"/>
  <c r="DC73" i="5"/>
  <c r="DC75" i="5"/>
  <c r="DC67" i="5"/>
  <c r="DC77" i="5"/>
  <c r="DC71" i="5"/>
  <c r="DC69" i="5"/>
  <c r="BU76" i="5"/>
  <c r="BU72" i="5"/>
  <c r="BU68" i="5"/>
  <c r="BU64" i="5"/>
  <c r="BT64" i="5" s="1"/>
  <c r="BU77" i="5"/>
  <c r="BU73" i="5"/>
  <c r="BU69" i="5"/>
  <c r="BU74" i="5"/>
  <c r="BU75" i="5"/>
  <c r="BU67" i="5"/>
  <c r="BU70" i="5"/>
  <c r="BU71" i="5"/>
  <c r="BU65" i="5"/>
  <c r="BT65" i="5" s="1"/>
  <c r="BU62" i="5"/>
  <c r="BT62" i="5" s="1"/>
  <c r="BU61" i="5"/>
  <c r="BT61" i="5" s="1"/>
  <c r="BU66" i="5"/>
  <c r="BT66" i="5" s="1"/>
  <c r="BU63" i="5"/>
  <c r="BT63" i="5" s="1"/>
  <c r="CS69" i="5"/>
  <c r="CS76" i="5"/>
  <c r="CS72" i="5"/>
  <c r="CS68" i="5"/>
  <c r="CS64" i="5"/>
  <c r="CR64" i="5" s="1"/>
  <c r="CS77" i="5"/>
  <c r="CS73" i="5"/>
  <c r="CS74" i="5"/>
  <c r="CS66" i="5"/>
  <c r="CR66" i="5" s="1"/>
  <c r="CS75" i="5"/>
  <c r="CS71" i="5"/>
  <c r="CS65" i="5"/>
  <c r="CR65" i="5" s="1"/>
  <c r="CS61" i="5"/>
  <c r="CR61" i="5" s="1"/>
  <c r="CS67" i="5"/>
  <c r="CS70" i="5"/>
  <c r="CS62" i="5"/>
  <c r="CR62" i="5" s="1"/>
  <c r="CS63" i="5"/>
  <c r="CR63" i="5" s="1"/>
  <c r="AL63" i="5"/>
  <c r="AS63" i="5"/>
  <c r="AR63" i="5"/>
  <c r="AM63" i="5"/>
  <c r="AN75" i="5"/>
  <c r="AM75" i="5"/>
  <c r="AS74" i="5"/>
  <c r="AR74" i="5"/>
  <c r="AR73" i="5"/>
  <c r="AL73" i="5"/>
  <c r="AS73" i="5"/>
  <c r="AM73" i="5"/>
  <c r="AN73" i="5"/>
  <c r="AR69" i="5"/>
  <c r="AM69" i="5"/>
  <c r="AN69" i="5"/>
  <c r="AS69" i="5"/>
  <c r="AL69" i="5"/>
  <c r="AR72" i="5"/>
  <c r="AN72" i="5"/>
  <c r="AL72" i="5"/>
  <c r="AS72" i="5"/>
  <c r="AM72" i="5"/>
  <c r="X77" i="5"/>
  <c r="X61" i="5"/>
  <c r="W61" i="5" s="1"/>
  <c r="CB126" i="6" s="1"/>
  <c r="CE126" i="6" s="1"/>
  <c r="X63" i="5"/>
  <c r="W63" i="5" s="1"/>
  <c r="CB128" i="6" s="1"/>
  <c r="CE128" i="6" s="1"/>
  <c r="X66" i="5"/>
  <c r="W66" i="5" s="1"/>
  <c r="CB131" i="6" s="1"/>
  <c r="CE131" i="6" s="1"/>
  <c r="X65" i="5"/>
  <c r="W65" i="5" s="1"/>
  <c r="CB130" i="6" s="1"/>
  <c r="CE130" i="6" s="1"/>
  <c r="X70" i="5"/>
  <c r="X72" i="5"/>
  <c r="X71" i="5"/>
  <c r="X73" i="5"/>
  <c r="X75" i="5"/>
  <c r="X62" i="5"/>
  <c r="W62" i="5" s="1"/>
  <c r="CB127" i="6" s="1"/>
  <c r="CE127" i="6" s="1"/>
  <c r="X67" i="5"/>
  <c r="X68" i="5"/>
  <c r="X69" i="5"/>
  <c r="X76" i="5"/>
  <c r="X64" i="5"/>
  <c r="W64" i="5" s="1"/>
  <c r="CB129" i="6" s="1"/>
  <c r="CE129" i="6" s="1"/>
  <c r="X74" i="5"/>
  <c r="AH67" i="5"/>
  <c r="AH69" i="5"/>
  <c r="AH71" i="5"/>
  <c r="AH68" i="5"/>
  <c r="AH73" i="5"/>
  <c r="AH74" i="5"/>
  <c r="AH76" i="5"/>
  <c r="AH70" i="5"/>
  <c r="AH75" i="5"/>
  <c r="AH72" i="5"/>
  <c r="AH77" i="5"/>
  <c r="BF72" i="5"/>
  <c r="BF74" i="5"/>
  <c r="BF77" i="5"/>
  <c r="BF69" i="5"/>
  <c r="BF71" i="5"/>
  <c r="BF68" i="5"/>
  <c r="BF70" i="5"/>
  <c r="BF75" i="5"/>
  <c r="BF73" i="5"/>
  <c r="BF76" i="5"/>
  <c r="BF67" i="5"/>
  <c r="AR76" i="5"/>
  <c r="AS76" i="5"/>
  <c r="AL76" i="5"/>
  <c r="AM76" i="5"/>
  <c r="AN76" i="5"/>
  <c r="AR66" i="5"/>
  <c r="AN66" i="5"/>
  <c r="AS66" i="5"/>
  <c r="AL66" i="5"/>
  <c r="AM66" i="5"/>
  <c r="AR71" i="5"/>
  <c r="AL71" i="5"/>
  <c r="AS71" i="5"/>
  <c r="AM71" i="5"/>
  <c r="AN71" i="5"/>
  <c r="AR70" i="5"/>
  <c r="AS70" i="5"/>
  <c r="AL70" i="5"/>
  <c r="AM70" i="5"/>
  <c r="AN70" i="5"/>
  <c r="AR67" i="5"/>
  <c r="AN67" i="5"/>
  <c r="AM67" i="5"/>
  <c r="AS67" i="5"/>
  <c r="AL67" i="5"/>
  <c r="T76" i="5"/>
  <c r="U76" i="5"/>
  <c r="O76" i="5"/>
  <c r="N76" i="5"/>
  <c r="P76" i="5"/>
  <c r="T75" i="5"/>
  <c r="O75" i="5"/>
  <c r="N75" i="5"/>
  <c r="U75" i="5"/>
  <c r="P75" i="5"/>
  <c r="T74" i="5"/>
  <c r="U74" i="5"/>
  <c r="N74" i="5"/>
  <c r="P74" i="5"/>
  <c r="O74" i="5"/>
  <c r="T73" i="5"/>
  <c r="P73" i="5"/>
  <c r="N73" i="5"/>
  <c r="O73" i="5"/>
  <c r="U73" i="5"/>
  <c r="T72" i="5"/>
  <c r="U72" i="5"/>
  <c r="O72" i="5"/>
  <c r="N72" i="5"/>
  <c r="P72" i="5"/>
  <c r="T71" i="5"/>
  <c r="N71" i="5"/>
  <c r="P71" i="5"/>
  <c r="O71" i="5"/>
  <c r="U71" i="5"/>
  <c r="T70" i="5"/>
  <c r="U70" i="5"/>
  <c r="P70" i="5"/>
  <c r="O70" i="5"/>
  <c r="N70" i="5"/>
  <c r="U61" i="5"/>
  <c r="T61" i="5"/>
  <c r="P61" i="5"/>
  <c r="T69" i="5"/>
  <c r="P69" i="5"/>
  <c r="O69" i="5"/>
  <c r="N69" i="5"/>
  <c r="U69" i="5"/>
  <c r="T68" i="5"/>
  <c r="U68" i="5"/>
  <c r="N68" i="5"/>
  <c r="O68" i="5"/>
  <c r="P68" i="5"/>
  <c r="T67" i="5"/>
  <c r="U67" i="5"/>
  <c r="P67" i="5"/>
  <c r="N67" i="5"/>
  <c r="O67" i="5"/>
  <c r="U63" i="5"/>
  <c r="T66" i="5"/>
  <c r="U66" i="5"/>
  <c r="P66" i="5"/>
  <c r="N66" i="5"/>
  <c r="O66" i="5"/>
  <c r="N63" i="5"/>
  <c r="O63" i="5"/>
  <c r="P63" i="5"/>
  <c r="T65" i="5"/>
  <c r="N65" i="5"/>
  <c r="O65" i="5"/>
  <c r="U65" i="5"/>
  <c r="P65" i="5"/>
  <c r="O61" i="5"/>
  <c r="T64" i="5"/>
  <c r="P64" i="5"/>
  <c r="O64" i="5"/>
  <c r="N64" i="5"/>
  <c r="U64" i="5"/>
  <c r="T62" i="5"/>
  <c r="U62" i="5"/>
  <c r="N62" i="5"/>
  <c r="P62" i="5"/>
  <c r="O62" i="5"/>
  <c r="AR60" i="5"/>
  <c r="AR56" i="5"/>
  <c r="AR55" i="5"/>
  <c r="AR58" i="5"/>
  <c r="AR59" i="5"/>
  <c r="B112" i="6"/>
  <c r="B101" i="6" s="1"/>
  <c r="AF101" i="6"/>
  <c r="N33" i="7" s="1"/>
  <c r="AS58" i="5"/>
  <c r="AS55" i="5"/>
  <c r="BD96" i="6"/>
  <c r="AS56" i="5"/>
  <c r="BD97" i="6"/>
  <c r="AS60" i="5"/>
  <c r="AS59" i="5"/>
  <c r="BD100" i="6"/>
  <c r="JZ148" i="6" s="1"/>
  <c r="BW143" i="6" s="1"/>
  <c r="AX109" i="6"/>
  <c r="AX98" i="6" s="1"/>
  <c r="L36" i="7" s="1"/>
  <c r="AX96" i="6"/>
  <c r="AN58" i="5"/>
  <c r="AN60" i="5"/>
  <c r="AN59" i="5"/>
  <c r="AN56" i="5"/>
  <c r="AN55" i="5"/>
  <c r="L77" i="5"/>
  <c r="K77" i="5" s="1"/>
  <c r="AV78" i="5"/>
  <c r="AJ78" i="5"/>
  <c r="EP55" i="5"/>
  <c r="EO55" i="5" s="1"/>
  <c r="EP58" i="5"/>
  <c r="EO58" i="5" s="1"/>
  <c r="EP56" i="5"/>
  <c r="EO56" i="5" s="1"/>
  <c r="EP60" i="5"/>
  <c r="EO60" i="5" s="1"/>
  <c r="EP59" i="5"/>
  <c r="EO59" i="5" s="1"/>
  <c r="EP57" i="5"/>
  <c r="EO57" i="5" s="1"/>
  <c r="GM56" i="5"/>
  <c r="GL56" i="5" s="1"/>
  <c r="GM57" i="5"/>
  <c r="GL57" i="5" s="1"/>
  <c r="GM59" i="5"/>
  <c r="GL59" i="5" s="1"/>
  <c r="GM55" i="5"/>
  <c r="GL55" i="5" s="1"/>
  <c r="GM60" i="5"/>
  <c r="GL60" i="5" s="1"/>
  <c r="GM58" i="5"/>
  <c r="GL58" i="5" s="1"/>
  <c r="JI56" i="5"/>
  <c r="JH56" i="5" s="1"/>
  <c r="JI59" i="5"/>
  <c r="JH59" i="5" s="1"/>
  <c r="JI60" i="5"/>
  <c r="JH60" i="5" s="1"/>
  <c r="JI55" i="5"/>
  <c r="JH55" i="5" s="1"/>
  <c r="JI57" i="5"/>
  <c r="JH57" i="5" s="1"/>
  <c r="JI58" i="5"/>
  <c r="JH58" i="5" s="1"/>
  <c r="IJ58" i="5"/>
  <c r="II58" i="5" s="1"/>
  <c r="IJ57" i="5"/>
  <c r="II57" i="5" s="1"/>
  <c r="IJ59" i="5"/>
  <c r="II59" i="5" s="1"/>
  <c r="IJ55" i="5"/>
  <c r="II55" i="5" s="1"/>
  <c r="IJ56" i="5"/>
  <c r="II56" i="5" s="1"/>
  <c r="IJ60" i="5"/>
  <c r="II60" i="5" s="1"/>
  <c r="FO56" i="5"/>
  <c r="FN56" i="5" s="1"/>
  <c r="FO60" i="5"/>
  <c r="FN60" i="5" s="1"/>
  <c r="FO55" i="5"/>
  <c r="FN55" i="5" s="1"/>
  <c r="FO59" i="5"/>
  <c r="FN59" i="5" s="1"/>
  <c r="FO57" i="5"/>
  <c r="FN57" i="5" s="1"/>
  <c r="FO58" i="5"/>
  <c r="FN58" i="5" s="1"/>
  <c r="DR60" i="5"/>
  <c r="DQ60" i="5" s="1"/>
  <c r="DR55" i="5"/>
  <c r="DQ55" i="5" s="1"/>
  <c r="DR57" i="5"/>
  <c r="DQ57" i="5" s="1"/>
  <c r="DR58" i="5"/>
  <c r="DQ58" i="5" s="1"/>
  <c r="DR56" i="5"/>
  <c r="DQ56" i="5" s="1"/>
  <c r="DR59" i="5"/>
  <c r="DQ59" i="5" s="1"/>
  <c r="JU55" i="5"/>
  <c r="JU58" i="5"/>
  <c r="JT58" i="5" s="1"/>
  <c r="JU60" i="5"/>
  <c r="JT60" i="5" s="1"/>
  <c r="JU57" i="5"/>
  <c r="JT57" i="5" s="1"/>
  <c r="JU59" i="5"/>
  <c r="JT59" i="5" s="1"/>
  <c r="JU56" i="5"/>
  <c r="JT56" i="5" s="1"/>
  <c r="AM60" i="5"/>
  <c r="AL60" i="5"/>
  <c r="AM59" i="5"/>
  <c r="AL59" i="5"/>
  <c r="BU56" i="5"/>
  <c r="BT56" i="5" s="1"/>
  <c r="BU60" i="5"/>
  <c r="BT60" i="5" s="1"/>
  <c r="BU55" i="5"/>
  <c r="BT55" i="5" s="1"/>
  <c r="BU57" i="5"/>
  <c r="BT57" i="5" s="1"/>
  <c r="BU58" i="5"/>
  <c r="BT58" i="5" s="1"/>
  <c r="BU59" i="5"/>
  <c r="BT59" i="5" s="1"/>
  <c r="ED55" i="5"/>
  <c r="ED60" i="5"/>
  <c r="EC60" i="5" s="1"/>
  <c r="ED56" i="5"/>
  <c r="EC56" i="5" s="1"/>
  <c r="ED59" i="5"/>
  <c r="EC59" i="5" s="1"/>
  <c r="ED57" i="5"/>
  <c r="EC57" i="5" s="1"/>
  <c r="ED58" i="5"/>
  <c r="EC58" i="5" s="1"/>
  <c r="HL56" i="5"/>
  <c r="HK56" i="5" s="1"/>
  <c r="HL60" i="5"/>
  <c r="HK60" i="5" s="1"/>
  <c r="HL55" i="5"/>
  <c r="HK55" i="5" s="1"/>
  <c r="HL58" i="5"/>
  <c r="HK58" i="5" s="1"/>
  <c r="HL59" i="5"/>
  <c r="HK59" i="5" s="1"/>
  <c r="HL57" i="5"/>
  <c r="HK57" i="5" s="1"/>
  <c r="L58" i="5"/>
  <c r="K58" i="5" s="1"/>
  <c r="L56" i="5"/>
  <c r="K56" i="5" s="1"/>
  <c r="L57" i="5"/>
  <c r="K57" i="5" s="1"/>
  <c r="L59" i="5"/>
  <c r="K59" i="5" s="1"/>
  <c r="L60" i="5"/>
  <c r="K60" i="5" s="1"/>
  <c r="GA59" i="5"/>
  <c r="FZ59" i="5" s="1"/>
  <c r="GA55" i="5"/>
  <c r="GA60" i="5"/>
  <c r="FZ60" i="5" s="1"/>
  <c r="GA56" i="5"/>
  <c r="FZ56" i="5" s="1"/>
  <c r="GA57" i="5"/>
  <c r="FZ57" i="5" s="1"/>
  <c r="GA58" i="5"/>
  <c r="FZ58" i="5" s="1"/>
  <c r="CS57" i="5"/>
  <c r="CR57" i="5" s="1"/>
  <c r="CS58" i="5"/>
  <c r="CR58" i="5" s="1"/>
  <c r="CS56" i="5"/>
  <c r="CR56" i="5" s="1"/>
  <c r="CS59" i="5"/>
  <c r="CR59" i="5" s="1"/>
  <c r="CS55" i="5"/>
  <c r="CR55" i="5" s="1"/>
  <c r="CS60" i="5"/>
  <c r="CR60" i="5" s="1"/>
  <c r="HX59" i="5"/>
  <c r="HW59" i="5" s="1"/>
  <c r="HX55" i="5"/>
  <c r="HX57" i="5"/>
  <c r="HW57" i="5" s="1"/>
  <c r="HX56" i="5"/>
  <c r="HW56" i="5" s="1"/>
  <c r="HX58" i="5"/>
  <c r="HW58" i="5" s="1"/>
  <c r="HX60" i="5"/>
  <c r="HW60" i="5" s="1"/>
  <c r="X56" i="5"/>
  <c r="W56" i="5" s="1"/>
  <c r="X57" i="5"/>
  <c r="W57" i="5" s="1"/>
  <c r="X60" i="5"/>
  <c r="W60" i="5" s="1"/>
  <c r="X59" i="5"/>
  <c r="W59" i="5" s="1"/>
  <c r="X58" i="5"/>
  <c r="W58" i="5" s="1"/>
  <c r="KG57" i="5"/>
  <c r="KF57" i="5" s="1"/>
  <c r="KG56" i="5"/>
  <c r="KF56" i="5" s="1"/>
  <c r="KG60" i="5"/>
  <c r="KF60" i="5" s="1"/>
  <c r="KG58" i="5"/>
  <c r="KF58" i="5" s="1"/>
  <c r="KG59" i="5"/>
  <c r="KF59" i="5" s="1"/>
  <c r="CG55" i="5"/>
  <c r="CG59" i="5"/>
  <c r="CF59" i="5" s="1"/>
  <c r="CG58" i="5"/>
  <c r="CF58" i="5" s="1"/>
  <c r="CG60" i="5"/>
  <c r="CF60" i="5" s="1"/>
  <c r="CG57" i="5"/>
  <c r="CF57" i="5" s="1"/>
  <c r="CG56" i="5"/>
  <c r="CF56" i="5" s="1"/>
  <c r="AM56" i="5"/>
  <c r="AL56" i="5"/>
  <c r="AM58" i="5"/>
  <c r="AL58" i="5"/>
  <c r="AM55" i="5"/>
  <c r="AL55" i="5"/>
  <c r="AI78" i="5"/>
  <c r="X55" i="5"/>
  <c r="W55" i="5" s="1"/>
  <c r="CB120" i="6" s="1"/>
  <c r="CE120" i="6" s="1"/>
  <c r="IX78" i="5"/>
  <c r="ET66" i="5" l="1"/>
  <c r="ER66" i="5"/>
  <c r="EX66" i="5"/>
  <c r="EY66" i="5"/>
  <c r="ES66" i="5"/>
  <c r="ET65" i="5"/>
  <c r="EX65" i="5"/>
  <c r="EY65" i="5"/>
  <c r="ER65" i="5"/>
  <c r="ES65" i="5"/>
  <c r="DB66" i="5"/>
  <c r="CW66" i="5"/>
  <c r="DA66" i="5"/>
  <c r="CU66" i="5"/>
  <c r="CV66" i="5"/>
  <c r="DA65" i="5"/>
  <c r="CV65" i="5"/>
  <c r="DB65" i="5"/>
  <c r="CU65" i="5"/>
  <c r="CW65" i="5"/>
  <c r="JQ65" i="5"/>
  <c r="JR65" i="5"/>
  <c r="JM65" i="5"/>
  <c r="JL65" i="5"/>
  <c r="JK65" i="5"/>
  <c r="JR66" i="5"/>
  <c r="JM66" i="5"/>
  <c r="JK66" i="5"/>
  <c r="JL66" i="5"/>
  <c r="JQ66" i="5"/>
  <c r="HU66" i="5"/>
  <c r="HN66" i="5"/>
  <c r="HT66" i="5"/>
  <c r="HO66" i="5"/>
  <c r="HP66" i="5"/>
  <c r="HT65" i="5"/>
  <c r="HN65" i="5"/>
  <c r="HU65" i="5"/>
  <c r="HP65" i="5"/>
  <c r="HO65" i="5"/>
  <c r="FQ65" i="5"/>
  <c r="FR65" i="5"/>
  <c r="FS65" i="5"/>
  <c r="FW65" i="5"/>
  <c r="FX65" i="5"/>
  <c r="FW66" i="5"/>
  <c r="FX66" i="5"/>
  <c r="FR66" i="5"/>
  <c r="FS66" i="5"/>
  <c r="FQ66" i="5"/>
  <c r="DT65" i="5"/>
  <c r="DV65" i="5"/>
  <c r="DU65" i="5"/>
  <c r="DZ65" i="5"/>
  <c r="EA65" i="5"/>
  <c r="DZ66" i="5"/>
  <c r="EA66" i="5"/>
  <c r="DT66" i="5"/>
  <c r="DU66" i="5"/>
  <c r="DV66" i="5"/>
  <c r="CC131" i="6"/>
  <c r="CD131" i="6" s="1"/>
  <c r="CO131" i="6" s="1"/>
  <c r="AF66" i="5"/>
  <c r="AG66" i="5"/>
  <c r="AB66" i="5"/>
  <c r="Z66" i="5"/>
  <c r="AA66" i="5"/>
  <c r="BY66" i="5"/>
  <c r="CC66" i="5"/>
  <c r="CD66" i="5"/>
  <c r="BW66" i="5"/>
  <c r="BX66" i="5"/>
  <c r="CC65" i="5"/>
  <c r="CD65" i="5"/>
  <c r="BW65" i="5"/>
  <c r="BY65" i="5"/>
  <c r="BX65" i="5"/>
  <c r="CC129" i="6"/>
  <c r="CD129" i="6" s="1"/>
  <c r="CS129" i="6" s="1"/>
  <c r="CC127" i="6"/>
  <c r="CD127" i="6" s="1"/>
  <c r="CS127" i="6" s="1"/>
  <c r="CC128" i="6"/>
  <c r="CD128" i="6" s="1"/>
  <c r="CS128" i="6" s="1"/>
  <c r="CC126" i="6"/>
  <c r="CD126" i="6" s="1"/>
  <c r="CC130" i="6"/>
  <c r="CD130" i="6" s="1"/>
  <c r="CS130" i="6" s="1"/>
  <c r="CC120" i="6"/>
  <c r="CD120" i="6" s="1"/>
  <c r="CB125" i="6"/>
  <c r="CE125" i="6" s="1"/>
  <c r="CB123" i="6"/>
  <c r="CE123" i="6" s="1"/>
  <c r="CB124" i="6"/>
  <c r="CE124" i="6" s="1"/>
  <c r="CB122" i="6"/>
  <c r="CE122" i="6" s="1"/>
  <c r="CB121" i="6"/>
  <c r="CE121" i="6" s="1"/>
  <c r="CB142" i="6"/>
  <c r="CE142" i="6" s="1"/>
  <c r="CC142" i="6"/>
  <c r="CD142" i="6" s="1"/>
  <c r="AT37" i="7"/>
  <c r="AF37" i="7"/>
  <c r="AT22" i="7"/>
  <c r="AS22" i="7" s="1"/>
  <c r="CH120" i="6"/>
  <c r="CI120" i="6" s="1"/>
  <c r="CH132" i="6"/>
  <c r="CI132" i="6" s="1"/>
  <c r="CH126" i="6"/>
  <c r="CI126" i="6" s="1"/>
  <c r="CH138" i="6"/>
  <c r="CI138" i="6" s="1"/>
  <c r="CH141" i="6"/>
  <c r="CI141" i="6" s="1"/>
  <c r="CH129" i="6"/>
  <c r="CI129" i="6" s="1"/>
  <c r="CH135" i="6"/>
  <c r="CI135" i="6" s="1"/>
  <c r="I37" i="7"/>
  <c r="AD37" i="7" s="1"/>
  <c r="JS145" i="6"/>
  <c r="JQ145" i="6"/>
  <c r="CH140" i="6"/>
  <c r="CI140" i="6" s="1"/>
  <c r="CS132" i="6"/>
  <c r="CH134" i="6"/>
  <c r="CI134" i="6" s="1"/>
  <c r="CH137" i="6"/>
  <c r="CI137" i="6" s="1"/>
  <c r="CS135" i="6"/>
  <c r="T56" i="5"/>
  <c r="CG121" i="6"/>
  <c r="CF121" i="6"/>
  <c r="CF142" i="6"/>
  <c r="CG142" i="6"/>
  <c r="CS136" i="6"/>
  <c r="CH127" i="6"/>
  <c r="CI127" i="6" s="1"/>
  <c r="CO137" i="6"/>
  <c r="CH128" i="6"/>
  <c r="CI128" i="6" s="1"/>
  <c r="CS139" i="6"/>
  <c r="CH131" i="6"/>
  <c r="CI131" i="6" s="1"/>
  <c r="CH130" i="6"/>
  <c r="CI130" i="6" s="1"/>
  <c r="CH133" i="6"/>
  <c r="CI133" i="6" s="1"/>
  <c r="CF122" i="6"/>
  <c r="CG122" i="6"/>
  <c r="CG125" i="6"/>
  <c r="CF125" i="6"/>
  <c r="CG123" i="6"/>
  <c r="CF123" i="6"/>
  <c r="J37" i="7"/>
  <c r="AE37" i="7" s="1"/>
  <c r="JT145" i="6"/>
  <c r="JR145" i="6"/>
  <c r="CQ133" i="6"/>
  <c r="U59" i="5"/>
  <c r="CF124" i="6"/>
  <c r="CG124" i="6"/>
  <c r="J36" i="7"/>
  <c r="IW145" i="6"/>
  <c r="IY145" i="6"/>
  <c r="CS140" i="6"/>
  <c r="CH136" i="6"/>
  <c r="CI136" i="6" s="1"/>
  <c r="CH139" i="6"/>
  <c r="CI139" i="6" s="1"/>
  <c r="CO141" i="6"/>
  <c r="AF65" i="5"/>
  <c r="AG65" i="5"/>
  <c r="Z65" i="5"/>
  <c r="AA65" i="5"/>
  <c r="AB65" i="5"/>
  <c r="KK62" i="5"/>
  <c r="KO62" i="5"/>
  <c r="KI62" i="5"/>
  <c r="KJ62" i="5"/>
  <c r="KP62" i="5"/>
  <c r="KO60" i="5"/>
  <c r="KK60" i="5"/>
  <c r="KJ60" i="5"/>
  <c r="KI60" i="5"/>
  <c r="KP60" i="5"/>
  <c r="KO63" i="5"/>
  <c r="KK63" i="5"/>
  <c r="KJ63" i="5"/>
  <c r="KI63" i="5"/>
  <c r="KP63" i="5"/>
  <c r="KK55" i="5"/>
  <c r="KI55" i="5"/>
  <c r="KP55" i="5"/>
  <c r="KJ55" i="5"/>
  <c r="KO55" i="5"/>
  <c r="KF78" i="5"/>
  <c r="KK56" i="5"/>
  <c r="KJ56" i="5"/>
  <c r="KP56" i="5"/>
  <c r="KI56" i="5"/>
  <c r="KO56" i="5"/>
  <c r="KK58" i="5"/>
  <c r="KO58" i="5"/>
  <c r="KP58" i="5"/>
  <c r="KI58" i="5"/>
  <c r="KJ58" i="5"/>
  <c r="KK61" i="5"/>
  <c r="KJ61" i="5"/>
  <c r="KO61" i="5"/>
  <c r="KP61" i="5"/>
  <c r="KI61" i="5"/>
  <c r="KJ64" i="5"/>
  <c r="KO64" i="5"/>
  <c r="KK64" i="5"/>
  <c r="KI64" i="5"/>
  <c r="KP64" i="5"/>
  <c r="KK59" i="5"/>
  <c r="KJ59" i="5"/>
  <c r="KP59" i="5"/>
  <c r="KO59" i="5"/>
  <c r="KI59" i="5"/>
  <c r="KO57" i="5"/>
  <c r="KI57" i="5"/>
  <c r="KK57" i="5"/>
  <c r="KP57" i="5"/>
  <c r="KJ57" i="5"/>
  <c r="IR59" i="5"/>
  <c r="IL59" i="5"/>
  <c r="IS59" i="5"/>
  <c r="IN59" i="5"/>
  <c r="IM59" i="5"/>
  <c r="IS60" i="5"/>
  <c r="IN60" i="5"/>
  <c r="IR60" i="5"/>
  <c r="IM60" i="5"/>
  <c r="IL60" i="5"/>
  <c r="IL63" i="5"/>
  <c r="IS63" i="5"/>
  <c r="IN63" i="5"/>
  <c r="IM63" i="5"/>
  <c r="IR63" i="5"/>
  <c r="IN64" i="5"/>
  <c r="IR64" i="5"/>
  <c r="IS64" i="5"/>
  <c r="IM64" i="5"/>
  <c r="IL64" i="5"/>
  <c r="IL57" i="5"/>
  <c r="IM57" i="5"/>
  <c r="IN57" i="5"/>
  <c r="IR57" i="5"/>
  <c r="IS57" i="5"/>
  <c r="IN56" i="5"/>
  <c r="IM56" i="5"/>
  <c r="IR56" i="5"/>
  <c r="IS56" i="5"/>
  <c r="IL56" i="5"/>
  <c r="IR58" i="5"/>
  <c r="IN58" i="5"/>
  <c r="IS58" i="5"/>
  <c r="IL58" i="5"/>
  <c r="IM58" i="5"/>
  <c r="IS61" i="5"/>
  <c r="IR61" i="5"/>
  <c r="IN61" i="5"/>
  <c r="IL61" i="5"/>
  <c r="IM61" i="5"/>
  <c r="IS55" i="5"/>
  <c r="IL55" i="5"/>
  <c r="IR55" i="5"/>
  <c r="IR78" i="5" s="1"/>
  <c r="AC113" i="6" s="1"/>
  <c r="IN55" i="5"/>
  <c r="IM55" i="5"/>
  <c r="II78" i="5"/>
  <c r="IR62" i="5"/>
  <c r="IN62" i="5"/>
  <c r="IS62" i="5"/>
  <c r="IL62" i="5"/>
  <c r="IM62" i="5"/>
  <c r="GO55" i="5"/>
  <c r="GQ55" i="5"/>
  <c r="GU55" i="5"/>
  <c r="GV55" i="5"/>
  <c r="GV78" i="5" s="1"/>
  <c r="GW56" i="5" s="1"/>
  <c r="GP55" i="5"/>
  <c r="GL78" i="5"/>
  <c r="GU59" i="5"/>
  <c r="GQ59" i="5"/>
  <c r="GP59" i="5"/>
  <c r="GV59" i="5"/>
  <c r="GO59" i="5"/>
  <c r="GV61" i="5"/>
  <c r="GQ61" i="5"/>
  <c r="GP61" i="5"/>
  <c r="GU61" i="5"/>
  <c r="GO61" i="5"/>
  <c r="GQ58" i="5"/>
  <c r="GO58" i="5"/>
  <c r="GV58" i="5"/>
  <c r="GP58" i="5"/>
  <c r="GU58" i="5"/>
  <c r="GP57" i="5"/>
  <c r="GO57" i="5"/>
  <c r="GV57" i="5"/>
  <c r="GQ57" i="5"/>
  <c r="GU57" i="5"/>
  <c r="GQ62" i="5"/>
  <c r="GP62" i="5"/>
  <c r="GV62" i="5"/>
  <c r="GU62" i="5"/>
  <c r="GO62" i="5"/>
  <c r="GQ60" i="5"/>
  <c r="GP60" i="5"/>
  <c r="GV60" i="5"/>
  <c r="GO60" i="5"/>
  <c r="GU60" i="5"/>
  <c r="GU56" i="5"/>
  <c r="GV56" i="5"/>
  <c r="GP56" i="5"/>
  <c r="GQ56" i="5"/>
  <c r="GO56" i="5"/>
  <c r="GV63" i="5"/>
  <c r="GO63" i="5"/>
  <c r="GU63" i="5"/>
  <c r="GQ63" i="5"/>
  <c r="GP63" i="5"/>
  <c r="GP64" i="5"/>
  <c r="GU64" i="5"/>
  <c r="GV64" i="5"/>
  <c r="GO64" i="5"/>
  <c r="GQ64" i="5"/>
  <c r="EX57" i="5"/>
  <c r="ET57" i="5"/>
  <c r="ES57" i="5"/>
  <c r="EY57" i="5"/>
  <c r="ER57" i="5"/>
  <c r="ER56" i="5"/>
  <c r="ES56" i="5"/>
  <c r="EX56" i="5"/>
  <c r="ET56" i="5"/>
  <c r="EY56" i="5"/>
  <c r="EY58" i="5"/>
  <c r="ER58" i="5"/>
  <c r="EX58" i="5"/>
  <c r="ET58" i="5"/>
  <c r="ES58" i="5"/>
  <c r="ES61" i="5"/>
  <c r="EX61" i="5"/>
  <c r="EY61" i="5"/>
  <c r="ER61" i="5"/>
  <c r="ET61" i="5"/>
  <c r="ER59" i="5"/>
  <c r="ET59" i="5"/>
  <c r="EX59" i="5"/>
  <c r="ES59" i="5"/>
  <c r="EY59" i="5"/>
  <c r="EY55" i="5"/>
  <c r="ES55" i="5"/>
  <c r="ET55" i="5"/>
  <c r="EX55" i="5"/>
  <c r="ER55" i="5"/>
  <c r="EO78" i="5"/>
  <c r="ET63" i="5"/>
  <c r="ER63" i="5"/>
  <c r="ES63" i="5"/>
  <c r="EX63" i="5"/>
  <c r="EY63" i="5"/>
  <c r="EX62" i="5"/>
  <c r="EY62" i="5"/>
  <c r="ET62" i="5"/>
  <c r="ES62" i="5"/>
  <c r="ER62" i="5"/>
  <c r="EY60" i="5"/>
  <c r="ES60" i="5"/>
  <c r="EX60" i="5"/>
  <c r="ER60" i="5"/>
  <c r="ET60" i="5"/>
  <c r="ET64" i="5"/>
  <c r="ES64" i="5"/>
  <c r="EX64" i="5"/>
  <c r="EY64" i="5"/>
  <c r="ER64" i="5"/>
  <c r="CW57" i="5"/>
  <c r="DB57" i="5"/>
  <c r="CU57" i="5"/>
  <c r="DA57" i="5"/>
  <c r="CV57" i="5"/>
  <c r="CW62" i="5"/>
  <c r="CU62" i="5"/>
  <c r="DB62" i="5"/>
  <c r="DA62" i="5"/>
  <c r="CV62" i="5"/>
  <c r="CW56" i="5"/>
  <c r="DA56" i="5"/>
  <c r="DB56" i="5"/>
  <c r="CU56" i="5"/>
  <c r="CV56" i="5"/>
  <c r="DA55" i="5"/>
  <c r="DB55" i="5"/>
  <c r="CW55" i="5"/>
  <c r="CV55" i="5"/>
  <c r="CU55" i="5"/>
  <c r="CR78" i="5"/>
  <c r="DA59" i="5"/>
  <c r="CW59" i="5"/>
  <c r="CV59" i="5"/>
  <c r="CU59" i="5"/>
  <c r="DB59" i="5"/>
  <c r="DA60" i="5"/>
  <c r="CU60" i="5"/>
  <c r="CW60" i="5"/>
  <c r="CV60" i="5"/>
  <c r="DB60" i="5"/>
  <c r="CV58" i="5"/>
  <c r="DA58" i="5"/>
  <c r="CW58" i="5"/>
  <c r="DB58" i="5"/>
  <c r="CU58" i="5"/>
  <c r="DA63" i="5"/>
  <c r="DB63" i="5"/>
  <c r="CU63" i="5"/>
  <c r="CW63" i="5"/>
  <c r="CV63" i="5"/>
  <c r="DB61" i="5"/>
  <c r="CV61" i="5"/>
  <c r="DA61" i="5"/>
  <c r="CW61" i="5"/>
  <c r="CU61" i="5"/>
  <c r="DA64" i="5"/>
  <c r="CW64" i="5"/>
  <c r="CU64" i="5"/>
  <c r="CV64" i="5"/>
  <c r="DB64" i="5"/>
  <c r="AZ78" i="5"/>
  <c r="BE78" i="5"/>
  <c r="AX78" i="5"/>
  <c r="E108" i="6" s="1"/>
  <c r="AY78" i="5"/>
  <c r="E107" i="6" s="1"/>
  <c r="BD78" i="5"/>
  <c r="E113" i="6" s="1"/>
  <c r="U60" i="5"/>
  <c r="JQ55" i="5"/>
  <c r="JK55" i="5"/>
  <c r="JL55" i="5"/>
  <c r="JM55" i="5"/>
  <c r="JR55" i="5"/>
  <c r="JH78" i="5"/>
  <c r="JL62" i="5"/>
  <c r="JQ62" i="5"/>
  <c r="JR62" i="5"/>
  <c r="JM62" i="5"/>
  <c r="JK62" i="5"/>
  <c r="JM60" i="5"/>
  <c r="JL60" i="5"/>
  <c r="JQ60" i="5"/>
  <c r="JK60" i="5"/>
  <c r="JR60" i="5"/>
  <c r="JQ58" i="5"/>
  <c r="JR58" i="5"/>
  <c r="JM58" i="5"/>
  <c r="JK58" i="5"/>
  <c r="JL58" i="5"/>
  <c r="JK59" i="5"/>
  <c r="JR59" i="5"/>
  <c r="JM59" i="5"/>
  <c r="JL59" i="5"/>
  <c r="JQ59" i="5"/>
  <c r="JK63" i="5"/>
  <c r="JQ63" i="5"/>
  <c r="JR63" i="5"/>
  <c r="JM63" i="5"/>
  <c r="JL63" i="5"/>
  <c r="JQ64" i="5"/>
  <c r="JM64" i="5"/>
  <c r="JL64" i="5"/>
  <c r="JR64" i="5"/>
  <c r="JK64" i="5"/>
  <c r="JR57" i="5"/>
  <c r="JK57" i="5"/>
  <c r="JM57" i="5"/>
  <c r="JQ57" i="5"/>
  <c r="JL57" i="5"/>
  <c r="JR56" i="5"/>
  <c r="JL56" i="5"/>
  <c r="JK56" i="5"/>
  <c r="JM56" i="5"/>
  <c r="JQ56" i="5"/>
  <c r="JM61" i="5"/>
  <c r="JR61" i="5"/>
  <c r="JK61" i="5"/>
  <c r="JL61" i="5"/>
  <c r="JQ61" i="5"/>
  <c r="HN57" i="5"/>
  <c r="HT57" i="5"/>
  <c r="HU57" i="5"/>
  <c r="HP57" i="5"/>
  <c r="HO57" i="5"/>
  <c r="HT60" i="5"/>
  <c r="HU60" i="5"/>
  <c r="HP60" i="5"/>
  <c r="HO60" i="5"/>
  <c r="HN60" i="5"/>
  <c r="HP62" i="5"/>
  <c r="HO62" i="5"/>
  <c r="HU62" i="5"/>
  <c r="HT62" i="5"/>
  <c r="HN62" i="5"/>
  <c r="HP58" i="5"/>
  <c r="HT58" i="5"/>
  <c r="HU58" i="5"/>
  <c r="HN58" i="5"/>
  <c r="HO58" i="5"/>
  <c r="HT55" i="5"/>
  <c r="HN55" i="5"/>
  <c r="HP55" i="5"/>
  <c r="HU55" i="5"/>
  <c r="HO55" i="5"/>
  <c r="HK78" i="5"/>
  <c r="HP61" i="5"/>
  <c r="HT61" i="5"/>
  <c r="HU61" i="5"/>
  <c r="HN61" i="5"/>
  <c r="HO61" i="5"/>
  <c r="HN59" i="5"/>
  <c r="HT59" i="5"/>
  <c r="HU59" i="5"/>
  <c r="HO59" i="5"/>
  <c r="HP59" i="5"/>
  <c r="HU56" i="5"/>
  <c r="HN56" i="5"/>
  <c r="HO56" i="5"/>
  <c r="HT56" i="5"/>
  <c r="HP56" i="5"/>
  <c r="HP63" i="5"/>
  <c r="HO63" i="5"/>
  <c r="HT63" i="5"/>
  <c r="HU63" i="5"/>
  <c r="HN63" i="5"/>
  <c r="HU64" i="5"/>
  <c r="HN64" i="5"/>
  <c r="HP64" i="5"/>
  <c r="HO64" i="5"/>
  <c r="HT64" i="5"/>
  <c r="FX61" i="5"/>
  <c r="FS61" i="5"/>
  <c r="FW61" i="5"/>
  <c r="FQ61" i="5"/>
  <c r="FR61" i="5"/>
  <c r="FX57" i="5"/>
  <c r="FQ57" i="5"/>
  <c r="FR57" i="5"/>
  <c r="FW57" i="5"/>
  <c r="FS57" i="5"/>
  <c r="FQ56" i="5"/>
  <c r="FW56" i="5"/>
  <c r="FX56" i="5"/>
  <c r="FS56" i="5"/>
  <c r="FR56" i="5"/>
  <c r="FR63" i="5"/>
  <c r="FX63" i="5"/>
  <c r="FW63" i="5"/>
  <c r="FS63" i="5"/>
  <c r="FQ63" i="5"/>
  <c r="FW59" i="5"/>
  <c r="FS59" i="5"/>
  <c r="FX59" i="5"/>
  <c r="FQ59" i="5"/>
  <c r="FR59" i="5"/>
  <c r="FX62" i="5"/>
  <c r="FR62" i="5"/>
  <c r="FQ62" i="5"/>
  <c r="FW62" i="5"/>
  <c r="FS62" i="5"/>
  <c r="FS58" i="5"/>
  <c r="FR58" i="5"/>
  <c r="FW58" i="5"/>
  <c r="FX58" i="5"/>
  <c r="FQ58" i="5"/>
  <c r="FW60" i="5"/>
  <c r="FQ60" i="5"/>
  <c r="FR60" i="5"/>
  <c r="FX60" i="5"/>
  <c r="FS60" i="5"/>
  <c r="FR55" i="5"/>
  <c r="FW55" i="5"/>
  <c r="FX55" i="5"/>
  <c r="FS55" i="5"/>
  <c r="FQ55" i="5"/>
  <c r="FN78" i="5"/>
  <c r="FX64" i="5"/>
  <c r="FQ64" i="5"/>
  <c r="FW64" i="5"/>
  <c r="FS64" i="5"/>
  <c r="FR64" i="5"/>
  <c r="DT56" i="5"/>
  <c r="DZ56" i="5"/>
  <c r="EA56" i="5"/>
  <c r="DV56" i="5"/>
  <c r="DU56" i="5"/>
  <c r="EA60" i="5"/>
  <c r="DU60" i="5"/>
  <c r="DZ60" i="5"/>
  <c r="DV60" i="5"/>
  <c r="DT60" i="5"/>
  <c r="DZ63" i="5"/>
  <c r="EA63" i="5"/>
  <c r="DT63" i="5"/>
  <c r="DV63" i="5"/>
  <c r="DU63" i="5"/>
  <c r="DZ58" i="5"/>
  <c r="EA58" i="5"/>
  <c r="DV58" i="5"/>
  <c r="DT58" i="5"/>
  <c r="DU58" i="5"/>
  <c r="EA62" i="5"/>
  <c r="DV62" i="5"/>
  <c r="DZ62" i="5"/>
  <c r="DT62" i="5"/>
  <c r="DU62" i="5"/>
  <c r="DZ57" i="5"/>
  <c r="EA57" i="5"/>
  <c r="DT57" i="5"/>
  <c r="DU57" i="5"/>
  <c r="DV57" i="5"/>
  <c r="DZ61" i="5"/>
  <c r="DT61" i="5"/>
  <c r="DV61" i="5"/>
  <c r="EA61" i="5"/>
  <c r="DU61" i="5"/>
  <c r="DT64" i="5"/>
  <c r="EA64" i="5"/>
  <c r="DU64" i="5"/>
  <c r="DZ64" i="5"/>
  <c r="DV64" i="5"/>
  <c r="EA59" i="5"/>
  <c r="DV59" i="5"/>
  <c r="DT59" i="5"/>
  <c r="DZ59" i="5"/>
  <c r="DU59" i="5"/>
  <c r="DZ55" i="5"/>
  <c r="DV55" i="5"/>
  <c r="DU55" i="5"/>
  <c r="EA55" i="5"/>
  <c r="DT55" i="5"/>
  <c r="DQ78" i="5"/>
  <c r="BY59" i="5"/>
  <c r="CC59" i="5"/>
  <c r="BW59" i="5"/>
  <c r="CD59" i="5"/>
  <c r="BX59" i="5"/>
  <c r="BY61" i="5"/>
  <c r="BW61" i="5"/>
  <c r="BX61" i="5"/>
  <c r="CC61" i="5"/>
  <c r="CD61" i="5"/>
  <c r="CC56" i="5"/>
  <c r="BY56" i="5"/>
  <c r="CD56" i="5"/>
  <c r="BW56" i="5"/>
  <c r="BX56" i="5"/>
  <c r="CC62" i="5"/>
  <c r="BW62" i="5"/>
  <c r="BX62" i="5"/>
  <c r="CD62" i="5"/>
  <c r="BY62" i="5"/>
  <c r="BW63" i="5"/>
  <c r="CC63" i="5"/>
  <c r="BY63" i="5"/>
  <c r="CD63" i="5"/>
  <c r="BX63" i="5"/>
  <c r="CD60" i="5"/>
  <c r="BW60" i="5"/>
  <c r="BX60" i="5"/>
  <c r="CC60" i="5"/>
  <c r="BY60" i="5"/>
  <c r="BW58" i="5"/>
  <c r="BX58" i="5"/>
  <c r="CD58" i="5"/>
  <c r="BY58" i="5"/>
  <c r="CC58" i="5"/>
  <c r="CD57" i="5"/>
  <c r="BX57" i="5"/>
  <c r="BY57" i="5"/>
  <c r="CC57" i="5"/>
  <c r="BW57" i="5"/>
  <c r="CD55" i="5"/>
  <c r="BX55" i="5"/>
  <c r="CC55" i="5"/>
  <c r="BW55" i="5"/>
  <c r="BY55" i="5"/>
  <c r="BT78" i="5"/>
  <c r="CC64" i="5"/>
  <c r="BW64" i="5"/>
  <c r="BX64" i="5"/>
  <c r="CD64" i="5"/>
  <c r="BY64" i="5"/>
  <c r="AM78" i="5"/>
  <c r="D107" i="6" s="1"/>
  <c r="AL78" i="5"/>
  <c r="D108" i="6" s="1"/>
  <c r="AB64" i="5"/>
  <c r="AG64" i="5"/>
  <c r="AF64" i="5"/>
  <c r="Z64" i="5"/>
  <c r="AA64" i="5"/>
  <c r="AF58" i="5"/>
  <c r="AG58" i="5"/>
  <c r="AB58" i="5"/>
  <c r="Z58" i="5"/>
  <c r="AA58" i="5"/>
  <c r="AB62" i="5"/>
  <c r="AF62" i="5"/>
  <c r="AG62" i="5"/>
  <c r="AA62" i="5"/>
  <c r="Z62" i="5"/>
  <c r="AB55" i="5"/>
  <c r="AA55" i="5"/>
  <c r="AF55" i="5"/>
  <c r="Z55" i="5"/>
  <c r="AG55" i="5"/>
  <c r="W78" i="5"/>
  <c r="Z59" i="5"/>
  <c r="AF59" i="5"/>
  <c r="AB59" i="5"/>
  <c r="AG59" i="5"/>
  <c r="AA59" i="5"/>
  <c r="AB61" i="5"/>
  <c r="AA61" i="5"/>
  <c r="AF61" i="5"/>
  <c r="AG61" i="5"/>
  <c r="Z61" i="5"/>
  <c r="AB57" i="5"/>
  <c r="AF57" i="5"/>
  <c r="AG57" i="5"/>
  <c r="Z57" i="5"/>
  <c r="AA57" i="5"/>
  <c r="AG56" i="5"/>
  <c r="AB56" i="5"/>
  <c r="Z56" i="5"/>
  <c r="AA56" i="5"/>
  <c r="AF56" i="5"/>
  <c r="AG63" i="5"/>
  <c r="AA63" i="5"/>
  <c r="AB63" i="5"/>
  <c r="AF63" i="5"/>
  <c r="Z63" i="5"/>
  <c r="AG60" i="5"/>
  <c r="AF60" i="5"/>
  <c r="Z60" i="5"/>
  <c r="AB60" i="5"/>
  <c r="AA60" i="5"/>
  <c r="GI66" i="5"/>
  <c r="GC66" i="5"/>
  <c r="GJ66" i="5"/>
  <c r="GD66" i="5"/>
  <c r="GE66" i="5"/>
  <c r="GI61" i="5"/>
  <c r="GJ61" i="5"/>
  <c r="GE61" i="5"/>
  <c r="GC61" i="5"/>
  <c r="GD61" i="5"/>
  <c r="GI69" i="5"/>
  <c r="GJ69" i="5"/>
  <c r="GC69" i="5"/>
  <c r="GD69" i="5"/>
  <c r="GE69" i="5"/>
  <c r="GI77" i="5"/>
  <c r="GD77" i="5"/>
  <c r="GJ77" i="5"/>
  <c r="GC77" i="5"/>
  <c r="GE77" i="5"/>
  <c r="GI74" i="5"/>
  <c r="GD74" i="5"/>
  <c r="GE74" i="5"/>
  <c r="GC74" i="5"/>
  <c r="GJ74" i="5"/>
  <c r="GI68" i="5"/>
  <c r="GC68" i="5"/>
  <c r="GE68" i="5"/>
  <c r="GJ68" i="5"/>
  <c r="GD68" i="5"/>
  <c r="GI63" i="5"/>
  <c r="GE63" i="5"/>
  <c r="GJ63" i="5"/>
  <c r="GC63" i="5"/>
  <c r="GD63" i="5"/>
  <c r="GI71" i="5"/>
  <c r="GJ71" i="5"/>
  <c r="GC71" i="5"/>
  <c r="GD71" i="5"/>
  <c r="GE71" i="5"/>
  <c r="GI76" i="5"/>
  <c r="GC76" i="5"/>
  <c r="GJ76" i="5"/>
  <c r="GE76" i="5"/>
  <c r="GD76" i="5"/>
  <c r="GI64" i="5"/>
  <c r="GC64" i="5"/>
  <c r="GD64" i="5"/>
  <c r="GJ64" i="5"/>
  <c r="GE64" i="5"/>
  <c r="GI72" i="5"/>
  <c r="GJ72" i="5"/>
  <c r="GC72" i="5"/>
  <c r="GD72" i="5"/>
  <c r="GE72" i="5"/>
  <c r="GI67" i="5"/>
  <c r="GC67" i="5"/>
  <c r="GJ67" i="5"/>
  <c r="GE67" i="5"/>
  <c r="GD67" i="5"/>
  <c r="GI75" i="5"/>
  <c r="GD75" i="5"/>
  <c r="GJ75" i="5"/>
  <c r="GC75" i="5"/>
  <c r="GE75" i="5"/>
  <c r="GI62" i="5"/>
  <c r="GE62" i="5"/>
  <c r="GC62" i="5"/>
  <c r="GD62" i="5"/>
  <c r="GJ62" i="5"/>
  <c r="GI70" i="5"/>
  <c r="GD70" i="5"/>
  <c r="GC70" i="5"/>
  <c r="GJ70" i="5"/>
  <c r="GE70" i="5"/>
  <c r="GI65" i="5"/>
  <c r="GJ65" i="5"/>
  <c r="GE65" i="5"/>
  <c r="GC65" i="5"/>
  <c r="GD65" i="5"/>
  <c r="GI73" i="5"/>
  <c r="GJ73" i="5"/>
  <c r="GE73" i="5"/>
  <c r="GC73" i="5"/>
  <c r="GD73" i="5"/>
  <c r="IF71" i="5"/>
  <c r="IB71" i="5"/>
  <c r="IA71" i="5"/>
  <c r="IG71" i="5"/>
  <c r="HZ71" i="5"/>
  <c r="IF74" i="5"/>
  <c r="HZ74" i="5"/>
  <c r="IG74" i="5"/>
  <c r="IA74" i="5"/>
  <c r="IB74" i="5"/>
  <c r="IF75" i="5"/>
  <c r="IB75" i="5"/>
  <c r="IG75" i="5"/>
  <c r="IA75" i="5"/>
  <c r="HZ75" i="5"/>
  <c r="IF76" i="5"/>
  <c r="HZ76" i="5"/>
  <c r="IG76" i="5"/>
  <c r="IB76" i="5"/>
  <c r="IA76" i="5"/>
  <c r="IF73" i="5"/>
  <c r="IB73" i="5"/>
  <c r="IA73" i="5"/>
  <c r="HZ73" i="5"/>
  <c r="IG73" i="5"/>
  <c r="IF62" i="5"/>
  <c r="IB62" i="5"/>
  <c r="IG62" i="5"/>
  <c r="HZ62" i="5"/>
  <c r="IA62" i="5"/>
  <c r="IF63" i="5"/>
  <c r="IG63" i="5"/>
  <c r="HZ63" i="5"/>
  <c r="IB63" i="5"/>
  <c r="IA63" i="5"/>
  <c r="IF64" i="5"/>
  <c r="IG64" i="5"/>
  <c r="IA64" i="5"/>
  <c r="IB64" i="5"/>
  <c r="HZ64" i="5"/>
  <c r="IF61" i="5"/>
  <c r="IG61" i="5"/>
  <c r="IB61" i="5"/>
  <c r="HZ61" i="5"/>
  <c r="IA61" i="5"/>
  <c r="IF77" i="5"/>
  <c r="IB77" i="5"/>
  <c r="IA77" i="5"/>
  <c r="IG77" i="5"/>
  <c r="HZ77" i="5"/>
  <c r="IF70" i="5"/>
  <c r="IB70" i="5"/>
  <c r="HZ70" i="5"/>
  <c r="IG70" i="5"/>
  <c r="IA70" i="5"/>
  <c r="IF72" i="5"/>
  <c r="IB72" i="5"/>
  <c r="IA72" i="5"/>
  <c r="IG72" i="5"/>
  <c r="HZ72" i="5"/>
  <c r="IF69" i="5"/>
  <c r="IB69" i="5"/>
  <c r="IG69" i="5"/>
  <c r="HZ69" i="5"/>
  <c r="IA69" i="5"/>
  <c r="IF66" i="5"/>
  <c r="HZ66" i="5"/>
  <c r="IA66" i="5"/>
  <c r="IG66" i="5"/>
  <c r="IB66" i="5"/>
  <c r="IF67" i="5"/>
  <c r="IB67" i="5"/>
  <c r="HZ67" i="5"/>
  <c r="IG67" i="5"/>
  <c r="IA67" i="5"/>
  <c r="IF68" i="5"/>
  <c r="IG68" i="5"/>
  <c r="IB68" i="5"/>
  <c r="HZ68" i="5"/>
  <c r="IA68" i="5"/>
  <c r="IF65" i="5"/>
  <c r="IG65" i="5"/>
  <c r="HZ65" i="5"/>
  <c r="IB65" i="5"/>
  <c r="IA65" i="5"/>
  <c r="KC74" i="5"/>
  <c r="KD74" i="5"/>
  <c r="JY74" i="5"/>
  <c r="JW74" i="5"/>
  <c r="JX74" i="5"/>
  <c r="KC75" i="5"/>
  <c r="JY75" i="5"/>
  <c r="KD75" i="5"/>
  <c r="JX75" i="5"/>
  <c r="JW75" i="5"/>
  <c r="KC66" i="5"/>
  <c r="JY66" i="5"/>
  <c r="JX66" i="5"/>
  <c r="KD66" i="5"/>
  <c r="JW66" i="5"/>
  <c r="IW76" i="5"/>
  <c r="IV76" i="5" s="1"/>
  <c r="GD141" i="6" s="1"/>
  <c r="GE141" i="6" s="1"/>
  <c r="IW72" i="5"/>
  <c r="IV72" i="5" s="1"/>
  <c r="GD137" i="6" s="1"/>
  <c r="GE137" i="6" s="1"/>
  <c r="IW70" i="5"/>
  <c r="IV70" i="5" s="1"/>
  <c r="GD135" i="6" s="1"/>
  <c r="GE135" i="6" s="1"/>
  <c r="IW68" i="5"/>
  <c r="IV68" i="5" s="1"/>
  <c r="GD133" i="6" s="1"/>
  <c r="GE133" i="6" s="1"/>
  <c r="IW66" i="5"/>
  <c r="IV66" i="5" s="1"/>
  <c r="IW64" i="5"/>
  <c r="IV64" i="5" s="1"/>
  <c r="IW62" i="5"/>
  <c r="IV62" i="5" s="1"/>
  <c r="IW77" i="5"/>
  <c r="IV77" i="5" s="1"/>
  <c r="GD142" i="6" s="1"/>
  <c r="GE142" i="6" s="1"/>
  <c r="IW75" i="5"/>
  <c r="IV75" i="5" s="1"/>
  <c r="GD140" i="6" s="1"/>
  <c r="GE140" i="6" s="1"/>
  <c r="IW73" i="5"/>
  <c r="IV73" i="5" s="1"/>
  <c r="GD138" i="6" s="1"/>
  <c r="GE138" i="6" s="1"/>
  <c r="IW71" i="5"/>
  <c r="IV71" i="5" s="1"/>
  <c r="GD136" i="6" s="1"/>
  <c r="GE136" i="6" s="1"/>
  <c r="IW69" i="5"/>
  <c r="IV69" i="5" s="1"/>
  <c r="GD134" i="6" s="1"/>
  <c r="GE134" i="6" s="1"/>
  <c r="IW67" i="5"/>
  <c r="IV67" i="5" s="1"/>
  <c r="GD132" i="6" s="1"/>
  <c r="GE132" i="6" s="1"/>
  <c r="IW65" i="5"/>
  <c r="IV65" i="5" s="1"/>
  <c r="IW63" i="5"/>
  <c r="IV63" i="5" s="1"/>
  <c r="IW61" i="5"/>
  <c r="IV61" i="5" s="1"/>
  <c r="IW74" i="5"/>
  <c r="IV74" i="5" s="1"/>
  <c r="GD139" i="6" s="1"/>
  <c r="GE139" i="6" s="1"/>
  <c r="KC63" i="5"/>
  <c r="JY63" i="5"/>
  <c r="JX63" i="5"/>
  <c r="KD63" i="5"/>
  <c r="JW63" i="5"/>
  <c r="KC71" i="5"/>
  <c r="KD71" i="5"/>
  <c r="JW71" i="5"/>
  <c r="JY71" i="5"/>
  <c r="JX71" i="5"/>
  <c r="KC62" i="5"/>
  <c r="JX62" i="5"/>
  <c r="JY62" i="5"/>
  <c r="KD62" i="5"/>
  <c r="JW62" i="5"/>
  <c r="KC70" i="5"/>
  <c r="KD70" i="5"/>
  <c r="JY70" i="5"/>
  <c r="JW70" i="5"/>
  <c r="JX70" i="5"/>
  <c r="KC76" i="5"/>
  <c r="JY76" i="5"/>
  <c r="KD76" i="5"/>
  <c r="JX76" i="5"/>
  <c r="JW76" i="5"/>
  <c r="KC65" i="5"/>
  <c r="JY65" i="5"/>
  <c r="JX65" i="5"/>
  <c r="KD65" i="5"/>
  <c r="JW65" i="5"/>
  <c r="KC73" i="5"/>
  <c r="JY73" i="5"/>
  <c r="JX73" i="5"/>
  <c r="KD73" i="5"/>
  <c r="JW73" i="5"/>
  <c r="KC64" i="5"/>
  <c r="KD64" i="5"/>
  <c r="JY64" i="5"/>
  <c r="JX64" i="5"/>
  <c r="JW64" i="5"/>
  <c r="KC72" i="5"/>
  <c r="JW72" i="5"/>
  <c r="KD72" i="5"/>
  <c r="JY72" i="5"/>
  <c r="JX72" i="5"/>
  <c r="KC67" i="5"/>
  <c r="JX67" i="5"/>
  <c r="JY67" i="5"/>
  <c r="KD67" i="5"/>
  <c r="JW67" i="5"/>
  <c r="KC61" i="5"/>
  <c r="KD61" i="5"/>
  <c r="JW61" i="5"/>
  <c r="JX61" i="5"/>
  <c r="JY61" i="5"/>
  <c r="KC69" i="5"/>
  <c r="JY69" i="5"/>
  <c r="JW69" i="5"/>
  <c r="JX69" i="5"/>
  <c r="KD69" i="5"/>
  <c r="KC77" i="5"/>
  <c r="KD77" i="5"/>
  <c r="JY77" i="5"/>
  <c r="JW77" i="5"/>
  <c r="JX77" i="5"/>
  <c r="KC68" i="5"/>
  <c r="JY68" i="5"/>
  <c r="JX68" i="5"/>
  <c r="JW68" i="5"/>
  <c r="KD68" i="5"/>
  <c r="EL65" i="5"/>
  <c r="EH65" i="5"/>
  <c r="EF65" i="5"/>
  <c r="EM65" i="5"/>
  <c r="EG65" i="5"/>
  <c r="EL74" i="5"/>
  <c r="EM74" i="5"/>
  <c r="EF74" i="5"/>
  <c r="EG74" i="5"/>
  <c r="EH74" i="5"/>
  <c r="EL75" i="5"/>
  <c r="EM75" i="5"/>
  <c r="EF75" i="5"/>
  <c r="EH75" i="5"/>
  <c r="EG75" i="5"/>
  <c r="EL64" i="5"/>
  <c r="EF64" i="5"/>
  <c r="EH64" i="5"/>
  <c r="EG64" i="5"/>
  <c r="EM64" i="5"/>
  <c r="EL62" i="5"/>
  <c r="EF62" i="5"/>
  <c r="EM62" i="5"/>
  <c r="EG62" i="5"/>
  <c r="EH62" i="5"/>
  <c r="EL67" i="5"/>
  <c r="EF67" i="5"/>
  <c r="EG67" i="5"/>
  <c r="EH67" i="5"/>
  <c r="EM67" i="5"/>
  <c r="EL68" i="5"/>
  <c r="EH68" i="5"/>
  <c r="EF68" i="5"/>
  <c r="EM68" i="5"/>
  <c r="EG68" i="5"/>
  <c r="EL69" i="5"/>
  <c r="EM69" i="5"/>
  <c r="EG69" i="5"/>
  <c r="EF69" i="5"/>
  <c r="EH69" i="5"/>
  <c r="EL61" i="5"/>
  <c r="EH61" i="5"/>
  <c r="EF61" i="5"/>
  <c r="EM61" i="5"/>
  <c r="EG61" i="5"/>
  <c r="EL66" i="5"/>
  <c r="EG66" i="5"/>
  <c r="EM66" i="5"/>
  <c r="EH66" i="5"/>
  <c r="EF66" i="5"/>
  <c r="EL71" i="5"/>
  <c r="EM71" i="5"/>
  <c r="EG71" i="5"/>
  <c r="EF71" i="5"/>
  <c r="EH71" i="5"/>
  <c r="EL72" i="5"/>
  <c r="EM72" i="5"/>
  <c r="EF72" i="5"/>
  <c r="EH72" i="5"/>
  <c r="EG72" i="5"/>
  <c r="EL73" i="5"/>
  <c r="EM73" i="5"/>
  <c r="EF73" i="5"/>
  <c r="EG73" i="5"/>
  <c r="EH73" i="5"/>
  <c r="EL77" i="5"/>
  <c r="EF77" i="5"/>
  <c r="EM77" i="5"/>
  <c r="EH77" i="5"/>
  <c r="EG77" i="5"/>
  <c r="EL70" i="5"/>
  <c r="EM70" i="5"/>
  <c r="EF70" i="5"/>
  <c r="EG70" i="5"/>
  <c r="EH70" i="5"/>
  <c r="EL63" i="5"/>
  <c r="EF63" i="5"/>
  <c r="EG63" i="5"/>
  <c r="EM63" i="5"/>
  <c r="EH63" i="5"/>
  <c r="EL76" i="5"/>
  <c r="EF76" i="5"/>
  <c r="EH76" i="5"/>
  <c r="EM76" i="5"/>
  <c r="EG76" i="5"/>
  <c r="CO70" i="5"/>
  <c r="CP70" i="5"/>
  <c r="CI70" i="5"/>
  <c r="CJ70" i="5"/>
  <c r="CK70" i="5"/>
  <c r="CO77" i="5"/>
  <c r="CP77" i="5"/>
  <c r="CK77" i="5"/>
  <c r="CI77" i="5"/>
  <c r="CJ77" i="5"/>
  <c r="CO63" i="5"/>
  <c r="CK63" i="5"/>
  <c r="CP63" i="5"/>
  <c r="CJ63" i="5"/>
  <c r="CI63" i="5"/>
  <c r="CO68" i="5"/>
  <c r="CP68" i="5"/>
  <c r="CK68" i="5"/>
  <c r="CI68" i="5"/>
  <c r="CJ68" i="5"/>
  <c r="CO74" i="5"/>
  <c r="CK74" i="5"/>
  <c r="CP74" i="5"/>
  <c r="CI74" i="5"/>
  <c r="CJ74" i="5"/>
  <c r="CO72" i="5"/>
  <c r="CI72" i="5"/>
  <c r="CP72" i="5"/>
  <c r="CK72" i="5"/>
  <c r="CJ72" i="5"/>
  <c r="CO71" i="5"/>
  <c r="CP71" i="5"/>
  <c r="CK71" i="5"/>
  <c r="CI71" i="5"/>
  <c r="CJ71" i="5"/>
  <c r="CO64" i="5"/>
  <c r="CP64" i="5"/>
  <c r="CK64" i="5"/>
  <c r="CJ64" i="5"/>
  <c r="CI64" i="5"/>
  <c r="CO73" i="5"/>
  <c r="CK73" i="5"/>
  <c r="CI73" i="5"/>
  <c r="CJ73" i="5"/>
  <c r="CP73" i="5"/>
  <c r="CO61" i="5"/>
  <c r="CP61" i="5"/>
  <c r="CK61" i="5"/>
  <c r="CJ61" i="5"/>
  <c r="CI61" i="5"/>
  <c r="CO76" i="5"/>
  <c r="CJ76" i="5"/>
  <c r="CI76" i="5"/>
  <c r="CK76" i="5"/>
  <c r="CP76" i="5"/>
  <c r="CO75" i="5"/>
  <c r="CP75" i="5"/>
  <c r="CI75" i="5"/>
  <c r="CJ75" i="5"/>
  <c r="CK75" i="5"/>
  <c r="CO66" i="5"/>
  <c r="CP66" i="5"/>
  <c r="CI66" i="5"/>
  <c r="CK66" i="5"/>
  <c r="CJ66" i="5"/>
  <c r="CO69" i="5"/>
  <c r="CJ69" i="5"/>
  <c r="CP69" i="5"/>
  <c r="CK69" i="5"/>
  <c r="CI69" i="5"/>
  <c r="CO65" i="5"/>
  <c r="CK65" i="5"/>
  <c r="CP65" i="5"/>
  <c r="CJ65" i="5"/>
  <c r="CI65" i="5"/>
  <c r="CO67" i="5"/>
  <c r="CJ67" i="5"/>
  <c r="CK67" i="5"/>
  <c r="CI67" i="5"/>
  <c r="CP67" i="5"/>
  <c r="CO62" i="5"/>
  <c r="CI62" i="5"/>
  <c r="CP62" i="5"/>
  <c r="CK62" i="5"/>
  <c r="CJ62" i="5"/>
  <c r="N28" i="7"/>
  <c r="AH28" i="7" s="1"/>
  <c r="N22" i="7"/>
  <c r="X22" i="7" s="1"/>
  <c r="M37" i="7"/>
  <c r="KC60" i="5"/>
  <c r="IF60" i="5"/>
  <c r="GI60" i="5"/>
  <c r="EL60" i="5"/>
  <c r="CO60" i="5"/>
  <c r="AR78" i="5"/>
  <c r="D113" i="6" s="1"/>
  <c r="U57" i="5"/>
  <c r="U58" i="5"/>
  <c r="KC58" i="5"/>
  <c r="KC59" i="5"/>
  <c r="KC56" i="5"/>
  <c r="KC57" i="5"/>
  <c r="IF58" i="5"/>
  <c r="IF56" i="5"/>
  <c r="IF59" i="5"/>
  <c r="IF57" i="5"/>
  <c r="GI58" i="5"/>
  <c r="GI57" i="5"/>
  <c r="GI59" i="5"/>
  <c r="GI56" i="5"/>
  <c r="EL56" i="5"/>
  <c r="EL58" i="5"/>
  <c r="EL57" i="5"/>
  <c r="EL59" i="5"/>
  <c r="CO56" i="5"/>
  <c r="CO57" i="5"/>
  <c r="CO59" i="5"/>
  <c r="CO58" i="5"/>
  <c r="T60" i="5"/>
  <c r="N56" i="5"/>
  <c r="U56" i="5"/>
  <c r="U77" i="5"/>
  <c r="P77" i="5"/>
  <c r="O77" i="5"/>
  <c r="T77" i="5"/>
  <c r="N77" i="5"/>
  <c r="AN78" i="5"/>
  <c r="AS78" i="5"/>
  <c r="EM57" i="5"/>
  <c r="CP58" i="5"/>
  <c r="IG57" i="5"/>
  <c r="GJ60" i="5"/>
  <c r="CP56" i="5"/>
  <c r="IG60" i="5"/>
  <c r="GJ58" i="5"/>
  <c r="EM56" i="5"/>
  <c r="JY60" i="5"/>
  <c r="KD60" i="5"/>
  <c r="BD98" i="6"/>
  <c r="L37" i="7" s="1"/>
  <c r="P37" i="7" s="1"/>
  <c r="BD99" i="6"/>
  <c r="K37" i="7" s="1"/>
  <c r="CP60" i="5"/>
  <c r="IG56" i="5"/>
  <c r="GJ56" i="5"/>
  <c r="JY59" i="5"/>
  <c r="KD59" i="5"/>
  <c r="EM59" i="5"/>
  <c r="JY57" i="5"/>
  <c r="KD57" i="5"/>
  <c r="CP59" i="5"/>
  <c r="CP57" i="5"/>
  <c r="IG58" i="5"/>
  <c r="IG59" i="5"/>
  <c r="GJ57" i="5"/>
  <c r="GJ59" i="5"/>
  <c r="EM58" i="5"/>
  <c r="EM60" i="5"/>
  <c r="JY56" i="5"/>
  <c r="KD56" i="5"/>
  <c r="JY58" i="5"/>
  <c r="KD58" i="5"/>
  <c r="IB56" i="5"/>
  <c r="IB57" i="5"/>
  <c r="IB60" i="5"/>
  <c r="IB58" i="5"/>
  <c r="IB59" i="5"/>
  <c r="GE56" i="5"/>
  <c r="GE60" i="5"/>
  <c r="GE58" i="5"/>
  <c r="GE57" i="5"/>
  <c r="GE59" i="5"/>
  <c r="EH57" i="5"/>
  <c r="EH59" i="5"/>
  <c r="EH56" i="5"/>
  <c r="EH58" i="5"/>
  <c r="EH60" i="5"/>
  <c r="CK59" i="5"/>
  <c r="CK60" i="5"/>
  <c r="CK58" i="5"/>
  <c r="CK56" i="5"/>
  <c r="CK57" i="5"/>
  <c r="P57" i="5"/>
  <c r="P60" i="5"/>
  <c r="P59" i="5"/>
  <c r="T59" i="5"/>
  <c r="T57" i="5"/>
  <c r="P58" i="5"/>
  <c r="T58" i="5"/>
  <c r="P56" i="5"/>
  <c r="CS78" i="5"/>
  <c r="JI78" i="5"/>
  <c r="DR78" i="5"/>
  <c r="JW60" i="5"/>
  <c r="JX60" i="5"/>
  <c r="FO78" i="5"/>
  <c r="IW56" i="5"/>
  <c r="IV56" i="5" s="1"/>
  <c r="IW57" i="5"/>
  <c r="IV57" i="5" s="1"/>
  <c r="IW58" i="5"/>
  <c r="IV58" i="5" s="1"/>
  <c r="IW55" i="5"/>
  <c r="IV55" i="5" s="1"/>
  <c r="IW59" i="5"/>
  <c r="IV59" i="5" s="1"/>
  <c r="IW60" i="5"/>
  <c r="IV60" i="5" s="1"/>
  <c r="CI60" i="5"/>
  <c r="CJ60" i="5"/>
  <c r="IA58" i="5"/>
  <c r="HZ58" i="5"/>
  <c r="IA59" i="5"/>
  <c r="HZ59" i="5"/>
  <c r="GD57" i="5"/>
  <c r="GC57" i="5"/>
  <c r="GD59" i="5"/>
  <c r="GC59" i="5"/>
  <c r="O56" i="5"/>
  <c r="EG58" i="5"/>
  <c r="EF58" i="5"/>
  <c r="EG60" i="5"/>
  <c r="EF60" i="5"/>
  <c r="JX56" i="5"/>
  <c r="JW56" i="5"/>
  <c r="JX58" i="5"/>
  <c r="JW58" i="5"/>
  <c r="IJ78" i="5"/>
  <c r="GM78" i="5"/>
  <c r="CJ56" i="5"/>
  <c r="CI56" i="5"/>
  <c r="CJ59" i="5"/>
  <c r="CI59" i="5"/>
  <c r="IA57" i="5"/>
  <c r="HZ57" i="5"/>
  <c r="GC60" i="5"/>
  <c r="GD60" i="5"/>
  <c r="N59" i="5"/>
  <c r="O59" i="5"/>
  <c r="EG59" i="5"/>
  <c r="EF59" i="5"/>
  <c r="JX57" i="5"/>
  <c r="JW57" i="5"/>
  <c r="CJ57" i="5"/>
  <c r="CI57" i="5"/>
  <c r="CF55" i="5"/>
  <c r="CG78" i="5"/>
  <c r="KG78" i="5"/>
  <c r="IA60" i="5"/>
  <c r="HZ60" i="5"/>
  <c r="HW55" i="5"/>
  <c r="HX78" i="5"/>
  <c r="GD58" i="5"/>
  <c r="GC58" i="5"/>
  <c r="FZ55" i="5"/>
  <c r="GA78" i="5"/>
  <c r="N57" i="5"/>
  <c r="O57" i="5"/>
  <c r="EG56" i="5"/>
  <c r="EF56" i="5"/>
  <c r="CJ58" i="5"/>
  <c r="CI58" i="5"/>
  <c r="IA56" i="5"/>
  <c r="HZ56" i="5"/>
  <c r="GD56" i="5"/>
  <c r="GC56" i="5"/>
  <c r="N60" i="5"/>
  <c r="O60" i="5"/>
  <c r="N58" i="5"/>
  <c r="O58" i="5"/>
  <c r="HL78" i="5"/>
  <c r="EG57" i="5"/>
  <c r="EF57" i="5"/>
  <c r="EC55" i="5"/>
  <c r="ED78" i="5"/>
  <c r="JW59" i="5"/>
  <c r="JX59" i="5"/>
  <c r="JT55" i="5"/>
  <c r="JU78" i="5"/>
  <c r="EP78" i="5"/>
  <c r="BU78" i="5"/>
  <c r="X78" i="5"/>
  <c r="L78" i="5"/>
  <c r="BJ78" i="5"/>
  <c r="EY78" i="5" l="1"/>
  <c r="BF65" i="5"/>
  <c r="BF66" i="5"/>
  <c r="CS133" i="6"/>
  <c r="CS141" i="6"/>
  <c r="CS137" i="6"/>
  <c r="CS126" i="6"/>
  <c r="CS138" i="6"/>
  <c r="CS134" i="6"/>
  <c r="CS131" i="6"/>
  <c r="CQ138" i="6"/>
  <c r="CQ128" i="6"/>
  <c r="CO127" i="6"/>
  <c r="CO139" i="6"/>
  <c r="CO136" i="6"/>
  <c r="CO130" i="6"/>
  <c r="CO134" i="6"/>
  <c r="CQ131" i="6"/>
  <c r="CQ132" i="6"/>
  <c r="CO128" i="6"/>
  <c r="CO132" i="6"/>
  <c r="CQ139" i="6"/>
  <c r="CQ134" i="6"/>
  <c r="GC124" i="6"/>
  <c r="GD124" i="6" s="1"/>
  <c r="GE124" i="6" s="1"/>
  <c r="GC141" i="6"/>
  <c r="GC120" i="6"/>
  <c r="GD120" i="6" s="1"/>
  <c r="GC126" i="6"/>
  <c r="GD126" i="6" s="1"/>
  <c r="GE126" i="6" s="1"/>
  <c r="GC133" i="6"/>
  <c r="GC123" i="6"/>
  <c r="GD123" i="6" s="1"/>
  <c r="GE123" i="6" s="1"/>
  <c r="GC128" i="6"/>
  <c r="GD128" i="6" s="1"/>
  <c r="GE128" i="6" s="1"/>
  <c r="GC136" i="6"/>
  <c r="GC127" i="6"/>
  <c r="GD127" i="6" s="1"/>
  <c r="GE127" i="6" s="1"/>
  <c r="GC135" i="6"/>
  <c r="GC121" i="6"/>
  <c r="GD121" i="6" s="1"/>
  <c r="GE121" i="6" s="1"/>
  <c r="GC139" i="6"/>
  <c r="GC132" i="6"/>
  <c r="GC140" i="6"/>
  <c r="GC131" i="6"/>
  <c r="GD131" i="6" s="1"/>
  <c r="GE131" i="6" s="1"/>
  <c r="GC134" i="6"/>
  <c r="GC142" i="6"/>
  <c r="GC125" i="6"/>
  <c r="GD125" i="6" s="1"/>
  <c r="GE125" i="6" s="1"/>
  <c r="GC122" i="6"/>
  <c r="GD122" i="6" s="1"/>
  <c r="GE122" i="6" s="1"/>
  <c r="GC130" i="6"/>
  <c r="GD130" i="6" s="1"/>
  <c r="GE130" i="6" s="1"/>
  <c r="GC138" i="6"/>
  <c r="GC129" i="6"/>
  <c r="GD129" i="6" s="1"/>
  <c r="GE129" i="6" s="1"/>
  <c r="GC137" i="6"/>
  <c r="EA78" i="5"/>
  <c r="EB58" i="5" s="1"/>
  <c r="CO138" i="6"/>
  <c r="CQ141" i="6"/>
  <c r="CQ130" i="6"/>
  <c r="CQ140" i="6"/>
  <c r="CO129" i="6"/>
  <c r="CQ126" i="6"/>
  <c r="CQ137" i="6"/>
  <c r="CQ127" i="6"/>
  <c r="CO135" i="6"/>
  <c r="CO140" i="6"/>
  <c r="CQ129" i="6"/>
  <c r="CQ136" i="6"/>
  <c r="CO126" i="6"/>
  <c r="CQ135" i="6"/>
  <c r="CO133" i="6"/>
  <c r="CC121" i="6"/>
  <c r="CD121" i="6" s="1"/>
  <c r="CO121" i="6" s="1"/>
  <c r="CC125" i="6"/>
  <c r="CD125" i="6" s="1"/>
  <c r="CS125" i="6" s="1"/>
  <c r="CC122" i="6"/>
  <c r="CD122" i="6" s="1"/>
  <c r="CS122" i="6" s="1"/>
  <c r="CC124" i="6"/>
  <c r="CD124" i="6" s="1"/>
  <c r="CS124" i="6" s="1"/>
  <c r="CC123" i="6"/>
  <c r="CD123" i="6" s="1"/>
  <c r="CO123" i="6" s="1"/>
  <c r="CJ129" i="6"/>
  <c r="CJ132" i="6"/>
  <c r="CJ141" i="6"/>
  <c r="CK120" i="6"/>
  <c r="CJ120" i="6"/>
  <c r="CJ138" i="6"/>
  <c r="CK135" i="6"/>
  <c r="CJ126" i="6"/>
  <c r="W36" i="7"/>
  <c r="AE36" i="7"/>
  <c r="U78" i="5"/>
  <c r="V55" i="5" s="1"/>
  <c r="AN22" i="7"/>
  <c r="BA22" i="7" s="1"/>
  <c r="BG22" i="7" s="1"/>
  <c r="AO22" i="7"/>
  <c r="AR37" i="7"/>
  <c r="AS37" i="7"/>
  <c r="CK129" i="6"/>
  <c r="V36" i="7"/>
  <c r="CH121" i="6"/>
  <c r="CI121" i="6" s="1"/>
  <c r="CH122" i="6"/>
  <c r="CI122" i="6" s="1"/>
  <c r="CH142" i="6"/>
  <c r="CI142" i="6" s="1"/>
  <c r="GG123" i="6"/>
  <c r="GH123" i="6"/>
  <c r="GG139" i="6"/>
  <c r="GH139" i="6"/>
  <c r="GG132" i="6"/>
  <c r="GH132" i="6"/>
  <c r="GG140" i="6"/>
  <c r="GH140" i="6"/>
  <c r="GG131" i="6"/>
  <c r="GH131" i="6"/>
  <c r="GG141" i="6"/>
  <c r="GH141" i="6"/>
  <c r="CJ136" i="6"/>
  <c r="CK136" i="6"/>
  <c r="CL133" i="6"/>
  <c r="CM133" i="6"/>
  <c r="CJ133" i="6"/>
  <c r="CK133" i="6"/>
  <c r="CM137" i="6"/>
  <c r="CL137" i="6"/>
  <c r="CJ127" i="6"/>
  <c r="CK127" i="6"/>
  <c r="CM130" i="6"/>
  <c r="CL130" i="6"/>
  <c r="CM135" i="6"/>
  <c r="CL135" i="6"/>
  <c r="CJ137" i="6"/>
  <c r="CK137" i="6"/>
  <c r="CL128" i="6"/>
  <c r="CM128" i="6"/>
  <c r="CM127" i="6"/>
  <c r="CL127" i="6"/>
  <c r="GG125" i="6"/>
  <c r="GH125" i="6"/>
  <c r="GG122" i="6"/>
  <c r="GH122" i="6"/>
  <c r="GG126" i="6"/>
  <c r="GH126" i="6"/>
  <c r="GG134" i="6"/>
  <c r="GH134" i="6"/>
  <c r="GG142" i="6"/>
  <c r="GH142" i="6"/>
  <c r="GG133" i="6"/>
  <c r="GH133" i="6"/>
  <c r="CL141" i="6"/>
  <c r="CM141" i="6"/>
  <c r="CM131" i="6"/>
  <c r="CL131" i="6"/>
  <c r="CJ139" i="6"/>
  <c r="CK139" i="6"/>
  <c r="CL140" i="6"/>
  <c r="CM140" i="6"/>
  <c r="CJ130" i="6"/>
  <c r="CK130" i="6"/>
  <c r="CL136" i="6"/>
  <c r="CM136" i="6"/>
  <c r="CJ134" i="6"/>
  <c r="CK134" i="6"/>
  <c r="GG124" i="6"/>
  <c r="GH124" i="6"/>
  <c r="GG121" i="6"/>
  <c r="GH121" i="6"/>
  <c r="GG128" i="6"/>
  <c r="GH128" i="6"/>
  <c r="GG136" i="6"/>
  <c r="GH136" i="6"/>
  <c r="GG127" i="6"/>
  <c r="GH127" i="6"/>
  <c r="GG135" i="6"/>
  <c r="GH135" i="6"/>
  <c r="CM134" i="6"/>
  <c r="CL134" i="6"/>
  <c r="CH124" i="6"/>
  <c r="CI124" i="6" s="1"/>
  <c r="CH125" i="6"/>
  <c r="CI125" i="6" s="1"/>
  <c r="CL138" i="6"/>
  <c r="CM138" i="6"/>
  <c r="CJ131" i="6"/>
  <c r="CK131" i="6"/>
  <c r="CO142" i="6"/>
  <c r="CL132" i="6"/>
  <c r="CM132" i="6"/>
  <c r="CJ140" i="6"/>
  <c r="CK140" i="6"/>
  <c r="CM126" i="6"/>
  <c r="CL126" i="6"/>
  <c r="CM129" i="6"/>
  <c r="CL129" i="6"/>
  <c r="CB143" i="6"/>
  <c r="GH120" i="6"/>
  <c r="GG120" i="6"/>
  <c r="V37" i="7"/>
  <c r="GG130" i="6"/>
  <c r="GH130" i="6"/>
  <c r="GG138" i="6"/>
  <c r="GH138" i="6"/>
  <c r="GG129" i="6"/>
  <c r="GH129" i="6"/>
  <c r="GG137" i="6"/>
  <c r="GH137" i="6"/>
  <c r="CH123" i="6"/>
  <c r="CI123" i="6" s="1"/>
  <c r="CL139" i="6"/>
  <c r="CM139" i="6"/>
  <c r="CJ128" i="6"/>
  <c r="CK128" i="6"/>
  <c r="CB144" i="6"/>
  <c r="Q28" i="7"/>
  <c r="U37" i="7"/>
  <c r="KJ78" i="5"/>
  <c r="AI107" i="6" s="1"/>
  <c r="KP78" i="5"/>
  <c r="KI78" i="5"/>
  <c r="AI108" i="6" s="1"/>
  <c r="KO78" i="5"/>
  <c r="AI113" i="6" s="1"/>
  <c r="KK78" i="5"/>
  <c r="IL78" i="5"/>
  <c r="AC108" i="6" s="1"/>
  <c r="IM78" i="5"/>
  <c r="AC107" i="6" s="1"/>
  <c r="IS78" i="5"/>
  <c r="IN78" i="5"/>
  <c r="GW55" i="5"/>
  <c r="GU78" i="5"/>
  <c r="W113" i="6" s="1"/>
  <c r="GQ78" i="5"/>
  <c r="GP78" i="5"/>
  <c r="W107" i="6" s="1"/>
  <c r="GO78" i="5"/>
  <c r="W108" i="6" s="1"/>
  <c r="GW57" i="5"/>
  <c r="W114" i="6"/>
  <c r="GW64" i="5"/>
  <c r="GW63" i="5"/>
  <c r="GW59" i="5"/>
  <c r="GW62" i="5"/>
  <c r="GW61" i="5"/>
  <c r="GW60" i="5"/>
  <c r="GW58" i="5"/>
  <c r="EZ58" i="5"/>
  <c r="EZ56" i="5"/>
  <c r="ET78" i="5"/>
  <c r="ES78" i="5"/>
  <c r="Q107" i="6" s="1"/>
  <c r="ER78" i="5"/>
  <c r="Q108" i="6" s="1"/>
  <c r="EZ57" i="5"/>
  <c r="EZ59" i="5"/>
  <c r="EZ63" i="5"/>
  <c r="EZ55" i="5"/>
  <c r="EZ60" i="5"/>
  <c r="EZ61" i="5"/>
  <c r="Q114" i="6"/>
  <c r="EX78" i="5"/>
  <c r="Q113" i="6" s="1"/>
  <c r="CW78" i="5"/>
  <c r="CU78" i="5"/>
  <c r="K108" i="6" s="1"/>
  <c r="DA78" i="5"/>
  <c r="K113" i="6" s="1"/>
  <c r="DB78" i="5"/>
  <c r="CV78" i="5"/>
  <c r="K107" i="6" s="1"/>
  <c r="BF59" i="5"/>
  <c r="BF56" i="5"/>
  <c r="BF64" i="5"/>
  <c r="BF55" i="5"/>
  <c r="E114" i="6"/>
  <c r="BF61" i="5"/>
  <c r="BF63" i="5"/>
  <c r="BF62" i="5"/>
  <c r="BF60" i="5"/>
  <c r="BF57" i="5"/>
  <c r="BF58" i="5"/>
  <c r="E116" i="6"/>
  <c r="AV52" i="5"/>
  <c r="E111" i="6" s="1"/>
  <c r="BY78" i="5"/>
  <c r="BU52" i="5" s="1"/>
  <c r="I111" i="6" s="1"/>
  <c r="CD78" i="5"/>
  <c r="CE66" i="5" s="1"/>
  <c r="DT78" i="5"/>
  <c r="O108" i="6" s="1"/>
  <c r="DZ78" i="5"/>
  <c r="O113" i="6" s="1"/>
  <c r="FR78" i="5"/>
  <c r="U107" i="6" s="1"/>
  <c r="FX78" i="5"/>
  <c r="FY61" i="5" s="1"/>
  <c r="JQ78" i="5"/>
  <c r="AG113" i="6" s="1"/>
  <c r="JM78" i="5"/>
  <c r="JK78" i="5"/>
  <c r="AG108" i="6" s="1"/>
  <c r="JR78" i="5"/>
  <c r="JL78" i="5"/>
  <c r="AG107" i="6" s="1"/>
  <c r="HU78" i="5"/>
  <c r="HP78" i="5"/>
  <c r="HN78" i="5"/>
  <c r="AA108" i="6" s="1"/>
  <c r="HO78" i="5"/>
  <c r="AA107" i="6" s="1"/>
  <c r="HT78" i="5"/>
  <c r="AA113" i="6" s="1"/>
  <c r="FY57" i="5"/>
  <c r="FY62" i="5"/>
  <c r="FW78" i="5"/>
  <c r="U113" i="6" s="1"/>
  <c r="FY63" i="5"/>
  <c r="FQ78" i="5"/>
  <c r="U108" i="6" s="1"/>
  <c r="FS78" i="5"/>
  <c r="EB57" i="5"/>
  <c r="DU78" i="5"/>
  <c r="O107" i="6" s="1"/>
  <c r="DV78" i="5"/>
  <c r="BW78" i="5"/>
  <c r="I108" i="6" s="1"/>
  <c r="CC78" i="5"/>
  <c r="I113" i="6" s="1"/>
  <c r="BX78" i="5"/>
  <c r="I107" i="6" s="1"/>
  <c r="AF78" i="5"/>
  <c r="C113" i="6" s="1"/>
  <c r="AA78" i="5"/>
  <c r="C107" i="6" s="1"/>
  <c r="AG78" i="5"/>
  <c r="AB78" i="5"/>
  <c r="Z78" i="5"/>
  <c r="C108" i="6" s="1"/>
  <c r="O78" i="5"/>
  <c r="B107" i="6" s="1"/>
  <c r="N78" i="5"/>
  <c r="JE74" i="5"/>
  <c r="IY74" i="5"/>
  <c r="JF74" i="5"/>
  <c r="IZ74" i="5"/>
  <c r="JA74" i="5"/>
  <c r="JE67" i="5"/>
  <c r="JA67" i="5"/>
  <c r="IY67" i="5"/>
  <c r="JF67" i="5"/>
  <c r="IZ67" i="5"/>
  <c r="JE75" i="5"/>
  <c r="JF75" i="5"/>
  <c r="IZ75" i="5"/>
  <c r="JA75" i="5"/>
  <c r="IY75" i="5"/>
  <c r="JE66" i="5"/>
  <c r="JA66" i="5"/>
  <c r="IZ66" i="5"/>
  <c r="JF66" i="5"/>
  <c r="IY66" i="5"/>
  <c r="JE76" i="5"/>
  <c r="JF76" i="5"/>
  <c r="JA76" i="5"/>
  <c r="IZ76" i="5"/>
  <c r="IY76" i="5"/>
  <c r="JE61" i="5"/>
  <c r="IZ61" i="5"/>
  <c r="JF61" i="5"/>
  <c r="JA61" i="5"/>
  <c r="IY61" i="5"/>
  <c r="JE65" i="5"/>
  <c r="JA65" i="5"/>
  <c r="JF65" i="5"/>
  <c r="IY65" i="5"/>
  <c r="IZ65" i="5"/>
  <c r="JE73" i="5"/>
  <c r="JA73" i="5"/>
  <c r="JF73" i="5"/>
  <c r="IY73" i="5"/>
  <c r="IZ73" i="5"/>
  <c r="JE64" i="5"/>
  <c r="JF64" i="5"/>
  <c r="JA64" i="5"/>
  <c r="IY64" i="5"/>
  <c r="IZ64" i="5"/>
  <c r="JE72" i="5"/>
  <c r="JA72" i="5"/>
  <c r="IY72" i="5"/>
  <c r="JF72" i="5"/>
  <c r="IZ72" i="5"/>
  <c r="JE69" i="5"/>
  <c r="JA69" i="5"/>
  <c r="JF69" i="5"/>
  <c r="IY69" i="5"/>
  <c r="IZ69" i="5"/>
  <c r="JE77" i="5"/>
  <c r="JA77" i="5"/>
  <c r="JF77" i="5"/>
  <c r="IY77" i="5"/>
  <c r="IZ77" i="5"/>
  <c r="JE68" i="5"/>
  <c r="JA68" i="5"/>
  <c r="IY68" i="5"/>
  <c r="JF68" i="5"/>
  <c r="IZ68" i="5"/>
  <c r="JE63" i="5"/>
  <c r="JA63" i="5"/>
  <c r="IZ63" i="5"/>
  <c r="IY63" i="5"/>
  <c r="JF63" i="5"/>
  <c r="JE71" i="5"/>
  <c r="JA71" i="5"/>
  <c r="JF71" i="5"/>
  <c r="IY71" i="5"/>
  <c r="IZ71" i="5"/>
  <c r="JE62" i="5"/>
  <c r="JA62" i="5"/>
  <c r="JF62" i="5"/>
  <c r="IY62" i="5"/>
  <c r="IZ62" i="5"/>
  <c r="JE70" i="5"/>
  <c r="JF70" i="5"/>
  <c r="JA70" i="5"/>
  <c r="IZ70" i="5"/>
  <c r="IY70" i="5"/>
  <c r="W37" i="7"/>
  <c r="BI55" i="5"/>
  <c r="BI77" i="5"/>
  <c r="BH77" i="5" s="1"/>
  <c r="CX142" i="6" s="1"/>
  <c r="CY142" i="6" s="1"/>
  <c r="BI73" i="5"/>
  <c r="BH73" i="5" s="1"/>
  <c r="CX138" i="6" s="1"/>
  <c r="CY138" i="6" s="1"/>
  <c r="BI69" i="5"/>
  <c r="BH69" i="5" s="1"/>
  <c r="CX134" i="6" s="1"/>
  <c r="CY134" i="6" s="1"/>
  <c r="BI65" i="5"/>
  <c r="BH65" i="5" s="1"/>
  <c r="BI61" i="5"/>
  <c r="BH61" i="5" s="1"/>
  <c r="BI74" i="5"/>
  <c r="BH74" i="5" s="1"/>
  <c r="CX139" i="6" s="1"/>
  <c r="CY139" i="6" s="1"/>
  <c r="BI70" i="5"/>
  <c r="BH70" i="5" s="1"/>
  <c r="CX135" i="6" s="1"/>
  <c r="CY135" i="6" s="1"/>
  <c r="BI66" i="5"/>
  <c r="BH66" i="5" s="1"/>
  <c r="BI64" i="5"/>
  <c r="BH64" i="5" s="1"/>
  <c r="BI62" i="5"/>
  <c r="BH62" i="5" s="1"/>
  <c r="BI75" i="5"/>
  <c r="BH75" i="5" s="1"/>
  <c r="CX140" i="6" s="1"/>
  <c r="CY140" i="6" s="1"/>
  <c r="BI71" i="5"/>
  <c r="BH71" i="5" s="1"/>
  <c r="CX136" i="6" s="1"/>
  <c r="CY136" i="6" s="1"/>
  <c r="BI67" i="5"/>
  <c r="BH67" i="5" s="1"/>
  <c r="CX132" i="6" s="1"/>
  <c r="CY132" i="6" s="1"/>
  <c r="BI63" i="5"/>
  <c r="BH63" i="5" s="1"/>
  <c r="BI76" i="5"/>
  <c r="BH76" i="5" s="1"/>
  <c r="CX141" i="6" s="1"/>
  <c r="CY141" i="6" s="1"/>
  <c r="BI72" i="5"/>
  <c r="BH72" i="5" s="1"/>
  <c r="CX137" i="6" s="1"/>
  <c r="CY137" i="6" s="1"/>
  <c r="BI68" i="5"/>
  <c r="BH68" i="5" s="1"/>
  <c r="CX133" i="6" s="1"/>
  <c r="CY133" i="6" s="1"/>
  <c r="AT65" i="5"/>
  <c r="AT62" i="5"/>
  <c r="AT64" i="5"/>
  <c r="AT61" i="5"/>
  <c r="AT77" i="5"/>
  <c r="AT57" i="5"/>
  <c r="AT74" i="5"/>
  <c r="AT68" i="5"/>
  <c r="AT63" i="5"/>
  <c r="AT75" i="5"/>
  <c r="AT73" i="5"/>
  <c r="AT72" i="5"/>
  <c r="AT66" i="5"/>
  <c r="AT70" i="5"/>
  <c r="AT71" i="5"/>
  <c r="AT67" i="5"/>
  <c r="AT69" i="5"/>
  <c r="AT76" i="5"/>
  <c r="AT59" i="5"/>
  <c r="Y22" i="7"/>
  <c r="AT55" i="5"/>
  <c r="AT56" i="5"/>
  <c r="AT58" i="5"/>
  <c r="AT60" i="5"/>
  <c r="KC55" i="5"/>
  <c r="KC78" i="5" s="1"/>
  <c r="AH113" i="6" s="1"/>
  <c r="JE59" i="5"/>
  <c r="JE56" i="5"/>
  <c r="JE55" i="5"/>
  <c r="JE58" i="5"/>
  <c r="JE60" i="5"/>
  <c r="JE57" i="5"/>
  <c r="IF55" i="5"/>
  <c r="IF78" i="5" s="1"/>
  <c r="AB113" i="6" s="1"/>
  <c r="GI55" i="5"/>
  <c r="GI78" i="5" s="1"/>
  <c r="V113" i="6" s="1"/>
  <c r="EL55" i="5"/>
  <c r="EL78" i="5" s="1"/>
  <c r="P113" i="6" s="1"/>
  <c r="CO55" i="5"/>
  <c r="CO78" i="5" s="1"/>
  <c r="J113" i="6" s="1"/>
  <c r="D114" i="6"/>
  <c r="AJ52" i="5"/>
  <c r="D111" i="6" s="1"/>
  <c r="D116" i="6"/>
  <c r="JF58" i="5"/>
  <c r="JF60" i="5"/>
  <c r="JF57" i="5"/>
  <c r="CP55" i="5"/>
  <c r="CP78" i="5" s="1"/>
  <c r="CQ57" i="5" s="1"/>
  <c r="JF55" i="5"/>
  <c r="JY55" i="5"/>
  <c r="JY78" i="5" s="1"/>
  <c r="AH116" i="6" s="1"/>
  <c r="KD55" i="5"/>
  <c r="KD78" i="5" s="1"/>
  <c r="KE57" i="5" s="1"/>
  <c r="EM55" i="5"/>
  <c r="EM78" i="5" s="1"/>
  <c r="EN57" i="5" s="1"/>
  <c r="GJ55" i="5"/>
  <c r="GJ78" i="5" s="1"/>
  <c r="GK57" i="5" s="1"/>
  <c r="IG55" i="5"/>
  <c r="IG78" i="5" s="1"/>
  <c r="IH57" i="5" s="1"/>
  <c r="JF59" i="5"/>
  <c r="JF56" i="5"/>
  <c r="JA58" i="5"/>
  <c r="JA57" i="5"/>
  <c r="JA59" i="5"/>
  <c r="JA56" i="5"/>
  <c r="JA55" i="5"/>
  <c r="JA60" i="5"/>
  <c r="IB55" i="5"/>
  <c r="IB78" i="5" s="1"/>
  <c r="AB116" i="6" s="1"/>
  <c r="GE55" i="5"/>
  <c r="GE78" i="5" s="1"/>
  <c r="V116" i="6" s="1"/>
  <c r="EH55" i="5"/>
  <c r="EH78" i="5" s="1"/>
  <c r="P116" i="6" s="1"/>
  <c r="CK55" i="5"/>
  <c r="CK78" i="5" s="1"/>
  <c r="J116" i="6" s="1"/>
  <c r="T78" i="5"/>
  <c r="P78" i="5"/>
  <c r="IY55" i="5"/>
  <c r="IZ55" i="5"/>
  <c r="IW78" i="5"/>
  <c r="IY58" i="5"/>
  <c r="IZ58" i="5"/>
  <c r="BI56" i="5"/>
  <c r="BH56" i="5" s="1"/>
  <c r="BI58" i="5"/>
  <c r="BH58" i="5" s="1"/>
  <c r="BI59" i="5"/>
  <c r="BH59" i="5" s="1"/>
  <c r="BI57" i="5"/>
  <c r="BH57" i="5" s="1"/>
  <c r="BI60" i="5"/>
  <c r="BH60" i="5" s="1"/>
  <c r="JW55" i="5"/>
  <c r="JX55" i="5"/>
  <c r="JT78" i="5"/>
  <c r="EC78" i="5"/>
  <c r="EF55" i="5"/>
  <c r="EG55" i="5"/>
  <c r="GD55" i="5"/>
  <c r="GC55" i="5"/>
  <c r="FZ78" i="5"/>
  <c r="HZ55" i="5"/>
  <c r="IA55" i="5"/>
  <c r="HW78" i="5"/>
  <c r="IY60" i="5"/>
  <c r="IZ60" i="5"/>
  <c r="IY57" i="5"/>
  <c r="IZ57" i="5"/>
  <c r="CI55" i="5"/>
  <c r="CJ55" i="5"/>
  <c r="CF78" i="5"/>
  <c r="IY59" i="5"/>
  <c r="IZ59" i="5"/>
  <c r="IY56" i="5"/>
  <c r="IZ56" i="5"/>
  <c r="K78" i="5"/>
  <c r="IV78" i="5"/>
  <c r="EZ62" i="5" l="1"/>
  <c r="EZ65" i="5"/>
  <c r="EZ66" i="5"/>
  <c r="EZ64" i="5"/>
  <c r="EZ78" i="5" s="1"/>
  <c r="Q115" i="6" s="1"/>
  <c r="DC65" i="5"/>
  <c r="DC66" i="5"/>
  <c r="CS142" i="6"/>
  <c r="CO125" i="6"/>
  <c r="CS123" i="6"/>
  <c r="CS121" i="6"/>
  <c r="EB55" i="5"/>
  <c r="EB61" i="5"/>
  <c r="O114" i="6"/>
  <c r="EB64" i="5"/>
  <c r="EB63" i="5"/>
  <c r="EB56" i="5"/>
  <c r="EB60" i="5"/>
  <c r="EB59" i="5"/>
  <c r="EB62" i="5"/>
  <c r="GE120" i="6"/>
  <c r="GD144" i="6"/>
  <c r="GD143" i="6"/>
  <c r="JS66" i="5"/>
  <c r="JS65" i="5"/>
  <c r="HV65" i="5"/>
  <c r="HV66" i="5"/>
  <c r="FY58" i="5"/>
  <c r="FY59" i="5"/>
  <c r="FY65" i="5"/>
  <c r="FY66" i="5"/>
  <c r="EB66" i="5"/>
  <c r="EB65" i="5"/>
  <c r="CQ120" i="6"/>
  <c r="CS120" i="6"/>
  <c r="CO120" i="6"/>
  <c r="CQ122" i="6"/>
  <c r="CQ121" i="6"/>
  <c r="CQ124" i="6"/>
  <c r="CO122" i="6"/>
  <c r="CQ125" i="6"/>
  <c r="CQ123" i="6"/>
  <c r="CQ142" i="6"/>
  <c r="CO124" i="6"/>
  <c r="CK126" i="6"/>
  <c r="AH65" i="5"/>
  <c r="AH66" i="5"/>
  <c r="CJ135" i="6"/>
  <c r="CE63" i="5"/>
  <c r="CW123" i="6"/>
  <c r="CW128" i="6"/>
  <c r="CW127" i="6"/>
  <c r="CW139" i="6"/>
  <c r="CZ139" i="6" s="1"/>
  <c r="CW138" i="6"/>
  <c r="CZ138" i="6" s="1"/>
  <c r="CW125" i="6"/>
  <c r="CW121" i="6"/>
  <c r="CW133" i="6"/>
  <c r="CZ133" i="6" s="1"/>
  <c r="CW132" i="6"/>
  <c r="CZ132" i="6" s="1"/>
  <c r="CW129" i="6"/>
  <c r="CW126" i="6"/>
  <c r="CW142" i="6"/>
  <c r="CZ142" i="6" s="1"/>
  <c r="CW122" i="6"/>
  <c r="CW137" i="6"/>
  <c r="CZ137" i="6" s="1"/>
  <c r="CW136" i="6"/>
  <c r="CZ136" i="6" s="1"/>
  <c r="CW131" i="6"/>
  <c r="CW130" i="6"/>
  <c r="CW124" i="6"/>
  <c r="CW141" i="6"/>
  <c r="CZ141" i="6" s="1"/>
  <c r="CW140" i="6"/>
  <c r="CZ140" i="6" s="1"/>
  <c r="CW135" i="6"/>
  <c r="CZ135" i="6" s="1"/>
  <c r="CW134" i="6"/>
  <c r="CZ134" i="6" s="1"/>
  <c r="CE64" i="5"/>
  <c r="CE65" i="5"/>
  <c r="CC143" i="6"/>
  <c r="CC144" i="6"/>
  <c r="CM120" i="6"/>
  <c r="CL120" i="6"/>
  <c r="CK138" i="6"/>
  <c r="CK141" i="6"/>
  <c r="CJ142" i="6"/>
  <c r="CJ121" i="6"/>
  <c r="CK121" i="6"/>
  <c r="V60" i="5"/>
  <c r="CJ122" i="6"/>
  <c r="CK132" i="6"/>
  <c r="AM36" i="7"/>
  <c r="AZ36" i="7" s="1"/>
  <c r="BF36" i="7" s="1"/>
  <c r="AL36" i="7"/>
  <c r="AY36" i="7" s="1"/>
  <c r="BE36" i="7" s="1"/>
  <c r="CD144" i="6"/>
  <c r="CD143" i="6"/>
  <c r="BB22" i="7"/>
  <c r="BH22" i="7" s="1"/>
  <c r="AK37" i="7"/>
  <c r="AX37" i="7" s="1"/>
  <c r="BD37" i="7" s="1"/>
  <c r="AM37" i="7"/>
  <c r="AZ37" i="7" s="1"/>
  <c r="BF37" i="7" s="1"/>
  <c r="AL37" i="7"/>
  <c r="AY37" i="7" s="1"/>
  <c r="BE37" i="7" s="1"/>
  <c r="CK142" i="6"/>
  <c r="GI140" i="6"/>
  <c r="GJ140" i="6" s="1"/>
  <c r="GI131" i="6"/>
  <c r="GJ131" i="6" s="1"/>
  <c r="GL131" i="6" s="1"/>
  <c r="GI123" i="6"/>
  <c r="GJ123" i="6" s="1"/>
  <c r="GI128" i="6"/>
  <c r="GJ128" i="6" s="1"/>
  <c r="GI121" i="6"/>
  <c r="GJ121" i="6" s="1"/>
  <c r="GI124" i="6"/>
  <c r="GJ124" i="6" s="1"/>
  <c r="GI129" i="6"/>
  <c r="GJ129" i="6" s="1"/>
  <c r="GI138" i="6"/>
  <c r="GJ138" i="6" s="1"/>
  <c r="GI134" i="6"/>
  <c r="GJ134" i="6" s="1"/>
  <c r="GI125" i="6"/>
  <c r="GJ125" i="6" s="1"/>
  <c r="GI120" i="6"/>
  <c r="GJ120" i="6" s="1"/>
  <c r="GI142" i="6"/>
  <c r="GJ142" i="6" s="1"/>
  <c r="DB140" i="6"/>
  <c r="DA140" i="6"/>
  <c r="DA135" i="6"/>
  <c r="DB135" i="6"/>
  <c r="DB134" i="6"/>
  <c r="DA134" i="6"/>
  <c r="DB122" i="6"/>
  <c r="DA122" i="6"/>
  <c r="DA133" i="6"/>
  <c r="DB133" i="6"/>
  <c r="DB132" i="6"/>
  <c r="DA132" i="6"/>
  <c r="DA129" i="6"/>
  <c r="DB129" i="6"/>
  <c r="DB126" i="6"/>
  <c r="DA126" i="6"/>
  <c r="DB142" i="6"/>
  <c r="DA142" i="6"/>
  <c r="GI137" i="6"/>
  <c r="GJ137" i="6" s="1"/>
  <c r="GC144" i="6"/>
  <c r="GC143" i="6"/>
  <c r="CM142" i="6"/>
  <c r="CL142" i="6"/>
  <c r="CJ124" i="6"/>
  <c r="CK124" i="6"/>
  <c r="GI127" i="6"/>
  <c r="GJ127" i="6" s="1"/>
  <c r="CM121" i="6"/>
  <c r="CL121" i="6"/>
  <c r="GI122" i="6"/>
  <c r="GJ122" i="6" s="1"/>
  <c r="CE143" i="6"/>
  <c r="GI141" i="6"/>
  <c r="GJ141" i="6" s="1"/>
  <c r="GI139" i="6"/>
  <c r="GJ139" i="6" s="1"/>
  <c r="DB124" i="6"/>
  <c r="DA124" i="6"/>
  <c r="DA137" i="6"/>
  <c r="DB137" i="6"/>
  <c r="DB136" i="6"/>
  <c r="DA136" i="6"/>
  <c r="DA131" i="6"/>
  <c r="DB131" i="6"/>
  <c r="DB130" i="6"/>
  <c r="DA130" i="6"/>
  <c r="GI130" i="6"/>
  <c r="GJ130" i="6" s="1"/>
  <c r="CL122" i="6"/>
  <c r="CM122" i="6"/>
  <c r="CJ125" i="6"/>
  <c r="CK125" i="6"/>
  <c r="GI135" i="6"/>
  <c r="GJ135" i="6" s="1"/>
  <c r="CL123" i="6"/>
  <c r="CM123" i="6"/>
  <c r="GI126" i="6"/>
  <c r="GJ126" i="6" s="1"/>
  <c r="CE144" i="6"/>
  <c r="GI132" i="6"/>
  <c r="GJ132" i="6" s="1"/>
  <c r="DA123" i="6"/>
  <c r="DB123" i="6"/>
  <c r="DA141" i="6"/>
  <c r="DB141" i="6"/>
  <c r="CL125" i="6"/>
  <c r="CM125" i="6"/>
  <c r="CJ123" i="6"/>
  <c r="CK123" i="6"/>
  <c r="CL124" i="6"/>
  <c r="CM124" i="6"/>
  <c r="DA125" i="6"/>
  <c r="DB125" i="6"/>
  <c r="DA121" i="6"/>
  <c r="DB121" i="6"/>
  <c r="DB128" i="6"/>
  <c r="DA128" i="6"/>
  <c r="DA127" i="6"/>
  <c r="DB127" i="6"/>
  <c r="DA139" i="6"/>
  <c r="DB139" i="6"/>
  <c r="DB138" i="6"/>
  <c r="DA138" i="6"/>
  <c r="GI136" i="6"/>
  <c r="GJ136" i="6" s="1"/>
  <c r="GI133" i="6"/>
  <c r="GJ133" i="6" s="1"/>
  <c r="L52" i="5"/>
  <c r="B111" i="6" s="1"/>
  <c r="U114" i="6"/>
  <c r="KQ57" i="5"/>
  <c r="KQ63" i="5"/>
  <c r="AI114" i="6"/>
  <c r="KQ64" i="5"/>
  <c r="KQ56" i="5"/>
  <c r="KQ59" i="5"/>
  <c r="KQ61" i="5"/>
  <c r="KQ60" i="5"/>
  <c r="KQ58" i="5"/>
  <c r="KQ55" i="5"/>
  <c r="KQ62" i="5"/>
  <c r="KG52" i="5"/>
  <c r="AI111" i="6" s="1"/>
  <c r="AI116" i="6"/>
  <c r="AC116" i="6"/>
  <c r="IJ52" i="5"/>
  <c r="AC111" i="6" s="1"/>
  <c r="IT57" i="5"/>
  <c r="IT61" i="5"/>
  <c r="IT62" i="5"/>
  <c r="IT56" i="5"/>
  <c r="AC114" i="6"/>
  <c r="IT55" i="5"/>
  <c r="IT58" i="5"/>
  <c r="IT63" i="5"/>
  <c r="IT59" i="5"/>
  <c r="IT60" i="5"/>
  <c r="IT64" i="5"/>
  <c r="W116" i="6"/>
  <c r="GM52" i="5"/>
  <c r="W111" i="6" s="1"/>
  <c r="FY60" i="5"/>
  <c r="FY56" i="5"/>
  <c r="GW78" i="5"/>
  <c r="W115" i="6" s="1"/>
  <c r="Q116" i="6"/>
  <c r="EP52" i="5"/>
  <c r="Q111" i="6" s="1"/>
  <c r="CE60" i="5"/>
  <c r="I114" i="6"/>
  <c r="CE59" i="5"/>
  <c r="DC57" i="5"/>
  <c r="DC60" i="5"/>
  <c r="DC64" i="5"/>
  <c r="DC56" i="5"/>
  <c r="K114" i="6"/>
  <c r="DC59" i="5"/>
  <c r="DC61" i="5"/>
  <c r="DC63" i="5"/>
  <c r="DC58" i="5"/>
  <c r="DC55" i="5"/>
  <c r="DC62" i="5"/>
  <c r="CE61" i="5"/>
  <c r="K116" i="6"/>
  <c r="CS52" i="5"/>
  <c r="K111" i="6" s="1"/>
  <c r="I116" i="6"/>
  <c r="BF78" i="5"/>
  <c r="E115" i="6" s="1"/>
  <c r="E110" i="6"/>
  <c r="E109" i="6"/>
  <c r="CE58" i="5"/>
  <c r="CE57" i="5"/>
  <c r="V59" i="5"/>
  <c r="CE56" i="5"/>
  <c r="CE62" i="5"/>
  <c r="CE55" i="5"/>
  <c r="FY55" i="5"/>
  <c r="FY64" i="5"/>
  <c r="JS57" i="5"/>
  <c r="JS58" i="5"/>
  <c r="AG114" i="6"/>
  <c r="JS61" i="5"/>
  <c r="JS64" i="5"/>
  <c r="JS60" i="5"/>
  <c r="JS55" i="5"/>
  <c r="JS56" i="5"/>
  <c r="JS62" i="5"/>
  <c r="JS63" i="5"/>
  <c r="JS59" i="5"/>
  <c r="AG116" i="6"/>
  <c r="JI52" i="5"/>
  <c r="AG111" i="6" s="1"/>
  <c r="AA116" i="6"/>
  <c r="HL52" i="5"/>
  <c r="AA111" i="6" s="1"/>
  <c r="HV57" i="5"/>
  <c r="HV56" i="5"/>
  <c r="AA114" i="6"/>
  <c r="HV55" i="5"/>
  <c r="HV59" i="5"/>
  <c r="HV60" i="5"/>
  <c r="HV63" i="5"/>
  <c r="HV61" i="5"/>
  <c r="HV58" i="5"/>
  <c r="HV64" i="5"/>
  <c r="HV62" i="5"/>
  <c r="U116" i="6"/>
  <c r="FO52" i="5"/>
  <c r="U111" i="6" s="1"/>
  <c r="O116" i="6"/>
  <c r="DR52" i="5"/>
  <c r="O111" i="6" s="1"/>
  <c r="I110" i="6"/>
  <c r="I109" i="6"/>
  <c r="IY78" i="5"/>
  <c r="AF108" i="6" s="1"/>
  <c r="JX78" i="5"/>
  <c r="AH107" i="6" s="1"/>
  <c r="JW78" i="5"/>
  <c r="AH108" i="6" s="1"/>
  <c r="IZ78" i="5"/>
  <c r="AF107" i="6" s="1"/>
  <c r="HZ78" i="5"/>
  <c r="AB108" i="6" s="1"/>
  <c r="IA78" i="5"/>
  <c r="AB107" i="6" s="1"/>
  <c r="GD78" i="5"/>
  <c r="V107" i="6" s="1"/>
  <c r="GC78" i="5"/>
  <c r="V108" i="6" s="1"/>
  <c r="EG78" i="5"/>
  <c r="P107" i="6" s="1"/>
  <c r="EF78" i="5"/>
  <c r="P108" i="6" s="1"/>
  <c r="CJ78" i="5"/>
  <c r="J107" i="6" s="1"/>
  <c r="CI78" i="5"/>
  <c r="J108" i="6" s="1"/>
  <c r="X52" i="5"/>
  <c r="C111" i="6" s="1"/>
  <c r="C116" i="6"/>
  <c r="AH59" i="5"/>
  <c r="AH62" i="5"/>
  <c r="AH63" i="5"/>
  <c r="AH61" i="5"/>
  <c r="AH56" i="5"/>
  <c r="C114" i="6"/>
  <c r="AH55" i="5"/>
  <c r="AH60" i="5"/>
  <c r="AH58" i="5"/>
  <c r="AH57" i="5"/>
  <c r="AH64" i="5"/>
  <c r="B116" i="6"/>
  <c r="B105" i="6" s="1"/>
  <c r="GK66" i="5"/>
  <c r="GK69" i="5"/>
  <c r="GK74" i="5"/>
  <c r="GK63" i="5"/>
  <c r="GK76" i="5"/>
  <c r="GK72" i="5"/>
  <c r="GK75" i="5"/>
  <c r="GK70" i="5"/>
  <c r="GK73" i="5"/>
  <c r="GK59" i="5"/>
  <c r="GK61" i="5"/>
  <c r="GK77" i="5"/>
  <c r="GK68" i="5"/>
  <c r="GK71" i="5"/>
  <c r="GK64" i="5"/>
  <c r="GK67" i="5"/>
  <c r="GK62" i="5"/>
  <c r="GK65" i="5"/>
  <c r="IH71" i="5"/>
  <c r="IH75" i="5"/>
  <c r="IH73" i="5"/>
  <c r="IH63" i="5"/>
  <c r="IH61" i="5"/>
  <c r="IH70" i="5"/>
  <c r="IH69" i="5"/>
  <c r="IH67" i="5"/>
  <c r="IH65" i="5"/>
  <c r="IH59" i="5"/>
  <c r="IH74" i="5"/>
  <c r="IH76" i="5"/>
  <c r="IH62" i="5"/>
  <c r="IH64" i="5"/>
  <c r="IH68" i="5"/>
  <c r="IH77" i="5"/>
  <c r="IH72" i="5"/>
  <c r="IH66" i="5"/>
  <c r="KE74" i="5"/>
  <c r="KE66" i="5"/>
  <c r="KE70" i="5"/>
  <c r="KE65" i="5"/>
  <c r="KE67" i="5"/>
  <c r="KE69" i="5"/>
  <c r="KE75" i="5"/>
  <c r="KE59" i="5"/>
  <c r="KE63" i="5"/>
  <c r="KE62" i="5"/>
  <c r="KE76" i="5"/>
  <c r="KE73" i="5"/>
  <c r="KE72" i="5"/>
  <c r="KE61" i="5"/>
  <c r="KE77" i="5"/>
  <c r="KE71" i="5"/>
  <c r="KE64" i="5"/>
  <c r="KE68" i="5"/>
  <c r="EN55" i="5"/>
  <c r="EN65" i="5"/>
  <c r="EN75" i="5"/>
  <c r="EN62" i="5"/>
  <c r="EN68" i="5"/>
  <c r="EN61" i="5"/>
  <c r="EN71" i="5"/>
  <c r="EN73" i="5"/>
  <c r="EN70" i="5"/>
  <c r="EN76" i="5"/>
  <c r="EN74" i="5"/>
  <c r="EN66" i="5"/>
  <c r="EN77" i="5"/>
  <c r="EN63" i="5"/>
  <c r="EN59" i="5"/>
  <c r="EN64" i="5"/>
  <c r="EN67" i="5"/>
  <c r="EN69" i="5"/>
  <c r="EN72" i="5"/>
  <c r="BQ63" i="5"/>
  <c r="BL63" i="5"/>
  <c r="BR63" i="5"/>
  <c r="BM63" i="5"/>
  <c r="BK63" i="5"/>
  <c r="BQ62" i="5"/>
  <c r="BM62" i="5"/>
  <c r="BR62" i="5"/>
  <c r="BL62" i="5"/>
  <c r="BK62" i="5"/>
  <c r="BQ74" i="5"/>
  <c r="BM74" i="5"/>
  <c r="BR74" i="5"/>
  <c r="BK74" i="5"/>
  <c r="BL74" i="5"/>
  <c r="BQ73" i="5"/>
  <c r="BM73" i="5"/>
  <c r="BR73" i="5"/>
  <c r="BL73" i="5"/>
  <c r="BK73" i="5"/>
  <c r="BQ61" i="5"/>
  <c r="BR61" i="5"/>
  <c r="BK61" i="5"/>
  <c r="BL61" i="5"/>
  <c r="BM61" i="5"/>
  <c r="BQ72" i="5"/>
  <c r="BR72" i="5"/>
  <c r="BL72" i="5"/>
  <c r="BM72" i="5"/>
  <c r="BK72" i="5"/>
  <c r="BQ71" i="5"/>
  <c r="BM71" i="5"/>
  <c r="BR71" i="5"/>
  <c r="BL71" i="5"/>
  <c r="BK71" i="5"/>
  <c r="BQ65" i="5"/>
  <c r="BR65" i="5"/>
  <c r="BM65" i="5"/>
  <c r="BL65" i="5"/>
  <c r="BK65" i="5"/>
  <c r="BQ76" i="5"/>
  <c r="BK76" i="5"/>
  <c r="BM76" i="5"/>
  <c r="BR76" i="5"/>
  <c r="BL76" i="5"/>
  <c r="BQ75" i="5"/>
  <c r="BR75" i="5"/>
  <c r="BM75" i="5"/>
  <c r="BK75" i="5"/>
  <c r="BL75" i="5"/>
  <c r="BQ70" i="5"/>
  <c r="BR70" i="5"/>
  <c r="BM70" i="5"/>
  <c r="BL70" i="5"/>
  <c r="BK70" i="5"/>
  <c r="BQ69" i="5"/>
  <c r="BR69" i="5"/>
  <c r="BM69" i="5"/>
  <c r="BL69" i="5"/>
  <c r="BK69" i="5"/>
  <c r="CQ55" i="5"/>
  <c r="CQ70" i="5"/>
  <c r="CQ63" i="5"/>
  <c r="CQ74" i="5"/>
  <c r="CQ71" i="5"/>
  <c r="CQ73" i="5"/>
  <c r="CQ76" i="5"/>
  <c r="CQ66" i="5"/>
  <c r="CQ65" i="5"/>
  <c r="CQ62" i="5"/>
  <c r="CQ59" i="5"/>
  <c r="CQ64" i="5"/>
  <c r="CQ69" i="5"/>
  <c r="CQ77" i="5"/>
  <c r="CQ68" i="5"/>
  <c r="CQ72" i="5"/>
  <c r="CQ61" i="5"/>
  <c r="CQ75" i="5"/>
  <c r="CQ67" i="5"/>
  <c r="BQ68" i="5"/>
  <c r="BM68" i="5"/>
  <c r="BL68" i="5"/>
  <c r="BR68" i="5"/>
  <c r="BK68" i="5"/>
  <c r="BQ67" i="5"/>
  <c r="BR67" i="5"/>
  <c r="BL67" i="5"/>
  <c r="BK67" i="5"/>
  <c r="BM67" i="5"/>
  <c r="BQ64" i="5"/>
  <c r="BM64" i="5"/>
  <c r="BR64" i="5"/>
  <c r="BK64" i="5"/>
  <c r="BL64" i="5"/>
  <c r="BQ77" i="5"/>
  <c r="BK77" i="5"/>
  <c r="BM77" i="5"/>
  <c r="BR77" i="5"/>
  <c r="BL77" i="5"/>
  <c r="BQ66" i="5"/>
  <c r="BM66" i="5"/>
  <c r="BK66" i="5"/>
  <c r="BL66" i="5"/>
  <c r="BR66" i="5"/>
  <c r="V76" i="5"/>
  <c r="V77" i="5"/>
  <c r="V74" i="5"/>
  <c r="V75" i="5"/>
  <c r="V72" i="5"/>
  <c r="V73" i="5"/>
  <c r="V70" i="5"/>
  <c r="V71" i="5"/>
  <c r="V68" i="5"/>
  <c r="V69" i="5"/>
  <c r="V66" i="5"/>
  <c r="V67" i="5"/>
  <c r="V64" i="5"/>
  <c r="V65" i="5"/>
  <c r="V62" i="5"/>
  <c r="V63" i="5"/>
  <c r="V61" i="5"/>
  <c r="V58" i="5"/>
  <c r="V57" i="5"/>
  <c r="AH114" i="6"/>
  <c r="KE60" i="5"/>
  <c r="KE58" i="5"/>
  <c r="KE56" i="5"/>
  <c r="KE55" i="5"/>
  <c r="IH60" i="5"/>
  <c r="IH58" i="5"/>
  <c r="IH56" i="5"/>
  <c r="IH55" i="5"/>
  <c r="GK60" i="5"/>
  <c r="GK58" i="5"/>
  <c r="GK56" i="5"/>
  <c r="GK55" i="5"/>
  <c r="EN60" i="5"/>
  <c r="EN58" i="5"/>
  <c r="EN56" i="5"/>
  <c r="CQ60" i="5"/>
  <c r="CQ58" i="5"/>
  <c r="CQ56" i="5"/>
  <c r="JE78" i="5"/>
  <c r="AF113" i="6" s="1"/>
  <c r="AF102" i="6" s="1"/>
  <c r="C18" i="7" s="1"/>
  <c r="V56" i="5"/>
  <c r="BQ60" i="5"/>
  <c r="BQ59" i="5"/>
  <c r="BQ58" i="5"/>
  <c r="BQ56" i="5"/>
  <c r="BQ57" i="5"/>
  <c r="B114" i="6"/>
  <c r="D109" i="6"/>
  <c r="D110" i="6"/>
  <c r="B108" i="6"/>
  <c r="B97" i="6" s="1"/>
  <c r="I28" i="7" s="1"/>
  <c r="B96" i="6"/>
  <c r="J28" i="7" s="1"/>
  <c r="B113" i="6"/>
  <c r="B102" i="6" s="1"/>
  <c r="AT78" i="5"/>
  <c r="D115" i="6" s="1"/>
  <c r="JF78" i="5"/>
  <c r="JG57" i="5" s="1"/>
  <c r="JU52" i="5"/>
  <c r="AH111" i="6" s="1"/>
  <c r="JA78" i="5"/>
  <c r="AF116" i="6" s="1"/>
  <c r="AB114" i="6"/>
  <c r="HX52" i="5"/>
  <c r="AB111" i="6" s="1"/>
  <c r="GA52" i="5"/>
  <c r="V111" i="6" s="1"/>
  <c r="V114" i="6"/>
  <c r="ED52" i="5"/>
  <c r="P111" i="6" s="1"/>
  <c r="P114" i="6"/>
  <c r="CG52" i="5"/>
  <c r="J111" i="6" s="1"/>
  <c r="J114" i="6"/>
  <c r="BR60" i="5"/>
  <c r="BR56" i="5"/>
  <c r="BR59" i="5"/>
  <c r="BR58" i="5"/>
  <c r="BR57" i="5"/>
  <c r="AL109" i="6"/>
  <c r="AL98" i="6" s="1"/>
  <c r="L34" i="7" s="1"/>
  <c r="BM58" i="5"/>
  <c r="BM60" i="5"/>
  <c r="BM56" i="5"/>
  <c r="BM57" i="5"/>
  <c r="BM59" i="5"/>
  <c r="BK59" i="5"/>
  <c r="BL59" i="5"/>
  <c r="BK60" i="5"/>
  <c r="BL60" i="5"/>
  <c r="BK58" i="5"/>
  <c r="BL58" i="5"/>
  <c r="BH55" i="5"/>
  <c r="BI78" i="5"/>
  <c r="BK56" i="5"/>
  <c r="BL56" i="5"/>
  <c r="BK57" i="5"/>
  <c r="BL57" i="5"/>
  <c r="S48" i="2"/>
  <c r="X48" i="2" s="1"/>
  <c r="AU48" i="2" s="1"/>
  <c r="BA48" i="2" s="1"/>
  <c r="S49" i="2"/>
  <c r="X49" i="2" s="1"/>
  <c r="AU49" i="2" s="1"/>
  <c r="BA49" i="2" s="1"/>
  <c r="S50" i="2"/>
  <c r="X50" i="2" s="1"/>
  <c r="AU50" i="2" s="1"/>
  <c r="BA50" i="2" s="1"/>
  <c r="S51" i="2"/>
  <c r="X51" i="2" s="1"/>
  <c r="AU51" i="2" s="1"/>
  <c r="BA51" i="2" s="1"/>
  <c r="S52" i="2"/>
  <c r="X52" i="2" s="1"/>
  <c r="AU52" i="2" s="1"/>
  <c r="BA52" i="2" s="1"/>
  <c r="S53" i="2"/>
  <c r="X53" i="2" s="1"/>
  <c r="AU53" i="2" s="1"/>
  <c r="BA53" i="2" s="1"/>
  <c r="S54" i="2"/>
  <c r="X54" i="2" s="1"/>
  <c r="AU54" i="2" s="1"/>
  <c r="BA54" i="2" s="1"/>
  <c r="S55" i="2"/>
  <c r="X55" i="2" s="1"/>
  <c r="AU55" i="2" s="1"/>
  <c r="BA55" i="2" s="1"/>
  <c r="S61" i="2"/>
  <c r="X61" i="2" s="1"/>
  <c r="AU61" i="2" s="1"/>
  <c r="BA61" i="2" s="1"/>
  <c r="R48" i="2"/>
  <c r="W48" i="2" s="1"/>
  <c r="AT48" i="2" s="1"/>
  <c r="AZ48" i="2" s="1"/>
  <c r="R49" i="2"/>
  <c r="W49" i="2" s="1"/>
  <c r="AT49" i="2" s="1"/>
  <c r="AZ49" i="2" s="1"/>
  <c r="R50" i="2"/>
  <c r="W50" i="2" s="1"/>
  <c r="AT50" i="2" s="1"/>
  <c r="AZ50" i="2" s="1"/>
  <c r="R51" i="2"/>
  <c r="W51" i="2" s="1"/>
  <c r="AT51" i="2" s="1"/>
  <c r="AZ51" i="2" s="1"/>
  <c r="R52" i="2"/>
  <c r="W52" i="2" s="1"/>
  <c r="AT52" i="2" s="1"/>
  <c r="AZ52" i="2" s="1"/>
  <c r="R53" i="2"/>
  <c r="W53" i="2" s="1"/>
  <c r="AT53" i="2" s="1"/>
  <c r="AZ53" i="2" s="1"/>
  <c r="R54" i="2"/>
  <c r="W54" i="2" s="1"/>
  <c r="AT54" i="2" s="1"/>
  <c r="AZ54" i="2" s="1"/>
  <c r="R55" i="2"/>
  <c r="W55" i="2" s="1"/>
  <c r="AT55" i="2" s="1"/>
  <c r="AZ55" i="2" s="1"/>
  <c r="R61" i="2"/>
  <c r="W61" i="2" s="1"/>
  <c r="AT61" i="2" s="1"/>
  <c r="AZ61" i="2" s="1"/>
  <c r="R47" i="2"/>
  <c r="Q48" i="2"/>
  <c r="V48" i="2" s="1"/>
  <c r="AS48" i="2" s="1"/>
  <c r="AY48" i="2" s="1"/>
  <c r="Q49" i="2"/>
  <c r="V49" i="2" s="1"/>
  <c r="AS49" i="2" s="1"/>
  <c r="AY49" i="2" s="1"/>
  <c r="Q50" i="2"/>
  <c r="V50" i="2" s="1"/>
  <c r="AS50" i="2" s="1"/>
  <c r="AY50" i="2" s="1"/>
  <c r="Q51" i="2"/>
  <c r="V51" i="2" s="1"/>
  <c r="AS51" i="2" s="1"/>
  <c r="AY51" i="2" s="1"/>
  <c r="Q52" i="2"/>
  <c r="V52" i="2" s="1"/>
  <c r="AS52" i="2" s="1"/>
  <c r="AY52" i="2" s="1"/>
  <c r="Q53" i="2"/>
  <c r="V53" i="2" s="1"/>
  <c r="AS53" i="2" s="1"/>
  <c r="AY53" i="2" s="1"/>
  <c r="Q54" i="2"/>
  <c r="V54" i="2" s="1"/>
  <c r="AS54" i="2" s="1"/>
  <c r="AY54" i="2" s="1"/>
  <c r="Q55" i="2"/>
  <c r="V55" i="2" s="1"/>
  <c r="AS55" i="2" s="1"/>
  <c r="AY55" i="2" s="1"/>
  <c r="Q61" i="2"/>
  <c r="V61" i="2" s="1"/>
  <c r="AS61" i="2" s="1"/>
  <c r="AY61" i="2" s="1"/>
  <c r="Q47" i="2"/>
  <c r="N48" i="2"/>
  <c r="N49" i="2"/>
  <c r="N51" i="2"/>
  <c r="N52" i="2"/>
  <c r="N53" i="2"/>
  <c r="N54" i="2"/>
  <c r="N55" i="2"/>
  <c r="CX122" i="6" l="1"/>
  <c r="CY122" i="6" s="1"/>
  <c r="CZ122" i="6"/>
  <c r="CX131" i="6"/>
  <c r="CY131" i="6" s="1"/>
  <c r="CZ131" i="6"/>
  <c r="CX126" i="6"/>
  <c r="CY126" i="6" s="1"/>
  <c r="CZ126" i="6"/>
  <c r="CX121" i="6"/>
  <c r="CY121" i="6" s="1"/>
  <c r="CZ121" i="6"/>
  <c r="CX127" i="6"/>
  <c r="CY127" i="6" s="1"/>
  <c r="CZ127" i="6"/>
  <c r="CX130" i="6"/>
  <c r="CY130" i="6" s="1"/>
  <c r="CZ130" i="6"/>
  <c r="CX123" i="6"/>
  <c r="CY123" i="6" s="1"/>
  <c r="CZ123" i="6"/>
  <c r="CX124" i="6"/>
  <c r="CY124" i="6" s="1"/>
  <c r="CZ124" i="6"/>
  <c r="CX129" i="6"/>
  <c r="CY129" i="6" s="1"/>
  <c r="CZ129" i="6"/>
  <c r="CX125" i="6"/>
  <c r="CY125" i="6" s="1"/>
  <c r="CZ125" i="6"/>
  <c r="CX128" i="6"/>
  <c r="CY128" i="6" s="1"/>
  <c r="CZ128" i="6"/>
  <c r="EB78" i="5"/>
  <c r="O115" i="6" s="1"/>
  <c r="GE144" i="6"/>
  <c r="GE143" i="6"/>
  <c r="GL134" i="6"/>
  <c r="GR134" i="6"/>
  <c r="GP134" i="6"/>
  <c r="GT134" i="6"/>
  <c r="GK140" i="6"/>
  <c r="GR140" i="6"/>
  <c r="GP140" i="6"/>
  <c r="GT140" i="6"/>
  <c r="GP139" i="6"/>
  <c r="GT139" i="6"/>
  <c r="GR139" i="6"/>
  <c r="GL138" i="6"/>
  <c r="GR138" i="6"/>
  <c r="GP138" i="6"/>
  <c r="GT138" i="6"/>
  <c r="GR132" i="6"/>
  <c r="GT132" i="6"/>
  <c r="GP132" i="6"/>
  <c r="GT130" i="6"/>
  <c r="GR130" i="6"/>
  <c r="GP130" i="6"/>
  <c r="GT137" i="6"/>
  <c r="GP137" i="6"/>
  <c r="GR137" i="6"/>
  <c r="GK120" i="6"/>
  <c r="GT120" i="6"/>
  <c r="GR120" i="6"/>
  <c r="GP120" i="6"/>
  <c r="GK129" i="6"/>
  <c r="GR129" i="6"/>
  <c r="GP129" i="6"/>
  <c r="GT129" i="6"/>
  <c r="GL123" i="6"/>
  <c r="GT123" i="6"/>
  <c r="GP123" i="6"/>
  <c r="GR123" i="6"/>
  <c r="GP136" i="6"/>
  <c r="GR136" i="6"/>
  <c r="GT136" i="6"/>
  <c r="GT126" i="6"/>
  <c r="GR126" i="6"/>
  <c r="GP126" i="6"/>
  <c r="GL121" i="6"/>
  <c r="GT121" i="6"/>
  <c r="GR121" i="6"/>
  <c r="GP121" i="6"/>
  <c r="GP135" i="6"/>
  <c r="GR135" i="6"/>
  <c r="GT135" i="6"/>
  <c r="GT122" i="6"/>
  <c r="GP122" i="6"/>
  <c r="GR122" i="6"/>
  <c r="GL142" i="6"/>
  <c r="GR142" i="6"/>
  <c r="GT142" i="6"/>
  <c r="GP142" i="6"/>
  <c r="GK128" i="6"/>
  <c r="GT128" i="6"/>
  <c r="GR128" i="6"/>
  <c r="GP128" i="6"/>
  <c r="GT133" i="6"/>
  <c r="GP133" i="6"/>
  <c r="GR133" i="6"/>
  <c r="GT141" i="6"/>
  <c r="GR141" i="6"/>
  <c r="GP141" i="6"/>
  <c r="GR127" i="6"/>
  <c r="GT127" i="6"/>
  <c r="GP127" i="6"/>
  <c r="GL125" i="6"/>
  <c r="GR125" i="6"/>
  <c r="GP125" i="6"/>
  <c r="GT125" i="6"/>
  <c r="GK124" i="6"/>
  <c r="GP124" i="6"/>
  <c r="GT124" i="6"/>
  <c r="GR124" i="6"/>
  <c r="GK131" i="6"/>
  <c r="GT131" i="6"/>
  <c r="GR131" i="6"/>
  <c r="GP131" i="6"/>
  <c r="CK122" i="6"/>
  <c r="CK143" i="6" s="1"/>
  <c r="CK145" i="6" s="1"/>
  <c r="CJ143" i="6"/>
  <c r="CJ145" i="6" s="1"/>
  <c r="CQ143" i="6"/>
  <c r="BO101" i="6" s="1"/>
  <c r="CW120" i="6"/>
  <c r="GL140" i="6"/>
  <c r="GK123" i="6"/>
  <c r="DC134" i="6"/>
  <c r="DD134" i="6" s="1"/>
  <c r="GK142" i="6"/>
  <c r="CS143" i="6"/>
  <c r="CS145" i="6" s="1"/>
  <c r="GL124" i="6"/>
  <c r="GL120" i="6"/>
  <c r="GK121" i="6"/>
  <c r="GK125" i="6"/>
  <c r="GL129" i="6"/>
  <c r="DC142" i="6"/>
  <c r="DD142" i="6" s="1"/>
  <c r="GK138" i="6"/>
  <c r="GL128" i="6"/>
  <c r="CO143" i="6"/>
  <c r="CM143" i="6"/>
  <c r="DC121" i="6"/>
  <c r="DD121" i="6" s="1"/>
  <c r="DC141" i="6"/>
  <c r="DD141" i="6" s="1"/>
  <c r="CL143" i="6"/>
  <c r="GK134" i="6"/>
  <c r="DC138" i="6"/>
  <c r="DD138" i="6" s="1"/>
  <c r="DC130" i="6"/>
  <c r="DD130" i="6" s="1"/>
  <c r="DC128" i="6"/>
  <c r="DD128" i="6" s="1"/>
  <c r="DC125" i="6"/>
  <c r="DD125" i="6" s="1"/>
  <c r="DC137" i="6"/>
  <c r="DD137" i="6" s="1"/>
  <c r="DC122" i="6"/>
  <c r="DD122" i="6" s="1"/>
  <c r="DC124" i="6"/>
  <c r="DD124" i="6" s="1"/>
  <c r="DC129" i="6"/>
  <c r="DD129" i="6" s="1"/>
  <c r="DC140" i="6"/>
  <c r="DD140" i="6" s="1"/>
  <c r="GN132" i="6"/>
  <c r="GM132" i="6"/>
  <c r="GM137" i="6"/>
  <c r="GN137" i="6"/>
  <c r="GM123" i="6"/>
  <c r="GN123" i="6"/>
  <c r="GN124" i="6"/>
  <c r="GM124" i="6"/>
  <c r="GK132" i="6"/>
  <c r="GL132" i="6"/>
  <c r="GL135" i="6"/>
  <c r="GK135" i="6"/>
  <c r="GN140" i="6"/>
  <c r="GM140" i="6"/>
  <c r="GM134" i="6"/>
  <c r="GN134" i="6"/>
  <c r="GM130" i="6"/>
  <c r="GN130" i="6"/>
  <c r="GN125" i="6"/>
  <c r="GM125" i="6"/>
  <c r="GM142" i="6"/>
  <c r="GN142" i="6"/>
  <c r="DC131" i="6"/>
  <c r="DD131" i="6" s="1"/>
  <c r="GK141" i="6"/>
  <c r="GL141" i="6"/>
  <c r="GN133" i="6"/>
  <c r="GM133" i="6"/>
  <c r="GN128" i="6"/>
  <c r="GM128" i="6"/>
  <c r="GM138" i="6"/>
  <c r="GN138" i="6"/>
  <c r="DC132" i="6"/>
  <c r="DD132" i="6" s="1"/>
  <c r="GM122" i="6"/>
  <c r="GN122" i="6"/>
  <c r="GK133" i="6"/>
  <c r="GL133" i="6"/>
  <c r="GK136" i="6"/>
  <c r="GL136" i="6"/>
  <c r="DC127" i="6"/>
  <c r="DD127" i="6" s="1"/>
  <c r="GK126" i="6"/>
  <c r="GL126" i="6"/>
  <c r="GM121" i="6"/>
  <c r="GN121" i="6"/>
  <c r="GK130" i="6"/>
  <c r="GL130" i="6"/>
  <c r="DC136" i="6"/>
  <c r="DD136" i="6" s="1"/>
  <c r="GL127" i="6"/>
  <c r="GK127" i="6"/>
  <c r="GK137" i="6"/>
  <c r="GL137" i="6"/>
  <c r="DC133" i="6"/>
  <c r="DD133" i="6" s="1"/>
  <c r="DA120" i="6"/>
  <c r="DB120" i="6"/>
  <c r="GM139" i="6"/>
  <c r="GN139" i="6"/>
  <c r="GM141" i="6"/>
  <c r="GN141" i="6"/>
  <c r="GM126" i="6"/>
  <c r="GN126" i="6"/>
  <c r="GN127" i="6"/>
  <c r="GM127" i="6"/>
  <c r="GN129" i="6"/>
  <c r="GM129" i="6"/>
  <c r="DC139" i="6"/>
  <c r="DD139" i="6" s="1"/>
  <c r="GM131" i="6"/>
  <c r="GN131" i="6"/>
  <c r="DC123" i="6"/>
  <c r="DD123" i="6" s="1"/>
  <c r="GM136" i="6"/>
  <c r="GN136" i="6"/>
  <c r="GL139" i="6"/>
  <c r="GK139" i="6"/>
  <c r="GK122" i="6"/>
  <c r="GL122" i="6"/>
  <c r="GN135" i="6"/>
  <c r="GM135" i="6"/>
  <c r="GM120" i="6"/>
  <c r="GF144" i="6"/>
  <c r="GF143" i="6"/>
  <c r="GN120" i="6"/>
  <c r="DC126" i="6"/>
  <c r="DD126" i="6" s="1"/>
  <c r="DC135" i="6"/>
  <c r="DD135" i="6" s="1"/>
  <c r="C13" i="7"/>
  <c r="AI109" i="6"/>
  <c r="AI110" i="6"/>
  <c r="KQ78" i="5"/>
  <c r="AI115" i="6" s="1"/>
  <c r="IT78" i="5"/>
  <c r="AC115" i="6" s="1"/>
  <c r="AC110" i="6"/>
  <c r="AC109" i="6"/>
  <c r="W110" i="6"/>
  <c r="W109" i="6"/>
  <c r="FY78" i="5"/>
  <c r="U115" i="6" s="1"/>
  <c r="Q109" i="6"/>
  <c r="Q110" i="6"/>
  <c r="K109" i="6"/>
  <c r="K110" i="6"/>
  <c r="DC78" i="5"/>
  <c r="K115" i="6" s="1"/>
  <c r="CE78" i="5"/>
  <c r="I115" i="6" s="1"/>
  <c r="B100" i="6"/>
  <c r="N13" i="7" s="1"/>
  <c r="B109" i="6"/>
  <c r="AH78" i="5"/>
  <c r="C115" i="6" s="1"/>
  <c r="AF105" i="6"/>
  <c r="JS78" i="5"/>
  <c r="AG115" i="6" s="1"/>
  <c r="AG109" i="6"/>
  <c r="AG110" i="6"/>
  <c r="HV78" i="5"/>
  <c r="AA115" i="6" s="1"/>
  <c r="AA110" i="6"/>
  <c r="AA109" i="6"/>
  <c r="U110" i="6"/>
  <c r="U109" i="6"/>
  <c r="O110" i="6"/>
  <c r="O109" i="6"/>
  <c r="AF97" i="6"/>
  <c r="I33" i="7" s="1"/>
  <c r="AF96" i="6"/>
  <c r="J33" i="7" s="1"/>
  <c r="B103" i="6"/>
  <c r="C109" i="6"/>
  <c r="C110" i="6"/>
  <c r="JG58" i="5"/>
  <c r="JG72" i="5"/>
  <c r="JG62" i="5"/>
  <c r="JG74" i="5"/>
  <c r="JG75" i="5"/>
  <c r="JG76" i="5"/>
  <c r="JG65" i="5"/>
  <c r="JG64" i="5"/>
  <c r="JG69" i="5"/>
  <c r="JG68" i="5"/>
  <c r="JG71" i="5"/>
  <c r="JG70" i="5"/>
  <c r="JG59" i="5"/>
  <c r="JG67" i="5"/>
  <c r="JG66" i="5"/>
  <c r="JG61" i="5"/>
  <c r="JG73" i="5"/>
  <c r="JG77" i="5"/>
  <c r="JG63" i="5"/>
  <c r="AF114" i="6"/>
  <c r="AF103" i="6" s="1"/>
  <c r="D18" i="7" s="1"/>
  <c r="JG56" i="5"/>
  <c r="JG60" i="5"/>
  <c r="JG55" i="5"/>
  <c r="BQ55" i="5"/>
  <c r="BQ78" i="5" s="1"/>
  <c r="H113" i="6" s="1"/>
  <c r="H102" i="6" s="1"/>
  <c r="C14" i="7" s="1"/>
  <c r="B110" i="6"/>
  <c r="KE78" i="5"/>
  <c r="AH115" i="6" s="1"/>
  <c r="IH78" i="5"/>
  <c r="AB115" i="6" s="1"/>
  <c r="GK78" i="5"/>
  <c r="V115" i="6" s="1"/>
  <c r="AH109" i="6"/>
  <c r="AH110" i="6"/>
  <c r="IW52" i="5"/>
  <c r="AF111" i="6" s="1"/>
  <c r="AB109" i="6"/>
  <c r="AB110" i="6"/>
  <c r="V110" i="6"/>
  <c r="V109" i="6"/>
  <c r="P109" i="6"/>
  <c r="P110" i="6"/>
  <c r="EN78" i="5"/>
  <c r="P115" i="6" s="1"/>
  <c r="J110" i="6"/>
  <c r="J109" i="6"/>
  <c r="CQ78" i="5"/>
  <c r="J115" i="6" s="1"/>
  <c r="BR55" i="5"/>
  <c r="BR78" i="5" s="1"/>
  <c r="BS57" i="5" s="1"/>
  <c r="BM55" i="5"/>
  <c r="BM78" i="5" s="1"/>
  <c r="H116" i="6" s="1"/>
  <c r="H105" i="6" s="1"/>
  <c r="BK55" i="5"/>
  <c r="BL55" i="5"/>
  <c r="BH78" i="5"/>
  <c r="CX120" i="6" l="1"/>
  <c r="CX143" i="6" s="1"/>
  <c r="CZ120" i="6"/>
  <c r="BO99" i="6"/>
  <c r="AE28" i="7" s="1"/>
  <c r="BO98" i="6"/>
  <c r="AD28" i="7" s="1"/>
  <c r="CY120" i="6"/>
  <c r="DL132" i="6"/>
  <c r="DN132" i="6"/>
  <c r="DJ132" i="6"/>
  <c r="DF122" i="6"/>
  <c r="DN122" i="6"/>
  <c r="DJ122" i="6"/>
  <c r="DL122" i="6"/>
  <c r="DF130" i="6"/>
  <c r="DL130" i="6"/>
  <c r="DJ130" i="6"/>
  <c r="DN130" i="6"/>
  <c r="DE141" i="6"/>
  <c r="DJ141" i="6"/>
  <c r="DN141" i="6"/>
  <c r="DL141" i="6"/>
  <c r="DF134" i="6"/>
  <c r="DN134" i="6"/>
  <c r="DJ134" i="6"/>
  <c r="DL134" i="6"/>
  <c r="DJ133" i="6"/>
  <c r="DN133" i="6"/>
  <c r="DL133" i="6"/>
  <c r="DN136" i="6"/>
  <c r="DL136" i="6"/>
  <c r="DJ136" i="6"/>
  <c r="DE140" i="6"/>
  <c r="DJ140" i="6"/>
  <c r="DL140" i="6"/>
  <c r="DN140" i="6"/>
  <c r="DE137" i="6"/>
  <c r="DJ137" i="6"/>
  <c r="DL137" i="6"/>
  <c r="DN137" i="6"/>
  <c r="DE138" i="6"/>
  <c r="DL138" i="6"/>
  <c r="DN138" i="6"/>
  <c r="DJ138" i="6"/>
  <c r="DN135" i="6"/>
  <c r="DJ135" i="6"/>
  <c r="DL135" i="6"/>
  <c r="DE129" i="6"/>
  <c r="DL129" i="6"/>
  <c r="DJ129" i="6"/>
  <c r="DN129" i="6"/>
  <c r="DF125" i="6"/>
  <c r="DJ125" i="6"/>
  <c r="DN125" i="6"/>
  <c r="DL125" i="6"/>
  <c r="DE121" i="6"/>
  <c r="DL121" i="6"/>
  <c r="DN121" i="6"/>
  <c r="DJ121" i="6"/>
  <c r="DJ126" i="6"/>
  <c r="DL126" i="6"/>
  <c r="DN126" i="6"/>
  <c r="DN123" i="6"/>
  <c r="DL123" i="6"/>
  <c r="DJ123" i="6"/>
  <c r="DN139" i="6"/>
  <c r="DJ139" i="6"/>
  <c r="DL139" i="6"/>
  <c r="DL127" i="6"/>
  <c r="DJ127" i="6"/>
  <c r="DN127" i="6"/>
  <c r="DN131" i="6"/>
  <c r="DJ131" i="6"/>
  <c r="DL131" i="6"/>
  <c r="DE124" i="6"/>
  <c r="DL124" i="6"/>
  <c r="DN124" i="6"/>
  <c r="DJ124" i="6"/>
  <c r="DF128" i="6"/>
  <c r="DL128" i="6"/>
  <c r="DN128" i="6"/>
  <c r="DJ128" i="6"/>
  <c r="DF142" i="6"/>
  <c r="DJ142" i="6"/>
  <c r="DL142" i="6"/>
  <c r="DN142" i="6"/>
  <c r="DE134" i="6"/>
  <c r="CS148" i="6"/>
  <c r="BO103" i="6" s="1"/>
  <c r="CO145" i="6"/>
  <c r="BO100" i="6"/>
  <c r="AE13" i="7" s="1"/>
  <c r="CM145" i="6"/>
  <c r="CL145" i="6"/>
  <c r="GL143" i="6"/>
  <c r="GL145" i="6" s="1"/>
  <c r="DE142" i="6"/>
  <c r="GK143" i="6"/>
  <c r="GK145" i="6" s="1"/>
  <c r="CQ145" i="6"/>
  <c r="DF129" i="6"/>
  <c r="DF124" i="6"/>
  <c r="DF121" i="6"/>
  <c r="DF141" i="6"/>
  <c r="DE130" i="6"/>
  <c r="DF140" i="6"/>
  <c r="DE128" i="6"/>
  <c r="DF137" i="6"/>
  <c r="DE122" i="6"/>
  <c r="DE125" i="6"/>
  <c r="GR143" i="6"/>
  <c r="DF138" i="6"/>
  <c r="GT143" i="6"/>
  <c r="GP143" i="6"/>
  <c r="GM143" i="6"/>
  <c r="DF135" i="6"/>
  <c r="DE135" i="6"/>
  <c r="DE126" i="6"/>
  <c r="DF126" i="6"/>
  <c r="DF123" i="6"/>
  <c r="DE123" i="6"/>
  <c r="DF139" i="6"/>
  <c r="DE139" i="6"/>
  <c r="CW144" i="6"/>
  <c r="CW143" i="6"/>
  <c r="DE136" i="6"/>
  <c r="DF136" i="6"/>
  <c r="DH121" i="6"/>
  <c r="DG121" i="6"/>
  <c r="DE132" i="6"/>
  <c r="DF132" i="6"/>
  <c r="DH124" i="6"/>
  <c r="DG124" i="6"/>
  <c r="DG139" i="6"/>
  <c r="DH139" i="6"/>
  <c r="DG138" i="6"/>
  <c r="DH138" i="6"/>
  <c r="DH141" i="6"/>
  <c r="DG141" i="6"/>
  <c r="DC120" i="6"/>
  <c r="DD120" i="6" s="1"/>
  <c r="DE133" i="6"/>
  <c r="DF133" i="6"/>
  <c r="DG130" i="6"/>
  <c r="DH130" i="6"/>
  <c r="DF127" i="6"/>
  <c r="DE127" i="6"/>
  <c r="DG126" i="6"/>
  <c r="DH126" i="6"/>
  <c r="DF131" i="6"/>
  <c r="DE131" i="6"/>
  <c r="DH136" i="6"/>
  <c r="DG136" i="6"/>
  <c r="DH135" i="6"/>
  <c r="DG135" i="6"/>
  <c r="DH132" i="6"/>
  <c r="DG132" i="6"/>
  <c r="DH140" i="6"/>
  <c r="DG140" i="6"/>
  <c r="DG123" i="6"/>
  <c r="DH123" i="6"/>
  <c r="DG134" i="6"/>
  <c r="DH134" i="6"/>
  <c r="DG129" i="6"/>
  <c r="DH129" i="6"/>
  <c r="GN143" i="6"/>
  <c r="DG131" i="6"/>
  <c r="DH131" i="6"/>
  <c r="DG142" i="6"/>
  <c r="DH142" i="6"/>
  <c r="DH137" i="6"/>
  <c r="DG137" i="6"/>
  <c r="DH125" i="6"/>
  <c r="DG125" i="6"/>
  <c r="DH133" i="6"/>
  <c r="DG133" i="6"/>
  <c r="DH127" i="6"/>
  <c r="DG127" i="6"/>
  <c r="DG122" i="6"/>
  <c r="DH122" i="6"/>
  <c r="DG128" i="6"/>
  <c r="DH128" i="6"/>
  <c r="D13" i="7"/>
  <c r="AG13" i="7" s="1"/>
  <c r="M28" i="7"/>
  <c r="H28" i="7"/>
  <c r="B98" i="6"/>
  <c r="L28" i="7" s="1"/>
  <c r="BL78" i="5"/>
  <c r="H107" i="6" s="1"/>
  <c r="H96" i="6" s="1"/>
  <c r="J29" i="7" s="1"/>
  <c r="BK78" i="5"/>
  <c r="H108" i="6" s="1"/>
  <c r="H97" i="6" s="1"/>
  <c r="I29" i="7" s="1"/>
  <c r="B99" i="6"/>
  <c r="K28" i="7" s="1"/>
  <c r="BS58" i="5"/>
  <c r="BS63" i="5"/>
  <c r="BS74" i="5"/>
  <c r="BS61" i="5"/>
  <c r="BS71" i="5"/>
  <c r="BS76" i="5"/>
  <c r="BS70" i="5"/>
  <c r="BS77" i="5"/>
  <c r="BS62" i="5"/>
  <c r="BS73" i="5"/>
  <c r="BS72" i="5"/>
  <c r="BS65" i="5"/>
  <c r="BS69" i="5"/>
  <c r="BS68" i="5"/>
  <c r="BS64" i="5"/>
  <c r="BS66" i="5"/>
  <c r="BS67" i="5"/>
  <c r="BS75" i="5"/>
  <c r="BS59" i="5"/>
  <c r="BS60" i="5"/>
  <c r="BS56" i="5"/>
  <c r="BS55" i="5"/>
  <c r="JG78" i="5"/>
  <c r="AF115" i="6" s="1"/>
  <c r="AF104" i="6" s="1"/>
  <c r="G18" i="7" s="1"/>
  <c r="AF100" i="6"/>
  <c r="AF110" i="6"/>
  <c r="AF99" i="6" s="1"/>
  <c r="K33" i="7" s="1"/>
  <c r="AF109" i="6"/>
  <c r="AF98" i="6" s="1"/>
  <c r="L33" i="7" s="1"/>
  <c r="P33" i="7" s="1"/>
  <c r="H114" i="6"/>
  <c r="H103" i="6" s="1"/>
  <c r="BI52" i="5"/>
  <c r="H111" i="6" s="1"/>
  <c r="KF12" i="5"/>
  <c r="KK12" i="5" s="1"/>
  <c r="KF13" i="5"/>
  <c r="KK13" i="5" s="1"/>
  <c r="KF14" i="5"/>
  <c r="KK14" i="5" s="1"/>
  <c r="KF15" i="5"/>
  <c r="KK15" i="5" s="1"/>
  <c r="KF16" i="5"/>
  <c r="KK16" i="5" s="1"/>
  <c r="KF17" i="5"/>
  <c r="KK17" i="5" s="1"/>
  <c r="KF18" i="5"/>
  <c r="KK18" i="5" s="1"/>
  <c r="KF19" i="5"/>
  <c r="KK19" i="5" s="1"/>
  <c r="KF20" i="5"/>
  <c r="KK20" i="5" s="1"/>
  <c r="KF21" i="5"/>
  <c r="KK21" i="5" s="1"/>
  <c r="KF22" i="5"/>
  <c r="KK22" i="5" s="1"/>
  <c r="KF23" i="5"/>
  <c r="KK23" i="5" s="1"/>
  <c r="KF24" i="5"/>
  <c r="KK24" i="5" s="1"/>
  <c r="KF25" i="5"/>
  <c r="KK25" i="5" s="1"/>
  <c r="KF26" i="5"/>
  <c r="KK26" i="5" s="1"/>
  <c r="KF27" i="5"/>
  <c r="KK27" i="5" s="1"/>
  <c r="KF28" i="5"/>
  <c r="KK28" i="5" s="1"/>
  <c r="KF30" i="5"/>
  <c r="KK30" i="5" s="1"/>
  <c r="KF31" i="5"/>
  <c r="KK31" i="5" s="1"/>
  <c r="KF32" i="5"/>
  <c r="KK32" i="5" s="1"/>
  <c r="KF33" i="5"/>
  <c r="KK33" i="5" s="1"/>
  <c r="KF11" i="5"/>
  <c r="KK11" i="5" s="1"/>
  <c r="JH22" i="5"/>
  <c r="JM22" i="5" s="1"/>
  <c r="JH23" i="5"/>
  <c r="JM23" i="5" s="1"/>
  <c r="JH24" i="5"/>
  <c r="JM24" i="5" s="1"/>
  <c r="JH25" i="5"/>
  <c r="JM25" i="5" s="1"/>
  <c r="JH26" i="5"/>
  <c r="JM26" i="5" s="1"/>
  <c r="JH27" i="5"/>
  <c r="JM27" i="5" s="1"/>
  <c r="JH28" i="5"/>
  <c r="JM28" i="5" s="1"/>
  <c r="JH29" i="5"/>
  <c r="JM29" i="5" s="1"/>
  <c r="JH30" i="5"/>
  <c r="JM30" i="5" s="1"/>
  <c r="JH31" i="5"/>
  <c r="JM31" i="5" s="1"/>
  <c r="JH32" i="5"/>
  <c r="JM32" i="5" s="1"/>
  <c r="JH33" i="5"/>
  <c r="JM33" i="5" s="1"/>
  <c r="II12" i="5"/>
  <c r="IN12" i="5" s="1"/>
  <c r="II13" i="5"/>
  <c r="IN13" i="5" s="1"/>
  <c r="II14" i="5"/>
  <c r="IN14" i="5" s="1"/>
  <c r="II15" i="5"/>
  <c r="IN15" i="5" s="1"/>
  <c r="II16" i="5"/>
  <c r="IN16" i="5" s="1"/>
  <c r="II17" i="5"/>
  <c r="IN17" i="5" s="1"/>
  <c r="II18" i="5"/>
  <c r="IN18" i="5" s="1"/>
  <c r="II19" i="5"/>
  <c r="IN19" i="5" s="1"/>
  <c r="II20" i="5"/>
  <c r="IN20" i="5" s="1"/>
  <c r="II21" i="5"/>
  <c r="IN21" i="5" s="1"/>
  <c r="II22" i="5"/>
  <c r="IN22" i="5" s="1"/>
  <c r="II23" i="5"/>
  <c r="IN23" i="5" s="1"/>
  <c r="II24" i="5"/>
  <c r="IN24" i="5" s="1"/>
  <c r="II25" i="5"/>
  <c r="IN25" i="5" s="1"/>
  <c r="II26" i="5"/>
  <c r="IN26" i="5" s="1"/>
  <c r="II27" i="5"/>
  <c r="IN27" i="5" s="1"/>
  <c r="II28" i="5"/>
  <c r="IN28" i="5" s="1"/>
  <c r="II29" i="5"/>
  <c r="IN29" i="5" s="1"/>
  <c r="II30" i="5"/>
  <c r="IN30" i="5" s="1"/>
  <c r="II31" i="5"/>
  <c r="IN31" i="5" s="1"/>
  <c r="II32" i="5"/>
  <c r="IN32" i="5" s="1"/>
  <c r="II33" i="5"/>
  <c r="IN33" i="5" s="1"/>
  <c r="II11" i="5"/>
  <c r="IN11" i="5" s="1"/>
  <c r="IN34" i="5" s="1"/>
  <c r="HK22" i="5"/>
  <c r="HP22" i="5" s="1"/>
  <c r="HK23" i="5"/>
  <c r="HP23" i="5" s="1"/>
  <c r="HK24" i="5"/>
  <c r="HP24" i="5" s="1"/>
  <c r="HK25" i="5"/>
  <c r="HP25" i="5" s="1"/>
  <c r="HK26" i="5"/>
  <c r="HP26" i="5" s="1"/>
  <c r="HK27" i="5"/>
  <c r="HP27" i="5" s="1"/>
  <c r="HK28" i="5"/>
  <c r="HP28" i="5" s="1"/>
  <c r="HK29" i="5"/>
  <c r="HP29" i="5" s="1"/>
  <c r="HK30" i="5"/>
  <c r="HP30" i="5" s="1"/>
  <c r="HK31" i="5"/>
  <c r="HP31" i="5" s="1"/>
  <c r="HK32" i="5"/>
  <c r="HP32" i="5" s="1"/>
  <c r="HK33" i="5"/>
  <c r="HP33" i="5" s="1"/>
  <c r="GL12" i="5"/>
  <c r="GQ12" i="5" s="1"/>
  <c r="GL13" i="5"/>
  <c r="GQ13" i="5" s="1"/>
  <c r="GL14" i="5"/>
  <c r="GQ14" i="5" s="1"/>
  <c r="GL15" i="5"/>
  <c r="GQ15" i="5" s="1"/>
  <c r="GL16" i="5"/>
  <c r="GQ16" i="5" s="1"/>
  <c r="GL17" i="5"/>
  <c r="GQ17" i="5" s="1"/>
  <c r="GL18" i="5"/>
  <c r="GQ18" i="5" s="1"/>
  <c r="GL19" i="5"/>
  <c r="GQ19" i="5" s="1"/>
  <c r="GL20" i="5"/>
  <c r="GQ20" i="5" s="1"/>
  <c r="GL21" i="5"/>
  <c r="GQ21" i="5" s="1"/>
  <c r="GL22" i="5"/>
  <c r="GQ22" i="5" s="1"/>
  <c r="GL23" i="5"/>
  <c r="GQ23" i="5" s="1"/>
  <c r="GL24" i="5"/>
  <c r="GQ24" i="5" s="1"/>
  <c r="GL25" i="5"/>
  <c r="GQ25" i="5" s="1"/>
  <c r="GL26" i="5"/>
  <c r="GQ26" i="5" s="1"/>
  <c r="GL27" i="5"/>
  <c r="GQ27" i="5" s="1"/>
  <c r="GL28" i="5"/>
  <c r="GQ28" i="5" s="1"/>
  <c r="GL29" i="5"/>
  <c r="GQ29" i="5" s="1"/>
  <c r="GL30" i="5"/>
  <c r="GQ30" i="5" s="1"/>
  <c r="GL31" i="5"/>
  <c r="GQ31" i="5" s="1"/>
  <c r="GL32" i="5"/>
  <c r="GQ32" i="5" s="1"/>
  <c r="GL33" i="5"/>
  <c r="GQ33" i="5" s="1"/>
  <c r="GL11" i="5"/>
  <c r="GQ11" i="5" s="1"/>
  <c r="GQ34" i="5" s="1"/>
  <c r="FN22" i="5"/>
  <c r="FS22" i="5" s="1"/>
  <c r="FN23" i="5"/>
  <c r="FS23" i="5" s="1"/>
  <c r="FN24" i="5"/>
  <c r="FS24" i="5" s="1"/>
  <c r="FN25" i="5"/>
  <c r="FS25" i="5" s="1"/>
  <c r="FN26" i="5"/>
  <c r="FS26" i="5" s="1"/>
  <c r="FN27" i="5"/>
  <c r="FS27" i="5" s="1"/>
  <c r="FN28" i="5"/>
  <c r="FS28" i="5" s="1"/>
  <c r="FN29" i="5"/>
  <c r="FS29" i="5" s="1"/>
  <c r="FN30" i="5"/>
  <c r="FS30" i="5" s="1"/>
  <c r="FN31" i="5"/>
  <c r="FS31" i="5" s="1"/>
  <c r="FN32" i="5"/>
  <c r="FS32" i="5" s="1"/>
  <c r="FN33" i="5"/>
  <c r="FS33" i="5" s="1"/>
  <c r="EO12" i="5"/>
  <c r="ET12" i="5" s="1"/>
  <c r="EO13" i="5"/>
  <c r="ET13" i="5" s="1"/>
  <c r="EO14" i="5"/>
  <c r="ET14" i="5" s="1"/>
  <c r="EO15" i="5"/>
  <c r="ET15" i="5" s="1"/>
  <c r="EO16" i="5"/>
  <c r="ET16" i="5" s="1"/>
  <c r="EO17" i="5"/>
  <c r="ET17" i="5" s="1"/>
  <c r="EO18" i="5"/>
  <c r="ET18" i="5" s="1"/>
  <c r="EO19" i="5"/>
  <c r="ET19" i="5" s="1"/>
  <c r="EO20" i="5"/>
  <c r="ET20" i="5" s="1"/>
  <c r="EO21" i="5"/>
  <c r="ET21" i="5" s="1"/>
  <c r="EO22" i="5"/>
  <c r="ET22" i="5" s="1"/>
  <c r="EO23" i="5"/>
  <c r="ET23" i="5" s="1"/>
  <c r="EO24" i="5"/>
  <c r="ET24" i="5" s="1"/>
  <c r="EO25" i="5"/>
  <c r="ET25" i="5" s="1"/>
  <c r="EO26" i="5"/>
  <c r="ET26" i="5" s="1"/>
  <c r="EO27" i="5"/>
  <c r="ET27" i="5" s="1"/>
  <c r="EO28" i="5"/>
  <c r="ET28" i="5" s="1"/>
  <c r="EO29" i="5"/>
  <c r="ET29" i="5" s="1"/>
  <c r="EO30" i="5"/>
  <c r="ET30" i="5" s="1"/>
  <c r="EO31" i="5"/>
  <c r="ET31" i="5" s="1"/>
  <c r="EO32" i="5"/>
  <c r="ET32" i="5" s="1"/>
  <c r="EO33" i="5"/>
  <c r="ET33" i="5" s="1"/>
  <c r="EO11" i="5"/>
  <c r="ET11" i="5" s="1"/>
  <c r="ET34" i="5" s="1"/>
  <c r="DQ22" i="5"/>
  <c r="DV22" i="5" s="1"/>
  <c r="DQ23" i="5"/>
  <c r="DV23" i="5" s="1"/>
  <c r="DQ24" i="5"/>
  <c r="DV24" i="5" s="1"/>
  <c r="DQ25" i="5"/>
  <c r="DV25" i="5" s="1"/>
  <c r="DQ26" i="5"/>
  <c r="DV26" i="5" s="1"/>
  <c r="DQ27" i="5"/>
  <c r="DV27" i="5" s="1"/>
  <c r="DQ28" i="5"/>
  <c r="DV28" i="5" s="1"/>
  <c r="DQ29" i="5"/>
  <c r="DV29" i="5" s="1"/>
  <c r="DQ30" i="5"/>
  <c r="DV30" i="5" s="1"/>
  <c r="DQ31" i="5"/>
  <c r="DV31" i="5" s="1"/>
  <c r="DQ32" i="5"/>
  <c r="DV32" i="5" s="1"/>
  <c r="DQ33" i="5"/>
  <c r="DV33" i="5" s="1"/>
  <c r="CR12" i="5"/>
  <c r="CW12" i="5" s="1"/>
  <c r="CR13" i="5"/>
  <c r="CW13" i="5" s="1"/>
  <c r="CR14" i="5"/>
  <c r="CW14" i="5" s="1"/>
  <c r="CR15" i="5"/>
  <c r="CW15" i="5" s="1"/>
  <c r="CR16" i="5"/>
  <c r="CW16" i="5" s="1"/>
  <c r="CR17" i="5"/>
  <c r="CW17" i="5" s="1"/>
  <c r="CR18" i="5"/>
  <c r="CW18" i="5" s="1"/>
  <c r="CR19" i="5"/>
  <c r="CW19" i="5" s="1"/>
  <c r="CR20" i="5"/>
  <c r="CW20" i="5" s="1"/>
  <c r="CR21" i="5"/>
  <c r="CW21" i="5" s="1"/>
  <c r="CR22" i="5"/>
  <c r="CW22" i="5" s="1"/>
  <c r="CR23" i="5"/>
  <c r="CW23" i="5" s="1"/>
  <c r="CR24" i="5"/>
  <c r="CW24" i="5" s="1"/>
  <c r="CR25" i="5"/>
  <c r="CW25" i="5" s="1"/>
  <c r="CR26" i="5"/>
  <c r="CW26" i="5" s="1"/>
  <c r="CR27" i="5"/>
  <c r="CW27" i="5" s="1"/>
  <c r="CR28" i="5"/>
  <c r="CW28" i="5" s="1"/>
  <c r="CR29" i="5"/>
  <c r="CW29" i="5" s="1"/>
  <c r="CR30" i="5"/>
  <c r="CW30" i="5" s="1"/>
  <c r="CR31" i="5"/>
  <c r="CW31" i="5" s="1"/>
  <c r="CR32" i="5"/>
  <c r="CW32" i="5" s="1"/>
  <c r="CR33" i="5"/>
  <c r="CW33" i="5" s="1"/>
  <c r="CR11" i="5"/>
  <c r="CW11" i="5" s="1"/>
  <c r="CW34" i="5" s="1"/>
  <c r="BT22" i="5"/>
  <c r="BT23" i="5"/>
  <c r="BT24" i="5"/>
  <c r="BT25" i="5"/>
  <c r="BT26" i="5"/>
  <c r="BT27" i="5"/>
  <c r="BT28" i="5"/>
  <c r="BT29" i="5"/>
  <c r="BT30" i="5"/>
  <c r="BT31" i="5"/>
  <c r="BT32" i="5"/>
  <c r="BT33" i="5"/>
  <c r="BJ11" i="5"/>
  <c r="N14" i="2"/>
  <c r="N17" i="2"/>
  <c r="N18" i="2"/>
  <c r="N19" i="2"/>
  <c r="N20" i="2"/>
  <c r="N21" i="2"/>
  <c r="CX144" i="6" l="1"/>
  <c r="CT140" i="6"/>
  <c r="CT128" i="6"/>
  <c r="CT137" i="6"/>
  <c r="CT131" i="6"/>
  <c r="CT141" i="6"/>
  <c r="CT139" i="6"/>
  <c r="CT127" i="6"/>
  <c r="CT136" i="6"/>
  <c r="CT134" i="6"/>
  <c r="CT121" i="6"/>
  <c r="CT122" i="6"/>
  <c r="CT126" i="6"/>
  <c r="CT133" i="6"/>
  <c r="CT132" i="6"/>
  <c r="CT129" i="6"/>
  <c r="CT138" i="6"/>
  <c r="CT123" i="6"/>
  <c r="CT135" i="6"/>
  <c r="CT130" i="6"/>
  <c r="CT125" i="6"/>
  <c r="CT120" i="6"/>
  <c r="CT142" i="6"/>
  <c r="CT124" i="6"/>
  <c r="CY143" i="6"/>
  <c r="CY144" i="6"/>
  <c r="DN120" i="6"/>
  <c r="DN143" i="6" s="1"/>
  <c r="DN145" i="6" s="1"/>
  <c r="DJ120" i="6"/>
  <c r="DJ143" i="6" s="1"/>
  <c r="BO110" i="6" s="1"/>
  <c r="DL120" i="6"/>
  <c r="DL143" i="6" s="1"/>
  <c r="D14" i="7"/>
  <c r="BY32" i="5"/>
  <c r="BY28" i="5"/>
  <c r="BY30" i="5"/>
  <c r="BY26" i="5"/>
  <c r="BY22" i="5"/>
  <c r="BY33" i="5"/>
  <c r="BY29" i="5"/>
  <c r="BY25" i="5"/>
  <c r="BY24" i="5"/>
  <c r="BY31" i="5"/>
  <c r="BY27" i="5"/>
  <c r="BY23" i="5"/>
  <c r="AT13" i="7"/>
  <c r="AS13" i="7" s="1"/>
  <c r="AN13" i="7" s="1"/>
  <c r="AT28" i="7"/>
  <c r="AF28" i="7"/>
  <c r="GP145" i="6"/>
  <c r="BW100" i="6"/>
  <c r="AE18" i="7" s="1"/>
  <c r="GR145" i="6"/>
  <c r="BW101" i="6"/>
  <c r="AG18" i="7" s="1"/>
  <c r="GN145" i="6"/>
  <c r="BW99" i="6"/>
  <c r="AE33" i="7" s="1"/>
  <c r="GT145" i="6"/>
  <c r="GT148" i="6" s="1"/>
  <c r="BW103" i="6" s="1"/>
  <c r="GM145" i="6"/>
  <c r="BW98" i="6"/>
  <c r="AD33" i="7" s="1"/>
  <c r="DG120" i="6"/>
  <c r="DG143" i="6" s="1"/>
  <c r="DH120" i="6"/>
  <c r="DH143" i="6" s="1"/>
  <c r="CZ144" i="6"/>
  <c r="CZ143" i="6"/>
  <c r="DE120" i="6"/>
  <c r="DE143" i="6" s="1"/>
  <c r="DE145" i="6" s="1"/>
  <c r="DF120" i="6"/>
  <c r="DF143" i="6" s="1"/>
  <c r="DF145" i="6" s="1"/>
  <c r="P28" i="7"/>
  <c r="U28" i="7" s="1"/>
  <c r="AG28" i="7"/>
  <c r="W28" i="7"/>
  <c r="V28" i="7"/>
  <c r="X13" i="7"/>
  <c r="KK34" i="5"/>
  <c r="IJ8" i="5"/>
  <c r="AC23" i="6"/>
  <c r="W23" i="6"/>
  <c r="GM8" i="5"/>
  <c r="EP8" i="5"/>
  <c r="Q23" i="6"/>
  <c r="CS8" i="5"/>
  <c r="K23" i="6"/>
  <c r="N18" i="7"/>
  <c r="X18" i="7" s="1"/>
  <c r="M33" i="7"/>
  <c r="U33" i="7" s="1"/>
  <c r="BS78" i="5"/>
  <c r="H115" i="6" s="1"/>
  <c r="H104" i="6" s="1"/>
  <c r="G14" i="7" s="1"/>
  <c r="H100" i="6"/>
  <c r="H29" i="7" s="1"/>
  <c r="H109" i="6"/>
  <c r="H98" i="6" s="1"/>
  <c r="L29" i="7" s="1"/>
  <c r="P29" i="7" s="1"/>
  <c r="H110" i="6"/>
  <c r="H99" i="6" s="1"/>
  <c r="K29" i="7" s="1"/>
  <c r="X14" i="2"/>
  <c r="AU14" i="2" s="1"/>
  <c r="BA14" i="2" s="1"/>
  <c r="X17" i="2"/>
  <c r="AU17" i="2" s="1"/>
  <c r="BA17" i="2" s="1"/>
  <c r="X18" i="2"/>
  <c r="AU18" i="2" s="1"/>
  <c r="BA18" i="2" s="1"/>
  <c r="X19" i="2"/>
  <c r="AU19" i="2" s="1"/>
  <c r="BA19" i="2" s="1"/>
  <c r="X20" i="2"/>
  <c r="AU20" i="2" s="1"/>
  <c r="BA20" i="2" s="1"/>
  <c r="X21" i="2"/>
  <c r="AU21" i="2" s="1"/>
  <c r="BA21" i="2" s="1"/>
  <c r="GU121" i="6" l="1"/>
  <c r="GU125" i="6"/>
  <c r="GU129" i="6"/>
  <c r="GU133" i="6"/>
  <c r="GU137" i="6"/>
  <c r="GU141" i="6"/>
  <c r="GU122" i="6"/>
  <c r="GU126" i="6"/>
  <c r="GU130" i="6"/>
  <c r="GU134" i="6"/>
  <c r="GU138" i="6"/>
  <c r="GU142" i="6"/>
  <c r="GU123" i="6"/>
  <c r="GU127" i="6"/>
  <c r="GU131" i="6"/>
  <c r="GU135" i="6"/>
  <c r="GU139" i="6"/>
  <c r="GU120" i="6"/>
  <c r="GU124" i="6"/>
  <c r="GU128" i="6"/>
  <c r="GU132" i="6"/>
  <c r="GU136" i="6"/>
  <c r="GU140" i="6"/>
  <c r="AT33" i="7"/>
  <c r="AF33" i="7"/>
  <c r="AT18" i="7"/>
  <c r="AS18" i="7" s="1"/>
  <c r="AS28" i="7"/>
  <c r="AR28" i="7"/>
  <c r="BA13" i="7"/>
  <c r="BG13" i="7" s="1"/>
  <c r="DH145" i="6"/>
  <c r="BO109" i="6"/>
  <c r="AE29" i="7" s="1"/>
  <c r="DL145" i="6"/>
  <c r="BO111" i="6"/>
  <c r="AG14" i="7" s="1"/>
  <c r="DG145" i="6"/>
  <c r="BO108" i="6"/>
  <c r="AD29" i="7" s="1"/>
  <c r="DJ145" i="6"/>
  <c r="AE14" i="7"/>
  <c r="CT143" i="6"/>
  <c r="DN148" i="6"/>
  <c r="BO113" i="6" s="1"/>
  <c r="KG8" i="5"/>
  <c r="AI23" i="6"/>
  <c r="V33" i="7"/>
  <c r="W33" i="7"/>
  <c r="Y18" i="7"/>
  <c r="M29" i="7"/>
  <c r="W29" i="7" s="1"/>
  <c r="N14" i="7"/>
  <c r="X14" i="7" s="1"/>
  <c r="W14" i="2"/>
  <c r="AT14" i="2" s="1"/>
  <c r="AZ14" i="2" s="1"/>
  <c r="W16" i="2"/>
  <c r="W17" i="2"/>
  <c r="AT17" i="2" s="1"/>
  <c r="AZ17" i="2" s="1"/>
  <c r="W18" i="2"/>
  <c r="AT18" i="2" s="1"/>
  <c r="AZ18" i="2" s="1"/>
  <c r="W19" i="2"/>
  <c r="AT19" i="2" s="1"/>
  <c r="AZ19" i="2" s="1"/>
  <c r="W20" i="2"/>
  <c r="AT20" i="2" s="1"/>
  <c r="AZ20" i="2" s="1"/>
  <c r="W21" i="2"/>
  <c r="AT21" i="2" s="1"/>
  <c r="AZ21" i="2" s="1"/>
  <c r="DO134" i="6" l="1"/>
  <c r="DO137" i="6"/>
  <c r="DO132" i="6"/>
  <c r="DO126" i="6"/>
  <c r="DO124" i="6"/>
  <c r="DO128" i="6"/>
  <c r="DO136" i="6"/>
  <c r="DO142" i="6"/>
  <c r="DO135" i="6"/>
  <c r="DO133" i="6"/>
  <c r="DO123" i="6"/>
  <c r="DO122" i="6"/>
  <c r="DO121" i="6"/>
  <c r="DO140" i="6"/>
  <c r="DO139" i="6"/>
  <c r="DO141" i="6"/>
  <c r="DO125" i="6"/>
  <c r="DO129" i="6"/>
  <c r="DO138" i="6"/>
  <c r="DO131" i="6"/>
  <c r="DO120" i="6"/>
  <c r="DO130" i="6"/>
  <c r="DO127" i="6"/>
  <c r="AR33" i="7"/>
  <c r="AS33" i="7"/>
  <c r="AN18" i="7"/>
  <c r="BA18" i="7" s="1"/>
  <c r="BG18" i="7" s="1"/>
  <c r="AT29" i="7"/>
  <c r="AF29" i="7"/>
  <c r="AT14" i="7"/>
  <c r="AS14" i="7" s="1"/>
  <c r="AN14" i="7" s="1"/>
  <c r="BA14" i="7" s="1"/>
  <c r="BG14" i="7" s="1"/>
  <c r="AK28" i="7"/>
  <c r="AX28" i="7" s="1"/>
  <c r="BD28" i="7" s="1"/>
  <c r="AM28" i="7"/>
  <c r="AZ28" i="7" s="1"/>
  <c r="BF28" i="7" s="1"/>
  <c r="AL28" i="7"/>
  <c r="AY28" i="7" s="1"/>
  <c r="BE28" i="7" s="1"/>
  <c r="GU143" i="6"/>
  <c r="BO102" i="6"/>
  <c r="U29" i="7"/>
  <c r="V29" i="7"/>
  <c r="Y14" i="7"/>
  <c r="V14" i="2"/>
  <c r="AS14" i="2" s="1"/>
  <c r="AY14" i="2" s="1"/>
  <c r="V16" i="2"/>
  <c r="V17" i="2"/>
  <c r="AS17" i="2" s="1"/>
  <c r="AY17" i="2" s="1"/>
  <c r="V18" i="2"/>
  <c r="AS18" i="2" s="1"/>
  <c r="AY18" i="2" s="1"/>
  <c r="V19" i="2"/>
  <c r="AS19" i="2" s="1"/>
  <c r="AY19" i="2" s="1"/>
  <c r="V20" i="2"/>
  <c r="AS20" i="2" s="1"/>
  <c r="AY20" i="2" s="1"/>
  <c r="V21" i="2"/>
  <c r="AS21" i="2" s="1"/>
  <c r="AY21" i="2" s="1"/>
  <c r="GU145" i="6" l="1"/>
  <c r="BW102" i="6"/>
  <c r="AJ18" i="7" s="1"/>
  <c r="AO18" i="7" s="1"/>
  <c r="BB18" i="7" s="1"/>
  <c r="BH18" i="7" s="1"/>
  <c r="AL33" i="7"/>
  <c r="AY33" i="7" s="1"/>
  <c r="BE33" i="7" s="1"/>
  <c r="AK33" i="7"/>
  <c r="AX33" i="7" s="1"/>
  <c r="BD33" i="7" s="1"/>
  <c r="AM33" i="7"/>
  <c r="AZ33" i="7" s="1"/>
  <c r="BF33" i="7" s="1"/>
  <c r="AR29" i="7"/>
  <c r="AS29" i="7"/>
  <c r="DO143" i="6"/>
  <c r="BO112" i="6" s="1"/>
  <c r="AJ14" i="7" s="1"/>
  <c r="AO14" i="7" s="1"/>
  <c r="BB14" i="7" s="1"/>
  <c r="BH14" i="7" s="1"/>
  <c r="P61" i="2"/>
  <c r="P55" i="2"/>
  <c r="P54" i="2"/>
  <c r="P53" i="2"/>
  <c r="P52" i="2"/>
  <c r="P51" i="2"/>
  <c r="P50" i="2"/>
  <c r="P49" i="2"/>
  <c r="P48" i="2"/>
  <c r="P47" i="2"/>
  <c r="K61" i="2"/>
  <c r="K55" i="2"/>
  <c r="K54" i="2"/>
  <c r="K53" i="2"/>
  <c r="K52" i="2"/>
  <c r="K51" i="2"/>
  <c r="K50" i="2"/>
  <c r="K49" i="2"/>
  <c r="K48" i="2"/>
  <c r="K47" i="2"/>
  <c r="O13" i="2"/>
  <c r="O14" i="2"/>
  <c r="O15" i="2"/>
  <c r="O16" i="2"/>
  <c r="O17" i="2"/>
  <c r="O18" i="2"/>
  <c r="O19" i="2"/>
  <c r="O20" i="2"/>
  <c r="O21" i="2"/>
  <c r="O42" i="2"/>
  <c r="O47" i="2"/>
  <c r="O48" i="2"/>
  <c r="O49" i="2"/>
  <c r="O50" i="2"/>
  <c r="O51" i="2"/>
  <c r="O52" i="2"/>
  <c r="O53" i="2"/>
  <c r="O54" i="2"/>
  <c r="O55" i="2"/>
  <c r="O61" i="2"/>
  <c r="AL29" i="7" l="1"/>
  <c r="AY29" i="7" s="1"/>
  <c r="BE29" i="7" s="1"/>
  <c r="AM29" i="7"/>
  <c r="AZ29" i="7" s="1"/>
  <c r="BF29" i="7" s="1"/>
  <c r="AK29" i="7"/>
  <c r="AX29" i="7" s="1"/>
  <c r="BD29" i="7" s="1"/>
  <c r="DO145" i="6"/>
  <c r="U47" i="2"/>
  <c r="U48" i="2"/>
  <c r="AA48" i="2" s="1"/>
  <c r="AW48" i="2" s="1"/>
  <c r="BC48" i="2" s="1"/>
  <c r="U49" i="2"/>
  <c r="AA49" i="2" s="1"/>
  <c r="AW49" i="2" s="1"/>
  <c r="BC49" i="2" s="1"/>
  <c r="U50" i="2"/>
  <c r="AA50" i="2" s="1"/>
  <c r="AW50" i="2" s="1"/>
  <c r="BC50" i="2" s="1"/>
  <c r="U51" i="2"/>
  <c r="AA51" i="2" s="1"/>
  <c r="AW51" i="2" s="1"/>
  <c r="BC51" i="2" s="1"/>
  <c r="U52" i="2"/>
  <c r="AA52" i="2" s="1"/>
  <c r="AW52" i="2" s="1"/>
  <c r="BC52" i="2" s="1"/>
  <c r="U53" i="2"/>
  <c r="AA53" i="2" s="1"/>
  <c r="AW53" i="2" s="1"/>
  <c r="BC53" i="2" s="1"/>
  <c r="U54" i="2"/>
  <c r="AA54" i="2" s="1"/>
  <c r="AW54" i="2" s="1"/>
  <c r="BC54" i="2" s="1"/>
  <c r="U61" i="2"/>
  <c r="AA61" i="2" s="1"/>
  <c r="AW61" i="2" s="1"/>
  <c r="BC61" i="2" s="1"/>
  <c r="U55" i="2"/>
  <c r="AA55" i="2" s="1"/>
  <c r="AW55" i="2" s="1"/>
  <c r="BC55" i="2" s="1"/>
  <c r="U42" i="2"/>
  <c r="H46" i="4" l="1"/>
  <c r="I55" i="4"/>
  <c r="I54" i="4"/>
  <c r="I43" i="4"/>
  <c r="I41" i="4"/>
  <c r="H43" i="4"/>
  <c r="H54" i="4"/>
  <c r="H41" i="4"/>
  <c r="H55" i="4"/>
  <c r="N61" i="2" s="1"/>
  <c r="I46" i="4"/>
  <c r="I47" i="4"/>
  <c r="I45" i="4"/>
  <c r="I44" i="4"/>
  <c r="I42" i="4"/>
  <c r="H47" i="4"/>
  <c r="H45" i="4"/>
  <c r="H44" i="4"/>
  <c r="H42" i="4"/>
  <c r="KH33" i="5" l="1"/>
  <c r="KJ33" i="5"/>
  <c r="JV33" i="5"/>
  <c r="JJ33" i="5"/>
  <c r="JL33" i="5"/>
  <c r="IX33" i="5"/>
  <c r="KH32" i="5"/>
  <c r="KJ32" i="5"/>
  <c r="JV32" i="5"/>
  <c r="JJ32" i="5"/>
  <c r="JL32" i="5"/>
  <c r="IX32" i="5"/>
  <c r="KH31" i="5"/>
  <c r="KJ31" i="5"/>
  <c r="JV31" i="5"/>
  <c r="JJ31" i="5"/>
  <c r="JL31" i="5"/>
  <c r="IX31" i="5"/>
  <c r="KH30" i="5"/>
  <c r="KJ30" i="5"/>
  <c r="JV30" i="5"/>
  <c r="JJ30" i="5"/>
  <c r="JL30" i="5"/>
  <c r="IX30" i="5"/>
  <c r="KH29" i="5"/>
  <c r="JV29" i="5"/>
  <c r="JJ29" i="5"/>
  <c r="JL29" i="5"/>
  <c r="IX29" i="5"/>
  <c r="KH28" i="5"/>
  <c r="KJ28" i="5"/>
  <c r="JV28" i="5"/>
  <c r="JJ28" i="5"/>
  <c r="JL28" i="5"/>
  <c r="IX28" i="5"/>
  <c r="KH27" i="5"/>
  <c r="KJ27" i="5"/>
  <c r="JV27" i="5"/>
  <c r="JJ27" i="5"/>
  <c r="JL27" i="5"/>
  <c r="IX27" i="5"/>
  <c r="KH26" i="5"/>
  <c r="KJ26" i="5"/>
  <c r="JV26" i="5"/>
  <c r="JJ26" i="5"/>
  <c r="JL26" i="5"/>
  <c r="IX26" i="5"/>
  <c r="KH25" i="5"/>
  <c r="KJ25" i="5"/>
  <c r="JV25" i="5"/>
  <c r="JJ25" i="5"/>
  <c r="JL25" i="5"/>
  <c r="IX25" i="5"/>
  <c r="KH24" i="5"/>
  <c r="KJ24" i="5"/>
  <c r="JV24" i="5"/>
  <c r="JJ24" i="5"/>
  <c r="JL24" i="5"/>
  <c r="IX24" i="5"/>
  <c r="KH23" i="5"/>
  <c r="KJ23" i="5"/>
  <c r="JV23" i="5"/>
  <c r="JJ23" i="5"/>
  <c r="JL23" i="5"/>
  <c r="IX23" i="5"/>
  <c r="KH22" i="5"/>
  <c r="KJ22" i="5"/>
  <c r="JV22" i="5"/>
  <c r="JJ22" i="5"/>
  <c r="JL22" i="5"/>
  <c r="IX22" i="5"/>
  <c r="KH21" i="5"/>
  <c r="KJ21" i="5"/>
  <c r="JV21" i="5"/>
  <c r="JJ21" i="5"/>
  <c r="IX21" i="5"/>
  <c r="KH20" i="5"/>
  <c r="KJ20" i="5"/>
  <c r="JV20" i="5"/>
  <c r="JJ20" i="5"/>
  <c r="IX20" i="5"/>
  <c r="KH19" i="5"/>
  <c r="KJ19" i="5"/>
  <c r="JV19" i="5"/>
  <c r="JJ19" i="5"/>
  <c r="IX19" i="5"/>
  <c r="KH18" i="5"/>
  <c r="KJ18" i="5"/>
  <c r="JV18" i="5"/>
  <c r="JJ18" i="5"/>
  <c r="IX18" i="5"/>
  <c r="KH17" i="5"/>
  <c r="KJ17" i="5"/>
  <c r="JV17" i="5"/>
  <c r="JJ17" i="5"/>
  <c r="IX17" i="5"/>
  <c r="KH16" i="5"/>
  <c r="KJ16" i="5"/>
  <c r="JV16" i="5"/>
  <c r="JJ16" i="5"/>
  <c r="IX16" i="5"/>
  <c r="KH15" i="5"/>
  <c r="KJ15" i="5"/>
  <c r="JV15" i="5"/>
  <c r="JJ15" i="5"/>
  <c r="IX15" i="5"/>
  <c r="KH14" i="5"/>
  <c r="KJ14" i="5"/>
  <c r="JV14" i="5"/>
  <c r="JJ14" i="5"/>
  <c r="IX14" i="5"/>
  <c r="KH13" i="5"/>
  <c r="KJ13" i="5"/>
  <c r="JV13" i="5"/>
  <c r="JJ13" i="5"/>
  <c r="IX13" i="5"/>
  <c r="KH12" i="5"/>
  <c r="KJ12" i="5"/>
  <c r="JV12" i="5"/>
  <c r="JJ12" i="5"/>
  <c r="IX12" i="5"/>
  <c r="KH11" i="5"/>
  <c r="JV11" i="5"/>
  <c r="JJ11" i="5"/>
  <c r="IX11" i="5"/>
  <c r="IK33" i="5"/>
  <c r="IM33" i="5"/>
  <c r="HY33" i="5"/>
  <c r="HM33" i="5"/>
  <c r="HO33" i="5"/>
  <c r="HA33" i="5"/>
  <c r="IK32" i="5"/>
  <c r="IM32" i="5"/>
  <c r="HY32" i="5"/>
  <c r="HM32" i="5"/>
  <c r="HO32" i="5"/>
  <c r="HA32" i="5"/>
  <c r="IK31" i="5"/>
  <c r="IM31" i="5"/>
  <c r="HY31" i="5"/>
  <c r="HM31" i="5"/>
  <c r="HO31" i="5"/>
  <c r="HA31" i="5"/>
  <c r="IK30" i="5"/>
  <c r="IM30" i="5"/>
  <c r="HY30" i="5"/>
  <c r="HM30" i="5"/>
  <c r="HO30" i="5"/>
  <c r="HA30" i="5"/>
  <c r="IK29" i="5"/>
  <c r="IM29" i="5"/>
  <c r="HY29" i="5"/>
  <c r="HM29" i="5"/>
  <c r="HO29" i="5"/>
  <c r="HA29" i="5"/>
  <c r="IK28" i="5"/>
  <c r="IM28" i="5"/>
  <c r="HY28" i="5"/>
  <c r="HM28" i="5"/>
  <c r="HO28" i="5"/>
  <c r="HA28" i="5"/>
  <c r="IK27" i="5"/>
  <c r="IM27" i="5"/>
  <c r="HY27" i="5"/>
  <c r="HM27" i="5"/>
  <c r="HO27" i="5"/>
  <c r="HA27" i="5"/>
  <c r="IK26" i="5"/>
  <c r="IM26" i="5"/>
  <c r="HY26" i="5"/>
  <c r="HM26" i="5"/>
  <c r="HO26" i="5"/>
  <c r="HA26" i="5"/>
  <c r="IK25" i="5"/>
  <c r="IM25" i="5"/>
  <c r="HY25" i="5"/>
  <c r="HM25" i="5"/>
  <c r="HO25" i="5"/>
  <c r="HA25" i="5"/>
  <c r="IK24" i="5"/>
  <c r="IM24" i="5"/>
  <c r="HY24" i="5"/>
  <c r="HM24" i="5"/>
  <c r="HO24" i="5"/>
  <c r="HA24" i="5"/>
  <c r="IK23" i="5"/>
  <c r="IM23" i="5"/>
  <c r="HY23" i="5"/>
  <c r="HM23" i="5"/>
  <c r="HO23" i="5"/>
  <c r="HA23" i="5"/>
  <c r="IK22" i="5"/>
  <c r="IM22" i="5"/>
  <c r="HY22" i="5"/>
  <c r="HM22" i="5"/>
  <c r="HA22" i="5"/>
  <c r="IK21" i="5"/>
  <c r="IM21" i="5"/>
  <c r="HY21" i="5"/>
  <c r="HM21" i="5"/>
  <c r="HA21" i="5"/>
  <c r="IK20" i="5"/>
  <c r="IM20" i="5"/>
  <c r="HY20" i="5"/>
  <c r="HM20" i="5"/>
  <c r="HA20" i="5"/>
  <c r="IK19" i="5"/>
  <c r="IM19" i="5"/>
  <c r="HY19" i="5"/>
  <c r="HM19" i="5"/>
  <c r="HA19" i="5"/>
  <c r="IK18" i="5"/>
  <c r="IM18" i="5"/>
  <c r="HY18" i="5"/>
  <c r="HM18" i="5"/>
  <c r="HA18" i="5"/>
  <c r="IK17" i="5"/>
  <c r="IM17" i="5"/>
  <c r="HY17" i="5"/>
  <c r="HM17" i="5"/>
  <c r="HA17" i="5"/>
  <c r="IK16" i="5"/>
  <c r="IM16" i="5"/>
  <c r="HY16" i="5"/>
  <c r="HM16" i="5"/>
  <c r="HA16" i="5"/>
  <c r="IK15" i="5"/>
  <c r="IM15" i="5"/>
  <c r="HY15" i="5"/>
  <c r="HM15" i="5"/>
  <c r="HA15" i="5"/>
  <c r="IK14" i="5"/>
  <c r="IM14" i="5"/>
  <c r="HY14" i="5"/>
  <c r="HM14" i="5"/>
  <c r="HA14" i="5"/>
  <c r="IK13" i="5"/>
  <c r="IM13" i="5"/>
  <c r="HY13" i="5"/>
  <c r="HM13" i="5"/>
  <c r="HA13" i="5"/>
  <c r="IK12" i="5"/>
  <c r="IM12" i="5"/>
  <c r="HY12" i="5"/>
  <c r="HM12" i="5"/>
  <c r="HA12" i="5"/>
  <c r="IK11" i="5"/>
  <c r="IL11" i="5"/>
  <c r="HY11" i="5"/>
  <c r="HM11" i="5"/>
  <c r="HA11" i="5"/>
  <c r="GN33" i="5"/>
  <c r="GP33" i="5"/>
  <c r="GB33" i="5"/>
  <c r="FP33" i="5"/>
  <c r="FR33" i="5"/>
  <c r="FD33" i="5"/>
  <c r="GN32" i="5"/>
  <c r="GP32" i="5"/>
  <c r="GB32" i="5"/>
  <c r="FP32" i="5"/>
  <c r="FR32" i="5"/>
  <c r="FD32" i="5"/>
  <c r="GN31" i="5"/>
  <c r="GP31" i="5"/>
  <c r="GB31" i="5"/>
  <c r="FP31" i="5"/>
  <c r="FR31" i="5"/>
  <c r="FD31" i="5"/>
  <c r="GN30" i="5"/>
  <c r="GP30" i="5"/>
  <c r="GB30" i="5"/>
  <c r="FP30" i="5"/>
  <c r="FR30" i="5"/>
  <c r="FD30" i="5"/>
  <c r="GN29" i="5"/>
  <c r="GP29" i="5"/>
  <c r="GB29" i="5"/>
  <c r="FP29" i="5"/>
  <c r="FR29" i="5"/>
  <c r="FD29" i="5"/>
  <c r="GN28" i="5"/>
  <c r="GP28" i="5"/>
  <c r="GB28" i="5"/>
  <c r="FP28" i="5"/>
  <c r="FQ28" i="5"/>
  <c r="FD28" i="5"/>
  <c r="GN27" i="5"/>
  <c r="GP27" i="5"/>
  <c r="GB27" i="5"/>
  <c r="FP27" i="5"/>
  <c r="FR27" i="5"/>
  <c r="FD27" i="5"/>
  <c r="GN26" i="5"/>
  <c r="GP26" i="5"/>
  <c r="GB26" i="5"/>
  <c r="FP26" i="5"/>
  <c r="FR26" i="5"/>
  <c r="FD26" i="5"/>
  <c r="GN25" i="5"/>
  <c r="GP25" i="5"/>
  <c r="GB25" i="5"/>
  <c r="FP25" i="5"/>
  <c r="FR25" i="5"/>
  <c r="FD25" i="5"/>
  <c r="GN24" i="5"/>
  <c r="GP24" i="5"/>
  <c r="GB24" i="5"/>
  <c r="FP24" i="5"/>
  <c r="FQ24" i="5"/>
  <c r="FD24" i="5"/>
  <c r="GN23" i="5"/>
  <c r="GP23" i="5"/>
  <c r="GB23" i="5"/>
  <c r="FP23" i="5"/>
  <c r="FR23" i="5"/>
  <c r="FD23" i="5"/>
  <c r="GN22" i="5"/>
  <c r="GP22" i="5"/>
  <c r="GB22" i="5"/>
  <c r="FP22" i="5"/>
  <c r="FR22" i="5"/>
  <c r="FD22" i="5"/>
  <c r="GN21" i="5"/>
  <c r="GP21" i="5"/>
  <c r="GB21" i="5"/>
  <c r="FP21" i="5"/>
  <c r="FD21" i="5"/>
  <c r="GN20" i="5"/>
  <c r="GP20" i="5"/>
  <c r="GB20" i="5"/>
  <c r="FP20" i="5"/>
  <c r="FD20" i="5"/>
  <c r="GN19" i="5"/>
  <c r="GP19" i="5"/>
  <c r="GB19" i="5"/>
  <c r="FP19" i="5"/>
  <c r="FD19" i="5"/>
  <c r="GN18" i="5"/>
  <c r="GP18" i="5"/>
  <c r="GB18" i="5"/>
  <c r="FP18" i="5"/>
  <c r="FD18" i="5"/>
  <c r="GN17" i="5"/>
  <c r="GP17" i="5"/>
  <c r="GB17" i="5"/>
  <c r="FP17" i="5"/>
  <c r="FD17" i="5"/>
  <c r="GN16" i="5"/>
  <c r="GP16" i="5"/>
  <c r="GB16" i="5"/>
  <c r="FP16" i="5"/>
  <c r="FD16" i="5"/>
  <c r="GN15" i="5"/>
  <c r="GP15" i="5"/>
  <c r="GB15" i="5"/>
  <c r="FP15" i="5"/>
  <c r="FD15" i="5"/>
  <c r="GN14" i="5"/>
  <c r="GP14" i="5"/>
  <c r="GB14" i="5"/>
  <c r="FP14" i="5"/>
  <c r="FD14" i="5"/>
  <c r="GN13" i="5"/>
  <c r="GP13" i="5"/>
  <c r="GB13" i="5"/>
  <c r="FP13" i="5"/>
  <c r="FD13" i="5"/>
  <c r="GN12" i="5"/>
  <c r="GP12" i="5"/>
  <c r="GB12" i="5"/>
  <c r="FP12" i="5"/>
  <c r="FD12" i="5"/>
  <c r="GN11" i="5"/>
  <c r="GB11" i="5"/>
  <c r="FP11" i="5"/>
  <c r="FD11" i="5"/>
  <c r="EQ33" i="5"/>
  <c r="ES33" i="5"/>
  <c r="EE33" i="5"/>
  <c r="DS33" i="5"/>
  <c r="DU33" i="5"/>
  <c r="DG33" i="5"/>
  <c r="EQ32" i="5"/>
  <c r="ES32" i="5"/>
  <c r="EE32" i="5"/>
  <c r="DS32" i="5"/>
  <c r="DG32" i="5"/>
  <c r="EQ31" i="5"/>
  <c r="ES31" i="5"/>
  <c r="EE31" i="5"/>
  <c r="DS31" i="5"/>
  <c r="DU31" i="5"/>
  <c r="DG31" i="5"/>
  <c r="EQ30" i="5"/>
  <c r="ES30" i="5"/>
  <c r="EE30" i="5"/>
  <c r="DS30" i="5"/>
  <c r="DG30" i="5"/>
  <c r="EQ29" i="5"/>
  <c r="ES29" i="5"/>
  <c r="EE29" i="5"/>
  <c r="DS29" i="5"/>
  <c r="DU29" i="5"/>
  <c r="DG29" i="5"/>
  <c r="EQ28" i="5"/>
  <c r="ES28" i="5"/>
  <c r="EE28" i="5"/>
  <c r="DS28" i="5"/>
  <c r="DU28" i="5"/>
  <c r="DG28" i="5"/>
  <c r="EQ27" i="5"/>
  <c r="ES27" i="5"/>
  <c r="EE27" i="5"/>
  <c r="DS27" i="5"/>
  <c r="DU27" i="5"/>
  <c r="DG27" i="5"/>
  <c r="EQ26" i="5"/>
  <c r="ES26" i="5"/>
  <c r="EE26" i="5"/>
  <c r="DS26" i="5"/>
  <c r="DU26" i="5"/>
  <c r="DG26" i="5"/>
  <c r="EQ25" i="5"/>
  <c r="ES25" i="5"/>
  <c r="EE25" i="5"/>
  <c r="DS25" i="5"/>
  <c r="DU25" i="5"/>
  <c r="DG25" i="5"/>
  <c r="EQ24" i="5"/>
  <c r="ES24" i="5"/>
  <c r="EE24" i="5"/>
  <c r="DS24" i="5"/>
  <c r="DG24" i="5"/>
  <c r="EQ23" i="5"/>
  <c r="ES23" i="5"/>
  <c r="EE23" i="5"/>
  <c r="DS23" i="5"/>
  <c r="DU23" i="5"/>
  <c r="DG23" i="5"/>
  <c r="EQ22" i="5"/>
  <c r="ES22" i="5"/>
  <c r="EE22" i="5"/>
  <c r="DS22" i="5"/>
  <c r="DU22" i="5"/>
  <c r="DG22" i="5"/>
  <c r="EQ21" i="5"/>
  <c r="ES21" i="5"/>
  <c r="EE21" i="5"/>
  <c r="DS21" i="5"/>
  <c r="DG21" i="5"/>
  <c r="EQ20" i="5"/>
  <c r="ES20" i="5"/>
  <c r="EE20" i="5"/>
  <c r="DS20" i="5"/>
  <c r="DG20" i="5"/>
  <c r="EQ19" i="5"/>
  <c r="ES19" i="5"/>
  <c r="EE19" i="5"/>
  <c r="DS19" i="5"/>
  <c r="DG19" i="5"/>
  <c r="EQ18" i="5"/>
  <c r="ES18" i="5"/>
  <c r="EE18" i="5"/>
  <c r="DS18" i="5"/>
  <c r="DG18" i="5"/>
  <c r="EQ17" i="5"/>
  <c r="ES17" i="5"/>
  <c r="EE17" i="5"/>
  <c r="DS17" i="5"/>
  <c r="DG17" i="5"/>
  <c r="EQ16" i="5"/>
  <c r="ES16" i="5"/>
  <c r="EE16" i="5"/>
  <c r="DS16" i="5"/>
  <c r="DG16" i="5"/>
  <c r="EQ15" i="5"/>
  <c r="ES15" i="5"/>
  <c r="EE15" i="5"/>
  <c r="DS15" i="5"/>
  <c r="DG15" i="5"/>
  <c r="EQ14" i="5"/>
  <c r="ES14" i="5"/>
  <c r="EE14" i="5"/>
  <c r="DS14" i="5"/>
  <c r="DG14" i="5"/>
  <c r="EQ13" i="5"/>
  <c r="ES13" i="5"/>
  <c r="EE13" i="5"/>
  <c r="DS13" i="5"/>
  <c r="DG13" i="5"/>
  <c r="EQ12" i="5"/>
  <c r="ES12" i="5"/>
  <c r="EE12" i="5"/>
  <c r="DS12" i="5"/>
  <c r="DG12" i="5"/>
  <c r="EQ11" i="5"/>
  <c r="EE11" i="5"/>
  <c r="DS11" i="5"/>
  <c r="DG11" i="5"/>
  <c r="CT33" i="5"/>
  <c r="CV33" i="5"/>
  <c r="CH33" i="5"/>
  <c r="BV33" i="5"/>
  <c r="BX33" i="5"/>
  <c r="BJ33" i="5"/>
  <c r="CT32" i="5"/>
  <c r="CV32" i="5"/>
  <c r="CH32" i="5"/>
  <c r="BV32" i="5"/>
  <c r="BJ32" i="5"/>
  <c r="CT31" i="5"/>
  <c r="CV31" i="5"/>
  <c r="CH31" i="5"/>
  <c r="BV31" i="5"/>
  <c r="BX31" i="5"/>
  <c r="BJ31" i="5"/>
  <c r="CT30" i="5"/>
  <c r="CV30" i="5"/>
  <c r="CH30" i="5"/>
  <c r="BV30" i="5"/>
  <c r="BX30" i="5"/>
  <c r="BJ30" i="5"/>
  <c r="CT29" i="5"/>
  <c r="CV29" i="5"/>
  <c r="CH29" i="5"/>
  <c r="BV29" i="5"/>
  <c r="BX29" i="5"/>
  <c r="BJ29" i="5"/>
  <c r="CT28" i="5"/>
  <c r="CV28" i="5"/>
  <c r="CH28" i="5"/>
  <c r="BV28" i="5"/>
  <c r="BX28" i="5"/>
  <c r="BJ28" i="5"/>
  <c r="CT27" i="5"/>
  <c r="CV27" i="5"/>
  <c r="CH27" i="5"/>
  <c r="BV27" i="5"/>
  <c r="BX27" i="5"/>
  <c r="BJ27" i="5"/>
  <c r="CT26" i="5"/>
  <c r="CV26" i="5"/>
  <c r="CH26" i="5"/>
  <c r="BV26" i="5"/>
  <c r="BX26" i="5"/>
  <c r="BJ26" i="5"/>
  <c r="CT25" i="5"/>
  <c r="CV25" i="5"/>
  <c r="CH25" i="5"/>
  <c r="BV25" i="5"/>
  <c r="BX25" i="5"/>
  <c r="BJ25" i="5"/>
  <c r="CT24" i="5"/>
  <c r="CV24" i="5"/>
  <c r="CH24" i="5"/>
  <c r="BV24" i="5"/>
  <c r="BX24" i="5"/>
  <c r="BJ24" i="5"/>
  <c r="CT23" i="5"/>
  <c r="CV23" i="5"/>
  <c r="CH23" i="5"/>
  <c r="BV23" i="5"/>
  <c r="BX23" i="5"/>
  <c r="BJ23" i="5"/>
  <c r="CT22" i="5"/>
  <c r="CV22" i="5"/>
  <c r="CH22" i="5"/>
  <c r="BV22" i="5"/>
  <c r="BX22" i="5"/>
  <c r="BJ22" i="5"/>
  <c r="CT21" i="5"/>
  <c r="CV21" i="5"/>
  <c r="CH21" i="5"/>
  <c r="BV21" i="5"/>
  <c r="BJ21" i="5"/>
  <c r="CT20" i="5"/>
  <c r="CV20" i="5"/>
  <c r="CH20" i="5"/>
  <c r="BV20" i="5"/>
  <c r="BJ20" i="5"/>
  <c r="CT19" i="5"/>
  <c r="CV19" i="5"/>
  <c r="CH19" i="5"/>
  <c r="BV19" i="5"/>
  <c r="BJ19" i="5"/>
  <c r="CT18" i="5"/>
  <c r="CV18" i="5"/>
  <c r="CH18" i="5"/>
  <c r="BV18" i="5"/>
  <c r="BJ18" i="5"/>
  <c r="CT17" i="5"/>
  <c r="CV17" i="5"/>
  <c r="CH17" i="5"/>
  <c r="BV17" i="5"/>
  <c r="BJ17" i="5"/>
  <c r="CT16" i="5"/>
  <c r="CV16" i="5"/>
  <c r="CH16" i="5"/>
  <c r="BV16" i="5"/>
  <c r="BJ16" i="5"/>
  <c r="CT15" i="5"/>
  <c r="CV15" i="5"/>
  <c r="CH15" i="5"/>
  <c r="BV15" i="5"/>
  <c r="BJ15" i="5"/>
  <c r="CT14" i="5"/>
  <c r="CV14" i="5"/>
  <c r="CH14" i="5"/>
  <c r="BV14" i="5"/>
  <c r="BJ14" i="5"/>
  <c r="CT13" i="5"/>
  <c r="CV13" i="5"/>
  <c r="CH13" i="5"/>
  <c r="BV13" i="5"/>
  <c r="BJ13" i="5"/>
  <c r="CT12" i="5"/>
  <c r="CV12" i="5"/>
  <c r="CH12" i="5"/>
  <c r="BV12" i="5"/>
  <c r="BJ12" i="5"/>
  <c r="CT11" i="5"/>
  <c r="CH11" i="5"/>
  <c r="BV11" i="5"/>
  <c r="Y11" i="5"/>
  <c r="AK11" i="5"/>
  <c r="AW11" i="5"/>
  <c r="Y12" i="5"/>
  <c r="AK12" i="5"/>
  <c r="AW12" i="5"/>
  <c r="Y13" i="5"/>
  <c r="AK13" i="5"/>
  <c r="AW13" i="5"/>
  <c r="Y14" i="5"/>
  <c r="AK14" i="5"/>
  <c r="AW14" i="5"/>
  <c r="Y15" i="5"/>
  <c r="AK15" i="5"/>
  <c r="AW15" i="5"/>
  <c r="Y16" i="5"/>
  <c r="AK16" i="5"/>
  <c r="AW16" i="5"/>
  <c r="Y17" i="5"/>
  <c r="AK17" i="5"/>
  <c r="AW17" i="5"/>
  <c r="Y18" i="5"/>
  <c r="AK18" i="5"/>
  <c r="AW18" i="5"/>
  <c r="Y19" i="5"/>
  <c r="AK19" i="5"/>
  <c r="AW19" i="5"/>
  <c r="Y20" i="5"/>
  <c r="AK20" i="5"/>
  <c r="AW20" i="5"/>
  <c r="Y21" i="5"/>
  <c r="AK21" i="5"/>
  <c r="AW21" i="5"/>
  <c r="Y22" i="5"/>
  <c r="AK22" i="5"/>
  <c r="AW22" i="5"/>
  <c r="W23" i="5"/>
  <c r="Y23" i="5"/>
  <c r="AK23" i="5"/>
  <c r="AU23" i="5"/>
  <c r="AW23" i="5"/>
  <c r="W24" i="5"/>
  <c r="Y24" i="5"/>
  <c r="AK24" i="5"/>
  <c r="AU24" i="5"/>
  <c r="AW24" i="5"/>
  <c r="W25" i="5"/>
  <c r="Y25" i="5"/>
  <c r="AK25" i="5"/>
  <c r="AU25" i="5"/>
  <c r="AW25" i="5"/>
  <c r="W26" i="5"/>
  <c r="Y26" i="5"/>
  <c r="AK26" i="5"/>
  <c r="AU26" i="5"/>
  <c r="AW26" i="5"/>
  <c r="W27" i="5"/>
  <c r="Y27" i="5"/>
  <c r="AK27" i="5"/>
  <c r="AU27" i="5"/>
  <c r="AW27" i="5"/>
  <c r="W28" i="5"/>
  <c r="Y28" i="5"/>
  <c r="AK28" i="5"/>
  <c r="AU28" i="5"/>
  <c r="AW28" i="5"/>
  <c r="W29" i="5"/>
  <c r="Y29" i="5"/>
  <c r="AK29" i="5"/>
  <c r="AU29" i="5"/>
  <c r="AZ29" i="5" s="1"/>
  <c r="AW29" i="5"/>
  <c r="W30" i="5"/>
  <c r="Y30" i="5"/>
  <c r="AK30" i="5"/>
  <c r="AU30" i="5"/>
  <c r="AW30" i="5"/>
  <c r="W31" i="5"/>
  <c r="Y31" i="5"/>
  <c r="AK31" i="5"/>
  <c r="AU31" i="5"/>
  <c r="AW31" i="5"/>
  <c r="W32" i="5"/>
  <c r="Y32" i="5"/>
  <c r="AK32" i="5"/>
  <c r="AU32" i="5"/>
  <c r="AW32" i="5"/>
  <c r="W33" i="5"/>
  <c r="Y33" i="5"/>
  <c r="AK33" i="5"/>
  <c r="AU33" i="5"/>
  <c r="AW33" i="5"/>
  <c r="AC50" i="6"/>
  <c r="AB50" i="6"/>
  <c r="AA50" i="6"/>
  <c r="Z50" i="6"/>
  <c r="W50" i="6"/>
  <c r="V50" i="6"/>
  <c r="U50" i="6"/>
  <c r="T50" i="6"/>
  <c r="Q50" i="6"/>
  <c r="P50" i="6"/>
  <c r="O50" i="6"/>
  <c r="N50" i="6"/>
  <c r="K50" i="6"/>
  <c r="J50" i="6"/>
  <c r="I50" i="6"/>
  <c r="H50" i="6"/>
  <c r="AB30" i="5" l="1"/>
  <c r="AX31" i="5"/>
  <c r="AZ31" i="5"/>
  <c r="AX27" i="5"/>
  <c r="AZ27" i="5"/>
  <c r="AA26" i="5"/>
  <c r="AB26" i="5"/>
  <c r="AX23" i="5"/>
  <c r="AZ23" i="5"/>
  <c r="Z33" i="5"/>
  <c r="AB33" i="5"/>
  <c r="AX30" i="5"/>
  <c r="AZ30" i="5"/>
  <c r="Z29" i="5"/>
  <c r="AB29" i="5"/>
  <c r="AY26" i="5"/>
  <c r="AZ26" i="5"/>
  <c r="Z25" i="5"/>
  <c r="AB25" i="5"/>
  <c r="AX33" i="5"/>
  <c r="AZ33" i="5"/>
  <c r="AX25" i="5"/>
  <c r="AZ25" i="5"/>
  <c r="AA24" i="5"/>
  <c r="AB24" i="5"/>
  <c r="AA32" i="5"/>
  <c r="AB32" i="5"/>
  <c r="Z28" i="5"/>
  <c r="AB28" i="5"/>
  <c r="AX32" i="5"/>
  <c r="AZ32" i="5"/>
  <c r="Z31" i="5"/>
  <c r="AB31" i="5"/>
  <c r="AX28" i="5"/>
  <c r="AZ28" i="5"/>
  <c r="Z27" i="5"/>
  <c r="AB27" i="5"/>
  <c r="AX24" i="5"/>
  <c r="AZ24" i="5"/>
  <c r="Z23" i="5"/>
  <c r="AB23" i="5"/>
  <c r="CG24" i="5"/>
  <c r="CF24" i="5" s="1"/>
  <c r="KI18" i="5"/>
  <c r="FQ32" i="5"/>
  <c r="HN23" i="5"/>
  <c r="JK25" i="5"/>
  <c r="IL21" i="5"/>
  <c r="HN26" i="5"/>
  <c r="HN33" i="5"/>
  <c r="JK24" i="5"/>
  <c r="IL12" i="5"/>
  <c r="IL13" i="5"/>
  <c r="IL14" i="5"/>
  <c r="IL15" i="5"/>
  <c r="IL16" i="5"/>
  <c r="FR28" i="5"/>
  <c r="HN24" i="5"/>
  <c r="JK27" i="5"/>
  <c r="JK33" i="5"/>
  <c r="FR24" i="5"/>
  <c r="IL22" i="5"/>
  <c r="JK26" i="5"/>
  <c r="JK32" i="5"/>
  <c r="KH34" i="5"/>
  <c r="KG13" i="5" s="1"/>
  <c r="IL17" i="5"/>
  <c r="IL20" i="5"/>
  <c r="HN28" i="5"/>
  <c r="KI11" i="5"/>
  <c r="KI12" i="5"/>
  <c r="KI13" i="5"/>
  <c r="KI14" i="5"/>
  <c r="KI15" i="5"/>
  <c r="KI16" i="5"/>
  <c r="KI17" i="5"/>
  <c r="JK28" i="5"/>
  <c r="JJ34" i="5"/>
  <c r="JI12" i="5" s="1"/>
  <c r="JH12" i="5" s="1"/>
  <c r="JK12" i="5" s="1"/>
  <c r="HM34" i="5"/>
  <c r="HL11" i="5" s="1"/>
  <c r="HK11" i="5" s="1"/>
  <c r="IK34" i="5"/>
  <c r="IJ14" i="5" s="1"/>
  <c r="HN27" i="5"/>
  <c r="JK22" i="5"/>
  <c r="JK23" i="5"/>
  <c r="JK29" i="5"/>
  <c r="JK30" i="5"/>
  <c r="JK31" i="5"/>
  <c r="HO22" i="5"/>
  <c r="HN22" i="5"/>
  <c r="HY34" i="5"/>
  <c r="HX14" i="5" s="1"/>
  <c r="IX34" i="5"/>
  <c r="IW12" i="5" s="1"/>
  <c r="IV12" i="5" s="1"/>
  <c r="JV34" i="5"/>
  <c r="JU12" i="5" s="1"/>
  <c r="FQ22" i="5"/>
  <c r="II34" i="5"/>
  <c r="IL18" i="5"/>
  <c r="IL19" i="5"/>
  <c r="HN32" i="5"/>
  <c r="HN25" i="5"/>
  <c r="KI19" i="5"/>
  <c r="KI20" i="5"/>
  <c r="KI21" i="5"/>
  <c r="KI22" i="5"/>
  <c r="KI23" i="5"/>
  <c r="KI24" i="5"/>
  <c r="KI25" i="5"/>
  <c r="KI26" i="5"/>
  <c r="KI27" i="5"/>
  <c r="KI28" i="5"/>
  <c r="KI30" i="5"/>
  <c r="KI31" i="5"/>
  <c r="KI32" i="5"/>
  <c r="KI33" i="5"/>
  <c r="HN29" i="5"/>
  <c r="HN30" i="5"/>
  <c r="HN31" i="5"/>
  <c r="KJ11" i="5"/>
  <c r="FP34" i="5"/>
  <c r="FO13" i="5" s="1"/>
  <c r="FN13" i="5" s="1"/>
  <c r="FQ13" i="5" s="1"/>
  <c r="AY25" i="5"/>
  <c r="GN34" i="5"/>
  <c r="GM12" i="5" s="1"/>
  <c r="FQ30" i="5"/>
  <c r="HA34" i="5"/>
  <c r="GZ13" i="5" s="1"/>
  <c r="GL34" i="5"/>
  <c r="GB34" i="5"/>
  <c r="GA11" i="5" s="1"/>
  <c r="FQ26" i="5"/>
  <c r="IL23" i="5"/>
  <c r="IL24" i="5"/>
  <c r="IL25" i="5"/>
  <c r="IL26" i="5"/>
  <c r="IL27" i="5"/>
  <c r="IL28" i="5"/>
  <c r="IL29" i="5"/>
  <c r="IL30" i="5"/>
  <c r="IL31" i="5"/>
  <c r="IL32" i="5"/>
  <c r="IL33" i="5"/>
  <c r="IM11" i="5"/>
  <c r="DU30" i="5"/>
  <c r="DT30" i="5"/>
  <c r="FQ23" i="5"/>
  <c r="FQ25" i="5"/>
  <c r="FQ27" i="5"/>
  <c r="FQ29" i="5"/>
  <c r="FQ31" i="5"/>
  <c r="FQ33" i="5"/>
  <c r="DU32" i="5"/>
  <c r="DT32" i="5"/>
  <c r="Z26" i="5"/>
  <c r="GO11" i="5"/>
  <c r="GO12" i="5"/>
  <c r="GO13" i="5"/>
  <c r="GO14" i="5"/>
  <c r="GO15" i="5"/>
  <c r="GO16" i="5"/>
  <c r="GO17" i="5"/>
  <c r="GO18" i="5"/>
  <c r="GO19" i="5"/>
  <c r="GO20" i="5"/>
  <c r="GO21" i="5"/>
  <c r="GO22" i="5"/>
  <c r="GO23" i="5"/>
  <c r="GO24" i="5"/>
  <c r="GO25" i="5"/>
  <c r="GO26" i="5"/>
  <c r="GO27" i="5"/>
  <c r="GO28" i="5"/>
  <c r="GO29" i="5"/>
  <c r="GO30" i="5"/>
  <c r="GO31" i="5"/>
  <c r="GO32" i="5"/>
  <c r="GO33" i="5"/>
  <c r="FD34" i="5"/>
  <c r="FC15" i="5" s="1"/>
  <c r="GP11" i="5"/>
  <c r="DU24" i="5"/>
  <c r="DT24" i="5"/>
  <c r="AY30" i="5"/>
  <c r="BV34" i="5"/>
  <c r="BU15" i="5" s="1"/>
  <c r="BT15" i="5" s="1"/>
  <c r="AA31" i="5"/>
  <c r="DS34" i="5"/>
  <c r="DR11" i="5" s="1"/>
  <c r="DQ11" i="5" s="1"/>
  <c r="EO34" i="5"/>
  <c r="AA33" i="5"/>
  <c r="AY32" i="5"/>
  <c r="Z32" i="5"/>
  <c r="AA27" i="5"/>
  <c r="AY23" i="5"/>
  <c r="EQ34" i="5"/>
  <c r="EP14" i="5" s="1"/>
  <c r="DT26" i="5"/>
  <c r="AA29" i="5"/>
  <c r="DT22" i="5"/>
  <c r="DT28" i="5"/>
  <c r="CR34" i="5"/>
  <c r="EE34" i="5"/>
  <c r="ED15" i="5" s="1"/>
  <c r="AY33" i="5"/>
  <c r="AY28" i="5"/>
  <c r="AX26" i="5"/>
  <c r="AA25" i="5"/>
  <c r="AY24" i="5"/>
  <c r="Z24" i="5"/>
  <c r="AA23" i="5"/>
  <c r="BW22" i="5"/>
  <c r="BW24" i="5"/>
  <c r="BW26" i="5"/>
  <c r="BW28" i="5"/>
  <c r="BW30" i="5"/>
  <c r="DT23" i="5"/>
  <c r="DT25" i="5"/>
  <c r="DT27" i="5"/>
  <c r="DT29" i="5"/>
  <c r="DT31" i="5"/>
  <c r="DT33" i="5"/>
  <c r="CT34" i="5"/>
  <c r="CS16" i="5" s="1"/>
  <c r="AY31" i="5"/>
  <c r="BX32" i="5"/>
  <c r="BW32" i="5"/>
  <c r="ER11" i="5"/>
  <c r="ER12" i="5"/>
  <c r="ER13" i="5"/>
  <c r="ER14" i="5"/>
  <c r="ER15" i="5"/>
  <c r="ER16" i="5"/>
  <c r="ER17" i="5"/>
  <c r="ER18" i="5"/>
  <c r="ER19" i="5"/>
  <c r="ER20" i="5"/>
  <c r="ER21" i="5"/>
  <c r="ER22" i="5"/>
  <c r="ER23" i="5"/>
  <c r="ER24" i="5"/>
  <c r="ER25" i="5"/>
  <c r="ER26" i="5"/>
  <c r="ER27" i="5"/>
  <c r="ER28" i="5"/>
  <c r="ER29" i="5"/>
  <c r="ER30" i="5"/>
  <c r="ER31" i="5"/>
  <c r="ER32" i="5"/>
  <c r="ER33" i="5"/>
  <c r="DG34" i="5"/>
  <c r="DF13" i="5" s="1"/>
  <c r="ES11" i="5"/>
  <c r="AX29" i="5"/>
  <c r="AY29" i="5"/>
  <c r="AK34" i="5"/>
  <c r="AJ24" i="5" s="1"/>
  <c r="AI24" i="5" s="1"/>
  <c r="AN24" i="5" s="1"/>
  <c r="CH34" i="5"/>
  <c r="CG11" i="5" s="1"/>
  <c r="Z30" i="5"/>
  <c r="AA30" i="5"/>
  <c r="AW34" i="5"/>
  <c r="AV24" i="5" s="1"/>
  <c r="AA28" i="5"/>
  <c r="AY27" i="5"/>
  <c r="BW23" i="5"/>
  <c r="BW25" i="5"/>
  <c r="BW27" i="5"/>
  <c r="BW29" i="5"/>
  <c r="BW31" i="5"/>
  <c r="BW33" i="5"/>
  <c r="CU11" i="5"/>
  <c r="CU12" i="5"/>
  <c r="CU13" i="5"/>
  <c r="CU14" i="5"/>
  <c r="CU15" i="5"/>
  <c r="CU16" i="5"/>
  <c r="CU17" i="5"/>
  <c r="CU18" i="5"/>
  <c r="CU19" i="5"/>
  <c r="CU20" i="5"/>
  <c r="CU21" i="5"/>
  <c r="CU22" i="5"/>
  <c r="CU23" i="5"/>
  <c r="CU24" i="5"/>
  <c r="CU25" i="5"/>
  <c r="CU26" i="5"/>
  <c r="CU27" i="5"/>
  <c r="CU28" i="5"/>
  <c r="CU29" i="5"/>
  <c r="CU30" i="5"/>
  <c r="CU31" i="5"/>
  <c r="CU32" i="5"/>
  <c r="CU33" i="5"/>
  <c r="BJ34" i="5"/>
  <c r="BI11" i="5" s="1"/>
  <c r="Y34" i="5"/>
  <c r="X24" i="5" s="1"/>
  <c r="CV11" i="5"/>
  <c r="M34" i="5"/>
  <c r="GG28" i="6" l="1"/>
  <c r="GH28" i="6"/>
  <c r="JA12" i="5"/>
  <c r="IL34" i="5"/>
  <c r="AC22" i="6" s="1"/>
  <c r="JM12" i="5"/>
  <c r="JL12" i="5"/>
  <c r="HL20" i="5"/>
  <c r="HK20" i="5" s="1"/>
  <c r="HP11" i="5"/>
  <c r="HN11" i="5"/>
  <c r="HO11" i="5"/>
  <c r="FS13" i="5"/>
  <c r="FR13" i="5"/>
  <c r="GO34" i="5"/>
  <c r="W22" i="6" s="1"/>
  <c r="ER34" i="5"/>
  <c r="Q22" i="6" s="1"/>
  <c r="DV11" i="5"/>
  <c r="DU11" i="5"/>
  <c r="DT11" i="5"/>
  <c r="BY15" i="5"/>
  <c r="BX15" i="5"/>
  <c r="CU34" i="5"/>
  <c r="K22" i="6" s="1"/>
  <c r="BW15" i="5"/>
  <c r="JI31" i="5"/>
  <c r="KJ34" i="5"/>
  <c r="AI21" i="6" s="1"/>
  <c r="KI34" i="5"/>
  <c r="AI22" i="6" s="1"/>
  <c r="IM34" i="5"/>
  <c r="AC21" i="6" s="1"/>
  <c r="GP34" i="5"/>
  <c r="W21" i="6" s="1"/>
  <c r="ES34" i="5"/>
  <c r="Q21" i="6" s="1"/>
  <c r="CV34" i="5"/>
  <c r="K21" i="6" s="1"/>
  <c r="CJ24" i="5"/>
  <c r="CK24" i="5"/>
  <c r="GA27" i="5"/>
  <c r="FZ27" i="5" s="1"/>
  <c r="GA33" i="5"/>
  <c r="FZ33" i="5" s="1"/>
  <c r="GC33" i="5" s="1"/>
  <c r="JI23" i="5"/>
  <c r="HL25" i="5"/>
  <c r="CG17" i="5"/>
  <c r="CF17" i="5" s="1"/>
  <c r="CI17" i="5" s="1"/>
  <c r="CG27" i="5"/>
  <c r="CF27" i="5" s="1"/>
  <c r="GA17" i="5"/>
  <c r="FZ17" i="5" s="1"/>
  <c r="HL17" i="5"/>
  <c r="HK17" i="5" s="1"/>
  <c r="KG21" i="5"/>
  <c r="JU32" i="5"/>
  <c r="JT32" i="5" s="1"/>
  <c r="JW32" i="5" s="1"/>
  <c r="HL31" i="5"/>
  <c r="KG29" i="5"/>
  <c r="KF29" i="5" s="1"/>
  <c r="CI24" i="5"/>
  <c r="CG32" i="5"/>
  <c r="CF32" i="5" s="1"/>
  <c r="DR31" i="5"/>
  <c r="HX31" i="5"/>
  <c r="HW31" i="5" s="1"/>
  <c r="HL32" i="5"/>
  <c r="JU26" i="5"/>
  <c r="JT26" i="5" s="1"/>
  <c r="JW26" i="5" s="1"/>
  <c r="BI25" i="5"/>
  <c r="BH25" i="5" s="1"/>
  <c r="BI32" i="5"/>
  <c r="BH32" i="5" s="1"/>
  <c r="CS24" i="5"/>
  <c r="ED24" i="5"/>
  <c r="EC24" i="5" s="1"/>
  <c r="EF24" i="5" s="1"/>
  <c r="ED18" i="5"/>
  <c r="EC18" i="5" s="1"/>
  <c r="EH18" i="5" s="1"/>
  <c r="ED17" i="5"/>
  <c r="EC17" i="5" s="1"/>
  <c r="EF17" i="5" s="1"/>
  <c r="FO32" i="5"/>
  <c r="IJ23" i="5"/>
  <c r="IJ27" i="5"/>
  <c r="GZ22" i="5"/>
  <c r="GY22" i="5" s="1"/>
  <c r="IJ30" i="5"/>
  <c r="GZ24" i="5"/>
  <c r="GY24" i="5" s="1"/>
  <c r="CS30" i="5"/>
  <c r="BI24" i="5"/>
  <c r="BH24" i="5" s="1"/>
  <c r="BI31" i="5"/>
  <c r="BH31" i="5" s="1"/>
  <c r="CS22" i="5"/>
  <c r="CG23" i="5"/>
  <c r="CF23" i="5" s="1"/>
  <c r="BI17" i="5"/>
  <c r="BH17" i="5" s="1"/>
  <c r="CG26" i="5"/>
  <c r="CF26" i="5" s="1"/>
  <c r="DR22" i="5"/>
  <c r="ED29" i="5"/>
  <c r="EC29" i="5" s="1"/>
  <c r="ED27" i="5"/>
  <c r="EC27" i="5" s="1"/>
  <c r="EF27" i="5" s="1"/>
  <c r="DR32" i="5"/>
  <c r="FO21" i="5"/>
  <c r="FN21" i="5" s="1"/>
  <c r="FO31" i="5"/>
  <c r="GA31" i="5"/>
  <c r="FZ31" i="5" s="1"/>
  <c r="GE31" i="5" s="1"/>
  <c r="FO28" i="5"/>
  <c r="GZ31" i="5"/>
  <c r="GY31" i="5" s="1"/>
  <c r="HL23" i="5"/>
  <c r="HL27" i="5"/>
  <c r="GZ20" i="5"/>
  <c r="GY20" i="5" s="1"/>
  <c r="HL29" i="5"/>
  <c r="IJ33" i="5"/>
  <c r="IJ21" i="5"/>
  <c r="JI28" i="5"/>
  <c r="KG20" i="5"/>
  <c r="JU22" i="5"/>
  <c r="JT22" i="5" s="1"/>
  <c r="JI30" i="5"/>
  <c r="KG22" i="5"/>
  <c r="JU19" i="5"/>
  <c r="JT19" i="5" s="1"/>
  <c r="JW19" i="5" s="1"/>
  <c r="GC17" i="5"/>
  <c r="CS28" i="5"/>
  <c r="BI20" i="5"/>
  <c r="BH20" i="5" s="1"/>
  <c r="BI28" i="5"/>
  <c r="BH28" i="5" s="1"/>
  <c r="CS20" i="5"/>
  <c r="CG21" i="5"/>
  <c r="CF21" i="5" s="1"/>
  <c r="CK21" i="5" s="1"/>
  <c r="CG31" i="5"/>
  <c r="CF31" i="5" s="1"/>
  <c r="ED32" i="5"/>
  <c r="EC32" i="5" s="1"/>
  <c r="EH32" i="5" s="1"/>
  <c r="ED31" i="5"/>
  <c r="EC31" i="5" s="1"/>
  <c r="EH31" i="5" s="1"/>
  <c r="DR26" i="5"/>
  <c r="ED26" i="5"/>
  <c r="EC26" i="5" s="1"/>
  <c r="EH26" i="5" s="1"/>
  <c r="DR24" i="5"/>
  <c r="GA21" i="5"/>
  <c r="FZ21" i="5" s="1"/>
  <c r="GA24" i="5"/>
  <c r="FZ24" i="5" s="1"/>
  <c r="GE24" i="5" s="1"/>
  <c r="FO24" i="5"/>
  <c r="FO27" i="5"/>
  <c r="HX29" i="5"/>
  <c r="HW29" i="5" s="1"/>
  <c r="HX33" i="5"/>
  <c r="HW33" i="5" s="1"/>
  <c r="IB33" i="5" s="1"/>
  <c r="IJ25" i="5"/>
  <c r="GZ18" i="5"/>
  <c r="GY18" i="5" s="1"/>
  <c r="IJ28" i="5"/>
  <c r="JI25" i="5"/>
  <c r="JI17" i="5"/>
  <c r="JH17" i="5" s="1"/>
  <c r="JI33" i="5"/>
  <c r="KG27" i="5"/>
  <c r="JI19" i="5"/>
  <c r="JH19" i="5" s="1"/>
  <c r="BI33" i="5"/>
  <c r="BH33" i="5" s="1"/>
  <c r="CS26" i="5"/>
  <c r="BI19" i="5"/>
  <c r="BH19" i="5" s="1"/>
  <c r="BI27" i="5"/>
  <c r="BH27" i="5" s="1"/>
  <c r="CS18" i="5"/>
  <c r="CG20" i="5"/>
  <c r="CF20" i="5" s="1"/>
  <c r="CK20" i="5" s="1"/>
  <c r="CG30" i="5"/>
  <c r="CF30" i="5" s="1"/>
  <c r="DR29" i="5"/>
  <c r="ED23" i="5"/>
  <c r="EC23" i="5" s="1"/>
  <c r="DR20" i="5"/>
  <c r="DQ20" i="5" s="1"/>
  <c r="DR19" i="5"/>
  <c r="DQ19" i="5" s="1"/>
  <c r="GA29" i="5"/>
  <c r="FZ29" i="5" s="1"/>
  <c r="GA20" i="5"/>
  <c r="FZ20" i="5" s="1"/>
  <c r="GE20" i="5" s="1"/>
  <c r="GA23" i="5"/>
  <c r="FZ23" i="5" s="1"/>
  <c r="FO22" i="5"/>
  <c r="FO33" i="5"/>
  <c r="GZ29" i="5"/>
  <c r="GY29" i="5" s="1"/>
  <c r="GZ33" i="5"/>
  <c r="GY33" i="5" s="1"/>
  <c r="GZ23" i="5"/>
  <c r="GY23" i="5" s="1"/>
  <c r="GZ26" i="5"/>
  <c r="GY26" i="5" s="1"/>
  <c r="IJ19" i="5"/>
  <c r="JI24" i="5"/>
  <c r="JU30" i="5"/>
  <c r="JT30" i="5" s="1"/>
  <c r="KG32" i="5"/>
  <c r="KG26" i="5"/>
  <c r="JI18" i="5"/>
  <c r="JH18" i="5" s="1"/>
  <c r="IW19" i="5"/>
  <c r="IV19" i="5" s="1"/>
  <c r="KG30" i="5"/>
  <c r="JI26" i="5"/>
  <c r="JI22" i="5"/>
  <c r="KG18" i="5"/>
  <c r="IW31" i="5"/>
  <c r="IV31" i="5" s="1"/>
  <c r="JU27" i="5"/>
  <c r="JT27" i="5" s="1"/>
  <c r="JY27" i="5" s="1"/>
  <c r="JU23" i="5"/>
  <c r="JT23" i="5" s="1"/>
  <c r="JY23" i="5" s="1"/>
  <c r="IW20" i="5"/>
  <c r="IV20" i="5" s="1"/>
  <c r="KG33" i="5"/>
  <c r="KG31" i="5"/>
  <c r="KG28" i="5"/>
  <c r="KG24" i="5"/>
  <c r="JI20" i="5"/>
  <c r="JH20" i="5" s="1"/>
  <c r="JU33" i="5"/>
  <c r="JT33" i="5" s="1"/>
  <c r="JY33" i="5" s="1"/>
  <c r="IW29" i="5"/>
  <c r="IV29" i="5" s="1"/>
  <c r="IW25" i="5"/>
  <c r="IV25" i="5" s="1"/>
  <c r="JU20" i="5"/>
  <c r="JT20" i="5" s="1"/>
  <c r="JY20" i="5" s="1"/>
  <c r="IW28" i="5"/>
  <c r="IV28" i="5" s="1"/>
  <c r="IW24" i="5"/>
  <c r="IV24" i="5" s="1"/>
  <c r="JW30" i="5"/>
  <c r="IW33" i="5"/>
  <c r="IV33" i="5" s="1"/>
  <c r="JU29" i="5"/>
  <c r="JT29" i="5" s="1"/>
  <c r="JY29" i="5" s="1"/>
  <c r="JU25" i="5"/>
  <c r="JT25" i="5" s="1"/>
  <c r="JY25" i="5" s="1"/>
  <c r="IW22" i="5"/>
  <c r="IV22" i="5" s="1"/>
  <c r="IW18" i="5"/>
  <c r="IV18" i="5" s="1"/>
  <c r="JU31" i="5"/>
  <c r="JT31" i="5" s="1"/>
  <c r="JY31" i="5" s="1"/>
  <c r="IW27" i="5"/>
  <c r="IV27" i="5" s="1"/>
  <c r="IW23" i="5"/>
  <c r="IV23" i="5" s="1"/>
  <c r="JU18" i="5"/>
  <c r="JT18" i="5" s="1"/>
  <c r="JY18" i="5" s="1"/>
  <c r="JI27" i="5"/>
  <c r="KG23" i="5"/>
  <c r="KG19" i="5"/>
  <c r="IW32" i="5"/>
  <c r="IV32" i="5" s="1"/>
  <c r="JU28" i="5"/>
  <c r="JT28" i="5" s="1"/>
  <c r="JY28" i="5" s="1"/>
  <c r="JU24" i="5"/>
  <c r="JT24" i="5" s="1"/>
  <c r="JY24" i="5" s="1"/>
  <c r="IW21" i="5"/>
  <c r="IV21" i="5" s="1"/>
  <c r="IW17" i="5"/>
  <c r="IV17" i="5" s="1"/>
  <c r="JI32" i="5"/>
  <c r="JI29" i="5"/>
  <c r="KG25" i="5"/>
  <c r="JI21" i="5"/>
  <c r="JH21" i="5" s="1"/>
  <c r="KG17" i="5"/>
  <c r="IW30" i="5"/>
  <c r="IV30" i="5" s="1"/>
  <c r="IW26" i="5"/>
  <c r="IV26" i="5" s="1"/>
  <c r="JU21" i="5"/>
  <c r="JT21" i="5" s="1"/>
  <c r="JY21" i="5" s="1"/>
  <c r="JU17" i="5"/>
  <c r="JT17" i="5" s="1"/>
  <c r="JY17" i="5" s="1"/>
  <c r="HX30" i="5"/>
  <c r="HW30" i="5" s="1"/>
  <c r="IB30" i="5" s="1"/>
  <c r="HX28" i="5"/>
  <c r="HW28" i="5" s="1"/>
  <c r="IB28" i="5" s="1"/>
  <c r="IJ22" i="5"/>
  <c r="HX32" i="5"/>
  <c r="HW32" i="5" s="1"/>
  <c r="IB32" i="5" s="1"/>
  <c r="IJ26" i="5"/>
  <c r="IJ24" i="5"/>
  <c r="GZ21" i="5"/>
  <c r="GY21" i="5" s="1"/>
  <c r="GZ19" i="5"/>
  <c r="GY19" i="5" s="1"/>
  <c r="GZ17" i="5"/>
  <c r="GY17" i="5" s="1"/>
  <c r="HL30" i="5"/>
  <c r="HL28" i="5"/>
  <c r="IJ18" i="5"/>
  <c r="HL33" i="5"/>
  <c r="GZ27" i="5"/>
  <c r="GY27" i="5" s="1"/>
  <c r="GZ25" i="5"/>
  <c r="GY25" i="5" s="1"/>
  <c r="HL21" i="5"/>
  <c r="HK21" i="5" s="1"/>
  <c r="HL19" i="5"/>
  <c r="HK19" i="5" s="1"/>
  <c r="HX21" i="5"/>
  <c r="HW21" i="5" s="1"/>
  <c r="IB21" i="5" s="1"/>
  <c r="HX19" i="5"/>
  <c r="HW19" i="5" s="1"/>
  <c r="IB19" i="5" s="1"/>
  <c r="HX17" i="5"/>
  <c r="HW17" i="5" s="1"/>
  <c r="IB17" i="5" s="1"/>
  <c r="HX22" i="5"/>
  <c r="HW22" i="5" s="1"/>
  <c r="IB22" i="5" s="1"/>
  <c r="HX27" i="5"/>
  <c r="HW27" i="5" s="1"/>
  <c r="IB27" i="5" s="1"/>
  <c r="HX25" i="5"/>
  <c r="HW25" i="5" s="1"/>
  <c r="IB25" i="5" s="1"/>
  <c r="GZ30" i="5"/>
  <c r="GY30" i="5" s="1"/>
  <c r="GZ28" i="5"/>
  <c r="GY28" i="5" s="1"/>
  <c r="HL22" i="5"/>
  <c r="GZ32" i="5"/>
  <c r="GY32" i="5" s="1"/>
  <c r="HL26" i="5"/>
  <c r="HL24" i="5"/>
  <c r="HX20" i="5"/>
  <c r="HW20" i="5" s="1"/>
  <c r="IB20" i="5" s="1"/>
  <c r="HX18" i="5"/>
  <c r="HW18" i="5" s="1"/>
  <c r="IB18" i="5" s="1"/>
  <c r="IJ31" i="5"/>
  <c r="IJ29" i="5"/>
  <c r="HX23" i="5"/>
  <c r="HW23" i="5" s="1"/>
  <c r="IB23" i="5" s="1"/>
  <c r="HL18" i="5"/>
  <c r="HK18" i="5" s="1"/>
  <c r="IJ32" i="5"/>
  <c r="HX26" i="5"/>
  <c r="HW26" i="5" s="1"/>
  <c r="IB26" i="5" s="1"/>
  <c r="HX24" i="5"/>
  <c r="HW24" i="5" s="1"/>
  <c r="IB24" i="5" s="1"/>
  <c r="IJ20" i="5"/>
  <c r="IJ17" i="5"/>
  <c r="GM17" i="5"/>
  <c r="FC32" i="5"/>
  <c r="FB32" i="5" s="1"/>
  <c r="FC30" i="5"/>
  <c r="FB30" i="5" s="1"/>
  <c r="FC20" i="5"/>
  <c r="FB20" i="5" s="1"/>
  <c r="GM30" i="5"/>
  <c r="FC22" i="5"/>
  <c r="FB22" i="5" s="1"/>
  <c r="FC29" i="5"/>
  <c r="FB29" i="5" s="1"/>
  <c r="FC27" i="5"/>
  <c r="FB27" i="5" s="1"/>
  <c r="GM28" i="5"/>
  <c r="GA28" i="5"/>
  <c r="FZ28" i="5" s="1"/>
  <c r="GE28" i="5" s="1"/>
  <c r="GA26" i="5"/>
  <c r="FZ26" i="5" s="1"/>
  <c r="GE26" i="5" s="1"/>
  <c r="GM20" i="5"/>
  <c r="GM27" i="5"/>
  <c r="GA19" i="5"/>
  <c r="FZ19" i="5" s="1"/>
  <c r="GE19" i="5" s="1"/>
  <c r="FO30" i="5"/>
  <c r="GA22" i="5"/>
  <c r="FZ22" i="5" s="1"/>
  <c r="GE22" i="5" s="1"/>
  <c r="FC33" i="5"/>
  <c r="FB33" i="5" s="1"/>
  <c r="FC31" i="5"/>
  <c r="FB31" i="5" s="1"/>
  <c r="FO25" i="5"/>
  <c r="FO23" i="5"/>
  <c r="GA18" i="5"/>
  <c r="FZ18" i="5" s="1"/>
  <c r="GE18" i="5" s="1"/>
  <c r="GM29" i="5"/>
  <c r="FO26" i="5"/>
  <c r="GM32" i="5"/>
  <c r="FC24" i="5"/>
  <c r="FB24" i="5" s="1"/>
  <c r="FO18" i="5"/>
  <c r="FN18" i="5" s="1"/>
  <c r="GM21" i="5"/>
  <c r="GM19" i="5"/>
  <c r="GM25" i="5"/>
  <c r="GM23" i="5"/>
  <c r="FC19" i="5"/>
  <c r="FB19" i="5" s="1"/>
  <c r="FC17" i="5"/>
  <c r="FB17" i="5" s="1"/>
  <c r="FC25" i="5"/>
  <c r="FB25" i="5" s="1"/>
  <c r="GM18" i="5"/>
  <c r="FC28" i="5"/>
  <c r="FB28" i="5" s="1"/>
  <c r="FC26" i="5"/>
  <c r="FB26" i="5" s="1"/>
  <c r="FO20" i="5"/>
  <c r="FN20" i="5" s="1"/>
  <c r="GM26" i="5"/>
  <c r="GM33" i="5"/>
  <c r="GA25" i="5"/>
  <c r="FZ25" i="5" s="1"/>
  <c r="GE25" i="5" s="1"/>
  <c r="FO19" i="5"/>
  <c r="FN19" i="5" s="1"/>
  <c r="GA32" i="5"/>
  <c r="FZ32" i="5" s="1"/>
  <c r="GE32" i="5" s="1"/>
  <c r="GA30" i="5"/>
  <c r="FZ30" i="5" s="1"/>
  <c r="GE30" i="5" s="1"/>
  <c r="GM24" i="5"/>
  <c r="GM22" i="5"/>
  <c r="FC18" i="5"/>
  <c r="FB18" i="5" s="1"/>
  <c r="FO29" i="5"/>
  <c r="FC21" i="5"/>
  <c r="FB21" i="5" s="1"/>
  <c r="GM31" i="5"/>
  <c r="FC23" i="5"/>
  <c r="FB23" i="5" s="1"/>
  <c r="FO17" i="5"/>
  <c r="FN17" i="5" s="1"/>
  <c r="EP28" i="5"/>
  <c r="EP27" i="5"/>
  <c r="DF24" i="5"/>
  <c r="DE24" i="5" s="1"/>
  <c r="EP17" i="5"/>
  <c r="DF29" i="5"/>
  <c r="DE29" i="5" s="1"/>
  <c r="ED33" i="5"/>
  <c r="EC33" i="5" s="1"/>
  <c r="EH33" i="5" s="1"/>
  <c r="DF30" i="5"/>
  <c r="DE30" i="5" s="1"/>
  <c r="ED25" i="5"/>
  <c r="EC25" i="5" s="1"/>
  <c r="EH25" i="5" s="1"/>
  <c r="DR23" i="5"/>
  <c r="DF31" i="5"/>
  <c r="DE31" i="5" s="1"/>
  <c r="DF21" i="5"/>
  <c r="DE21" i="5" s="1"/>
  <c r="EP33" i="5"/>
  <c r="EP25" i="5"/>
  <c r="DF22" i="5"/>
  <c r="DE22" i="5" s="1"/>
  <c r="DR30" i="5"/>
  <c r="EP26" i="5"/>
  <c r="DR21" i="5"/>
  <c r="DQ21" i="5" s="1"/>
  <c r="DF19" i="5"/>
  <c r="DE19" i="5" s="1"/>
  <c r="ED30" i="5"/>
  <c r="EC30" i="5" s="1"/>
  <c r="EH30" i="5" s="1"/>
  <c r="ED20" i="5"/>
  <c r="EC20" i="5" s="1"/>
  <c r="EH20" i="5" s="1"/>
  <c r="DR33" i="5"/>
  <c r="DR25" i="5"/>
  <c r="DF33" i="5"/>
  <c r="DE33" i="5" s="1"/>
  <c r="DF25" i="5"/>
  <c r="DE25" i="5" s="1"/>
  <c r="EP22" i="5"/>
  <c r="EP29" i="5"/>
  <c r="EP19" i="5"/>
  <c r="EP32" i="5"/>
  <c r="EP24" i="5"/>
  <c r="DF32" i="5"/>
  <c r="DE32" i="5" s="1"/>
  <c r="EP20" i="5"/>
  <c r="DF27" i="5"/>
  <c r="DE27" i="5" s="1"/>
  <c r="EP18" i="5"/>
  <c r="DF23" i="5"/>
  <c r="DE23" i="5" s="1"/>
  <c r="EP31" i="5"/>
  <c r="DR28" i="5"/>
  <c r="EP23" i="5"/>
  <c r="DF20" i="5"/>
  <c r="DE20" i="5" s="1"/>
  <c r="DF26" i="5"/>
  <c r="DE26" i="5" s="1"/>
  <c r="DR18" i="5"/>
  <c r="DQ18" i="5" s="1"/>
  <c r="ED28" i="5"/>
  <c r="EC28" i="5" s="1"/>
  <c r="EH28" i="5" s="1"/>
  <c r="ED22" i="5"/>
  <c r="EC22" i="5" s="1"/>
  <c r="EH22" i="5" s="1"/>
  <c r="EP30" i="5"/>
  <c r="DR27" i="5"/>
  <c r="EP21" i="5"/>
  <c r="ED19" i="5"/>
  <c r="EC19" i="5" s="1"/>
  <c r="EH19" i="5" s="1"/>
  <c r="DR17" i="5"/>
  <c r="DQ17" i="5" s="1"/>
  <c r="ED21" i="5"/>
  <c r="EC21" i="5" s="1"/>
  <c r="EH21" i="5" s="1"/>
  <c r="DF17" i="5"/>
  <c r="DE17" i="5" s="1"/>
  <c r="DF28" i="5"/>
  <c r="DE28" i="5" s="1"/>
  <c r="DF18" i="5"/>
  <c r="DE18" i="5" s="1"/>
  <c r="BU30" i="5"/>
  <c r="BU28" i="5"/>
  <c r="BU26" i="5"/>
  <c r="BU24" i="5"/>
  <c r="BU22" i="5"/>
  <c r="BU20" i="5"/>
  <c r="BT20" i="5" s="1"/>
  <c r="BU18" i="5"/>
  <c r="BT18" i="5" s="1"/>
  <c r="CG33" i="5"/>
  <c r="CF33" i="5" s="1"/>
  <c r="CK33" i="5" s="1"/>
  <c r="BU31" i="5"/>
  <c r="BU29" i="5"/>
  <c r="BU27" i="5"/>
  <c r="BU32" i="5"/>
  <c r="BI21" i="5"/>
  <c r="BH21" i="5" s="1"/>
  <c r="BU33" i="5"/>
  <c r="BI29" i="5"/>
  <c r="BH29" i="5" s="1"/>
  <c r="BU25" i="5"/>
  <c r="BU23" i="5"/>
  <c r="BU21" i="5"/>
  <c r="BT21" i="5" s="1"/>
  <c r="BU19" i="5"/>
  <c r="BT19" i="5" s="1"/>
  <c r="BU17" i="5"/>
  <c r="BT17" i="5" s="1"/>
  <c r="BI22" i="5"/>
  <c r="BH22" i="5" s="1"/>
  <c r="CG18" i="5"/>
  <c r="CF18" i="5" s="1"/>
  <c r="CK18" i="5" s="1"/>
  <c r="CS32" i="5"/>
  <c r="CG28" i="5"/>
  <c r="CF28" i="5" s="1"/>
  <c r="CK28" i="5" s="1"/>
  <c r="CS31" i="5"/>
  <c r="CS29" i="5"/>
  <c r="CS27" i="5"/>
  <c r="CS25" i="5"/>
  <c r="BI23" i="5"/>
  <c r="BH23" i="5" s="1"/>
  <c r="BI18" i="5"/>
  <c r="BH18" i="5" s="1"/>
  <c r="BI30" i="5"/>
  <c r="BH30" i="5" s="1"/>
  <c r="BI26" i="5"/>
  <c r="BH26" i="5" s="1"/>
  <c r="CS23" i="5"/>
  <c r="CS21" i="5"/>
  <c r="CS19" i="5"/>
  <c r="CS17" i="5"/>
  <c r="CG22" i="5"/>
  <c r="CF22" i="5" s="1"/>
  <c r="CK22" i="5" s="1"/>
  <c r="CG19" i="5"/>
  <c r="CF19" i="5" s="1"/>
  <c r="CK19" i="5" s="1"/>
  <c r="CS33" i="5"/>
  <c r="CG29" i="5"/>
  <c r="CF29" i="5" s="1"/>
  <c r="CK29" i="5" s="1"/>
  <c r="CG25" i="5"/>
  <c r="CF25" i="5" s="1"/>
  <c r="CK25" i="5" s="1"/>
  <c r="AV28" i="5"/>
  <c r="AV29" i="5"/>
  <c r="AJ33" i="5"/>
  <c r="AI33" i="5" s="1"/>
  <c r="X31" i="5"/>
  <c r="X26" i="5"/>
  <c r="AJ27" i="5"/>
  <c r="AI27" i="5" s="1"/>
  <c r="X32" i="5"/>
  <c r="L33" i="5"/>
  <c r="K33" i="5" s="1"/>
  <c r="L32" i="5"/>
  <c r="K32" i="5" s="1"/>
  <c r="X27" i="5"/>
  <c r="AJ31" i="5"/>
  <c r="AI31" i="5" s="1"/>
  <c r="AV32" i="5"/>
  <c r="X33" i="5"/>
  <c r="X30" i="5"/>
  <c r="AV25" i="5"/>
  <c r="AV33" i="5"/>
  <c r="AJ32" i="5"/>
  <c r="AI32" i="5" s="1"/>
  <c r="AJ28" i="5"/>
  <c r="AI28" i="5" s="1"/>
  <c r="X28" i="5"/>
  <c r="AJ25" i="5"/>
  <c r="AI25" i="5" s="1"/>
  <c r="AJ29" i="5"/>
  <c r="AI29" i="5" s="1"/>
  <c r="AV26" i="5"/>
  <c r="AV30" i="5"/>
  <c r="L25" i="5"/>
  <c r="K25" i="5" s="1"/>
  <c r="CC41" i="6" s="1"/>
  <c r="CD41" i="6" s="1"/>
  <c r="L26" i="5"/>
  <c r="K26" i="5" s="1"/>
  <c r="L27" i="5"/>
  <c r="K27" i="5" s="1"/>
  <c r="CC43" i="6" s="1"/>
  <c r="CD43" i="6" s="1"/>
  <c r="L28" i="5"/>
  <c r="K28" i="5" s="1"/>
  <c r="L29" i="5"/>
  <c r="K29" i="5" s="1"/>
  <c r="L30" i="5"/>
  <c r="K30" i="5" s="1"/>
  <c r="L31" i="5"/>
  <c r="K31" i="5" s="1"/>
  <c r="X25" i="5"/>
  <c r="X29" i="5"/>
  <c r="AJ26" i="5"/>
  <c r="AI26" i="5" s="1"/>
  <c r="AJ30" i="5"/>
  <c r="AI30" i="5" s="1"/>
  <c r="AV27" i="5"/>
  <c r="AV31" i="5"/>
  <c r="AL24" i="5"/>
  <c r="AM24" i="5"/>
  <c r="X17" i="5"/>
  <c r="W17" i="5" s="1"/>
  <c r="X19" i="5"/>
  <c r="W19" i="5" s="1"/>
  <c r="X21" i="5"/>
  <c r="W21" i="5" s="1"/>
  <c r="X23" i="5"/>
  <c r="AJ17" i="5"/>
  <c r="AI17" i="5" s="1"/>
  <c r="AN17" i="5" s="1"/>
  <c r="AV17" i="5"/>
  <c r="AU17" i="5" s="1"/>
  <c r="AV19" i="5"/>
  <c r="AU19" i="5" s="1"/>
  <c r="AV21" i="5"/>
  <c r="AU21" i="5" s="1"/>
  <c r="AV23" i="5"/>
  <c r="AJ18" i="5"/>
  <c r="AI18" i="5" s="1"/>
  <c r="AN18" i="5" s="1"/>
  <c r="AJ22" i="5"/>
  <c r="AI22" i="5" s="1"/>
  <c r="X18" i="5"/>
  <c r="W18" i="5" s="1"/>
  <c r="X20" i="5"/>
  <c r="W20" i="5" s="1"/>
  <c r="X22" i="5"/>
  <c r="W22" i="5" s="1"/>
  <c r="AJ19" i="5"/>
  <c r="AI19" i="5" s="1"/>
  <c r="AN19" i="5" s="1"/>
  <c r="AJ23" i="5"/>
  <c r="AI23" i="5" s="1"/>
  <c r="AJ21" i="5"/>
  <c r="AI21" i="5" s="1"/>
  <c r="L11" i="5"/>
  <c r="K11" i="5" s="1"/>
  <c r="L17" i="5"/>
  <c r="K17" i="5" s="1"/>
  <c r="L18" i="5"/>
  <c r="K18" i="5" s="1"/>
  <c r="L19" i="5"/>
  <c r="K19" i="5" s="1"/>
  <c r="L20" i="5"/>
  <c r="K20" i="5" s="1"/>
  <c r="L21" i="5"/>
  <c r="K21" i="5" s="1"/>
  <c r="L22" i="5"/>
  <c r="K22" i="5" s="1"/>
  <c r="L23" i="5"/>
  <c r="K23" i="5" s="1"/>
  <c r="L24" i="5"/>
  <c r="K24" i="5" s="1"/>
  <c r="AV18" i="5"/>
  <c r="AU18" i="5" s="1"/>
  <c r="AV20" i="5"/>
  <c r="AU20" i="5" s="1"/>
  <c r="AV22" i="5"/>
  <c r="AU22" i="5" s="1"/>
  <c r="AJ20" i="5"/>
  <c r="AI20" i="5" s="1"/>
  <c r="AN20" i="5" s="1"/>
  <c r="JI11" i="5"/>
  <c r="JH11" i="5" s="1"/>
  <c r="JI16" i="5"/>
  <c r="JH16" i="5" s="1"/>
  <c r="HL13" i="5"/>
  <c r="HK13" i="5" s="1"/>
  <c r="HL16" i="5"/>
  <c r="HK16" i="5" s="1"/>
  <c r="HL12" i="5"/>
  <c r="HK12" i="5" s="1"/>
  <c r="HX16" i="5"/>
  <c r="IJ16" i="5"/>
  <c r="IJ13" i="5"/>
  <c r="HX13" i="5"/>
  <c r="HW13" i="5" s="1"/>
  <c r="IB13" i="5" s="1"/>
  <c r="FC16" i="5"/>
  <c r="FB16" i="5" s="1"/>
  <c r="GM11" i="5"/>
  <c r="DR16" i="5"/>
  <c r="DQ16" i="5" s="1"/>
  <c r="FO11" i="5"/>
  <c r="FN11" i="5" s="1"/>
  <c r="DR13" i="5"/>
  <c r="DQ13" i="5" s="1"/>
  <c r="FC11" i="5"/>
  <c r="FB11" i="5" s="1"/>
  <c r="DR12" i="5"/>
  <c r="DQ12" i="5" s="1"/>
  <c r="EP16" i="5"/>
  <c r="BI14" i="5"/>
  <c r="BH14" i="5" s="1"/>
  <c r="IW11" i="5"/>
  <c r="IV11" i="5" s="1"/>
  <c r="FO15" i="5"/>
  <c r="FN15" i="5" s="1"/>
  <c r="KG16" i="5"/>
  <c r="HX12" i="5"/>
  <c r="HW12" i="5" s="1"/>
  <c r="IB12" i="5" s="1"/>
  <c r="ED14" i="5"/>
  <c r="EC14" i="5" s="1"/>
  <c r="EH14" i="5" s="1"/>
  <c r="FO14" i="5"/>
  <c r="FN14" i="5" s="1"/>
  <c r="KG15" i="5"/>
  <c r="IJ12" i="5"/>
  <c r="ED13" i="5"/>
  <c r="IW15" i="5"/>
  <c r="IV15" i="5" s="1"/>
  <c r="GZ14" i="5"/>
  <c r="GY14" i="5" s="1"/>
  <c r="FC12" i="5"/>
  <c r="FB12" i="5" s="1"/>
  <c r="KG12" i="5"/>
  <c r="GM15" i="5"/>
  <c r="EP13" i="5"/>
  <c r="FC13" i="5"/>
  <c r="FB13" i="5" s="1"/>
  <c r="KG11" i="5"/>
  <c r="GM14" i="5"/>
  <c r="EP12" i="5"/>
  <c r="DF11" i="5"/>
  <c r="DE11" i="5" s="1"/>
  <c r="CS13" i="5"/>
  <c r="BU14" i="5"/>
  <c r="BT14" i="5" s="1"/>
  <c r="GA15" i="5"/>
  <c r="FZ15" i="5" s="1"/>
  <c r="GE15" i="5" s="1"/>
  <c r="CG15" i="5"/>
  <c r="JU11" i="5"/>
  <c r="JT11" i="5" s="1"/>
  <c r="JY11" i="5" s="1"/>
  <c r="DF16" i="5"/>
  <c r="DE16" i="5" s="1"/>
  <c r="DF12" i="5"/>
  <c r="DE12" i="5" s="1"/>
  <c r="BU13" i="5"/>
  <c r="BT13" i="5" s="1"/>
  <c r="JU15" i="5"/>
  <c r="GA14" i="5"/>
  <c r="CG16" i="5"/>
  <c r="BI13" i="5"/>
  <c r="BH13" i="5" s="1"/>
  <c r="GZ15" i="5"/>
  <c r="GY15" i="5" s="1"/>
  <c r="GZ11" i="5"/>
  <c r="GY11" i="5" s="1"/>
  <c r="DF15" i="5"/>
  <c r="DE15" i="5" s="1"/>
  <c r="ED11" i="5"/>
  <c r="EC11" i="5" s="1"/>
  <c r="EH11" i="5" s="1"/>
  <c r="CS12" i="5"/>
  <c r="JU14" i="5"/>
  <c r="JT14" i="5" s="1"/>
  <c r="JY14" i="5" s="1"/>
  <c r="CS14" i="5"/>
  <c r="EC15" i="5"/>
  <c r="JI15" i="5"/>
  <c r="JH15" i="5" s="1"/>
  <c r="GZ16" i="5"/>
  <c r="GY16" i="5" s="1"/>
  <c r="GZ12" i="5"/>
  <c r="GY12" i="5" s="1"/>
  <c r="FC14" i="5"/>
  <c r="FB14" i="5" s="1"/>
  <c r="DR15" i="5"/>
  <c r="DQ15" i="5" s="1"/>
  <c r="BI16" i="5"/>
  <c r="BH16" i="5" s="1"/>
  <c r="CG12" i="5"/>
  <c r="KG14" i="5"/>
  <c r="IJ15" i="5"/>
  <c r="IJ11" i="5"/>
  <c r="GM13" i="5"/>
  <c r="ED16" i="5"/>
  <c r="EC16" i="5" s="1"/>
  <c r="EH16" i="5" s="1"/>
  <c r="ED12" i="5"/>
  <c r="EC12" i="5" s="1"/>
  <c r="EH12" i="5" s="1"/>
  <c r="CS15" i="5"/>
  <c r="BU12" i="5"/>
  <c r="BT12" i="5" s="1"/>
  <c r="HL14" i="5"/>
  <c r="HK14" i="5" s="1"/>
  <c r="FO16" i="5"/>
  <c r="FN16" i="5" s="1"/>
  <c r="FO12" i="5"/>
  <c r="FN12" i="5" s="1"/>
  <c r="DR14" i="5"/>
  <c r="DQ14" i="5" s="1"/>
  <c r="BU16" i="5"/>
  <c r="BT16" i="5" s="1"/>
  <c r="BU11" i="5"/>
  <c r="BT11" i="5" s="1"/>
  <c r="HX15" i="5"/>
  <c r="HW15" i="5" s="1"/>
  <c r="IB15" i="5" s="1"/>
  <c r="HX11" i="5"/>
  <c r="HW11" i="5" s="1"/>
  <c r="IB11" i="5" s="1"/>
  <c r="GA13" i="5"/>
  <c r="FZ13" i="5" s="1"/>
  <c r="GE13" i="5" s="1"/>
  <c r="CG13" i="5"/>
  <c r="IW14" i="5"/>
  <c r="IV14" i="5" s="1"/>
  <c r="HL15" i="5"/>
  <c r="HK15" i="5" s="1"/>
  <c r="DF14" i="5"/>
  <c r="DE14" i="5" s="1"/>
  <c r="CS11" i="5"/>
  <c r="JU13" i="5"/>
  <c r="JT13" i="5" s="1"/>
  <c r="JY13" i="5" s="1"/>
  <c r="GA16" i="5"/>
  <c r="FZ16" i="5" s="1"/>
  <c r="GE16" i="5" s="1"/>
  <c r="GA12" i="5"/>
  <c r="FZ12" i="5" s="1"/>
  <c r="GE12" i="5" s="1"/>
  <c r="EP15" i="5"/>
  <c r="EP11" i="5"/>
  <c r="CG14" i="5"/>
  <c r="BI15" i="5"/>
  <c r="BH15" i="5" s="1"/>
  <c r="JU16" i="5"/>
  <c r="JT16" i="5" s="1"/>
  <c r="JY16" i="5" s="1"/>
  <c r="GM16" i="5"/>
  <c r="BI12" i="5"/>
  <c r="BH12" i="5" s="1"/>
  <c r="JI14" i="5"/>
  <c r="JH14" i="5" s="1"/>
  <c r="JI13" i="5"/>
  <c r="JH13" i="5" s="1"/>
  <c r="IW13" i="5"/>
  <c r="IV13" i="5" s="1"/>
  <c r="IW16" i="5"/>
  <c r="IV16" i="5" s="1"/>
  <c r="IY12" i="5"/>
  <c r="JT12" i="5"/>
  <c r="JY12" i="5" s="1"/>
  <c r="FZ11" i="5"/>
  <c r="GE11" i="5" s="1"/>
  <c r="FB15" i="5"/>
  <c r="X11" i="5"/>
  <c r="W11" i="5" s="1"/>
  <c r="Z11" i="5" s="1"/>
  <c r="AJ16" i="5"/>
  <c r="AI16" i="5" s="1"/>
  <c r="AV13" i="5"/>
  <c r="AU13" i="5" s="1"/>
  <c r="X14" i="5"/>
  <c r="W14" i="5" s="1"/>
  <c r="AV14" i="5"/>
  <c r="AU14" i="5" s="1"/>
  <c r="L13" i="5"/>
  <c r="K13" i="5" s="1"/>
  <c r="L12" i="5"/>
  <c r="K12" i="5" s="1"/>
  <c r="DE13" i="5"/>
  <c r="CF11" i="5"/>
  <c r="CK11" i="5" s="1"/>
  <c r="X12" i="5"/>
  <c r="W12" i="5" s="1"/>
  <c r="X13" i="5"/>
  <c r="W13" i="5" s="1"/>
  <c r="AV15" i="5"/>
  <c r="AU15" i="5" s="1"/>
  <c r="L15" i="5"/>
  <c r="K15" i="5" s="1"/>
  <c r="X15" i="5"/>
  <c r="W15" i="5" s="1"/>
  <c r="X16" i="5"/>
  <c r="W16" i="5" s="1"/>
  <c r="AV11" i="5"/>
  <c r="AU11" i="5" s="1"/>
  <c r="AV12" i="5"/>
  <c r="AU12" i="5" s="1"/>
  <c r="AV16" i="5"/>
  <c r="AU16" i="5" s="1"/>
  <c r="BH11" i="5"/>
  <c r="L16" i="5"/>
  <c r="K16" i="5" s="1"/>
  <c r="L14" i="5"/>
  <c r="K14" i="5" s="1"/>
  <c r="AJ13" i="5"/>
  <c r="AI13" i="5" s="1"/>
  <c r="AN13" i="5" s="1"/>
  <c r="AJ14" i="5"/>
  <c r="AI14" i="5" s="1"/>
  <c r="AN14" i="5" s="1"/>
  <c r="AJ15" i="5"/>
  <c r="AI15" i="5" s="1"/>
  <c r="AN15" i="5" s="1"/>
  <c r="AJ11" i="5"/>
  <c r="AI11" i="5" s="1"/>
  <c r="AJ12" i="5"/>
  <c r="AB22" i="5" l="1"/>
  <c r="Z22" i="5"/>
  <c r="AA22" i="5"/>
  <c r="AZ21" i="5"/>
  <c r="AX21" i="5"/>
  <c r="AY21" i="5"/>
  <c r="AX22" i="5"/>
  <c r="AY22" i="5"/>
  <c r="AZ22" i="5"/>
  <c r="GI28" i="6"/>
  <c r="GJ28" i="6" s="1"/>
  <c r="CC45" i="6"/>
  <c r="CD45" i="6" s="1"/>
  <c r="CC49" i="6"/>
  <c r="CD49" i="6" s="1"/>
  <c r="CW27" i="6"/>
  <c r="CX27" i="6" s="1"/>
  <c r="CY27" i="6" s="1"/>
  <c r="DA27" i="6"/>
  <c r="DB27" i="6"/>
  <c r="CF28" i="6"/>
  <c r="CG28" i="6"/>
  <c r="GC29" i="6"/>
  <c r="GG29" i="6"/>
  <c r="GD29" i="6"/>
  <c r="GE29" i="6" s="1"/>
  <c r="GH29" i="6"/>
  <c r="GC30" i="6"/>
  <c r="GG30" i="6"/>
  <c r="GD30" i="6"/>
  <c r="GE30" i="6" s="1"/>
  <c r="GH30" i="6"/>
  <c r="DA32" i="6"/>
  <c r="DB32" i="6"/>
  <c r="FM32" i="6"/>
  <c r="FL32" i="6"/>
  <c r="FH27" i="6"/>
  <c r="FL27" i="6"/>
  <c r="FI27" i="6"/>
  <c r="FJ27" i="6" s="1"/>
  <c r="FM27" i="6"/>
  <c r="DW32" i="6"/>
  <c r="DR32" i="6"/>
  <c r="DV32" i="6"/>
  <c r="GG31" i="6"/>
  <c r="GH31" i="6"/>
  <c r="CB36" i="6"/>
  <c r="CF36" i="6"/>
  <c r="CG36" i="6"/>
  <c r="CB27" i="6"/>
  <c r="CF27" i="6"/>
  <c r="CG27" i="6"/>
  <c r="CW37" i="6"/>
  <c r="CX37" i="6" s="1"/>
  <c r="CY37" i="6" s="1"/>
  <c r="DA37" i="6"/>
  <c r="DB37" i="6"/>
  <c r="ER35" i="6"/>
  <c r="EM35" i="6"/>
  <c r="EQ35" i="6"/>
  <c r="FM37" i="6"/>
  <c r="FL37" i="6"/>
  <c r="FH37" i="6"/>
  <c r="GC33" i="6"/>
  <c r="GG33" i="6"/>
  <c r="GD33" i="6"/>
  <c r="GE33" i="6" s="1"/>
  <c r="GH33" i="6"/>
  <c r="GH34" i="6"/>
  <c r="GC34" i="6"/>
  <c r="GG34" i="6"/>
  <c r="CW33" i="6"/>
  <c r="DA33" i="6"/>
  <c r="DB33" i="6"/>
  <c r="CX33" i="6"/>
  <c r="CY33" i="6" s="1"/>
  <c r="CB29" i="6"/>
  <c r="CF29" i="6"/>
  <c r="CG29" i="6"/>
  <c r="FH31" i="6"/>
  <c r="FI31" i="6" s="1"/>
  <c r="FJ31" i="6" s="1"/>
  <c r="FM31" i="6"/>
  <c r="FL31" i="6"/>
  <c r="GC27" i="6"/>
  <c r="GD27" i="6" s="1"/>
  <c r="GE27" i="6" s="1"/>
  <c r="GG27" i="6"/>
  <c r="GH27" i="6"/>
  <c r="EM27" i="6"/>
  <c r="EN27" i="6" s="1"/>
  <c r="EO27" i="6" s="1"/>
  <c r="EQ27" i="6"/>
  <c r="ER27" i="6"/>
  <c r="CG35" i="6"/>
  <c r="CB35" i="6"/>
  <c r="CF35" i="6"/>
  <c r="DW34" i="6"/>
  <c r="DR34" i="6"/>
  <c r="DV34" i="6"/>
  <c r="DW37" i="6"/>
  <c r="DV37" i="6"/>
  <c r="DR37" i="6"/>
  <c r="EM34" i="6"/>
  <c r="EN34" i="6" s="1"/>
  <c r="EO34" i="6" s="1"/>
  <c r="EQ34" i="6"/>
  <c r="ER34" i="6"/>
  <c r="GC37" i="6"/>
  <c r="GG37" i="6"/>
  <c r="GH37" i="6"/>
  <c r="GD37" i="6"/>
  <c r="GE37" i="6" s="1"/>
  <c r="GH36" i="6"/>
  <c r="GC36" i="6"/>
  <c r="GG36" i="6"/>
  <c r="GC35" i="6"/>
  <c r="GD35" i="6" s="1"/>
  <c r="GE35" i="6" s="1"/>
  <c r="GG35" i="6"/>
  <c r="GH35" i="6"/>
  <c r="CW35" i="6"/>
  <c r="CX35" i="6" s="1"/>
  <c r="CY35" i="6" s="1"/>
  <c r="DA35" i="6"/>
  <c r="DB35" i="6"/>
  <c r="FM33" i="6"/>
  <c r="FH33" i="6"/>
  <c r="FL33" i="6"/>
  <c r="FM34" i="6"/>
  <c r="FH34" i="6"/>
  <c r="FL34" i="6"/>
  <c r="CB30" i="6"/>
  <c r="CF30" i="6"/>
  <c r="CG30" i="6"/>
  <c r="CB31" i="6"/>
  <c r="CF31" i="6"/>
  <c r="CG31" i="6"/>
  <c r="DA31" i="6"/>
  <c r="DB31" i="6"/>
  <c r="DR30" i="6"/>
  <c r="DV30" i="6"/>
  <c r="DX30" i="6" s="1"/>
  <c r="DY30" i="6" s="1"/>
  <c r="DS30" i="6"/>
  <c r="DT30" i="6" s="1"/>
  <c r="DW30" i="6"/>
  <c r="EQ30" i="6"/>
  <c r="ER30" i="6"/>
  <c r="DA29" i="6"/>
  <c r="DB29" i="6"/>
  <c r="DR27" i="6"/>
  <c r="DV27" i="6"/>
  <c r="DX27" i="6" s="1"/>
  <c r="DY27" i="6" s="1"/>
  <c r="DS27" i="6"/>
  <c r="DT27" i="6" s="1"/>
  <c r="DW27" i="6"/>
  <c r="EM29" i="6"/>
  <c r="EQ29" i="6"/>
  <c r="EN29" i="6"/>
  <c r="EO29" i="6" s="1"/>
  <c r="ER29" i="6"/>
  <c r="EM28" i="6"/>
  <c r="EQ28" i="6"/>
  <c r="ER28" i="6"/>
  <c r="EN28" i="6"/>
  <c r="EO28" i="6" s="1"/>
  <c r="DA30" i="6"/>
  <c r="DB30" i="6"/>
  <c r="EM32" i="6"/>
  <c r="EN32" i="6" s="1"/>
  <c r="EO32" i="6" s="1"/>
  <c r="EQ32" i="6"/>
  <c r="ER32" i="6"/>
  <c r="CG34" i="6"/>
  <c r="CF34" i="6"/>
  <c r="CB34" i="6"/>
  <c r="DR36" i="6"/>
  <c r="DV36" i="6"/>
  <c r="DX36" i="6" s="1"/>
  <c r="DY36" i="6" s="1"/>
  <c r="DS36" i="6"/>
  <c r="DT36" i="6" s="1"/>
  <c r="DW36" i="6"/>
  <c r="DW35" i="6"/>
  <c r="DV35" i="6"/>
  <c r="DR35" i="6"/>
  <c r="GK28" i="6"/>
  <c r="GL28" i="6"/>
  <c r="CG32" i="6"/>
  <c r="CB32" i="6"/>
  <c r="CF32" i="6"/>
  <c r="DV29" i="6"/>
  <c r="DW29" i="6"/>
  <c r="EM31" i="6"/>
  <c r="EQ31" i="6"/>
  <c r="ER31" i="6"/>
  <c r="GC32" i="6"/>
  <c r="GG32" i="6"/>
  <c r="GH32" i="6"/>
  <c r="GD32" i="6"/>
  <c r="GE32" i="6" s="1"/>
  <c r="DA28" i="6"/>
  <c r="DC28" i="6" s="1"/>
  <c r="DD28" i="6" s="1"/>
  <c r="DB28" i="6"/>
  <c r="FH28" i="6"/>
  <c r="FI28" i="6" s="1"/>
  <c r="FJ28" i="6" s="1"/>
  <c r="FL28" i="6"/>
  <c r="FM28" i="6"/>
  <c r="DR31" i="6"/>
  <c r="DV31" i="6"/>
  <c r="DW31" i="6"/>
  <c r="DR28" i="6"/>
  <c r="DS28" i="6" s="1"/>
  <c r="DT28" i="6" s="1"/>
  <c r="DV28" i="6"/>
  <c r="DW28" i="6"/>
  <c r="FL30" i="6"/>
  <c r="FM30" i="6"/>
  <c r="CG37" i="6"/>
  <c r="CF37" i="6"/>
  <c r="CB37" i="6"/>
  <c r="CB33" i="6"/>
  <c r="CG33" i="6"/>
  <c r="CF33" i="6"/>
  <c r="DB34" i="6"/>
  <c r="CW34" i="6"/>
  <c r="CX34" i="6" s="1"/>
  <c r="CY34" i="6" s="1"/>
  <c r="DA34" i="6"/>
  <c r="DR33" i="6"/>
  <c r="DS33" i="6" s="1"/>
  <c r="DT33" i="6" s="1"/>
  <c r="DW33" i="6"/>
  <c r="DV33" i="6"/>
  <c r="EM37" i="6"/>
  <c r="EQ37" i="6"/>
  <c r="ER37" i="6"/>
  <c r="EN37" i="6"/>
  <c r="EO37" i="6" s="1"/>
  <c r="ER33" i="6"/>
  <c r="EM33" i="6"/>
  <c r="EN33" i="6" s="1"/>
  <c r="EO33" i="6" s="1"/>
  <c r="EQ33" i="6"/>
  <c r="ER36" i="6"/>
  <c r="EM36" i="6"/>
  <c r="EN36" i="6" s="1"/>
  <c r="EO36" i="6" s="1"/>
  <c r="EQ36" i="6"/>
  <c r="FI35" i="6"/>
  <c r="FJ35" i="6" s="1"/>
  <c r="FM35" i="6"/>
  <c r="FH35" i="6"/>
  <c r="FL35" i="6"/>
  <c r="DB36" i="6"/>
  <c r="CW36" i="6"/>
  <c r="CX36" i="6" s="1"/>
  <c r="CY36" i="6" s="1"/>
  <c r="DA36" i="6"/>
  <c r="FH36" i="6"/>
  <c r="FL36" i="6"/>
  <c r="FM36" i="6"/>
  <c r="GC28" i="6"/>
  <c r="DB38" i="6"/>
  <c r="DA38" i="6"/>
  <c r="CW38" i="6"/>
  <c r="FM38" i="6"/>
  <c r="FH38" i="6"/>
  <c r="FL38" i="6"/>
  <c r="FI38" i="6"/>
  <c r="FJ38" i="6" s="1"/>
  <c r="GD38" i="6"/>
  <c r="GE38" i="6" s="1"/>
  <c r="GH38" i="6"/>
  <c r="GG38" i="6"/>
  <c r="GC38" i="6"/>
  <c r="CB38" i="6"/>
  <c r="CF38" i="6"/>
  <c r="CG38" i="6"/>
  <c r="CC47" i="6"/>
  <c r="CD47" i="6" s="1"/>
  <c r="DW38" i="6"/>
  <c r="DR38" i="6"/>
  <c r="DV38" i="6"/>
  <c r="DS38" i="6"/>
  <c r="DT38" i="6" s="1"/>
  <c r="EN38" i="6"/>
  <c r="EO38" i="6" s="1"/>
  <c r="ER38" i="6"/>
  <c r="EM38" i="6"/>
  <c r="EQ38" i="6"/>
  <c r="CC39" i="6"/>
  <c r="CD39" i="6" s="1"/>
  <c r="CC44" i="6"/>
  <c r="CD44" i="6" s="1"/>
  <c r="CB40" i="6"/>
  <c r="CE40" i="6" s="1"/>
  <c r="CC40" i="6"/>
  <c r="CD40" i="6" s="1"/>
  <c r="CC46" i="6"/>
  <c r="CD46" i="6" s="1"/>
  <c r="CC42" i="6"/>
  <c r="CD42" i="6" s="1"/>
  <c r="CC48" i="6"/>
  <c r="CD48" i="6" s="1"/>
  <c r="HP21" i="5"/>
  <c r="HO21" i="5"/>
  <c r="HN21" i="5"/>
  <c r="FS21" i="5"/>
  <c r="FR21" i="5"/>
  <c r="FQ21" i="5"/>
  <c r="DV21" i="5"/>
  <c r="DU21" i="5"/>
  <c r="DT21" i="5"/>
  <c r="AA21" i="5"/>
  <c r="Z21" i="5"/>
  <c r="AB21" i="5"/>
  <c r="JM21" i="5"/>
  <c r="JL21" i="5"/>
  <c r="JK21" i="5"/>
  <c r="FH46" i="6"/>
  <c r="EM42" i="6"/>
  <c r="EM39" i="6"/>
  <c r="EM47" i="6"/>
  <c r="CW41" i="6"/>
  <c r="DR42" i="6"/>
  <c r="DR49" i="6"/>
  <c r="DR40" i="6"/>
  <c r="CB47" i="6"/>
  <c r="CE47" i="6" s="1"/>
  <c r="CB43" i="6"/>
  <c r="CE43" i="6" s="1"/>
  <c r="CW48" i="6"/>
  <c r="AN21" i="5"/>
  <c r="AM33" i="5"/>
  <c r="CB49" i="6"/>
  <c r="CE49" i="6" s="1"/>
  <c r="CX42" i="6"/>
  <c r="CY42" i="6" s="1"/>
  <c r="CW42" i="6"/>
  <c r="DR46" i="6"/>
  <c r="EM48" i="6"/>
  <c r="FH43" i="6"/>
  <c r="GD42" i="6"/>
  <c r="GE42" i="6" s="1"/>
  <c r="GC42" i="6"/>
  <c r="GD39" i="6"/>
  <c r="GE39" i="6" s="1"/>
  <c r="GC39" i="6"/>
  <c r="GD41" i="6"/>
  <c r="GE41" i="6" s="1"/>
  <c r="GC41" i="6"/>
  <c r="FH39" i="6"/>
  <c r="AN11" i="5"/>
  <c r="AN23" i="5"/>
  <c r="CB39" i="6"/>
  <c r="CE39" i="6" s="1"/>
  <c r="AN30" i="5"/>
  <c r="CB46" i="6"/>
  <c r="CE46" i="6" s="1"/>
  <c r="AN28" i="5"/>
  <c r="CB44" i="6"/>
  <c r="CE44" i="6" s="1"/>
  <c r="CX46" i="6"/>
  <c r="CY46" i="6" s="1"/>
  <c r="CW46" i="6"/>
  <c r="CX45" i="6"/>
  <c r="CY45" i="6" s="1"/>
  <c r="CW45" i="6"/>
  <c r="DS44" i="6"/>
  <c r="DT44" i="6" s="1"/>
  <c r="DR44" i="6"/>
  <c r="DS39" i="6"/>
  <c r="DT39" i="6" s="1"/>
  <c r="DR39" i="6"/>
  <c r="DS48" i="6"/>
  <c r="DT48" i="6" s="1"/>
  <c r="DR48" i="6"/>
  <c r="DS47" i="6"/>
  <c r="DT47" i="6" s="1"/>
  <c r="DR47" i="6"/>
  <c r="EN41" i="6"/>
  <c r="EO41" i="6" s="1"/>
  <c r="EM41" i="6"/>
  <c r="EN40" i="6"/>
  <c r="EO40" i="6" s="1"/>
  <c r="EM40" i="6"/>
  <c r="EN49" i="6"/>
  <c r="EO49" i="6" s="1"/>
  <c r="EM49" i="6"/>
  <c r="FI44" i="6"/>
  <c r="FJ44" i="6" s="1"/>
  <c r="FH44" i="6"/>
  <c r="GC46" i="6"/>
  <c r="GC43" i="6"/>
  <c r="GC40" i="6"/>
  <c r="GC45" i="6"/>
  <c r="FI49" i="6"/>
  <c r="FJ49" i="6" s="1"/>
  <c r="FH49" i="6"/>
  <c r="CX44" i="6"/>
  <c r="CY44" i="6" s="1"/>
  <c r="CW44" i="6"/>
  <c r="FI47" i="6"/>
  <c r="FJ47" i="6" s="1"/>
  <c r="FH47" i="6"/>
  <c r="FI40" i="6"/>
  <c r="FJ40" i="6" s="1"/>
  <c r="FH40" i="6"/>
  <c r="AN22" i="5"/>
  <c r="AN26" i="5"/>
  <c r="CB42" i="6"/>
  <c r="CE42" i="6" s="1"/>
  <c r="AN29" i="5"/>
  <c r="CB45" i="6"/>
  <c r="CE45" i="6" s="1"/>
  <c r="AN32" i="5"/>
  <c r="CB48" i="6"/>
  <c r="CE48" i="6" s="1"/>
  <c r="DS45" i="6"/>
  <c r="DT45" i="6" s="1"/>
  <c r="DR45" i="6"/>
  <c r="EN43" i="6"/>
  <c r="EO43" i="6" s="1"/>
  <c r="EM43" i="6"/>
  <c r="GC44" i="6"/>
  <c r="FI45" i="6"/>
  <c r="FJ45" i="6" s="1"/>
  <c r="FH45" i="6"/>
  <c r="CW49" i="6"/>
  <c r="CW47" i="6"/>
  <c r="AN25" i="5"/>
  <c r="CB41" i="6"/>
  <c r="CE41" i="6" s="1"/>
  <c r="CX39" i="6"/>
  <c r="CY39" i="6" s="1"/>
  <c r="CW39" i="6"/>
  <c r="DS43" i="6"/>
  <c r="DT43" i="6" s="1"/>
  <c r="DR43" i="6"/>
  <c r="DS41" i="6"/>
  <c r="DT41" i="6" s="1"/>
  <c r="DR41" i="6"/>
  <c r="EN44" i="6"/>
  <c r="EO44" i="6" s="1"/>
  <c r="EM44" i="6"/>
  <c r="EN45" i="6"/>
  <c r="EO45" i="6" s="1"/>
  <c r="EM45" i="6"/>
  <c r="EM46" i="6"/>
  <c r="FH48" i="6"/>
  <c r="FH41" i="6"/>
  <c r="GD48" i="6"/>
  <c r="GE48" i="6" s="1"/>
  <c r="GC48" i="6"/>
  <c r="GC49" i="6"/>
  <c r="GC47" i="6"/>
  <c r="FH42" i="6"/>
  <c r="CX43" i="6"/>
  <c r="CY43" i="6" s="1"/>
  <c r="CW43" i="6"/>
  <c r="CX40" i="6"/>
  <c r="CY40" i="6" s="1"/>
  <c r="CW40" i="6"/>
  <c r="BY21" i="5"/>
  <c r="BX21" i="5"/>
  <c r="BW21" i="5"/>
  <c r="GD44" i="6"/>
  <c r="GE44" i="6" s="1"/>
  <c r="GD49" i="6"/>
  <c r="GE49" i="6" s="1"/>
  <c r="GD47" i="6"/>
  <c r="GE47" i="6" s="1"/>
  <c r="GD46" i="6"/>
  <c r="GE46" i="6" s="1"/>
  <c r="GD43" i="6"/>
  <c r="GE43" i="6" s="1"/>
  <c r="GD40" i="6"/>
  <c r="GE40" i="6" s="1"/>
  <c r="GD45" i="6"/>
  <c r="GE45" i="6" s="1"/>
  <c r="FI46" i="6"/>
  <c r="FJ46" i="6" s="1"/>
  <c r="FI48" i="6"/>
  <c r="FJ48" i="6" s="1"/>
  <c r="FI41" i="6"/>
  <c r="FJ41" i="6" s="1"/>
  <c r="FI42" i="6"/>
  <c r="FJ42" i="6" s="1"/>
  <c r="FI43" i="6"/>
  <c r="FJ43" i="6" s="1"/>
  <c r="FI39" i="6"/>
  <c r="FJ39" i="6" s="1"/>
  <c r="EN42" i="6"/>
  <c r="EO42" i="6" s="1"/>
  <c r="EN46" i="6"/>
  <c r="EO46" i="6" s="1"/>
  <c r="EN39" i="6"/>
  <c r="EO39" i="6" s="1"/>
  <c r="EN47" i="6"/>
  <c r="EO47" i="6" s="1"/>
  <c r="EN48" i="6"/>
  <c r="EO48" i="6" s="1"/>
  <c r="DS42" i="6"/>
  <c r="DT42" i="6" s="1"/>
  <c r="DS49" i="6"/>
  <c r="DT49" i="6" s="1"/>
  <c r="DS46" i="6"/>
  <c r="DT46" i="6" s="1"/>
  <c r="DS40" i="6"/>
  <c r="DT40" i="6" s="1"/>
  <c r="CX49" i="6"/>
  <c r="CY49" i="6" s="1"/>
  <c r="CX47" i="6"/>
  <c r="CY47" i="6" s="1"/>
  <c r="CX48" i="6"/>
  <c r="CY48" i="6" s="1"/>
  <c r="CX41" i="6"/>
  <c r="CY41" i="6" s="1"/>
  <c r="DJ13" i="5"/>
  <c r="JA16" i="5"/>
  <c r="HD12" i="5"/>
  <c r="DJ12" i="5"/>
  <c r="P17" i="5"/>
  <c r="P26" i="5"/>
  <c r="CF42" i="6"/>
  <c r="CG42" i="6"/>
  <c r="P32" i="5"/>
  <c r="CF48" i="6"/>
  <c r="CG48" i="6"/>
  <c r="DJ29" i="5"/>
  <c r="DW45" i="6"/>
  <c r="DV45" i="6"/>
  <c r="FG21" i="5"/>
  <c r="FG17" i="5"/>
  <c r="FG27" i="5"/>
  <c r="EQ43" i="6"/>
  <c r="ER43" i="6"/>
  <c r="HD19" i="5"/>
  <c r="DA49" i="6"/>
  <c r="DB49" i="6"/>
  <c r="HD20" i="5"/>
  <c r="BM11" i="5"/>
  <c r="JA14" i="5"/>
  <c r="HD16" i="5"/>
  <c r="HD11" i="5"/>
  <c r="DJ16" i="5"/>
  <c r="JA15" i="5"/>
  <c r="P20" i="5"/>
  <c r="P29" i="5"/>
  <c r="CG45" i="6"/>
  <c r="CF45" i="6"/>
  <c r="P25" i="5"/>
  <c r="CF41" i="6"/>
  <c r="CG41" i="6"/>
  <c r="BM22" i="5"/>
  <c r="DJ27" i="5"/>
  <c r="DV43" i="6"/>
  <c r="DW43" i="6"/>
  <c r="FG19" i="5"/>
  <c r="FG30" i="5"/>
  <c r="ER46" i="6"/>
  <c r="EQ46" i="6"/>
  <c r="HD25" i="5"/>
  <c r="FL41" i="6"/>
  <c r="FM41" i="6"/>
  <c r="JA17" i="5"/>
  <c r="JA33" i="5"/>
  <c r="GG49" i="6"/>
  <c r="GH49" i="6"/>
  <c r="BM24" i="5"/>
  <c r="DB40" i="6"/>
  <c r="DA40" i="6"/>
  <c r="HD22" i="5"/>
  <c r="DB48" i="6"/>
  <c r="DA48" i="6"/>
  <c r="HD15" i="5"/>
  <c r="JA11" i="5"/>
  <c r="FG11" i="5"/>
  <c r="P23" i="5"/>
  <c r="CG39" i="6"/>
  <c r="CF39" i="6"/>
  <c r="P19" i="5"/>
  <c r="P28" i="5"/>
  <c r="CF44" i="6"/>
  <c r="CG44" i="6"/>
  <c r="BM26" i="5"/>
  <c r="DA42" i="6"/>
  <c r="DB42" i="6"/>
  <c r="DJ18" i="5"/>
  <c r="DJ26" i="5"/>
  <c r="DW42" i="6"/>
  <c r="DV42" i="6"/>
  <c r="DJ33" i="5"/>
  <c r="DW49" i="6"/>
  <c r="DV49" i="6"/>
  <c r="DJ21" i="5"/>
  <c r="DJ30" i="5"/>
  <c r="DW46" i="6"/>
  <c r="DV46" i="6"/>
  <c r="DJ24" i="5"/>
  <c r="DV40" i="6"/>
  <c r="DW40" i="6"/>
  <c r="FG23" i="5"/>
  <c r="EQ39" i="6"/>
  <c r="ER39" i="6"/>
  <c r="FG18" i="5"/>
  <c r="FG31" i="5"/>
  <c r="EQ47" i="6"/>
  <c r="ER47" i="6"/>
  <c r="FG22" i="5"/>
  <c r="FG32" i="5"/>
  <c r="ER48" i="6"/>
  <c r="EQ48" i="6"/>
  <c r="HD27" i="5"/>
  <c r="FL43" i="6"/>
  <c r="FM43" i="6"/>
  <c r="JA26" i="5"/>
  <c r="GH42" i="6"/>
  <c r="GG42" i="6"/>
  <c r="JA21" i="5"/>
  <c r="JA23" i="5"/>
  <c r="GG39" i="6"/>
  <c r="GH39" i="6"/>
  <c r="JA22" i="5"/>
  <c r="JA25" i="5"/>
  <c r="GG41" i="6"/>
  <c r="GH41" i="6"/>
  <c r="JA20" i="5"/>
  <c r="JA19" i="5"/>
  <c r="HD23" i="5"/>
  <c r="FL39" i="6"/>
  <c r="FM39" i="6"/>
  <c r="DA41" i="6"/>
  <c r="DB41" i="6"/>
  <c r="FG15" i="5"/>
  <c r="BM12" i="5"/>
  <c r="DJ15" i="5"/>
  <c r="HD14" i="5"/>
  <c r="P21" i="5"/>
  <c r="P30" i="5"/>
  <c r="CF46" i="6"/>
  <c r="CG46" i="6"/>
  <c r="BM18" i="5"/>
  <c r="DJ17" i="5"/>
  <c r="FG26" i="5"/>
  <c r="ER42" i="6"/>
  <c r="EQ42" i="6"/>
  <c r="FG20" i="5"/>
  <c r="HD30" i="5"/>
  <c r="FM46" i="6"/>
  <c r="FL46" i="6"/>
  <c r="JA28" i="5"/>
  <c r="GH44" i="6"/>
  <c r="GG44" i="6"/>
  <c r="HD29" i="5"/>
  <c r="FL45" i="6"/>
  <c r="FM45" i="6"/>
  <c r="BM31" i="5"/>
  <c r="DA47" i="6"/>
  <c r="DB47" i="6"/>
  <c r="BM16" i="5"/>
  <c r="P24" i="5"/>
  <c r="CF40" i="6"/>
  <c r="CG40" i="6"/>
  <c r="N11" i="5"/>
  <c r="P33" i="5"/>
  <c r="CF49" i="6"/>
  <c r="CG49" i="6"/>
  <c r="BM23" i="5"/>
  <c r="DA39" i="6"/>
  <c r="DB39" i="6"/>
  <c r="BM21" i="5"/>
  <c r="DJ25" i="5"/>
  <c r="DW41" i="6"/>
  <c r="DV41" i="6"/>
  <c r="FG28" i="5"/>
  <c r="ER44" i="6"/>
  <c r="EQ44" i="6"/>
  <c r="FG29" i="5"/>
  <c r="EQ45" i="6"/>
  <c r="ER45" i="6"/>
  <c r="HD32" i="5"/>
  <c r="FM48" i="6"/>
  <c r="FL48" i="6"/>
  <c r="HD21" i="5"/>
  <c r="JA32" i="5"/>
  <c r="GH48" i="6"/>
  <c r="GG48" i="6"/>
  <c r="JA18" i="5"/>
  <c r="JA31" i="5"/>
  <c r="GG47" i="6"/>
  <c r="GH47" i="6"/>
  <c r="FM42" i="6"/>
  <c r="FL42" i="6"/>
  <c r="DA43" i="6"/>
  <c r="DB43" i="6"/>
  <c r="BL17" i="5"/>
  <c r="BM15" i="5"/>
  <c r="DJ14" i="5"/>
  <c r="FG14" i="5"/>
  <c r="BM13" i="5"/>
  <c r="DJ11" i="5"/>
  <c r="FG13" i="5"/>
  <c r="FG12" i="5"/>
  <c r="BM14" i="5"/>
  <c r="FG16" i="5"/>
  <c r="P22" i="5"/>
  <c r="P18" i="5"/>
  <c r="P31" i="5"/>
  <c r="CG47" i="6"/>
  <c r="CF47" i="6"/>
  <c r="P27" i="5"/>
  <c r="CG43" i="6"/>
  <c r="CF43" i="6"/>
  <c r="BM30" i="5"/>
  <c r="DB46" i="6"/>
  <c r="DA46" i="6"/>
  <c r="BM29" i="5"/>
  <c r="DA45" i="6"/>
  <c r="DB45" i="6"/>
  <c r="DJ28" i="5"/>
  <c r="DW44" i="6"/>
  <c r="DV44" i="6"/>
  <c r="DJ20" i="5"/>
  <c r="DJ23" i="5"/>
  <c r="DV39" i="6"/>
  <c r="DW39" i="6"/>
  <c r="DJ32" i="5"/>
  <c r="DV48" i="6"/>
  <c r="DW48" i="6"/>
  <c r="DJ19" i="5"/>
  <c r="DJ22" i="5"/>
  <c r="DJ31" i="5"/>
  <c r="DV47" i="6"/>
  <c r="DW47" i="6"/>
  <c r="FG25" i="5"/>
  <c r="EQ41" i="6"/>
  <c r="ER41" i="6"/>
  <c r="FG24" i="5"/>
  <c r="ER40" i="6"/>
  <c r="EQ40" i="6"/>
  <c r="FG33" i="5"/>
  <c r="EQ49" i="6"/>
  <c r="ER49" i="6"/>
  <c r="HD28" i="5"/>
  <c r="FM44" i="6"/>
  <c r="FL44" i="6"/>
  <c r="HD17" i="5"/>
  <c r="JA30" i="5"/>
  <c r="GH46" i="6"/>
  <c r="GG46" i="6"/>
  <c r="JA27" i="5"/>
  <c r="GG43" i="6"/>
  <c r="GH43" i="6"/>
  <c r="JA24" i="5"/>
  <c r="GH40" i="6"/>
  <c r="GG40" i="6"/>
  <c r="JA29" i="5"/>
  <c r="GG45" i="6"/>
  <c r="GH45" i="6"/>
  <c r="HD33" i="5"/>
  <c r="FL49" i="6"/>
  <c r="FM49" i="6"/>
  <c r="HC18" i="5"/>
  <c r="BL28" i="5"/>
  <c r="DB44" i="6"/>
  <c r="DA44" i="6"/>
  <c r="HC31" i="5"/>
  <c r="FL47" i="6"/>
  <c r="FM47" i="6"/>
  <c r="HC24" i="5"/>
  <c r="FM40" i="6"/>
  <c r="FL40" i="6"/>
  <c r="KK29" i="5"/>
  <c r="KJ29" i="5"/>
  <c r="KF34" i="5"/>
  <c r="KI29" i="5"/>
  <c r="AX12" i="5"/>
  <c r="AY12" i="5"/>
  <c r="AZ12" i="5"/>
  <c r="AZ13" i="5"/>
  <c r="AX13" i="5"/>
  <c r="AY13" i="5"/>
  <c r="AX20" i="5"/>
  <c r="AZ20" i="5"/>
  <c r="AY20" i="5"/>
  <c r="AX15" i="5"/>
  <c r="AZ15" i="5"/>
  <c r="AY15" i="5"/>
  <c r="AY18" i="5"/>
  <c r="AZ18" i="5"/>
  <c r="AX18" i="5"/>
  <c r="AX19" i="5"/>
  <c r="AZ19" i="5"/>
  <c r="AY19" i="5"/>
  <c r="AZ14" i="5"/>
  <c r="AX14" i="5"/>
  <c r="AY14" i="5"/>
  <c r="AX17" i="5"/>
  <c r="AY17" i="5"/>
  <c r="AZ17" i="5"/>
  <c r="AU34" i="5"/>
  <c r="AY11" i="5"/>
  <c r="AZ11" i="5"/>
  <c r="AX11" i="5"/>
  <c r="AY16" i="5"/>
  <c r="AX16" i="5"/>
  <c r="AZ16" i="5"/>
  <c r="P11" i="5"/>
  <c r="O11" i="5"/>
  <c r="JM14" i="5"/>
  <c r="JL14" i="5"/>
  <c r="JK14" i="5"/>
  <c r="JM16" i="5"/>
  <c r="JL16" i="5"/>
  <c r="JK16" i="5"/>
  <c r="JM17" i="5"/>
  <c r="JL17" i="5"/>
  <c r="JK17" i="5"/>
  <c r="JL11" i="5"/>
  <c r="JM11" i="5"/>
  <c r="JK11" i="5"/>
  <c r="JH34" i="5"/>
  <c r="JM20" i="5"/>
  <c r="JL20" i="5"/>
  <c r="JK20" i="5"/>
  <c r="JM19" i="5"/>
  <c r="JL19" i="5"/>
  <c r="JK19" i="5"/>
  <c r="JM13" i="5"/>
  <c r="JL13" i="5"/>
  <c r="JK13" i="5"/>
  <c r="JM15" i="5"/>
  <c r="JL15" i="5"/>
  <c r="JK15" i="5"/>
  <c r="JM18" i="5"/>
  <c r="JL18" i="5"/>
  <c r="JK18" i="5"/>
  <c r="HP16" i="5"/>
  <c r="HO16" i="5"/>
  <c r="HN16" i="5"/>
  <c r="HP13" i="5"/>
  <c r="HO13" i="5"/>
  <c r="HN13" i="5"/>
  <c r="HP18" i="5"/>
  <c r="HO18" i="5"/>
  <c r="HN18" i="5"/>
  <c r="HP17" i="5"/>
  <c r="HO17" i="5"/>
  <c r="HN17" i="5"/>
  <c r="HP20" i="5"/>
  <c r="HO20" i="5"/>
  <c r="HN20" i="5"/>
  <c r="HP15" i="5"/>
  <c r="HO15" i="5"/>
  <c r="HN15" i="5"/>
  <c r="HP12" i="5"/>
  <c r="HO12" i="5"/>
  <c r="HN12" i="5"/>
  <c r="HP19" i="5"/>
  <c r="HO19" i="5"/>
  <c r="HN19" i="5"/>
  <c r="HP14" i="5"/>
  <c r="HO14" i="5"/>
  <c r="HN14" i="5"/>
  <c r="HK34" i="5"/>
  <c r="FS15" i="5"/>
  <c r="FR15" i="5"/>
  <c r="FQ15" i="5"/>
  <c r="FS16" i="5"/>
  <c r="FR16" i="5"/>
  <c r="FQ16" i="5"/>
  <c r="FS12" i="5"/>
  <c r="FR12" i="5"/>
  <c r="FQ12" i="5"/>
  <c r="FS14" i="5"/>
  <c r="FQ14" i="5"/>
  <c r="FR14" i="5"/>
  <c r="FS17" i="5"/>
  <c r="FR17" i="5"/>
  <c r="FQ17" i="5"/>
  <c r="FS11" i="5"/>
  <c r="FR11" i="5"/>
  <c r="FQ11" i="5"/>
  <c r="FN34" i="5"/>
  <c r="FS19" i="5"/>
  <c r="FR19" i="5"/>
  <c r="FQ19" i="5"/>
  <c r="FS20" i="5"/>
  <c r="FR20" i="5"/>
  <c r="FQ20" i="5"/>
  <c r="FS18" i="5"/>
  <c r="FQ18" i="5"/>
  <c r="FR18" i="5"/>
  <c r="DV17" i="5"/>
  <c r="DU17" i="5"/>
  <c r="DT17" i="5"/>
  <c r="DV13" i="5"/>
  <c r="DU13" i="5"/>
  <c r="DT13" i="5"/>
  <c r="DV19" i="5"/>
  <c r="DU19" i="5"/>
  <c r="DT19" i="5"/>
  <c r="DV20" i="5"/>
  <c r="DU20" i="5"/>
  <c r="DT20" i="5"/>
  <c r="DV15" i="5"/>
  <c r="DU15" i="5"/>
  <c r="DT15" i="5"/>
  <c r="DV14" i="5"/>
  <c r="DT14" i="5"/>
  <c r="DU14" i="5"/>
  <c r="DV12" i="5"/>
  <c r="DU12" i="5"/>
  <c r="DT12" i="5"/>
  <c r="DV16" i="5"/>
  <c r="DU16" i="5"/>
  <c r="DT16" i="5"/>
  <c r="DV18" i="5"/>
  <c r="DU18" i="5"/>
  <c r="DT18" i="5"/>
  <c r="DQ34" i="5"/>
  <c r="BY16" i="5"/>
  <c r="BX16" i="5"/>
  <c r="BW16" i="5"/>
  <c r="BY14" i="5"/>
  <c r="BW14" i="5"/>
  <c r="BX14" i="5"/>
  <c r="BY20" i="5"/>
  <c r="BX20" i="5"/>
  <c r="BW20" i="5"/>
  <c r="BY11" i="5"/>
  <c r="BX11" i="5"/>
  <c r="BT34" i="5"/>
  <c r="BW11" i="5"/>
  <c r="BY13" i="5"/>
  <c r="BX13" i="5"/>
  <c r="BW13" i="5"/>
  <c r="BY17" i="5"/>
  <c r="BX17" i="5"/>
  <c r="BW17" i="5"/>
  <c r="BY12" i="5"/>
  <c r="BX12" i="5"/>
  <c r="BW12" i="5"/>
  <c r="BY19" i="5"/>
  <c r="BX19" i="5"/>
  <c r="BW19" i="5"/>
  <c r="BY18" i="5"/>
  <c r="BX18" i="5"/>
  <c r="BW18" i="5"/>
  <c r="IY13" i="5"/>
  <c r="JA13" i="5"/>
  <c r="JX19" i="5"/>
  <c r="JY19" i="5"/>
  <c r="JX30" i="5"/>
  <c r="JY30" i="5"/>
  <c r="JX22" i="5"/>
  <c r="JY22" i="5"/>
  <c r="JX26" i="5"/>
  <c r="JY26" i="5"/>
  <c r="JX32" i="5"/>
  <c r="JY32" i="5"/>
  <c r="IA31" i="5"/>
  <c r="IB31" i="5"/>
  <c r="IA29" i="5"/>
  <c r="IB29" i="5"/>
  <c r="HB24" i="5"/>
  <c r="HD24" i="5"/>
  <c r="HB26" i="5"/>
  <c r="HD26" i="5"/>
  <c r="HB18" i="5"/>
  <c r="HD18" i="5"/>
  <c r="HB31" i="5"/>
  <c r="HD31" i="5"/>
  <c r="GD21" i="5"/>
  <c r="GE21" i="5"/>
  <c r="GD33" i="5"/>
  <c r="GE33" i="5"/>
  <c r="GD27" i="5"/>
  <c r="GE27" i="5"/>
  <c r="GD23" i="5"/>
  <c r="GE23" i="5"/>
  <c r="GD29" i="5"/>
  <c r="GE29" i="5"/>
  <c r="GD17" i="5"/>
  <c r="GE17" i="5"/>
  <c r="EG27" i="5"/>
  <c r="EH27" i="5"/>
  <c r="EG29" i="5"/>
  <c r="EH29" i="5"/>
  <c r="EG24" i="5"/>
  <c r="EH24" i="5"/>
  <c r="EG23" i="5"/>
  <c r="EH23" i="5"/>
  <c r="EG17" i="5"/>
  <c r="EH17" i="5"/>
  <c r="EF23" i="5"/>
  <c r="EG15" i="5"/>
  <c r="EH15" i="5"/>
  <c r="CJ30" i="5"/>
  <c r="CK30" i="5"/>
  <c r="CJ23" i="5"/>
  <c r="CK23" i="5"/>
  <c r="BK25" i="5"/>
  <c r="BM25" i="5"/>
  <c r="BK28" i="5"/>
  <c r="BM28" i="5"/>
  <c r="CI32" i="5"/>
  <c r="CK32" i="5"/>
  <c r="CJ27" i="5"/>
  <c r="CK27" i="5"/>
  <c r="BK33" i="5"/>
  <c r="BM33" i="5"/>
  <c r="CJ31" i="5"/>
  <c r="CK31" i="5"/>
  <c r="BK20" i="5"/>
  <c r="BM20" i="5"/>
  <c r="CJ26" i="5"/>
  <c r="CK26" i="5"/>
  <c r="CJ17" i="5"/>
  <c r="CK17" i="5"/>
  <c r="BK19" i="5"/>
  <c r="BM19" i="5"/>
  <c r="CI27" i="5"/>
  <c r="BK27" i="5"/>
  <c r="BM27" i="5"/>
  <c r="BK17" i="5"/>
  <c r="BM17" i="5"/>
  <c r="CJ32" i="5"/>
  <c r="BK32" i="5"/>
  <c r="BM32" i="5"/>
  <c r="AA12" i="5"/>
  <c r="Z12" i="5"/>
  <c r="AB12" i="5"/>
  <c r="AA19" i="5"/>
  <c r="Z19" i="5"/>
  <c r="AB19" i="5"/>
  <c r="AB11" i="5"/>
  <c r="AA11" i="5"/>
  <c r="W34" i="5"/>
  <c r="Z17" i="5"/>
  <c r="AB17" i="5"/>
  <c r="AA17" i="5"/>
  <c r="Z14" i="5"/>
  <c r="AB14" i="5"/>
  <c r="AA14" i="5"/>
  <c r="Z18" i="5"/>
  <c r="AB18" i="5"/>
  <c r="AA18" i="5"/>
  <c r="AB15" i="5"/>
  <c r="AA15" i="5"/>
  <c r="Z15" i="5"/>
  <c r="Z20" i="5"/>
  <c r="AB20" i="5"/>
  <c r="AA20" i="5"/>
  <c r="AA16" i="5"/>
  <c r="AB16" i="5"/>
  <c r="Z16" i="5"/>
  <c r="Z13" i="5"/>
  <c r="AA13" i="5"/>
  <c r="AB13" i="5"/>
  <c r="BL20" i="5"/>
  <c r="GC27" i="5"/>
  <c r="HZ31" i="5"/>
  <c r="GC29" i="5"/>
  <c r="CI31" i="5"/>
  <c r="CI26" i="5"/>
  <c r="BL19" i="5"/>
  <c r="BL32" i="5"/>
  <c r="HC26" i="5"/>
  <c r="CI30" i="5"/>
  <c r="BL27" i="5"/>
  <c r="O14" i="5"/>
  <c r="P14" i="5"/>
  <c r="O12" i="5"/>
  <c r="P12" i="5"/>
  <c r="AL16" i="5"/>
  <c r="AN16" i="5"/>
  <c r="EF29" i="5"/>
  <c r="HB29" i="5"/>
  <c r="HC29" i="5"/>
  <c r="GD20" i="5"/>
  <c r="GC20" i="5"/>
  <c r="EG32" i="5"/>
  <c r="EF32" i="5"/>
  <c r="AL27" i="5"/>
  <c r="AN27" i="5"/>
  <c r="HB33" i="5"/>
  <c r="HC33" i="5"/>
  <c r="CJ20" i="5"/>
  <c r="CI20" i="5"/>
  <c r="EF31" i="5"/>
  <c r="EG31" i="5"/>
  <c r="EG18" i="5"/>
  <c r="EF18" i="5"/>
  <c r="BL25" i="5"/>
  <c r="GC21" i="5"/>
  <c r="HZ29" i="5"/>
  <c r="O16" i="5"/>
  <c r="P16" i="5"/>
  <c r="O15" i="5"/>
  <c r="P15" i="5"/>
  <c r="BL33" i="5"/>
  <c r="GC23" i="5"/>
  <c r="EG26" i="5"/>
  <c r="EF26" i="5"/>
  <c r="HB20" i="5"/>
  <c r="HC20" i="5"/>
  <c r="BK31" i="5"/>
  <c r="BL31" i="5"/>
  <c r="N13" i="5"/>
  <c r="P13" i="5"/>
  <c r="AL31" i="5"/>
  <c r="AN31" i="5"/>
  <c r="AL33" i="5"/>
  <c r="AN33" i="5"/>
  <c r="CI23" i="5"/>
  <c r="JW22" i="5"/>
  <c r="HB23" i="5"/>
  <c r="HC23" i="5"/>
  <c r="IA33" i="5"/>
  <c r="HZ33" i="5"/>
  <c r="GD24" i="5"/>
  <c r="GC24" i="5"/>
  <c r="CJ21" i="5"/>
  <c r="CI21" i="5"/>
  <c r="GD31" i="5"/>
  <c r="GC31" i="5"/>
  <c r="BK24" i="5"/>
  <c r="BL24" i="5"/>
  <c r="HB22" i="5"/>
  <c r="HC22" i="5"/>
  <c r="JX25" i="5"/>
  <c r="JW25" i="5"/>
  <c r="JX31" i="5"/>
  <c r="JW31" i="5"/>
  <c r="JX29" i="5"/>
  <c r="JW29" i="5"/>
  <c r="IY28" i="5"/>
  <c r="IZ28" i="5"/>
  <c r="JX33" i="5"/>
  <c r="JW33" i="5"/>
  <c r="JX27" i="5"/>
  <c r="JW27" i="5"/>
  <c r="JW17" i="5"/>
  <c r="JX17" i="5"/>
  <c r="JX28" i="5"/>
  <c r="JW28" i="5"/>
  <c r="JW18" i="5"/>
  <c r="JX18" i="5"/>
  <c r="IY18" i="5"/>
  <c r="IZ18" i="5"/>
  <c r="IY33" i="5"/>
  <c r="IZ33" i="5"/>
  <c r="JX20" i="5"/>
  <c r="JW20" i="5"/>
  <c r="IY31" i="5"/>
  <c r="IZ31" i="5"/>
  <c r="IY26" i="5"/>
  <c r="IZ26" i="5"/>
  <c r="IY21" i="5"/>
  <c r="IZ21" i="5"/>
  <c r="IY27" i="5"/>
  <c r="IZ27" i="5"/>
  <c r="IY24" i="5"/>
  <c r="IZ24" i="5"/>
  <c r="IY29" i="5"/>
  <c r="IZ29" i="5"/>
  <c r="JX23" i="5"/>
  <c r="JW23" i="5"/>
  <c r="IY30" i="5"/>
  <c r="IZ30" i="5"/>
  <c r="JX24" i="5"/>
  <c r="JW24" i="5"/>
  <c r="JX21" i="5"/>
  <c r="JW21" i="5"/>
  <c r="IY17" i="5"/>
  <c r="IZ17" i="5"/>
  <c r="IY32" i="5"/>
  <c r="IZ32" i="5"/>
  <c r="IY23" i="5"/>
  <c r="IZ23" i="5"/>
  <c r="IY22" i="5"/>
  <c r="IZ22" i="5"/>
  <c r="IY25" i="5"/>
  <c r="IZ25" i="5"/>
  <c r="IY20" i="5"/>
  <c r="IZ20" i="5"/>
  <c r="IY19" i="5"/>
  <c r="IZ19" i="5"/>
  <c r="HB25" i="5"/>
  <c r="HC25" i="5"/>
  <c r="HB21" i="5"/>
  <c r="HC21" i="5"/>
  <c r="IA23" i="5"/>
  <c r="HZ23" i="5"/>
  <c r="IA25" i="5"/>
  <c r="HZ25" i="5"/>
  <c r="IA24" i="5"/>
  <c r="HZ24" i="5"/>
  <c r="HZ20" i="5"/>
  <c r="IA20" i="5"/>
  <c r="HZ19" i="5"/>
  <c r="IA19" i="5"/>
  <c r="IA26" i="5"/>
  <c r="HZ26" i="5"/>
  <c r="HB28" i="5"/>
  <c r="HC28" i="5"/>
  <c r="IA27" i="5"/>
  <c r="HZ27" i="5"/>
  <c r="HZ21" i="5"/>
  <c r="IA21" i="5"/>
  <c r="HB27" i="5"/>
  <c r="HC27" i="5"/>
  <c r="IA28" i="5"/>
  <c r="HZ28" i="5"/>
  <c r="HB30" i="5"/>
  <c r="HC30" i="5"/>
  <c r="HZ22" i="5"/>
  <c r="IA22" i="5"/>
  <c r="HB17" i="5"/>
  <c r="HC17" i="5"/>
  <c r="IA30" i="5"/>
  <c r="HZ30" i="5"/>
  <c r="HZ18" i="5"/>
  <c r="IA18" i="5"/>
  <c r="HB32" i="5"/>
  <c r="HC32" i="5"/>
  <c r="HZ17" i="5"/>
  <c r="IA17" i="5"/>
  <c r="HB19" i="5"/>
  <c r="HC19" i="5"/>
  <c r="IA32" i="5"/>
  <c r="HZ32" i="5"/>
  <c r="FE28" i="5"/>
  <c r="FF28" i="5"/>
  <c r="GD19" i="5"/>
  <c r="GC19" i="5"/>
  <c r="GD28" i="5"/>
  <c r="GC28" i="5"/>
  <c r="FE20" i="5"/>
  <c r="FF20" i="5"/>
  <c r="FE25" i="5"/>
  <c r="FF25" i="5"/>
  <c r="FE24" i="5"/>
  <c r="FF24" i="5"/>
  <c r="GD18" i="5"/>
  <c r="GC18" i="5"/>
  <c r="FE33" i="5"/>
  <c r="FF33" i="5"/>
  <c r="FE29" i="5"/>
  <c r="FF29" i="5"/>
  <c r="FE30" i="5"/>
  <c r="FF30" i="5"/>
  <c r="FE17" i="5"/>
  <c r="FF17" i="5"/>
  <c r="GD22" i="5"/>
  <c r="GC22" i="5"/>
  <c r="FF22" i="5"/>
  <c r="FE22" i="5"/>
  <c r="FE32" i="5"/>
  <c r="FF32" i="5"/>
  <c r="GD30" i="5"/>
  <c r="GC30" i="5"/>
  <c r="FE31" i="5"/>
  <c r="FF31" i="5"/>
  <c r="FE27" i="5"/>
  <c r="FF27" i="5"/>
  <c r="FE23" i="5"/>
  <c r="FF23" i="5"/>
  <c r="FE18" i="5"/>
  <c r="FF18" i="5"/>
  <c r="GD32" i="5"/>
  <c r="GC32" i="5"/>
  <c r="FE21" i="5"/>
  <c r="FF21" i="5"/>
  <c r="GD25" i="5"/>
  <c r="GC25" i="5"/>
  <c r="FF26" i="5"/>
  <c r="FE26" i="5"/>
  <c r="FE19" i="5"/>
  <c r="FF19" i="5"/>
  <c r="GD26" i="5"/>
  <c r="GC26" i="5"/>
  <c r="DI28" i="5"/>
  <c r="DH28" i="5"/>
  <c r="EG19" i="5"/>
  <c r="EF19" i="5"/>
  <c r="EG22" i="5"/>
  <c r="EF22" i="5"/>
  <c r="DH20" i="5"/>
  <c r="DI20" i="5"/>
  <c r="EG21" i="5"/>
  <c r="EF21" i="5"/>
  <c r="DH18" i="5"/>
  <c r="DI18" i="5"/>
  <c r="DH26" i="5"/>
  <c r="DI26" i="5"/>
  <c r="DH27" i="5"/>
  <c r="DI27" i="5"/>
  <c r="DH32" i="5"/>
  <c r="DI32" i="5"/>
  <c r="DH19" i="5"/>
  <c r="DI19" i="5"/>
  <c r="DI22" i="5"/>
  <c r="DH22" i="5"/>
  <c r="DH31" i="5"/>
  <c r="DI31" i="5"/>
  <c r="EG33" i="5"/>
  <c r="EF33" i="5"/>
  <c r="DI24" i="5"/>
  <c r="DH24" i="5"/>
  <c r="DH17" i="5"/>
  <c r="DI17" i="5"/>
  <c r="EG28" i="5"/>
  <c r="EF28" i="5"/>
  <c r="DH23" i="5"/>
  <c r="DI23" i="5"/>
  <c r="DH25" i="5"/>
  <c r="DI25" i="5"/>
  <c r="EG20" i="5"/>
  <c r="EF20" i="5"/>
  <c r="EG25" i="5"/>
  <c r="EF25" i="5"/>
  <c r="DH33" i="5"/>
  <c r="DI33" i="5"/>
  <c r="EG30" i="5"/>
  <c r="EF30" i="5"/>
  <c r="DH21" i="5"/>
  <c r="DI21" i="5"/>
  <c r="DH30" i="5"/>
  <c r="DI30" i="5"/>
  <c r="DH29" i="5"/>
  <c r="DI29" i="5"/>
  <c r="CJ25" i="5"/>
  <c r="CI25" i="5"/>
  <c r="CJ22" i="5"/>
  <c r="CI22" i="5"/>
  <c r="BK23" i="5"/>
  <c r="BL23" i="5"/>
  <c r="BK30" i="5"/>
  <c r="BL30" i="5"/>
  <c r="CJ18" i="5"/>
  <c r="CI18" i="5"/>
  <c r="CJ19" i="5"/>
  <c r="CI19" i="5"/>
  <c r="BK18" i="5"/>
  <c r="BL18" i="5"/>
  <c r="BK22" i="5"/>
  <c r="BL22" i="5"/>
  <c r="BK21" i="5"/>
  <c r="BL21" i="5"/>
  <c r="CJ28" i="5"/>
  <c r="CI28" i="5"/>
  <c r="CJ33" i="5"/>
  <c r="CI33" i="5"/>
  <c r="CJ29" i="5"/>
  <c r="CI29" i="5"/>
  <c r="BK26" i="5"/>
  <c r="BL26" i="5"/>
  <c r="BK29" i="5"/>
  <c r="BL29" i="5"/>
  <c r="AM27" i="5"/>
  <c r="N33" i="5"/>
  <c r="O33" i="5"/>
  <c r="AL32" i="5"/>
  <c r="AM32" i="5"/>
  <c r="AM31" i="5"/>
  <c r="O32" i="5"/>
  <c r="N32" i="5"/>
  <c r="AL30" i="5"/>
  <c r="AM30" i="5"/>
  <c r="AL26" i="5"/>
  <c r="AM26" i="5"/>
  <c r="N27" i="5"/>
  <c r="O27" i="5"/>
  <c r="AL28" i="5"/>
  <c r="AM28" i="5"/>
  <c r="O29" i="5"/>
  <c r="N29" i="5"/>
  <c r="N25" i="5"/>
  <c r="O25" i="5"/>
  <c r="AL25" i="5"/>
  <c r="AM25" i="5"/>
  <c r="N28" i="5"/>
  <c r="O28" i="5"/>
  <c r="N31" i="5"/>
  <c r="O31" i="5"/>
  <c r="O30" i="5"/>
  <c r="N30" i="5"/>
  <c r="O26" i="5"/>
  <c r="N26" i="5"/>
  <c r="AL29" i="5"/>
  <c r="AM29" i="5"/>
  <c r="AL20" i="5"/>
  <c r="AM20" i="5"/>
  <c r="N24" i="5"/>
  <c r="O24" i="5"/>
  <c r="N20" i="5"/>
  <c r="O20" i="5"/>
  <c r="AL18" i="5"/>
  <c r="AM18" i="5"/>
  <c r="N23" i="5"/>
  <c r="O23" i="5"/>
  <c r="N19" i="5"/>
  <c r="O19" i="5"/>
  <c r="AL21" i="5"/>
  <c r="AM21" i="5"/>
  <c r="AL17" i="5"/>
  <c r="AM17" i="5"/>
  <c r="O22" i="5"/>
  <c r="N22" i="5"/>
  <c r="N18" i="5"/>
  <c r="O18" i="5"/>
  <c r="AL23" i="5"/>
  <c r="AM23" i="5"/>
  <c r="O21" i="5"/>
  <c r="N21" i="5"/>
  <c r="N17" i="5"/>
  <c r="O17" i="5"/>
  <c r="AL19" i="5"/>
  <c r="AM19" i="5"/>
  <c r="AL22" i="5"/>
  <c r="AM22" i="5"/>
  <c r="IZ13" i="5"/>
  <c r="EF15" i="5"/>
  <c r="HC15" i="5"/>
  <c r="HB15" i="5"/>
  <c r="JT15" i="5"/>
  <c r="GC31" i="6" s="1"/>
  <c r="HW14" i="5"/>
  <c r="FH30" i="6" s="1"/>
  <c r="CF16" i="5"/>
  <c r="CW32" i="6" s="1"/>
  <c r="HW16" i="5"/>
  <c r="FH32" i="6" s="1"/>
  <c r="CF12" i="5"/>
  <c r="CW28" i="6" s="1"/>
  <c r="EC13" i="5"/>
  <c r="DR29" i="6" s="1"/>
  <c r="CF15" i="5"/>
  <c r="CW31" i="6" s="1"/>
  <c r="CF13" i="5"/>
  <c r="CW29" i="6" s="1"/>
  <c r="FZ14" i="5"/>
  <c r="EM30" i="6" s="1"/>
  <c r="GY13" i="5"/>
  <c r="CF14" i="5"/>
  <c r="CW30" i="6" s="1"/>
  <c r="IZ12" i="5"/>
  <c r="O13" i="5"/>
  <c r="JW12" i="5"/>
  <c r="JX12" i="5"/>
  <c r="IY16" i="5"/>
  <c r="IZ16" i="5"/>
  <c r="IW34" i="5"/>
  <c r="IY14" i="5"/>
  <c r="IZ14" i="5"/>
  <c r="JI34" i="5"/>
  <c r="KG34" i="5"/>
  <c r="JW14" i="5"/>
  <c r="JX14" i="5"/>
  <c r="JW13" i="5"/>
  <c r="JX13" i="5"/>
  <c r="IY15" i="5"/>
  <c r="IZ15" i="5"/>
  <c r="JU34" i="5"/>
  <c r="JW16" i="5"/>
  <c r="JX16" i="5"/>
  <c r="HZ13" i="5"/>
  <c r="IA13" i="5"/>
  <c r="HZ12" i="5"/>
  <c r="IA12" i="5"/>
  <c r="HB14" i="5"/>
  <c r="HC14" i="5"/>
  <c r="HZ15" i="5"/>
  <c r="IA15" i="5"/>
  <c r="IJ34" i="5"/>
  <c r="HB16" i="5"/>
  <c r="HC16" i="5"/>
  <c r="HB12" i="5"/>
  <c r="HC12" i="5"/>
  <c r="HX34" i="5"/>
  <c r="GZ34" i="5"/>
  <c r="HL34" i="5"/>
  <c r="FE12" i="5"/>
  <c r="FF12" i="5"/>
  <c r="FO34" i="5"/>
  <c r="AM16" i="5"/>
  <c r="GD15" i="5"/>
  <c r="GC15" i="5"/>
  <c r="GM34" i="5"/>
  <c r="FE16" i="5"/>
  <c r="FF16" i="5"/>
  <c r="GA34" i="5"/>
  <c r="FE13" i="5"/>
  <c r="FF13" i="5"/>
  <c r="FC34" i="5"/>
  <c r="GD13" i="5"/>
  <c r="GC13" i="5"/>
  <c r="GD16" i="5"/>
  <c r="GC16" i="5"/>
  <c r="FE14" i="5"/>
  <c r="FF14" i="5"/>
  <c r="FE15" i="5"/>
  <c r="FF15" i="5"/>
  <c r="GD12" i="5"/>
  <c r="GC12" i="5"/>
  <c r="N15" i="5"/>
  <c r="N14" i="5"/>
  <c r="L34" i="5"/>
  <c r="BU34" i="5"/>
  <c r="X34" i="5"/>
  <c r="DR34" i="5"/>
  <c r="CG34" i="5"/>
  <c r="EG16" i="5"/>
  <c r="EF16" i="5"/>
  <c r="DH16" i="5"/>
  <c r="DI16" i="5"/>
  <c r="EP34" i="5"/>
  <c r="DH13" i="5"/>
  <c r="DI13" i="5"/>
  <c r="N16" i="5"/>
  <c r="N12" i="5"/>
  <c r="EG14" i="5"/>
  <c r="EF14" i="5"/>
  <c r="DH14" i="5"/>
  <c r="DI14" i="5"/>
  <c r="EG11" i="5"/>
  <c r="EF11" i="5"/>
  <c r="DH15" i="5"/>
  <c r="DI15" i="5"/>
  <c r="AV34" i="5"/>
  <c r="EG12" i="5"/>
  <c r="EF12" i="5"/>
  <c r="DH12" i="5"/>
  <c r="DI12" i="5"/>
  <c r="DF34" i="5"/>
  <c r="ED34" i="5"/>
  <c r="AL15" i="5"/>
  <c r="AM15" i="5"/>
  <c r="BK12" i="5"/>
  <c r="BL12" i="5"/>
  <c r="BK16" i="5"/>
  <c r="BL16" i="5"/>
  <c r="BK15" i="5"/>
  <c r="BL15" i="5"/>
  <c r="AJ34" i="5"/>
  <c r="AI12" i="5"/>
  <c r="AN12" i="5" s="1"/>
  <c r="AM13" i="5"/>
  <c r="AL13" i="5"/>
  <c r="BK13" i="5"/>
  <c r="BL13" i="5"/>
  <c r="CS34" i="5"/>
  <c r="BI34" i="5"/>
  <c r="AL14" i="5"/>
  <c r="AM14" i="5"/>
  <c r="AL11" i="5"/>
  <c r="AM11" i="5"/>
  <c r="BK14" i="5"/>
  <c r="BL14" i="5"/>
  <c r="K34" i="5"/>
  <c r="CC37" i="6" l="1"/>
  <c r="CD37" i="6" s="1"/>
  <c r="CE37" i="6" s="1"/>
  <c r="CC36" i="6"/>
  <c r="CD36" i="6" s="1"/>
  <c r="CE36" i="6" s="1"/>
  <c r="CC32" i="6"/>
  <c r="CD32" i="6" s="1"/>
  <c r="CE32" i="6" s="1"/>
  <c r="CC27" i="6"/>
  <c r="CD27" i="6" s="1"/>
  <c r="CE27" i="6" s="1"/>
  <c r="CC30" i="6"/>
  <c r="CD30" i="6" s="1"/>
  <c r="CE30" i="6" s="1"/>
  <c r="CC31" i="6"/>
  <c r="CD31" i="6" s="1"/>
  <c r="CE31" i="6" s="1"/>
  <c r="CH27" i="6"/>
  <c r="CI27" i="6" s="1"/>
  <c r="CC29" i="6"/>
  <c r="CD29" i="6" s="1"/>
  <c r="CE29" i="6" s="1"/>
  <c r="CH30" i="6"/>
  <c r="CI30" i="6" s="1"/>
  <c r="CJ30" i="6" s="1"/>
  <c r="CH33" i="6"/>
  <c r="CI33" i="6" s="1"/>
  <c r="CK33" i="6" s="1"/>
  <c r="ES36" i="6"/>
  <c r="ET36" i="6" s="1"/>
  <c r="CH32" i="6"/>
  <c r="CI32" i="6" s="1"/>
  <c r="CK32" i="6" s="1"/>
  <c r="DC29" i="6"/>
  <c r="DD29" i="6" s="1"/>
  <c r="DC31" i="6"/>
  <c r="DD31" i="6" s="1"/>
  <c r="DE31" i="6" s="1"/>
  <c r="GI37" i="6"/>
  <c r="GJ37" i="6" s="1"/>
  <c r="CH29" i="6"/>
  <c r="CI29" i="6" s="1"/>
  <c r="CJ29" i="6" s="1"/>
  <c r="DC33" i="6"/>
  <c r="DD33" i="6" s="1"/>
  <c r="DC37" i="6"/>
  <c r="DD37" i="6" s="1"/>
  <c r="DE37" i="6" s="1"/>
  <c r="DC32" i="6"/>
  <c r="DD32" i="6" s="1"/>
  <c r="DF32" i="6" s="1"/>
  <c r="DC27" i="6"/>
  <c r="DD27" i="6" s="1"/>
  <c r="DE27" i="6" s="1"/>
  <c r="GI35" i="6"/>
  <c r="GJ35" i="6" s="1"/>
  <c r="GL35" i="6" s="1"/>
  <c r="FN28" i="6"/>
  <c r="FO28" i="6" s="1"/>
  <c r="FQ28" i="6" s="1"/>
  <c r="FN35" i="6"/>
  <c r="FO35" i="6" s="1"/>
  <c r="FP35" i="6" s="1"/>
  <c r="ES28" i="6"/>
  <c r="ET28" i="6" s="1"/>
  <c r="EV28" i="6" s="1"/>
  <c r="ES29" i="6"/>
  <c r="ET29" i="6" s="1"/>
  <c r="EU29" i="6" s="1"/>
  <c r="ES33" i="6"/>
  <c r="ET33" i="6" s="1"/>
  <c r="EU33" i="6" s="1"/>
  <c r="DX38" i="6"/>
  <c r="DY38" i="6" s="1"/>
  <c r="DZ38" i="6" s="1"/>
  <c r="CX38" i="6"/>
  <c r="CY38" i="6" s="1"/>
  <c r="DC36" i="6"/>
  <c r="DD36" i="6" s="1"/>
  <c r="CC38" i="6"/>
  <c r="CD38" i="6" s="1"/>
  <c r="CE38" i="6" s="1"/>
  <c r="DC35" i="6"/>
  <c r="GI31" i="6"/>
  <c r="GJ31" i="6" s="1"/>
  <c r="GK31" i="6" s="1"/>
  <c r="GI38" i="6"/>
  <c r="FN38" i="6"/>
  <c r="DC38" i="6"/>
  <c r="DC34" i="6"/>
  <c r="DD34" i="6" s="1"/>
  <c r="DE34" i="6" s="1"/>
  <c r="DX28" i="6"/>
  <c r="GI32" i="6"/>
  <c r="ES32" i="6"/>
  <c r="ET32" i="6" s="1"/>
  <c r="EU32" i="6" s="1"/>
  <c r="ES34" i="6"/>
  <c r="ET34" i="6" s="1"/>
  <c r="EU34" i="6" s="1"/>
  <c r="ES27" i="6"/>
  <c r="CH36" i="6"/>
  <c r="CH28" i="6"/>
  <c r="CI28" i="6" s="1"/>
  <c r="CJ28" i="6" s="1"/>
  <c r="ES37" i="6"/>
  <c r="ET37" i="6" s="1"/>
  <c r="EV37" i="6" s="1"/>
  <c r="DC30" i="6"/>
  <c r="ES30" i="6"/>
  <c r="CH31" i="6"/>
  <c r="CI31" i="6" s="1"/>
  <c r="CJ31" i="6" s="1"/>
  <c r="GI27" i="6"/>
  <c r="GJ27" i="6" s="1"/>
  <c r="GK27" i="6" s="1"/>
  <c r="FN31" i="6"/>
  <c r="GI33" i="6"/>
  <c r="FN27" i="6"/>
  <c r="FO27" i="6" s="1"/>
  <c r="FP27" i="6" s="1"/>
  <c r="GI30" i="6"/>
  <c r="GJ30" i="6" s="1"/>
  <c r="GK30" i="6" s="1"/>
  <c r="GI29" i="6"/>
  <c r="CX30" i="6"/>
  <c r="CY30" i="6" s="1"/>
  <c r="CX31" i="6"/>
  <c r="CY31" i="6" s="1"/>
  <c r="CX32" i="6"/>
  <c r="CY32" i="6" s="1"/>
  <c r="DS29" i="6"/>
  <c r="DT29" i="6" s="1"/>
  <c r="FI30" i="6"/>
  <c r="FJ30" i="6" s="1"/>
  <c r="EN30" i="6"/>
  <c r="EO30" i="6" s="1"/>
  <c r="CX28" i="6"/>
  <c r="CY28" i="6" s="1"/>
  <c r="GD31" i="6"/>
  <c r="GE31" i="6" s="1"/>
  <c r="CX29" i="6"/>
  <c r="CY29" i="6" s="1"/>
  <c r="FI32" i="6"/>
  <c r="FJ32" i="6" s="1"/>
  <c r="FN36" i="6"/>
  <c r="FO36" i="6" s="1"/>
  <c r="FN30" i="6"/>
  <c r="FO30" i="6" s="1"/>
  <c r="DX31" i="6"/>
  <c r="DY31" i="6" s="1"/>
  <c r="DE28" i="6"/>
  <c r="DF28" i="6"/>
  <c r="ES31" i="6"/>
  <c r="ET31" i="6" s="1"/>
  <c r="DX29" i="6"/>
  <c r="DY29" i="6" s="1"/>
  <c r="FN34" i="6"/>
  <c r="FO34" i="6" s="1"/>
  <c r="FN33" i="6"/>
  <c r="FO33" i="6" s="1"/>
  <c r="GI36" i="6"/>
  <c r="GJ36" i="6" s="1"/>
  <c r="DX34" i="6"/>
  <c r="DY34" i="6" s="1"/>
  <c r="CH35" i="6"/>
  <c r="CI35" i="6" s="1"/>
  <c r="GI34" i="6"/>
  <c r="GJ34" i="6" s="1"/>
  <c r="ES35" i="6"/>
  <c r="ET35" i="6" s="1"/>
  <c r="DX32" i="6"/>
  <c r="DY32" i="6" s="1"/>
  <c r="FN32" i="6"/>
  <c r="FO32" i="6" s="1"/>
  <c r="Z34" i="5"/>
  <c r="C22" i="6" s="1"/>
  <c r="GD28" i="6"/>
  <c r="GE28" i="6" s="1"/>
  <c r="DX35" i="6"/>
  <c r="DY35" i="6" s="1"/>
  <c r="CH34" i="6"/>
  <c r="CI34" i="6" s="1"/>
  <c r="DX37" i="6"/>
  <c r="DY37" i="6" s="1"/>
  <c r="FN37" i="6"/>
  <c r="FO37" i="6" s="1"/>
  <c r="FH29" i="6"/>
  <c r="FL29" i="6"/>
  <c r="FM29" i="6"/>
  <c r="DF36" i="6"/>
  <c r="DE36" i="6"/>
  <c r="FQ35" i="6"/>
  <c r="EV36" i="6"/>
  <c r="EU36" i="6"/>
  <c r="DF34" i="6"/>
  <c r="DZ36" i="6"/>
  <c r="EA36" i="6"/>
  <c r="EV32" i="6"/>
  <c r="EU28" i="6"/>
  <c r="EV29" i="6"/>
  <c r="DZ27" i="6"/>
  <c r="EA27" i="6"/>
  <c r="DE29" i="6"/>
  <c r="DF29" i="6"/>
  <c r="DZ30" i="6"/>
  <c r="EA30" i="6"/>
  <c r="GK35" i="6"/>
  <c r="GK37" i="6"/>
  <c r="GL37" i="6"/>
  <c r="GL27" i="6"/>
  <c r="DE33" i="6"/>
  <c r="DF33" i="6"/>
  <c r="DF37" i="6"/>
  <c r="CJ27" i="6"/>
  <c r="CK27" i="6"/>
  <c r="GL30" i="6"/>
  <c r="DF27" i="6"/>
  <c r="FI36" i="6"/>
  <c r="FJ36" i="6" s="1"/>
  <c r="DX33" i="6"/>
  <c r="DY33" i="6" s="1"/>
  <c r="CC33" i="6"/>
  <c r="CD33" i="6" s="1"/>
  <c r="CE33" i="6" s="1"/>
  <c r="CH37" i="6"/>
  <c r="CI37" i="6" s="1"/>
  <c r="DS31" i="6"/>
  <c r="DT31" i="6" s="1"/>
  <c r="EN31" i="6"/>
  <c r="EO31" i="6" s="1"/>
  <c r="DS35" i="6"/>
  <c r="DT35" i="6" s="1"/>
  <c r="CC34" i="6"/>
  <c r="CD34" i="6" s="1"/>
  <c r="CE34" i="6" s="1"/>
  <c r="FI34" i="6"/>
  <c r="FJ34" i="6" s="1"/>
  <c r="FI33" i="6"/>
  <c r="FJ33" i="6" s="1"/>
  <c r="GD36" i="6"/>
  <c r="GE36" i="6" s="1"/>
  <c r="DS37" i="6"/>
  <c r="DT37" i="6" s="1"/>
  <c r="DS34" i="6"/>
  <c r="DT34" i="6" s="1"/>
  <c r="CC35" i="6"/>
  <c r="CD35" i="6" s="1"/>
  <c r="CE35" i="6" s="1"/>
  <c r="GD34" i="6"/>
  <c r="GE34" i="6" s="1"/>
  <c r="FI37" i="6"/>
  <c r="FJ37" i="6" s="1"/>
  <c r="EN35" i="6"/>
  <c r="EO35" i="6" s="1"/>
  <c r="DS32" i="6"/>
  <c r="DT32" i="6" s="1"/>
  <c r="CB28" i="6"/>
  <c r="GN38" i="6"/>
  <c r="GM38" i="6"/>
  <c r="DG38" i="6"/>
  <c r="DH38" i="6"/>
  <c r="DV34" i="5"/>
  <c r="DR8" i="5" s="1"/>
  <c r="EC38" i="6"/>
  <c r="EB38" i="6"/>
  <c r="DU34" i="5"/>
  <c r="O21" i="6" s="1"/>
  <c r="ES38" i="6"/>
  <c r="ET38" i="6" s="1"/>
  <c r="CH38" i="6"/>
  <c r="CI38" i="6" s="1"/>
  <c r="FS38" i="6"/>
  <c r="FR38" i="6"/>
  <c r="EX38" i="6"/>
  <c r="EW38" i="6"/>
  <c r="FG34" i="5"/>
  <c r="T23" i="6" s="1"/>
  <c r="DJ34" i="5"/>
  <c r="DF8" i="5" s="1"/>
  <c r="N34" i="5"/>
  <c r="B22" i="6" s="1"/>
  <c r="ES43" i="6"/>
  <c r="FN48" i="6"/>
  <c r="GI48" i="6"/>
  <c r="ES42" i="6"/>
  <c r="CH46" i="6"/>
  <c r="DC39" i="6"/>
  <c r="CH49" i="6"/>
  <c r="CH40" i="6"/>
  <c r="FN43" i="6"/>
  <c r="CH42" i="6"/>
  <c r="FN40" i="6"/>
  <c r="DC44" i="6"/>
  <c r="GI40" i="6"/>
  <c r="GI46" i="6"/>
  <c r="FN44" i="6"/>
  <c r="ES40" i="6"/>
  <c r="DC46" i="6"/>
  <c r="CH43" i="6"/>
  <c r="CH47" i="6"/>
  <c r="DC41" i="6"/>
  <c r="GI42" i="6"/>
  <c r="DX46" i="6"/>
  <c r="DX49" i="6"/>
  <c r="CH39" i="6"/>
  <c r="GI49" i="6"/>
  <c r="FN41" i="6"/>
  <c r="DX43" i="6"/>
  <c r="CH41" i="6"/>
  <c r="DC49" i="6"/>
  <c r="JA34" i="5"/>
  <c r="AF23" i="6" s="1"/>
  <c r="FN47" i="6"/>
  <c r="GI45" i="6"/>
  <c r="DX47" i="6"/>
  <c r="DX39" i="6"/>
  <c r="DC45" i="6"/>
  <c r="FN39" i="6"/>
  <c r="GI41" i="6"/>
  <c r="DX45" i="6"/>
  <c r="GN45" i="6"/>
  <c r="GM45" i="6"/>
  <c r="FN49" i="6"/>
  <c r="FO49" i="6" s="1"/>
  <c r="GN40" i="6"/>
  <c r="GM40" i="6"/>
  <c r="GI43" i="6"/>
  <c r="GJ43" i="6" s="1"/>
  <c r="EW49" i="6"/>
  <c r="EX49" i="6"/>
  <c r="ES41" i="6"/>
  <c r="ET41" i="6" s="1"/>
  <c r="DX48" i="6"/>
  <c r="DY48" i="6" s="1"/>
  <c r="DG46" i="6"/>
  <c r="DH46" i="6"/>
  <c r="GI47" i="6"/>
  <c r="GJ47" i="6" s="1"/>
  <c r="GN48" i="6"/>
  <c r="GM48" i="6"/>
  <c r="ES45" i="6"/>
  <c r="ET45" i="6" s="1"/>
  <c r="FS45" i="6"/>
  <c r="FR45" i="6"/>
  <c r="DH41" i="6"/>
  <c r="DG41" i="6"/>
  <c r="GI39" i="6"/>
  <c r="GJ39" i="6" s="1"/>
  <c r="ES47" i="6"/>
  <c r="ET47" i="6" s="1"/>
  <c r="ES39" i="6"/>
  <c r="ET39" i="6" s="1"/>
  <c r="DX40" i="6"/>
  <c r="DY40" i="6" s="1"/>
  <c r="DH42" i="6"/>
  <c r="DG42" i="6"/>
  <c r="CH44" i="6"/>
  <c r="CI44" i="6" s="1"/>
  <c r="DC40" i="6"/>
  <c r="DD40" i="6" s="1"/>
  <c r="GM49" i="6"/>
  <c r="GN49" i="6"/>
  <c r="EW46" i="6"/>
  <c r="EX46" i="6"/>
  <c r="EC43" i="6"/>
  <c r="EB43" i="6"/>
  <c r="CM41" i="6"/>
  <c r="CL41" i="6"/>
  <c r="CH45" i="6"/>
  <c r="CI45" i="6" s="1"/>
  <c r="DC43" i="6"/>
  <c r="DD43" i="6" s="1"/>
  <c r="FR42" i="6"/>
  <c r="FS42" i="6"/>
  <c r="DC47" i="6"/>
  <c r="DD47" i="6" s="1"/>
  <c r="FN45" i="6"/>
  <c r="FO45" i="6" s="1"/>
  <c r="GM44" i="6"/>
  <c r="GN44" i="6"/>
  <c r="FS46" i="6"/>
  <c r="FR46" i="6"/>
  <c r="CM46" i="6"/>
  <c r="CL46" i="6"/>
  <c r="DC48" i="6"/>
  <c r="DD48" i="6" s="1"/>
  <c r="DG40" i="6"/>
  <c r="DH40" i="6"/>
  <c r="FS41" i="6"/>
  <c r="FR41" i="6"/>
  <c r="ES46" i="6"/>
  <c r="ET46" i="6" s="1"/>
  <c r="CL45" i="6"/>
  <c r="CM45" i="6"/>
  <c r="EC45" i="6"/>
  <c r="EB45" i="6"/>
  <c r="CM48" i="6"/>
  <c r="CL48" i="6"/>
  <c r="FS47" i="6"/>
  <c r="FR47" i="6"/>
  <c r="EC47" i="6"/>
  <c r="EB47" i="6"/>
  <c r="EB39" i="6"/>
  <c r="EC39" i="6"/>
  <c r="EC44" i="6"/>
  <c r="EB44" i="6"/>
  <c r="DG45" i="6"/>
  <c r="DH45" i="6"/>
  <c r="DH43" i="6"/>
  <c r="DG43" i="6"/>
  <c r="EX44" i="6"/>
  <c r="EW44" i="6"/>
  <c r="EB41" i="6"/>
  <c r="EC41" i="6"/>
  <c r="DG39" i="6"/>
  <c r="DH39" i="6"/>
  <c r="CM49" i="6"/>
  <c r="CL49" i="6"/>
  <c r="CM40" i="6"/>
  <c r="CL40" i="6"/>
  <c r="FR39" i="6"/>
  <c r="FS39" i="6"/>
  <c r="GN41" i="6"/>
  <c r="GM41" i="6"/>
  <c r="FR43" i="6"/>
  <c r="FS43" i="6"/>
  <c r="EW48" i="6"/>
  <c r="EX48" i="6"/>
  <c r="EB42" i="6"/>
  <c r="EC42" i="6"/>
  <c r="DG48" i="6"/>
  <c r="DH48" i="6"/>
  <c r="DH49" i="6"/>
  <c r="DG49" i="6"/>
  <c r="EW43" i="6"/>
  <c r="EX43" i="6"/>
  <c r="FS40" i="6"/>
  <c r="FR40" i="6"/>
  <c r="DH44" i="6"/>
  <c r="DG44" i="6"/>
  <c r="FR49" i="6"/>
  <c r="FS49" i="6"/>
  <c r="GM43" i="6"/>
  <c r="GN43" i="6"/>
  <c r="GM46" i="6"/>
  <c r="GN46" i="6"/>
  <c r="FR44" i="6"/>
  <c r="FS44" i="6"/>
  <c r="ES49" i="6"/>
  <c r="ET49" i="6" s="1"/>
  <c r="EW40" i="6"/>
  <c r="EX40" i="6"/>
  <c r="EX41" i="6"/>
  <c r="EW41" i="6"/>
  <c r="EB48" i="6"/>
  <c r="EC48" i="6"/>
  <c r="DX44" i="6"/>
  <c r="DY44" i="6" s="1"/>
  <c r="CM43" i="6"/>
  <c r="CL43" i="6"/>
  <c r="CM47" i="6"/>
  <c r="CL47" i="6"/>
  <c r="DR50" i="6"/>
  <c r="DR51" i="6"/>
  <c r="FN42" i="6"/>
  <c r="FO42" i="6" s="1"/>
  <c r="GN47" i="6"/>
  <c r="GM47" i="6"/>
  <c r="FS48" i="6"/>
  <c r="FR48" i="6"/>
  <c r="EW45" i="6"/>
  <c r="EX45" i="6"/>
  <c r="ES44" i="6"/>
  <c r="ET44" i="6" s="1"/>
  <c r="DX41" i="6"/>
  <c r="DY41" i="6" s="1"/>
  <c r="DG47" i="6"/>
  <c r="DH47" i="6"/>
  <c r="GI44" i="6"/>
  <c r="GJ44" i="6" s="1"/>
  <c r="FN46" i="6"/>
  <c r="FO46" i="6" s="1"/>
  <c r="EW42" i="6"/>
  <c r="EX42" i="6"/>
  <c r="GN39" i="6"/>
  <c r="GM39" i="6"/>
  <c r="GN42" i="6"/>
  <c r="GM42" i="6"/>
  <c r="ES48" i="6"/>
  <c r="ET48" i="6" s="1"/>
  <c r="EX47" i="6"/>
  <c r="EW47" i="6"/>
  <c r="EX39" i="6"/>
  <c r="EW39" i="6"/>
  <c r="EB40" i="6"/>
  <c r="EC40" i="6"/>
  <c r="EC46" i="6"/>
  <c r="EB46" i="6"/>
  <c r="EB49" i="6"/>
  <c r="EC49" i="6"/>
  <c r="DX42" i="6"/>
  <c r="DY42" i="6" s="1"/>
  <c r="DC42" i="6"/>
  <c r="DD42" i="6" s="1"/>
  <c r="CL44" i="6"/>
  <c r="CM44" i="6"/>
  <c r="CM39" i="6"/>
  <c r="CL39" i="6"/>
  <c r="EM51" i="6"/>
  <c r="EM50" i="6"/>
  <c r="GC51" i="6"/>
  <c r="GC50" i="6"/>
  <c r="CH48" i="6"/>
  <c r="CI48" i="6" s="1"/>
  <c r="CM42" i="6"/>
  <c r="CL42" i="6"/>
  <c r="AY34" i="5"/>
  <c r="E21" i="6" s="1"/>
  <c r="AX34" i="5"/>
  <c r="E22" i="6" s="1"/>
  <c r="AZ34" i="5"/>
  <c r="O34" i="5"/>
  <c r="B21" i="6" s="1"/>
  <c r="JL34" i="5"/>
  <c r="AG21" i="6" s="1"/>
  <c r="HP34" i="5"/>
  <c r="HL8" i="5" s="1"/>
  <c r="HN34" i="5"/>
  <c r="AA22" i="6" s="1"/>
  <c r="FR34" i="5"/>
  <c r="U21" i="6" s="1"/>
  <c r="DT34" i="5"/>
  <c r="O22" i="6" s="1"/>
  <c r="JK34" i="5"/>
  <c r="AG22" i="6" s="1"/>
  <c r="JM34" i="5"/>
  <c r="HO34" i="5"/>
  <c r="AA21" i="6" s="1"/>
  <c r="FQ34" i="5"/>
  <c r="U22" i="6" s="1"/>
  <c r="FS34" i="5"/>
  <c r="EG34" i="5"/>
  <c r="EF34" i="5"/>
  <c r="BY34" i="5"/>
  <c r="BW34" i="5"/>
  <c r="I22" i="6" s="1"/>
  <c r="BX34" i="5"/>
  <c r="I21" i="6" s="1"/>
  <c r="BM34" i="5"/>
  <c r="BI8" i="5" s="1"/>
  <c r="JX15" i="5"/>
  <c r="JY15" i="5"/>
  <c r="JY34" i="5" s="1"/>
  <c r="HB13" i="5"/>
  <c r="HD13" i="5"/>
  <c r="HD34" i="5" s="1"/>
  <c r="IA14" i="5"/>
  <c r="IB14" i="5"/>
  <c r="HZ16" i="5"/>
  <c r="IB16" i="5"/>
  <c r="GC14" i="5"/>
  <c r="GE14" i="5"/>
  <c r="GE34" i="5" s="1"/>
  <c r="EG13" i="5"/>
  <c r="EH13" i="5"/>
  <c r="EH34" i="5" s="1"/>
  <c r="CI14" i="5"/>
  <c r="CK14" i="5"/>
  <c r="CJ15" i="5"/>
  <c r="CK15" i="5"/>
  <c r="CI16" i="5"/>
  <c r="CK16" i="5"/>
  <c r="CI12" i="5"/>
  <c r="CK12" i="5"/>
  <c r="CI13" i="5"/>
  <c r="CK13" i="5"/>
  <c r="AB34" i="5"/>
  <c r="AA34" i="5"/>
  <c r="C21" i="6" s="1"/>
  <c r="P34" i="5"/>
  <c r="AN34" i="5"/>
  <c r="JW15" i="5"/>
  <c r="HZ14" i="5"/>
  <c r="IA16" i="5"/>
  <c r="CJ13" i="5"/>
  <c r="HC13" i="5"/>
  <c r="EC34" i="5"/>
  <c r="CF34" i="5"/>
  <c r="GD14" i="5"/>
  <c r="CJ14" i="5"/>
  <c r="EF13" i="5"/>
  <c r="CI15" i="5"/>
  <c r="CJ12" i="5"/>
  <c r="CJ16" i="5"/>
  <c r="JT34" i="5"/>
  <c r="JW11" i="5"/>
  <c r="JX11" i="5"/>
  <c r="IY11" i="5"/>
  <c r="IY34" i="5" s="1"/>
  <c r="IV34" i="5"/>
  <c r="IZ11" i="5"/>
  <c r="IZ34" i="5" s="1"/>
  <c r="HB11" i="5"/>
  <c r="GY34" i="5"/>
  <c r="HC11" i="5"/>
  <c r="HW34" i="5"/>
  <c r="HZ11" i="5"/>
  <c r="IA11" i="5"/>
  <c r="FZ34" i="5"/>
  <c r="GD11" i="5"/>
  <c r="GD34" i="5" s="1"/>
  <c r="GC11" i="5"/>
  <c r="FE11" i="5"/>
  <c r="FE34" i="5" s="1"/>
  <c r="FB34" i="5"/>
  <c r="FF11" i="5"/>
  <c r="CI11" i="5"/>
  <c r="CI34" i="5" s="1"/>
  <c r="CJ11" i="5"/>
  <c r="CJ34" i="5" s="1"/>
  <c r="DH11" i="5"/>
  <c r="DH34" i="5" s="1"/>
  <c r="DI11" i="5"/>
  <c r="DE34" i="5"/>
  <c r="AM12" i="5"/>
  <c r="AM34" i="5" s="1"/>
  <c r="AL12" i="5"/>
  <c r="AL34" i="5" s="1"/>
  <c r="BK11" i="5"/>
  <c r="BK34" i="5" s="1"/>
  <c r="BH34" i="5"/>
  <c r="BL11" i="5"/>
  <c r="AI34" i="5"/>
  <c r="CJ33" i="6" l="1"/>
  <c r="CL38" i="6"/>
  <c r="CM38" i="6"/>
  <c r="CK30" i="6"/>
  <c r="CK29" i="6"/>
  <c r="CJ32" i="6"/>
  <c r="GL31" i="6"/>
  <c r="FQ27" i="6"/>
  <c r="FP28" i="6"/>
  <c r="EV34" i="6"/>
  <c r="EV33" i="6"/>
  <c r="DE32" i="6"/>
  <c r="DF31" i="6"/>
  <c r="CK28" i="6"/>
  <c r="DD39" i="6"/>
  <c r="DE39" i="6" s="1"/>
  <c r="EU37" i="6"/>
  <c r="DE49" i="6"/>
  <c r="DD49" i="6"/>
  <c r="DD46" i="6"/>
  <c r="DF46" i="6" s="1"/>
  <c r="DE30" i="6"/>
  <c r="DD30" i="6"/>
  <c r="DD41" i="6"/>
  <c r="DE41" i="6" s="1"/>
  <c r="DF44" i="6"/>
  <c r="DD44" i="6"/>
  <c r="DD45" i="6"/>
  <c r="DE45" i="6" s="1"/>
  <c r="DF38" i="6"/>
  <c r="DD38" i="6"/>
  <c r="DE38" i="6" s="1"/>
  <c r="DD35" i="6"/>
  <c r="DF35" i="6" s="1"/>
  <c r="GJ45" i="6"/>
  <c r="GL45" i="6" s="1"/>
  <c r="GJ29" i="6"/>
  <c r="GK29" i="6" s="1"/>
  <c r="GJ38" i="6"/>
  <c r="GL38" i="6" s="1"/>
  <c r="GJ48" i="6"/>
  <c r="GK48" i="6" s="1"/>
  <c r="GJ46" i="6"/>
  <c r="GL46" i="6" s="1"/>
  <c r="GJ41" i="6"/>
  <c r="GL41" i="6" s="1"/>
  <c r="GJ49" i="6"/>
  <c r="GL49" i="6" s="1"/>
  <c r="GJ42" i="6"/>
  <c r="GK42" i="6" s="1"/>
  <c r="GJ40" i="6"/>
  <c r="GL40" i="6" s="1"/>
  <c r="GJ33" i="6"/>
  <c r="GK33" i="6" s="1"/>
  <c r="GJ32" i="6"/>
  <c r="GK32" i="6" s="1"/>
  <c r="FO31" i="6"/>
  <c r="FP31" i="6" s="1"/>
  <c r="FO39" i="6"/>
  <c r="FP39" i="6" s="1"/>
  <c r="FN29" i="6"/>
  <c r="FO29" i="6" s="1"/>
  <c r="FO41" i="6"/>
  <c r="FQ41" i="6" s="1"/>
  <c r="FO48" i="6"/>
  <c r="FP48" i="6" s="1"/>
  <c r="FO43" i="6"/>
  <c r="FP43" i="6" s="1"/>
  <c r="FO47" i="6"/>
  <c r="FP47" i="6" s="1"/>
  <c r="FO44" i="6"/>
  <c r="FP44" i="6" s="1"/>
  <c r="FO40" i="6"/>
  <c r="FQ40" i="6" s="1"/>
  <c r="FO38" i="6"/>
  <c r="FP38" i="6" s="1"/>
  <c r="ET43" i="6"/>
  <c r="EV43" i="6" s="1"/>
  <c r="ET40" i="6"/>
  <c r="EU40" i="6" s="1"/>
  <c r="ET42" i="6"/>
  <c r="EV42" i="6" s="1"/>
  <c r="ET30" i="6"/>
  <c r="EV30" i="6" s="1"/>
  <c r="ET27" i="6"/>
  <c r="EU27" i="6" s="1"/>
  <c r="DY47" i="6"/>
  <c r="EA47" i="6" s="1"/>
  <c r="EA38" i="6"/>
  <c r="DY43" i="6"/>
  <c r="DZ43" i="6" s="1"/>
  <c r="DY49" i="6"/>
  <c r="EA49" i="6" s="1"/>
  <c r="DY28" i="6"/>
  <c r="EA28" i="6" s="1"/>
  <c r="DY45" i="6"/>
  <c r="EA45" i="6" s="1"/>
  <c r="EA39" i="6"/>
  <c r="DY39" i="6"/>
  <c r="DZ39" i="6" s="1"/>
  <c r="DY46" i="6"/>
  <c r="EA46" i="6" s="1"/>
  <c r="CI49" i="6"/>
  <c r="CK49" i="6" s="1"/>
  <c r="CI46" i="6"/>
  <c r="CJ46" i="6" s="1"/>
  <c r="CK31" i="6"/>
  <c r="CI41" i="6"/>
  <c r="CJ41" i="6" s="1"/>
  <c r="CI39" i="6"/>
  <c r="CJ39" i="6" s="1"/>
  <c r="CI40" i="6"/>
  <c r="CK40" i="6" s="1"/>
  <c r="CI47" i="6"/>
  <c r="CK47" i="6" s="1"/>
  <c r="CI43" i="6"/>
  <c r="CJ43" i="6" s="1"/>
  <c r="CI42" i="6"/>
  <c r="CJ42" i="6" s="1"/>
  <c r="CI36" i="6"/>
  <c r="CK36" i="6" s="1"/>
  <c r="DF30" i="6"/>
  <c r="GL32" i="6"/>
  <c r="EX35" i="6"/>
  <c r="EW35" i="6"/>
  <c r="EC35" i="6"/>
  <c r="EB35" i="6"/>
  <c r="FS36" i="6"/>
  <c r="FR36" i="6"/>
  <c r="GN31" i="6"/>
  <c r="GM31" i="6"/>
  <c r="FR37" i="6"/>
  <c r="FS37" i="6"/>
  <c r="CL35" i="6"/>
  <c r="CM35" i="6"/>
  <c r="FR33" i="6"/>
  <c r="FS33" i="6"/>
  <c r="CL33" i="6"/>
  <c r="CM33" i="6"/>
  <c r="DG31" i="6"/>
  <c r="DH31" i="6"/>
  <c r="EB34" i="6"/>
  <c r="EC34" i="6"/>
  <c r="FS34" i="6"/>
  <c r="FR34" i="6"/>
  <c r="CM34" i="6"/>
  <c r="CL34" i="6"/>
  <c r="EW31" i="6"/>
  <c r="EX31" i="6"/>
  <c r="FR32" i="6"/>
  <c r="FS32" i="6"/>
  <c r="EB29" i="6"/>
  <c r="EC29" i="6"/>
  <c r="EB32" i="6"/>
  <c r="EC32" i="6"/>
  <c r="EB37" i="6"/>
  <c r="EC37" i="6"/>
  <c r="DG29" i="6"/>
  <c r="DH29" i="6"/>
  <c r="EW30" i="6"/>
  <c r="EX30" i="6"/>
  <c r="CC28" i="6"/>
  <c r="CD28" i="6" s="1"/>
  <c r="CE28" i="6" s="1"/>
  <c r="DG33" i="6"/>
  <c r="DH33" i="6"/>
  <c r="EX34" i="6"/>
  <c r="EW34" i="6"/>
  <c r="DH35" i="6"/>
  <c r="DG35" i="6"/>
  <c r="CL31" i="6"/>
  <c r="CM31" i="6"/>
  <c r="EW28" i="6"/>
  <c r="EX28" i="6"/>
  <c r="FQ37" i="6"/>
  <c r="FP37" i="6"/>
  <c r="CK34" i="6"/>
  <c r="CJ34" i="6"/>
  <c r="EB33" i="6"/>
  <c r="EC33" i="6"/>
  <c r="GM28" i="6"/>
  <c r="GN28" i="6"/>
  <c r="GL36" i="6"/>
  <c r="GK36" i="6"/>
  <c r="GM29" i="6"/>
  <c r="GN29" i="6"/>
  <c r="CM36" i="6"/>
  <c r="CL36" i="6"/>
  <c r="GN37" i="6"/>
  <c r="GM37" i="6"/>
  <c r="CL37" i="6"/>
  <c r="CM37" i="6"/>
  <c r="GN34" i="6"/>
  <c r="GM34" i="6"/>
  <c r="GM36" i="6"/>
  <c r="GN36" i="6"/>
  <c r="EA35" i="6"/>
  <c r="DZ35" i="6"/>
  <c r="EB31" i="6"/>
  <c r="EC31" i="6"/>
  <c r="EX37" i="6"/>
  <c r="EW37" i="6"/>
  <c r="CK35" i="6"/>
  <c r="CJ35" i="6"/>
  <c r="FQ33" i="6"/>
  <c r="FP33" i="6"/>
  <c r="DZ29" i="6"/>
  <c r="EA29" i="6"/>
  <c r="DZ31" i="6"/>
  <c r="EA31" i="6"/>
  <c r="GM30" i="6"/>
  <c r="GN30" i="6"/>
  <c r="CL27" i="6"/>
  <c r="CM27" i="6"/>
  <c r="GN33" i="6"/>
  <c r="GM33" i="6"/>
  <c r="FR31" i="6"/>
  <c r="FS31" i="6"/>
  <c r="EB27" i="6"/>
  <c r="EC27" i="6"/>
  <c r="DH34" i="6"/>
  <c r="DG34" i="6"/>
  <c r="FR35" i="6"/>
  <c r="FS35" i="6"/>
  <c r="EB28" i="6"/>
  <c r="EC28" i="6"/>
  <c r="FQ32" i="6"/>
  <c r="FP32" i="6"/>
  <c r="GL34" i="6"/>
  <c r="GK34" i="6"/>
  <c r="EA34" i="6"/>
  <c r="DZ34" i="6"/>
  <c r="FQ34" i="6"/>
  <c r="FP34" i="6"/>
  <c r="EU31" i="6"/>
  <c r="EV31" i="6"/>
  <c r="EW27" i="6"/>
  <c r="EX27" i="6"/>
  <c r="CK37" i="6"/>
  <c r="CJ37" i="6"/>
  <c r="EX33" i="6"/>
  <c r="EW33" i="6"/>
  <c r="FP29" i="6"/>
  <c r="FQ29" i="6"/>
  <c r="EA37" i="6"/>
  <c r="DZ37" i="6"/>
  <c r="FR28" i="6"/>
  <c r="FS28" i="6"/>
  <c r="EV35" i="6"/>
  <c r="EU35" i="6"/>
  <c r="FP30" i="6"/>
  <c r="FQ30" i="6"/>
  <c r="CL29" i="6"/>
  <c r="CM29" i="6"/>
  <c r="EB30" i="6"/>
  <c r="EC30" i="6"/>
  <c r="EX32" i="6"/>
  <c r="EW32" i="6"/>
  <c r="CL32" i="6"/>
  <c r="CM32" i="6"/>
  <c r="EW36" i="6"/>
  <c r="EX36" i="6"/>
  <c r="DG27" i="6"/>
  <c r="DH27" i="6"/>
  <c r="FR27" i="6"/>
  <c r="FS27" i="6"/>
  <c r="DH37" i="6"/>
  <c r="DG37" i="6"/>
  <c r="GM27" i="6"/>
  <c r="GN27" i="6"/>
  <c r="GN35" i="6"/>
  <c r="GM35" i="6"/>
  <c r="CL30" i="6"/>
  <c r="CM30" i="6"/>
  <c r="EW29" i="6"/>
  <c r="EX29" i="6"/>
  <c r="EC36" i="6"/>
  <c r="EB36" i="6"/>
  <c r="DZ33" i="6"/>
  <c r="EA33" i="6"/>
  <c r="DG36" i="6"/>
  <c r="DH36" i="6"/>
  <c r="FI29" i="6"/>
  <c r="FJ29" i="6" s="1"/>
  <c r="GM32" i="6"/>
  <c r="GN32" i="6"/>
  <c r="EA32" i="6"/>
  <c r="DZ32" i="6"/>
  <c r="FP36" i="6"/>
  <c r="FQ36" i="6"/>
  <c r="DG28" i="6"/>
  <c r="DH28" i="6"/>
  <c r="FR30" i="6"/>
  <c r="FS30" i="6"/>
  <c r="DH32" i="6"/>
  <c r="DG32" i="6"/>
  <c r="DG30" i="6"/>
  <c r="DH30" i="6"/>
  <c r="DE44" i="6"/>
  <c r="O23" i="6"/>
  <c r="CJ38" i="6"/>
  <c r="CK38" i="6"/>
  <c r="HC34" i="5"/>
  <c r="Z21" i="6" s="1"/>
  <c r="FJ50" i="6"/>
  <c r="EV38" i="6"/>
  <c r="EU38" i="6"/>
  <c r="N23" i="6"/>
  <c r="CW51" i="6"/>
  <c r="CW50" i="6"/>
  <c r="FC8" i="5"/>
  <c r="EN50" i="6"/>
  <c r="EN51" i="6"/>
  <c r="GD51" i="6"/>
  <c r="GD50" i="6"/>
  <c r="GE50" i="6"/>
  <c r="GE51" i="6"/>
  <c r="FQ47" i="6"/>
  <c r="EO51" i="6"/>
  <c r="EO50" i="6"/>
  <c r="DS50" i="6"/>
  <c r="DS51" i="6"/>
  <c r="DT51" i="6"/>
  <c r="DT50" i="6"/>
  <c r="CX50" i="6"/>
  <c r="DF49" i="6"/>
  <c r="CY50" i="6"/>
  <c r="EU43" i="6"/>
  <c r="FQ43" i="6"/>
  <c r="FH50" i="6"/>
  <c r="IW8" i="5"/>
  <c r="GK40" i="6"/>
  <c r="FQ44" i="6"/>
  <c r="DF39" i="6"/>
  <c r="FP40" i="6"/>
  <c r="DE42" i="6"/>
  <c r="DF42" i="6"/>
  <c r="EV48" i="6"/>
  <c r="EU48" i="6"/>
  <c r="FP46" i="6"/>
  <c r="FQ46" i="6"/>
  <c r="DU50" i="6"/>
  <c r="DU51" i="6"/>
  <c r="FQ45" i="6"/>
  <c r="FP45" i="6"/>
  <c r="DF43" i="6"/>
  <c r="DE43" i="6"/>
  <c r="DZ40" i="6"/>
  <c r="EA40" i="6"/>
  <c r="DZ48" i="6"/>
  <c r="EA48" i="6"/>
  <c r="CJ48" i="6"/>
  <c r="CK48" i="6"/>
  <c r="EP51" i="6"/>
  <c r="EP50" i="6"/>
  <c r="GL44" i="6"/>
  <c r="GK44" i="6"/>
  <c r="DF47" i="6"/>
  <c r="DE47" i="6"/>
  <c r="CK45" i="6"/>
  <c r="CJ45" i="6"/>
  <c r="EV39" i="6"/>
  <c r="EU39" i="6"/>
  <c r="CB50" i="6"/>
  <c r="EV41" i="6"/>
  <c r="EU41" i="6"/>
  <c r="GL43" i="6"/>
  <c r="GK43" i="6"/>
  <c r="GF51" i="6"/>
  <c r="GF50" i="6"/>
  <c r="EA41" i="6"/>
  <c r="DZ41" i="6"/>
  <c r="FP42" i="6"/>
  <c r="FQ42" i="6"/>
  <c r="EV49" i="6"/>
  <c r="EU49" i="6"/>
  <c r="EV46" i="6"/>
  <c r="EU46" i="6"/>
  <c r="DE40" i="6"/>
  <c r="DF40" i="6"/>
  <c r="EV47" i="6"/>
  <c r="EU47" i="6"/>
  <c r="GL39" i="6"/>
  <c r="GK39" i="6"/>
  <c r="CB51" i="6"/>
  <c r="EV45" i="6"/>
  <c r="EU45" i="6"/>
  <c r="GL47" i="6"/>
  <c r="GK47" i="6"/>
  <c r="FQ49" i="6"/>
  <c r="FP49" i="6"/>
  <c r="DZ42" i="6"/>
  <c r="EA42" i="6"/>
  <c r="EV44" i="6"/>
  <c r="EU44" i="6"/>
  <c r="DZ44" i="6"/>
  <c r="EA44" i="6"/>
  <c r="FH51" i="6"/>
  <c r="DE48" i="6"/>
  <c r="DF48" i="6"/>
  <c r="CJ44" i="6"/>
  <c r="CK44" i="6"/>
  <c r="H23" i="6"/>
  <c r="AA23" i="6"/>
  <c r="AV8" i="5"/>
  <c r="E23" i="6"/>
  <c r="HB34" i="5"/>
  <c r="Z22" i="6" s="1"/>
  <c r="GC34" i="5"/>
  <c r="JW34" i="5"/>
  <c r="JI8" i="5"/>
  <c r="AG23" i="6"/>
  <c r="IA34" i="5"/>
  <c r="HZ34" i="5"/>
  <c r="IB34" i="5"/>
  <c r="GA8" i="5"/>
  <c r="V23" i="6"/>
  <c r="FO8" i="5"/>
  <c r="U23" i="6"/>
  <c r="ED8" i="5"/>
  <c r="P23" i="6"/>
  <c r="CK34" i="5"/>
  <c r="BU8" i="5"/>
  <c r="I23" i="6"/>
  <c r="JU8" i="5"/>
  <c r="AH23" i="6"/>
  <c r="JX34" i="5"/>
  <c r="GZ8" i="5"/>
  <c r="Z23" i="6"/>
  <c r="FF34" i="5"/>
  <c r="T21" i="6" s="1"/>
  <c r="DI34" i="5"/>
  <c r="N21" i="6" s="1"/>
  <c r="BL34" i="5"/>
  <c r="H21" i="6" s="1"/>
  <c r="C23" i="6"/>
  <c r="X8" i="5"/>
  <c r="AJ8" i="5"/>
  <c r="D23" i="6"/>
  <c r="L8" i="5"/>
  <c r="B23" i="6"/>
  <c r="T22" i="6"/>
  <c r="AF22" i="6"/>
  <c r="N22" i="6"/>
  <c r="AF21" i="6"/>
  <c r="H22" i="6"/>
  <c r="C50" i="6"/>
  <c r="D50" i="6"/>
  <c r="E50" i="6"/>
  <c r="B50" i="6"/>
  <c r="CJ40" i="6" l="1"/>
  <c r="CJ47" i="6"/>
  <c r="FQ48" i="6"/>
  <c r="EV27" i="6"/>
  <c r="EV50" i="6" s="1"/>
  <c r="EA43" i="6"/>
  <c r="DE35" i="6"/>
  <c r="DF45" i="6"/>
  <c r="DF41" i="6"/>
  <c r="DE46" i="6"/>
  <c r="CK39" i="6"/>
  <c r="CK42" i="6"/>
  <c r="CJ36" i="6"/>
  <c r="CK43" i="6"/>
  <c r="CK41" i="6"/>
  <c r="GK46" i="6"/>
  <c r="CK46" i="6"/>
  <c r="DZ28" i="6"/>
  <c r="DZ50" i="6" s="1"/>
  <c r="GK45" i="6"/>
  <c r="DZ47" i="6"/>
  <c r="EU42" i="6"/>
  <c r="GK49" i="6"/>
  <c r="GL48" i="6"/>
  <c r="GL29" i="6"/>
  <c r="GL50" i="6" s="1"/>
  <c r="GL33" i="6"/>
  <c r="GL42" i="6"/>
  <c r="GK41" i="6"/>
  <c r="GK38" i="6"/>
  <c r="GK50" i="6" s="1"/>
  <c r="FQ39" i="6"/>
  <c r="FQ38" i="6"/>
  <c r="FP41" i="6"/>
  <c r="FP50" i="6" s="1"/>
  <c r="FQ31" i="6"/>
  <c r="EU30" i="6"/>
  <c r="EU50" i="6" s="1"/>
  <c r="EV40" i="6"/>
  <c r="DZ49" i="6"/>
  <c r="DZ45" i="6"/>
  <c r="DZ46" i="6"/>
  <c r="CJ49" i="6"/>
  <c r="CL28" i="6"/>
  <c r="CM28" i="6"/>
  <c r="FR29" i="6"/>
  <c r="FS29" i="6"/>
  <c r="FI50" i="6"/>
  <c r="FJ51" i="6"/>
  <c r="FI51" i="6"/>
  <c r="N18" i="6"/>
  <c r="J50" i="4" s="1"/>
  <c r="CZ50" i="6"/>
  <c r="CZ51" i="6"/>
  <c r="CY51" i="6"/>
  <c r="DH50" i="6"/>
  <c r="CX51" i="6"/>
  <c r="T18" i="6"/>
  <c r="J51" i="4" s="1"/>
  <c r="EA50" i="6"/>
  <c r="DE50" i="6"/>
  <c r="DF50" i="6"/>
  <c r="FK51" i="6"/>
  <c r="DG50" i="6"/>
  <c r="EW50" i="6"/>
  <c r="EX50" i="6"/>
  <c r="GN50" i="6"/>
  <c r="GM50" i="6"/>
  <c r="AF18" i="6"/>
  <c r="J53" i="4" s="1"/>
  <c r="EC50" i="6"/>
  <c r="EB50" i="6"/>
  <c r="CC50" i="6"/>
  <c r="CC51" i="6"/>
  <c r="FQ50" i="6"/>
  <c r="AB23" i="6"/>
  <c r="Z18" i="6" s="1"/>
  <c r="J52" i="4" s="1"/>
  <c r="HX8" i="5"/>
  <c r="CG8" i="5"/>
  <c r="J23" i="6"/>
  <c r="H18" i="6" s="1"/>
  <c r="J49" i="4" s="1"/>
  <c r="B18" i="6"/>
  <c r="J48" i="4" s="1"/>
  <c r="P22" i="6"/>
  <c r="N17" i="6" s="1"/>
  <c r="P21" i="6"/>
  <c r="N16" i="6" s="1"/>
  <c r="AH22" i="6"/>
  <c r="AF17" i="6" s="1"/>
  <c r="AH21" i="6"/>
  <c r="AF16" i="6" s="1"/>
  <c r="J21" i="6"/>
  <c r="H16" i="6" s="1"/>
  <c r="J22" i="6"/>
  <c r="H17" i="6" s="1"/>
  <c r="V22" i="6"/>
  <c r="T17" i="6" s="1"/>
  <c r="V21" i="6"/>
  <c r="T16" i="6" s="1"/>
  <c r="AB21" i="6"/>
  <c r="Z16" i="6" s="1"/>
  <c r="AB22" i="6"/>
  <c r="Z17" i="6" s="1"/>
  <c r="D22" i="6"/>
  <c r="D21" i="6"/>
  <c r="B16" i="6" s="1"/>
  <c r="CK50" i="6" l="1"/>
  <c r="CJ50" i="6"/>
  <c r="BO30" i="6"/>
  <c r="BO31" i="6"/>
  <c r="FR50" i="6"/>
  <c r="FS50" i="6"/>
  <c r="BW31" i="6" s="1"/>
  <c r="FK50" i="6"/>
  <c r="BW39" i="6"/>
  <c r="AF66" i="2" s="1"/>
  <c r="BW22" i="6"/>
  <c r="BW21" i="6"/>
  <c r="BO40" i="6"/>
  <c r="BO39" i="6"/>
  <c r="BW40" i="6"/>
  <c r="AF16" i="2"/>
  <c r="AM16" i="2" s="1"/>
  <c r="AT16" i="2" s="1"/>
  <c r="AZ16" i="2" s="1"/>
  <c r="I53" i="4"/>
  <c r="N79" i="2"/>
  <c r="N66" i="2"/>
  <c r="H53" i="4"/>
  <c r="H52" i="4"/>
  <c r="I52" i="4"/>
  <c r="H51" i="4"/>
  <c r="I51" i="4"/>
  <c r="H50" i="4"/>
  <c r="I50" i="4"/>
  <c r="I49" i="4"/>
  <c r="H49" i="4"/>
  <c r="N16" i="2" s="1"/>
  <c r="CD51" i="6"/>
  <c r="CD50" i="6"/>
  <c r="I48" i="4"/>
  <c r="B17" i="6"/>
  <c r="K68" i="2"/>
  <c r="K76" i="2"/>
  <c r="K80" i="2"/>
  <c r="K74" i="2"/>
  <c r="K78" i="2"/>
  <c r="K71" i="2"/>
  <c r="K79" i="2"/>
  <c r="K69" i="2"/>
  <c r="K73" i="2"/>
  <c r="K77" i="2"/>
  <c r="K70" i="2"/>
  <c r="K67" i="2"/>
  <c r="K75" i="2"/>
  <c r="N50" i="2"/>
  <c r="N42" i="2"/>
  <c r="BW30" i="6" l="1"/>
  <c r="AF47" i="2" s="1"/>
  <c r="AN16" i="2"/>
  <c r="AP16" i="2"/>
  <c r="AL16" i="2"/>
  <c r="AS16" i="2" s="1"/>
  <c r="AY16" i="2" s="1"/>
  <c r="AA16" i="2"/>
  <c r="X16" i="2"/>
  <c r="AN66" i="2"/>
  <c r="AP66" i="2"/>
  <c r="CE50" i="6"/>
  <c r="CE51" i="6"/>
  <c r="CM50" i="6"/>
  <c r="BO22" i="6" s="1"/>
  <c r="CL50" i="6"/>
  <c r="X73" i="2"/>
  <c r="AU73" i="2" s="1"/>
  <c r="BA73" i="2" s="1"/>
  <c r="AA73" i="2"/>
  <c r="AW73" i="2" s="1"/>
  <c r="BC73" i="2" s="1"/>
  <c r="X68" i="2"/>
  <c r="AU68" i="2" s="1"/>
  <c r="BA68" i="2" s="1"/>
  <c r="AA68" i="2"/>
  <c r="AW68" i="2" s="1"/>
  <c r="BC68" i="2" s="1"/>
  <c r="X67" i="2"/>
  <c r="AU67" i="2" s="1"/>
  <c r="BA67" i="2" s="1"/>
  <c r="AA67" i="2"/>
  <c r="AW67" i="2" s="1"/>
  <c r="BC67" i="2" s="1"/>
  <c r="X69" i="2"/>
  <c r="AU69" i="2" s="1"/>
  <c r="BA69" i="2" s="1"/>
  <c r="AA69" i="2"/>
  <c r="AW69" i="2" s="1"/>
  <c r="BC69" i="2" s="1"/>
  <c r="X74" i="2"/>
  <c r="AU74" i="2" s="1"/>
  <c r="BA74" i="2" s="1"/>
  <c r="AA74" i="2"/>
  <c r="AW74" i="2" s="1"/>
  <c r="BC74" i="2" s="1"/>
  <c r="X75" i="2"/>
  <c r="AU75" i="2" s="1"/>
  <c r="BA75" i="2" s="1"/>
  <c r="AA75" i="2"/>
  <c r="AW75" i="2" s="1"/>
  <c r="BC75" i="2" s="1"/>
  <c r="X78" i="2"/>
  <c r="AU78" i="2" s="1"/>
  <c r="BA78" i="2" s="1"/>
  <c r="AA78" i="2"/>
  <c r="AW78" i="2" s="1"/>
  <c r="BC78" i="2" s="1"/>
  <c r="X70" i="2"/>
  <c r="AU70" i="2" s="1"/>
  <c r="BA70" i="2" s="1"/>
  <c r="AA70" i="2"/>
  <c r="AW70" i="2" s="1"/>
  <c r="BC70" i="2" s="1"/>
  <c r="X79" i="2"/>
  <c r="AU79" i="2" s="1"/>
  <c r="BA79" i="2" s="1"/>
  <c r="AA79" i="2"/>
  <c r="AW79" i="2" s="1"/>
  <c r="BC79" i="2" s="1"/>
  <c r="X80" i="2"/>
  <c r="AU80" i="2" s="1"/>
  <c r="BA80" i="2" s="1"/>
  <c r="AA80" i="2"/>
  <c r="AW80" i="2" s="1"/>
  <c r="BC80" i="2" s="1"/>
  <c r="X77" i="2"/>
  <c r="AU77" i="2" s="1"/>
  <c r="BA77" i="2" s="1"/>
  <c r="AA77" i="2"/>
  <c r="AW77" i="2" s="1"/>
  <c r="BC77" i="2" s="1"/>
  <c r="X71" i="2"/>
  <c r="AU71" i="2" s="1"/>
  <c r="BA71" i="2" s="1"/>
  <c r="AA71" i="2"/>
  <c r="AW71" i="2" s="1"/>
  <c r="BC71" i="2" s="1"/>
  <c r="X76" i="2"/>
  <c r="AU76" i="2" s="1"/>
  <c r="BA76" i="2" s="1"/>
  <c r="AA76" i="2"/>
  <c r="AW76" i="2" s="1"/>
  <c r="BC76" i="2" s="1"/>
  <c r="W42" i="2"/>
  <c r="AT42" i="2" s="1"/>
  <c r="AZ42" i="2" s="1"/>
  <c r="V42" i="2"/>
  <c r="AS42" i="2" s="1"/>
  <c r="AY42" i="2" s="1"/>
  <c r="X42" i="2"/>
  <c r="AU42" i="2" s="1"/>
  <c r="BA42" i="2" s="1"/>
  <c r="AA42" i="2"/>
  <c r="AW42" i="2" s="1"/>
  <c r="BC42" i="2" s="1"/>
  <c r="H48" i="4"/>
  <c r="N15" i="2" s="1"/>
  <c r="DG78" i="5"/>
  <c r="AN47" i="2" l="1"/>
  <c r="AM47" i="2"/>
  <c r="AL47" i="2"/>
  <c r="AP47" i="2"/>
  <c r="AU16" i="2"/>
  <c r="BA16" i="2" s="1"/>
  <c r="BO21" i="6"/>
  <c r="AF15" i="2" s="1"/>
  <c r="AW16" i="2"/>
  <c r="BC16" i="2" s="1"/>
  <c r="V15" i="2"/>
  <c r="AA15" i="2"/>
  <c r="X15" i="2"/>
  <c r="W15" i="2"/>
  <c r="K66" i="2"/>
  <c r="N13" i="2"/>
  <c r="V13" i="2" s="1"/>
  <c r="N47" i="2"/>
  <c r="DF77" i="5"/>
  <c r="DE77" i="5" s="1"/>
  <c r="DS142" i="6" s="1"/>
  <c r="DT142" i="6" s="1"/>
  <c r="DF65" i="5"/>
  <c r="DE65" i="5" s="1"/>
  <c r="DF61" i="5"/>
  <c r="DE61" i="5" s="1"/>
  <c r="DF76" i="5"/>
  <c r="DE76" i="5" s="1"/>
  <c r="DS141" i="6" s="1"/>
  <c r="DT141" i="6" s="1"/>
  <c r="DF72" i="5"/>
  <c r="DE72" i="5" s="1"/>
  <c r="DS137" i="6" s="1"/>
  <c r="DT137" i="6" s="1"/>
  <c r="DF68" i="5"/>
  <c r="DE68" i="5" s="1"/>
  <c r="DS133" i="6" s="1"/>
  <c r="DT133" i="6" s="1"/>
  <c r="DF64" i="5"/>
  <c r="DE64" i="5" s="1"/>
  <c r="DF71" i="5"/>
  <c r="DE71" i="5" s="1"/>
  <c r="DS136" i="6" s="1"/>
  <c r="DT136" i="6" s="1"/>
  <c r="DF67" i="5"/>
  <c r="DE67" i="5" s="1"/>
  <c r="DS132" i="6" s="1"/>
  <c r="DT132" i="6" s="1"/>
  <c r="DF75" i="5"/>
  <c r="DE75" i="5" s="1"/>
  <c r="DS140" i="6" s="1"/>
  <c r="DT140" i="6" s="1"/>
  <c r="DF63" i="5"/>
  <c r="DE63" i="5" s="1"/>
  <c r="DF74" i="5"/>
  <c r="DE74" i="5" s="1"/>
  <c r="DS139" i="6" s="1"/>
  <c r="DT139" i="6" s="1"/>
  <c r="DF70" i="5"/>
  <c r="DE70" i="5" s="1"/>
  <c r="DS135" i="6" s="1"/>
  <c r="DT135" i="6" s="1"/>
  <c r="DF62" i="5"/>
  <c r="DE62" i="5" s="1"/>
  <c r="DF69" i="5"/>
  <c r="DE69" i="5" s="1"/>
  <c r="DS134" i="6" s="1"/>
  <c r="DT134" i="6" s="1"/>
  <c r="DF66" i="5"/>
  <c r="DE66" i="5" s="1"/>
  <c r="DF73" i="5"/>
  <c r="DE73" i="5" s="1"/>
  <c r="DS138" i="6" s="1"/>
  <c r="DT138" i="6" s="1"/>
  <c r="DF57" i="5"/>
  <c r="DE57" i="5" s="1"/>
  <c r="DF58" i="5"/>
  <c r="DE58" i="5" s="1"/>
  <c r="DF56" i="5"/>
  <c r="DE56" i="5" s="1"/>
  <c r="DF59" i="5"/>
  <c r="DE59" i="5" s="1"/>
  <c r="DF60" i="5"/>
  <c r="DE60" i="5" s="1"/>
  <c r="DF55" i="5"/>
  <c r="DE55" i="5" s="1"/>
  <c r="DR122" i="6" l="1"/>
  <c r="DR127" i="6"/>
  <c r="DR140" i="6"/>
  <c r="DU140" i="6" s="1"/>
  <c r="DR133" i="6"/>
  <c r="DU133" i="6" s="1"/>
  <c r="DR130" i="6"/>
  <c r="DR124" i="6"/>
  <c r="DR138" i="6"/>
  <c r="DU138" i="6" s="1"/>
  <c r="DR135" i="6"/>
  <c r="DU135" i="6" s="1"/>
  <c r="DR132" i="6"/>
  <c r="DU132" i="6" s="1"/>
  <c r="DR137" i="6"/>
  <c r="DU137" i="6" s="1"/>
  <c r="DR142" i="6"/>
  <c r="DU142" i="6" s="1"/>
  <c r="DR125" i="6"/>
  <c r="DR121" i="6"/>
  <c r="DR131" i="6"/>
  <c r="DR139" i="6"/>
  <c r="DU139" i="6" s="1"/>
  <c r="DR136" i="6"/>
  <c r="DU136" i="6" s="1"/>
  <c r="DR141" i="6"/>
  <c r="DU141" i="6" s="1"/>
  <c r="DR120" i="6"/>
  <c r="DU120" i="6" s="1"/>
  <c r="DR123" i="6"/>
  <c r="DR134" i="6"/>
  <c r="DU134" i="6" s="1"/>
  <c r="DR128" i="6"/>
  <c r="DR129" i="6"/>
  <c r="DR126" i="6"/>
  <c r="AF13" i="2"/>
  <c r="AN13" i="2" s="1"/>
  <c r="AN15" i="2"/>
  <c r="AU15" i="2" s="1"/>
  <c r="BA15" i="2" s="1"/>
  <c r="AL15" i="2"/>
  <c r="AS15" i="2" s="1"/>
  <c r="AY15" i="2" s="1"/>
  <c r="AM15" i="2"/>
  <c r="AT15" i="2" s="1"/>
  <c r="AZ15" i="2" s="1"/>
  <c r="AP15" i="2"/>
  <c r="AW15" i="2" s="1"/>
  <c r="BC15" i="2" s="1"/>
  <c r="X66" i="2"/>
  <c r="AU66" i="2" s="1"/>
  <c r="BA66" i="2" s="1"/>
  <c r="AA66" i="2"/>
  <c r="AW66" i="2" s="1"/>
  <c r="BC66" i="2" s="1"/>
  <c r="DV121" i="6"/>
  <c r="DW121" i="6"/>
  <c r="DW131" i="6"/>
  <c r="DV131" i="6"/>
  <c r="DW139" i="6"/>
  <c r="DV139" i="6"/>
  <c r="DW136" i="6"/>
  <c r="DV136" i="6"/>
  <c r="DV141" i="6"/>
  <c r="DW141" i="6"/>
  <c r="DV120" i="6"/>
  <c r="DW120" i="6"/>
  <c r="DW134" i="6"/>
  <c r="DV134" i="6"/>
  <c r="DV129" i="6"/>
  <c r="DW129" i="6"/>
  <c r="DV125" i="6"/>
  <c r="DW125" i="6"/>
  <c r="DW122" i="6"/>
  <c r="DV122" i="6"/>
  <c r="DW127" i="6"/>
  <c r="DV127" i="6"/>
  <c r="DW140" i="6"/>
  <c r="DV140" i="6"/>
  <c r="DV133" i="6"/>
  <c r="DW133" i="6"/>
  <c r="DW130" i="6"/>
  <c r="DV130" i="6"/>
  <c r="DW123" i="6"/>
  <c r="DV123" i="6"/>
  <c r="DW128" i="6"/>
  <c r="DV128" i="6"/>
  <c r="DW126" i="6"/>
  <c r="DV126" i="6"/>
  <c r="DW124" i="6"/>
  <c r="DV124" i="6"/>
  <c r="DW138" i="6"/>
  <c r="DV138" i="6"/>
  <c r="DW135" i="6"/>
  <c r="DV135" i="6"/>
  <c r="DW132" i="6"/>
  <c r="DV132" i="6"/>
  <c r="DV137" i="6"/>
  <c r="DW137" i="6"/>
  <c r="DW142" i="6"/>
  <c r="DV142" i="6"/>
  <c r="W13" i="2"/>
  <c r="X13" i="2"/>
  <c r="X47" i="2"/>
  <c r="AU47" i="2" s="1"/>
  <c r="BA47" i="2" s="1"/>
  <c r="W47" i="2"/>
  <c r="AT47" i="2" s="1"/>
  <c r="AZ47" i="2" s="1"/>
  <c r="V47" i="2"/>
  <c r="AS47" i="2" s="1"/>
  <c r="AY47" i="2" s="1"/>
  <c r="AA47" i="2"/>
  <c r="AW47" i="2" s="1"/>
  <c r="BC47" i="2" s="1"/>
  <c r="AA13" i="2"/>
  <c r="DN74" i="5"/>
  <c r="DO74" i="5"/>
  <c r="DH74" i="5"/>
  <c r="DI74" i="5"/>
  <c r="DJ74" i="5"/>
  <c r="DN76" i="5"/>
  <c r="DO76" i="5"/>
  <c r="DJ76" i="5"/>
  <c r="DH76" i="5"/>
  <c r="DI76" i="5"/>
  <c r="DN63" i="5"/>
  <c r="DH63" i="5"/>
  <c r="DJ63" i="5"/>
  <c r="DO63" i="5"/>
  <c r="DI63" i="5"/>
  <c r="DN61" i="5"/>
  <c r="DJ61" i="5"/>
  <c r="DH61" i="5"/>
  <c r="DO61" i="5"/>
  <c r="DI61" i="5"/>
  <c r="DN62" i="5"/>
  <c r="DH62" i="5"/>
  <c r="DO62" i="5"/>
  <c r="DJ62" i="5"/>
  <c r="DI62" i="5"/>
  <c r="DN75" i="5"/>
  <c r="DO75" i="5"/>
  <c r="DJ75" i="5"/>
  <c r="DH75" i="5"/>
  <c r="DI75" i="5"/>
  <c r="DN68" i="5"/>
  <c r="DO68" i="5"/>
  <c r="DH68" i="5"/>
  <c r="DJ68" i="5"/>
  <c r="DI68" i="5"/>
  <c r="DN65" i="5"/>
  <c r="DJ65" i="5"/>
  <c r="DO65" i="5"/>
  <c r="DI65" i="5"/>
  <c r="DH65" i="5"/>
  <c r="DN66" i="5"/>
  <c r="DJ66" i="5"/>
  <c r="DO66" i="5"/>
  <c r="DH66" i="5"/>
  <c r="DI66" i="5"/>
  <c r="DN71" i="5"/>
  <c r="DJ71" i="5"/>
  <c r="DO71" i="5"/>
  <c r="DI71" i="5"/>
  <c r="DH71" i="5"/>
  <c r="DN69" i="5"/>
  <c r="DO69" i="5"/>
  <c r="DH69" i="5"/>
  <c r="DJ69" i="5"/>
  <c r="DI69" i="5"/>
  <c r="DN64" i="5"/>
  <c r="DJ64" i="5"/>
  <c r="DO64" i="5"/>
  <c r="DH64" i="5"/>
  <c r="DI64" i="5"/>
  <c r="DN73" i="5"/>
  <c r="DO73" i="5"/>
  <c r="DJ73" i="5"/>
  <c r="DI73" i="5"/>
  <c r="DH73" i="5"/>
  <c r="DN70" i="5"/>
  <c r="DJ70" i="5"/>
  <c r="DI70" i="5"/>
  <c r="DO70" i="5"/>
  <c r="DH70" i="5"/>
  <c r="DN67" i="5"/>
  <c r="DO67" i="5"/>
  <c r="DJ67" i="5"/>
  <c r="DH67" i="5"/>
  <c r="DI67" i="5"/>
  <c r="DN72" i="5"/>
  <c r="DJ72" i="5"/>
  <c r="DO72" i="5"/>
  <c r="DH72" i="5"/>
  <c r="DI72" i="5"/>
  <c r="DN77" i="5"/>
  <c r="DJ77" i="5"/>
  <c r="DH77" i="5"/>
  <c r="DO77" i="5"/>
  <c r="DI77" i="5"/>
  <c r="DN55" i="5"/>
  <c r="DN58" i="5"/>
  <c r="DN59" i="5"/>
  <c r="DN56" i="5"/>
  <c r="DN60" i="5"/>
  <c r="DN57" i="5"/>
  <c r="DO56" i="5"/>
  <c r="DO58" i="5"/>
  <c r="DO59" i="5"/>
  <c r="DO55" i="5"/>
  <c r="DO60" i="5"/>
  <c r="DO57" i="5"/>
  <c r="DJ56" i="5"/>
  <c r="DJ55" i="5"/>
  <c r="DJ58" i="5"/>
  <c r="DJ60" i="5"/>
  <c r="DJ57" i="5"/>
  <c r="DJ59" i="5"/>
  <c r="DE78" i="5"/>
  <c r="DH59" i="5"/>
  <c r="DI59" i="5"/>
  <c r="DF78" i="5"/>
  <c r="DH56" i="5"/>
  <c r="DI56" i="5"/>
  <c r="DH55" i="5"/>
  <c r="DI55" i="5"/>
  <c r="DH58" i="5"/>
  <c r="DI58" i="5"/>
  <c r="DH60" i="5"/>
  <c r="DI60" i="5"/>
  <c r="DH57" i="5"/>
  <c r="DI57" i="5"/>
  <c r="DS125" i="6" l="1"/>
  <c r="DT125" i="6" s="1"/>
  <c r="DU125" i="6"/>
  <c r="DS126" i="6"/>
  <c r="DT126" i="6" s="1"/>
  <c r="DU126" i="6"/>
  <c r="DS123" i="6"/>
  <c r="DT123" i="6" s="1"/>
  <c r="DU123" i="6"/>
  <c r="DS129" i="6"/>
  <c r="DT129" i="6" s="1"/>
  <c r="DU129" i="6"/>
  <c r="DS131" i="6"/>
  <c r="DT131" i="6" s="1"/>
  <c r="DU131" i="6"/>
  <c r="DS124" i="6"/>
  <c r="DT124" i="6" s="1"/>
  <c r="DU124" i="6"/>
  <c r="DS127" i="6"/>
  <c r="DT127" i="6" s="1"/>
  <c r="DU127" i="6"/>
  <c r="DS128" i="6"/>
  <c r="DT128" i="6" s="1"/>
  <c r="DU128" i="6"/>
  <c r="DS121" i="6"/>
  <c r="DT121" i="6" s="1"/>
  <c r="DU121" i="6"/>
  <c r="DS130" i="6"/>
  <c r="DT130" i="6" s="1"/>
  <c r="DU130" i="6"/>
  <c r="DS122" i="6"/>
  <c r="DT122" i="6" s="1"/>
  <c r="DU122" i="6"/>
  <c r="DS120" i="6"/>
  <c r="DT120" i="6" s="1"/>
  <c r="DX128" i="6"/>
  <c r="DY128" i="6" s="1"/>
  <c r="EA128" i="6" s="1"/>
  <c r="DX127" i="6"/>
  <c r="AU13" i="2"/>
  <c r="BA13" i="2" s="1"/>
  <c r="AP13" i="2"/>
  <c r="AW13" i="2" s="1"/>
  <c r="BC13" i="2" s="1"/>
  <c r="AL13" i="2"/>
  <c r="AS13" i="2" s="1"/>
  <c r="AY13" i="2" s="1"/>
  <c r="AM13" i="2"/>
  <c r="AT13" i="2" s="1"/>
  <c r="AZ13" i="2" s="1"/>
  <c r="DX137" i="6"/>
  <c r="DY137" i="6" s="1"/>
  <c r="DZ137" i="6" s="1"/>
  <c r="DX120" i="6"/>
  <c r="DY120" i="6" s="1"/>
  <c r="DX140" i="6"/>
  <c r="DY140" i="6" s="1"/>
  <c r="DX136" i="6"/>
  <c r="DY136" i="6" s="1"/>
  <c r="DX135" i="6"/>
  <c r="DY135" i="6" s="1"/>
  <c r="DX121" i="6"/>
  <c r="DY121" i="6" s="1"/>
  <c r="DX126" i="6"/>
  <c r="DY126" i="6" s="1"/>
  <c r="DX132" i="6"/>
  <c r="DY132" i="6" s="1"/>
  <c r="DX130" i="6"/>
  <c r="DY130" i="6" s="1"/>
  <c r="DX122" i="6"/>
  <c r="DY122" i="6" s="1"/>
  <c r="DX129" i="6"/>
  <c r="DY129" i="6" s="1"/>
  <c r="DR143" i="6"/>
  <c r="DR144" i="6"/>
  <c r="DX131" i="6"/>
  <c r="DY131" i="6" s="1"/>
  <c r="DZ135" i="6"/>
  <c r="DX142" i="6"/>
  <c r="DY142" i="6" s="1"/>
  <c r="DX138" i="6"/>
  <c r="DY138" i="6" s="1"/>
  <c r="DX124" i="6"/>
  <c r="DY124" i="6" s="1"/>
  <c r="DX123" i="6"/>
  <c r="DY123" i="6" s="1"/>
  <c r="DX133" i="6"/>
  <c r="DY133" i="6" s="1"/>
  <c r="DX125" i="6"/>
  <c r="DY125" i="6" s="1"/>
  <c r="DX134" i="6"/>
  <c r="DY134" i="6" s="1"/>
  <c r="DX141" i="6"/>
  <c r="DY141" i="6" s="1"/>
  <c r="DX139" i="6"/>
  <c r="DY139" i="6" s="1"/>
  <c r="F5" i="2"/>
  <c r="F7" i="2"/>
  <c r="AH7" i="2" s="1"/>
  <c r="F3" i="2"/>
  <c r="AH3" i="2" s="1"/>
  <c r="F4" i="2"/>
  <c r="AH4" i="2" s="1"/>
  <c r="DH78" i="5"/>
  <c r="N108" i="6" s="1"/>
  <c r="N97" i="6" s="1"/>
  <c r="I30" i="7" s="1"/>
  <c r="DI78" i="5"/>
  <c r="N107" i="6" s="1"/>
  <c r="N96" i="6" s="1"/>
  <c r="J30" i="7" s="1"/>
  <c r="DN78" i="5"/>
  <c r="N113" i="6" s="1"/>
  <c r="N102" i="6" s="1"/>
  <c r="C15" i="7" s="1"/>
  <c r="DJ78" i="5"/>
  <c r="N116" i="6" s="1"/>
  <c r="N105" i="6" s="1"/>
  <c r="DO78" i="5"/>
  <c r="DP57" i="5" s="1"/>
  <c r="FD78" i="5"/>
  <c r="DS144" i="6" l="1"/>
  <c r="DS143" i="6"/>
  <c r="AH5" i="2"/>
  <c r="J11" i="16" s="1"/>
  <c r="EA137" i="6"/>
  <c r="DZ128" i="6"/>
  <c r="DY127" i="6"/>
  <c r="EA127" i="6" s="1"/>
  <c r="DT144" i="6"/>
  <c r="DT143" i="6"/>
  <c r="EE141" i="6"/>
  <c r="EG141" i="6"/>
  <c r="EI141" i="6"/>
  <c r="EG124" i="6"/>
  <c r="EI124" i="6"/>
  <c r="EE124" i="6"/>
  <c r="EE125" i="6"/>
  <c r="EI125" i="6"/>
  <c r="EG125" i="6"/>
  <c r="EG142" i="6"/>
  <c r="EE142" i="6"/>
  <c r="EI142" i="6"/>
  <c r="DZ121" i="6"/>
  <c r="EE121" i="6"/>
  <c r="EG121" i="6"/>
  <c r="EI121" i="6"/>
  <c r="EA120" i="6"/>
  <c r="EE120" i="6"/>
  <c r="EI120" i="6"/>
  <c r="EG120" i="6"/>
  <c r="EI139" i="6"/>
  <c r="EE139" i="6"/>
  <c r="EG139" i="6"/>
  <c r="EG123" i="6"/>
  <c r="EI123" i="6"/>
  <c r="EE123" i="6"/>
  <c r="EG122" i="6"/>
  <c r="EE122" i="6"/>
  <c r="EI122" i="6"/>
  <c r="EA135" i="6"/>
  <c r="EI135" i="6"/>
  <c r="EE135" i="6"/>
  <c r="EG135" i="6"/>
  <c r="EE137" i="6"/>
  <c r="EI137" i="6"/>
  <c r="EG137" i="6"/>
  <c r="EE131" i="6"/>
  <c r="EI131" i="6"/>
  <c r="EG131" i="6"/>
  <c r="EG132" i="6"/>
  <c r="EE132" i="6"/>
  <c r="EI132" i="6"/>
  <c r="EA136" i="6"/>
  <c r="EG136" i="6"/>
  <c r="EI136" i="6"/>
  <c r="EE136" i="6"/>
  <c r="EE127" i="6"/>
  <c r="EI127" i="6"/>
  <c r="EG127" i="6"/>
  <c r="EG134" i="6"/>
  <c r="EE134" i="6"/>
  <c r="EI134" i="6"/>
  <c r="EE133" i="6"/>
  <c r="EG133" i="6"/>
  <c r="EI133" i="6"/>
  <c r="EI138" i="6"/>
  <c r="EE138" i="6"/>
  <c r="EG138" i="6"/>
  <c r="EG129" i="6"/>
  <c r="EI129" i="6"/>
  <c r="EE129" i="6"/>
  <c r="EG130" i="6"/>
  <c r="EE130" i="6"/>
  <c r="EI130" i="6"/>
  <c r="EA126" i="6"/>
  <c r="EE126" i="6"/>
  <c r="EG126" i="6"/>
  <c r="EI126" i="6"/>
  <c r="EA140" i="6"/>
  <c r="EG140" i="6"/>
  <c r="EE140" i="6"/>
  <c r="EI140" i="6"/>
  <c r="EI128" i="6"/>
  <c r="EE128" i="6"/>
  <c r="EG128" i="6"/>
  <c r="F11" i="16"/>
  <c r="DZ120" i="6"/>
  <c r="X15" i="7"/>
  <c r="DZ140" i="6"/>
  <c r="DZ126" i="6"/>
  <c r="DZ136" i="6"/>
  <c r="EA121" i="6"/>
  <c r="EA134" i="6"/>
  <c r="DZ134" i="6"/>
  <c r="EA133" i="6"/>
  <c r="DZ133" i="6"/>
  <c r="EA138" i="6"/>
  <c r="DZ138" i="6"/>
  <c r="EB128" i="6"/>
  <c r="EC128" i="6"/>
  <c r="EC123" i="6"/>
  <c r="EB123" i="6"/>
  <c r="EA131" i="6"/>
  <c r="DZ131" i="6"/>
  <c r="EB120" i="6"/>
  <c r="DU143" i="6"/>
  <c r="DU144" i="6"/>
  <c r="EC120" i="6"/>
  <c r="EC133" i="6"/>
  <c r="EB133" i="6"/>
  <c r="EB137" i="6"/>
  <c r="EC137" i="6"/>
  <c r="EA125" i="6"/>
  <c r="DZ125" i="6"/>
  <c r="EC130" i="6"/>
  <c r="EB130" i="6"/>
  <c r="DZ142" i="6"/>
  <c r="EA142" i="6"/>
  <c r="EC138" i="6"/>
  <c r="EB138" i="6"/>
  <c r="EC141" i="6"/>
  <c r="EB141" i="6"/>
  <c r="DZ129" i="6"/>
  <c r="EA129" i="6"/>
  <c r="DZ130" i="6"/>
  <c r="EA130" i="6"/>
  <c r="EB121" i="6"/>
  <c r="EC121" i="6"/>
  <c r="EB132" i="6"/>
  <c r="EC132" i="6"/>
  <c r="EB134" i="6"/>
  <c r="EC134" i="6"/>
  <c r="EA139" i="6"/>
  <c r="DZ139" i="6"/>
  <c r="EC122" i="6"/>
  <c r="EB122" i="6"/>
  <c r="EA123" i="6"/>
  <c r="DZ123" i="6"/>
  <c r="EB129" i="6"/>
  <c r="EC129" i="6"/>
  <c r="EB135" i="6"/>
  <c r="EC135" i="6"/>
  <c r="EC125" i="6"/>
  <c r="EB125" i="6"/>
  <c r="EC126" i="6"/>
  <c r="EB126" i="6"/>
  <c r="EB136" i="6"/>
  <c r="EC136" i="6"/>
  <c r="EC139" i="6"/>
  <c r="EB139" i="6"/>
  <c r="DZ141" i="6"/>
  <c r="EA141" i="6"/>
  <c r="EC127" i="6"/>
  <c r="EB127" i="6"/>
  <c r="EA124" i="6"/>
  <c r="DZ124" i="6"/>
  <c r="EB140" i="6"/>
  <c r="EC140" i="6"/>
  <c r="EC131" i="6"/>
  <c r="EB131" i="6"/>
  <c r="EC142" i="6"/>
  <c r="EB142" i="6"/>
  <c r="EA122" i="6"/>
  <c r="DZ122" i="6"/>
  <c r="EB124" i="6"/>
  <c r="EC124" i="6"/>
  <c r="EA132" i="6"/>
  <c r="DZ132" i="6"/>
  <c r="E11" i="16"/>
  <c r="K11" i="16"/>
  <c r="L11" i="16"/>
  <c r="I11" i="16"/>
  <c r="C11" i="16"/>
  <c r="D11" i="16"/>
  <c r="FC74" i="5"/>
  <c r="FB74" i="5" s="1"/>
  <c r="EN139" i="6" s="1"/>
  <c r="EO139" i="6" s="1"/>
  <c r="FC72" i="5"/>
  <c r="FB72" i="5" s="1"/>
  <c r="EN137" i="6" s="1"/>
  <c r="EO137" i="6" s="1"/>
  <c r="FC70" i="5"/>
  <c r="FB70" i="5" s="1"/>
  <c r="EN135" i="6" s="1"/>
  <c r="EO135" i="6" s="1"/>
  <c r="FC68" i="5"/>
  <c r="FB68" i="5" s="1"/>
  <c r="EN133" i="6" s="1"/>
  <c r="EO133" i="6" s="1"/>
  <c r="FC66" i="5"/>
  <c r="FB66" i="5" s="1"/>
  <c r="FC64" i="5"/>
  <c r="FB64" i="5" s="1"/>
  <c r="FC62" i="5"/>
  <c r="FB62" i="5" s="1"/>
  <c r="FC75" i="5"/>
  <c r="FB75" i="5" s="1"/>
  <c r="EN140" i="6" s="1"/>
  <c r="EO140" i="6" s="1"/>
  <c r="FC67" i="5"/>
  <c r="FB67" i="5" s="1"/>
  <c r="EN132" i="6" s="1"/>
  <c r="EO132" i="6" s="1"/>
  <c r="FC77" i="5"/>
  <c r="FB77" i="5" s="1"/>
  <c r="EN142" i="6" s="1"/>
  <c r="EO142" i="6" s="1"/>
  <c r="FC69" i="5"/>
  <c r="FB69" i="5" s="1"/>
  <c r="EN134" i="6" s="1"/>
  <c r="EO134" i="6" s="1"/>
  <c r="FC61" i="5"/>
  <c r="FB61" i="5" s="1"/>
  <c r="FC73" i="5"/>
  <c r="FB73" i="5" s="1"/>
  <c r="EN138" i="6" s="1"/>
  <c r="EO138" i="6" s="1"/>
  <c r="FC65" i="5"/>
  <c r="FB65" i="5" s="1"/>
  <c r="FC76" i="5"/>
  <c r="FB76" i="5" s="1"/>
  <c r="EN141" i="6" s="1"/>
  <c r="EO141" i="6" s="1"/>
  <c r="FC71" i="5"/>
  <c r="FB71" i="5" s="1"/>
  <c r="EN136" i="6" s="1"/>
  <c r="EO136" i="6" s="1"/>
  <c r="FC63" i="5"/>
  <c r="FB63" i="5" s="1"/>
  <c r="DP58" i="5"/>
  <c r="DP74" i="5"/>
  <c r="DP63" i="5"/>
  <c r="DP62" i="5"/>
  <c r="DP68" i="5"/>
  <c r="DP66" i="5"/>
  <c r="DP69" i="5"/>
  <c r="DP73" i="5"/>
  <c r="DP67" i="5"/>
  <c r="DP77" i="5"/>
  <c r="DP61" i="5"/>
  <c r="DP65" i="5"/>
  <c r="DP71" i="5"/>
  <c r="DP64" i="5"/>
  <c r="DP70" i="5"/>
  <c r="DP72" i="5"/>
  <c r="DP59" i="5"/>
  <c r="DP76" i="5"/>
  <c r="DP75" i="5"/>
  <c r="N114" i="6"/>
  <c r="N103" i="6" s="1"/>
  <c r="DP60" i="5"/>
  <c r="DP55" i="5"/>
  <c r="DP56" i="5"/>
  <c r="DF52" i="5"/>
  <c r="N111" i="6" s="1"/>
  <c r="FC57" i="5"/>
  <c r="FB57" i="5" s="1"/>
  <c r="FC56" i="5"/>
  <c r="FB56" i="5" s="1"/>
  <c r="FC59" i="5"/>
  <c r="FB59" i="5" s="1"/>
  <c r="FC58" i="5"/>
  <c r="FB58" i="5" s="1"/>
  <c r="FC55" i="5"/>
  <c r="FC60" i="5"/>
  <c r="FB60" i="5" s="1"/>
  <c r="DZ127" i="6" l="1"/>
  <c r="EM125" i="6"/>
  <c r="EN125" i="6" s="1"/>
  <c r="EO125" i="6" s="1"/>
  <c r="EM141" i="6"/>
  <c r="EM135" i="6"/>
  <c r="EM122" i="6"/>
  <c r="EN122" i="6" s="1"/>
  <c r="EO122" i="6" s="1"/>
  <c r="EM130" i="6"/>
  <c r="EN130" i="6" s="1"/>
  <c r="EO130" i="6" s="1"/>
  <c r="EM142" i="6"/>
  <c r="EM129" i="6"/>
  <c r="EN129" i="6" s="1"/>
  <c r="EO129" i="6" s="1"/>
  <c r="EM137" i="6"/>
  <c r="EM121" i="6"/>
  <c r="EN121" i="6" s="1"/>
  <c r="EO121" i="6" s="1"/>
  <c r="EM127" i="6"/>
  <c r="EN127" i="6" s="1"/>
  <c r="EO127" i="6" s="1"/>
  <c r="EM128" i="6"/>
  <c r="EN128" i="6" s="1"/>
  <c r="EO128" i="6" s="1"/>
  <c r="EM138" i="6"/>
  <c r="EM132" i="6"/>
  <c r="EM131" i="6"/>
  <c r="EN131" i="6" s="1"/>
  <c r="EO131" i="6" s="1"/>
  <c r="EM139" i="6"/>
  <c r="EM134" i="6"/>
  <c r="EM123" i="6"/>
  <c r="EN123" i="6" s="1"/>
  <c r="EO123" i="6" s="1"/>
  <c r="EM124" i="6"/>
  <c r="EN124" i="6" s="1"/>
  <c r="EO124" i="6" s="1"/>
  <c r="EM136" i="6"/>
  <c r="EM126" i="6"/>
  <c r="EN126" i="6" s="1"/>
  <c r="EO126" i="6" s="1"/>
  <c r="EM140" i="6"/>
  <c r="EM133" i="6"/>
  <c r="D15" i="7"/>
  <c r="EI143" i="6"/>
  <c r="EI145" i="6" s="1"/>
  <c r="EE143" i="6"/>
  <c r="EA143" i="6"/>
  <c r="EA145" i="6" s="1"/>
  <c r="DZ143" i="6"/>
  <c r="DZ145" i="6" s="1"/>
  <c r="EQ125" i="6"/>
  <c r="ER125" i="6"/>
  <c r="ER123" i="6"/>
  <c r="EQ123" i="6"/>
  <c r="EQ128" i="6"/>
  <c r="ER128" i="6"/>
  <c r="EQ138" i="6"/>
  <c r="ER138" i="6"/>
  <c r="EQ132" i="6"/>
  <c r="ER132" i="6"/>
  <c r="ER131" i="6"/>
  <c r="EQ131" i="6"/>
  <c r="ER139" i="6"/>
  <c r="EQ139" i="6"/>
  <c r="EC143" i="6"/>
  <c r="EQ124" i="6"/>
  <c r="ER124" i="6"/>
  <c r="EQ136" i="6"/>
  <c r="ER136" i="6"/>
  <c r="EQ126" i="6"/>
  <c r="ER126" i="6"/>
  <c r="EQ140" i="6"/>
  <c r="ER140" i="6"/>
  <c r="EQ133" i="6"/>
  <c r="ER133" i="6"/>
  <c r="EG143" i="6"/>
  <c r="EQ121" i="6"/>
  <c r="ER121" i="6"/>
  <c r="EQ141" i="6"/>
  <c r="ER141" i="6"/>
  <c r="EQ134" i="6"/>
  <c r="ER134" i="6"/>
  <c r="ER127" i="6"/>
  <c r="EQ127" i="6"/>
  <c r="ER135" i="6"/>
  <c r="EQ135" i="6"/>
  <c r="EQ122" i="6"/>
  <c r="ER122" i="6"/>
  <c r="EQ130" i="6"/>
  <c r="ER130" i="6"/>
  <c r="EQ142" i="6"/>
  <c r="ER142" i="6"/>
  <c r="EQ129" i="6"/>
  <c r="ER129" i="6"/>
  <c r="EQ137" i="6"/>
  <c r="ER137" i="6"/>
  <c r="EB143" i="6"/>
  <c r="N11" i="16"/>
  <c r="O11" i="16" s="1"/>
  <c r="T11" i="16"/>
  <c r="U11" i="16" s="1"/>
  <c r="P11" i="16"/>
  <c r="Q11" i="16" s="1"/>
  <c r="V11" i="16"/>
  <c r="W11" i="16" s="1"/>
  <c r="FK71" i="5"/>
  <c r="FE71" i="5"/>
  <c r="FF71" i="5"/>
  <c r="FG71" i="5"/>
  <c r="FL71" i="5"/>
  <c r="FK75" i="5"/>
  <c r="FG75" i="5"/>
  <c r="FE75" i="5"/>
  <c r="FF75" i="5"/>
  <c r="FL75" i="5"/>
  <c r="FK69" i="5"/>
  <c r="FL69" i="5"/>
  <c r="FF69" i="5"/>
  <c r="FG69" i="5"/>
  <c r="FE69" i="5"/>
  <c r="FK70" i="5"/>
  <c r="FF70" i="5"/>
  <c r="FE70" i="5"/>
  <c r="FG70" i="5"/>
  <c r="FL70" i="5"/>
  <c r="FK65" i="5"/>
  <c r="FL65" i="5"/>
  <c r="FF65" i="5"/>
  <c r="FG65" i="5"/>
  <c r="FE65" i="5"/>
  <c r="FK77" i="5"/>
  <c r="FL77" i="5"/>
  <c r="FE77" i="5"/>
  <c r="FF77" i="5"/>
  <c r="FG77" i="5"/>
  <c r="FK64" i="5"/>
  <c r="FF64" i="5"/>
  <c r="FL64" i="5"/>
  <c r="FE64" i="5"/>
  <c r="FG64" i="5"/>
  <c r="FK72" i="5"/>
  <c r="FE72" i="5"/>
  <c r="FL72" i="5"/>
  <c r="FG72" i="5"/>
  <c r="FF72" i="5"/>
  <c r="FK61" i="5"/>
  <c r="FE61" i="5"/>
  <c r="FL61" i="5"/>
  <c r="FG61" i="5"/>
  <c r="FF61" i="5"/>
  <c r="FK68" i="5"/>
  <c r="FL68" i="5"/>
  <c r="FF68" i="5"/>
  <c r="FG68" i="5"/>
  <c r="FE68" i="5"/>
  <c r="FK76" i="5"/>
  <c r="FL76" i="5"/>
  <c r="FF76" i="5"/>
  <c r="FE76" i="5"/>
  <c r="FG76" i="5"/>
  <c r="FK62" i="5"/>
  <c r="FF62" i="5"/>
  <c r="FL62" i="5"/>
  <c r="FE62" i="5"/>
  <c r="FG62" i="5"/>
  <c r="FK63" i="5"/>
  <c r="FE63" i="5"/>
  <c r="FG63" i="5"/>
  <c r="FL63" i="5"/>
  <c r="FF63" i="5"/>
  <c r="FK73" i="5"/>
  <c r="FL73" i="5"/>
  <c r="FE73" i="5"/>
  <c r="FG73" i="5"/>
  <c r="FF73" i="5"/>
  <c r="FK67" i="5"/>
  <c r="FE67" i="5"/>
  <c r="FL67" i="5"/>
  <c r="FG67" i="5"/>
  <c r="FF67" i="5"/>
  <c r="FK66" i="5"/>
  <c r="FF66" i="5"/>
  <c r="FE66" i="5"/>
  <c r="FG66" i="5"/>
  <c r="FL66" i="5"/>
  <c r="FK74" i="5"/>
  <c r="FF74" i="5"/>
  <c r="FG74" i="5"/>
  <c r="FL74" i="5"/>
  <c r="FE74" i="5"/>
  <c r="FK60" i="5"/>
  <c r="FK56" i="5"/>
  <c r="FK59" i="5"/>
  <c r="FK57" i="5"/>
  <c r="FK58" i="5"/>
  <c r="N100" i="6"/>
  <c r="M30" i="7" s="1"/>
  <c r="N109" i="6"/>
  <c r="N98" i="6" s="1"/>
  <c r="L30" i="7" s="1"/>
  <c r="P30" i="7" s="1"/>
  <c r="N110" i="6"/>
  <c r="N99" i="6" s="1"/>
  <c r="K30" i="7" s="1"/>
  <c r="DP78" i="5"/>
  <c r="N115" i="6" s="1"/>
  <c r="N104" i="6" s="1"/>
  <c r="G15" i="7" s="1"/>
  <c r="FL59" i="5"/>
  <c r="FL60" i="5"/>
  <c r="FL56" i="5"/>
  <c r="FL57" i="5"/>
  <c r="FL58" i="5"/>
  <c r="FG59" i="5"/>
  <c r="FG60" i="5"/>
  <c r="FG56" i="5"/>
  <c r="FG57" i="5"/>
  <c r="FG58" i="5"/>
  <c r="FE58" i="5"/>
  <c r="FF58" i="5"/>
  <c r="FE59" i="5"/>
  <c r="FF59" i="5"/>
  <c r="FE60" i="5"/>
  <c r="FF60" i="5"/>
  <c r="FE56" i="5"/>
  <c r="FF56" i="5"/>
  <c r="FB55" i="5"/>
  <c r="FC78" i="5"/>
  <c r="FE57" i="5"/>
  <c r="FF57" i="5"/>
  <c r="HA78" i="5"/>
  <c r="ES133" i="6" l="1"/>
  <c r="ET133" i="6" s="1"/>
  <c r="EU133" i="6" s="1"/>
  <c r="EM120" i="6"/>
  <c r="EN120" i="6" s="1"/>
  <c r="ES135" i="6"/>
  <c r="ET135" i="6" s="1"/>
  <c r="EV135" i="6" s="1"/>
  <c r="ES129" i="6"/>
  <c r="ES121" i="6"/>
  <c r="ET121" i="6" s="1"/>
  <c r="EU121" i="6" s="1"/>
  <c r="ES140" i="6"/>
  <c r="ET140" i="6" s="1"/>
  <c r="Y15" i="7"/>
  <c r="EG145" i="6"/>
  <c r="BO121" i="6"/>
  <c r="AG15" i="7" s="1"/>
  <c r="EC145" i="6"/>
  <c r="BO119" i="6"/>
  <c r="AE30" i="7" s="1"/>
  <c r="EE145" i="6"/>
  <c r="BO120" i="6"/>
  <c r="AE15" i="7" s="1"/>
  <c r="EB145" i="6"/>
  <c r="BO118" i="6"/>
  <c r="AD30" i="7" s="1"/>
  <c r="ES122" i="6"/>
  <c r="ET122" i="6" s="1"/>
  <c r="ES131" i="6"/>
  <c r="ET131" i="6" s="1"/>
  <c r="ES138" i="6"/>
  <c r="ET138" i="6" s="1"/>
  <c r="ES125" i="6"/>
  <c r="ET125" i="6" s="1"/>
  <c r="ES126" i="6"/>
  <c r="ES139" i="6"/>
  <c r="ET139" i="6" s="1"/>
  <c r="ES142" i="6"/>
  <c r="ET142" i="6" s="1"/>
  <c r="EV133" i="6"/>
  <c r="EQ120" i="6"/>
  <c r="ER120" i="6"/>
  <c r="ES137" i="6"/>
  <c r="ET137" i="6" s="1"/>
  <c r="ES141" i="6"/>
  <c r="ET141" i="6" s="1"/>
  <c r="EZ133" i="6"/>
  <c r="ES124" i="6"/>
  <c r="ET124" i="6" s="1"/>
  <c r="ES128" i="6"/>
  <c r="ET128" i="6" s="1"/>
  <c r="ES127" i="6"/>
  <c r="ET127" i="6" s="1"/>
  <c r="ES136" i="6"/>
  <c r="ET136" i="6" s="1"/>
  <c r="ES123" i="6"/>
  <c r="ET123" i="6" s="1"/>
  <c r="EI148" i="6"/>
  <c r="BO123" i="6" s="1"/>
  <c r="ES130" i="6"/>
  <c r="ET130" i="6" s="1"/>
  <c r="ES134" i="6"/>
  <c r="ET134" i="6" s="1"/>
  <c r="ES132" i="6"/>
  <c r="ET132" i="6" s="1"/>
  <c r="U30" i="7"/>
  <c r="GZ76" i="5"/>
  <c r="GY76" i="5" s="1"/>
  <c r="FI141" i="6" s="1"/>
  <c r="FJ141" i="6" s="1"/>
  <c r="GZ72" i="5"/>
  <c r="GY72" i="5" s="1"/>
  <c r="FI137" i="6" s="1"/>
  <c r="FJ137" i="6" s="1"/>
  <c r="GZ68" i="5"/>
  <c r="GY68" i="5" s="1"/>
  <c r="FI133" i="6" s="1"/>
  <c r="FJ133" i="6" s="1"/>
  <c r="GZ64" i="5"/>
  <c r="GY64" i="5" s="1"/>
  <c r="GZ75" i="5"/>
  <c r="GY75" i="5" s="1"/>
  <c r="FI140" i="6" s="1"/>
  <c r="FJ140" i="6" s="1"/>
  <c r="GZ71" i="5"/>
  <c r="GY71" i="5" s="1"/>
  <c r="FI136" i="6" s="1"/>
  <c r="FJ136" i="6" s="1"/>
  <c r="GZ67" i="5"/>
  <c r="GY67" i="5" s="1"/>
  <c r="FI132" i="6" s="1"/>
  <c r="FJ132" i="6" s="1"/>
  <c r="GZ63" i="5"/>
  <c r="GY63" i="5" s="1"/>
  <c r="GZ74" i="5"/>
  <c r="GY74" i="5" s="1"/>
  <c r="FI139" i="6" s="1"/>
  <c r="FJ139" i="6" s="1"/>
  <c r="GZ70" i="5"/>
  <c r="GY70" i="5" s="1"/>
  <c r="FI135" i="6" s="1"/>
  <c r="FJ135" i="6" s="1"/>
  <c r="GZ66" i="5"/>
  <c r="GY66" i="5" s="1"/>
  <c r="GZ77" i="5"/>
  <c r="GY77" i="5" s="1"/>
  <c r="FI142" i="6" s="1"/>
  <c r="FJ142" i="6" s="1"/>
  <c r="GZ65" i="5"/>
  <c r="GY65" i="5" s="1"/>
  <c r="GZ69" i="5"/>
  <c r="GY69" i="5" s="1"/>
  <c r="FI134" i="6" s="1"/>
  <c r="FJ134" i="6" s="1"/>
  <c r="GZ61" i="5"/>
  <c r="GY61" i="5" s="1"/>
  <c r="GZ73" i="5"/>
  <c r="GY73" i="5" s="1"/>
  <c r="FI138" i="6" s="1"/>
  <c r="FJ138" i="6" s="1"/>
  <c r="GZ62" i="5"/>
  <c r="GY62" i="5" s="1"/>
  <c r="W30" i="7"/>
  <c r="V30" i="7"/>
  <c r="FK55" i="5"/>
  <c r="FK78" i="5" s="1"/>
  <c r="T113" i="6" s="1"/>
  <c r="T102" i="6" s="1"/>
  <c r="C16" i="7" s="1"/>
  <c r="FL55" i="5"/>
  <c r="FL78" i="5" s="1"/>
  <c r="FM57" i="5" s="1"/>
  <c r="FG55" i="5"/>
  <c r="FG78" i="5" s="1"/>
  <c r="T116" i="6" s="1"/>
  <c r="T105" i="6" s="1"/>
  <c r="GZ57" i="5"/>
  <c r="GY57" i="5" s="1"/>
  <c r="GZ58" i="5"/>
  <c r="GY58" i="5" s="1"/>
  <c r="GZ56" i="5"/>
  <c r="GY56" i="5" s="1"/>
  <c r="GZ59" i="5"/>
  <c r="GY59" i="5" s="1"/>
  <c r="GZ60" i="5"/>
  <c r="GY60" i="5" s="1"/>
  <c r="GZ55" i="5"/>
  <c r="FF55" i="5"/>
  <c r="FE55" i="5"/>
  <c r="FB78" i="5"/>
  <c r="EV121" i="6" l="1"/>
  <c r="EU135" i="6"/>
  <c r="FB133" i="6"/>
  <c r="ET126" i="6"/>
  <c r="EV126" i="6" s="1"/>
  <c r="ET129" i="6"/>
  <c r="EV129" i="6" s="1"/>
  <c r="FD133" i="6"/>
  <c r="EO120" i="6"/>
  <c r="EN144" i="6"/>
  <c r="EN143" i="6"/>
  <c r="FH121" i="6"/>
  <c r="FI121" i="6" s="1"/>
  <c r="FJ121" i="6" s="1"/>
  <c r="FH130" i="6"/>
  <c r="FI130" i="6" s="1"/>
  <c r="FJ130" i="6" s="1"/>
  <c r="FH140" i="6"/>
  <c r="FH123" i="6"/>
  <c r="FI123" i="6" s="1"/>
  <c r="FJ123" i="6" s="1"/>
  <c r="FH142" i="6"/>
  <c r="FH129" i="6"/>
  <c r="FI129" i="6" s="1"/>
  <c r="FJ129" i="6" s="1"/>
  <c r="FH122" i="6"/>
  <c r="FI122" i="6" s="1"/>
  <c r="FJ122" i="6" s="1"/>
  <c r="FH126" i="6"/>
  <c r="FI126" i="6" s="1"/>
  <c r="FJ126" i="6" s="1"/>
  <c r="FH131" i="6"/>
  <c r="FI131" i="6" s="1"/>
  <c r="FJ131" i="6" s="1"/>
  <c r="FH132" i="6"/>
  <c r="FH133" i="6"/>
  <c r="FH127" i="6"/>
  <c r="FI127" i="6" s="1"/>
  <c r="FJ127" i="6" s="1"/>
  <c r="FH139" i="6"/>
  <c r="FH141" i="6"/>
  <c r="FH138" i="6"/>
  <c r="FH128" i="6"/>
  <c r="FI128" i="6" s="1"/>
  <c r="FJ128" i="6" s="1"/>
  <c r="FH125" i="6"/>
  <c r="FI125" i="6" s="1"/>
  <c r="FJ125" i="6" s="1"/>
  <c r="FH124" i="6"/>
  <c r="FI124" i="6" s="1"/>
  <c r="FJ124" i="6" s="1"/>
  <c r="FH134" i="6"/>
  <c r="FH135" i="6"/>
  <c r="FH136" i="6"/>
  <c r="FH137" i="6"/>
  <c r="EV122" i="6"/>
  <c r="FB122" i="6"/>
  <c r="EZ122" i="6"/>
  <c r="FD122" i="6"/>
  <c r="FD130" i="6"/>
  <c r="FB130" i="6"/>
  <c r="EZ130" i="6"/>
  <c r="FB136" i="6"/>
  <c r="FD136" i="6"/>
  <c r="EZ136" i="6"/>
  <c r="EZ127" i="6"/>
  <c r="FB127" i="6"/>
  <c r="FD127" i="6"/>
  <c r="EV125" i="6"/>
  <c r="EZ125" i="6"/>
  <c r="FD125" i="6"/>
  <c r="FB125" i="6"/>
  <c r="FD135" i="6"/>
  <c r="EZ135" i="6"/>
  <c r="FB135" i="6"/>
  <c r="FB132" i="6"/>
  <c r="EZ132" i="6"/>
  <c r="FD132" i="6"/>
  <c r="FD134" i="6"/>
  <c r="EZ134" i="6"/>
  <c r="FB134" i="6"/>
  <c r="EU122" i="6"/>
  <c r="EZ124" i="6"/>
  <c r="FD124" i="6"/>
  <c r="FB124" i="6"/>
  <c r="EZ141" i="6"/>
  <c r="FB141" i="6"/>
  <c r="FD141" i="6"/>
  <c r="EZ137" i="6"/>
  <c r="FB137" i="6"/>
  <c r="FD137" i="6"/>
  <c r="EU142" i="6"/>
  <c r="EZ142" i="6"/>
  <c r="FB142" i="6"/>
  <c r="FD142" i="6"/>
  <c r="EU138" i="6"/>
  <c r="EZ138" i="6"/>
  <c r="FD138" i="6"/>
  <c r="FB138" i="6"/>
  <c r="EU140" i="6"/>
  <c r="FB140" i="6"/>
  <c r="FD140" i="6"/>
  <c r="EZ140" i="6"/>
  <c r="EZ123" i="6"/>
  <c r="FB123" i="6"/>
  <c r="FD123" i="6"/>
  <c r="EZ128" i="6"/>
  <c r="FD128" i="6"/>
  <c r="FB128" i="6"/>
  <c r="FB126" i="6"/>
  <c r="EZ126" i="6"/>
  <c r="FD126" i="6"/>
  <c r="FD129" i="6"/>
  <c r="FB129" i="6"/>
  <c r="EZ129" i="6"/>
  <c r="EU139" i="6"/>
  <c r="FD139" i="6"/>
  <c r="EZ139" i="6"/>
  <c r="FB139" i="6"/>
  <c r="EV131" i="6"/>
  <c r="EZ131" i="6"/>
  <c r="FB131" i="6"/>
  <c r="FD131" i="6"/>
  <c r="FD121" i="6"/>
  <c r="FB121" i="6"/>
  <c r="EZ121" i="6"/>
  <c r="EJ136" i="6"/>
  <c r="EJ139" i="6"/>
  <c r="EJ129" i="6"/>
  <c r="EJ124" i="6"/>
  <c r="EJ131" i="6"/>
  <c r="EJ140" i="6"/>
  <c r="EJ134" i="6"/>
  <c r="EJ133" i="6"/>
  <c r="EJ132" i="6"/>
  <c r="EJ121" i="6"/>
  <c r="EJ130" i="6"/>
  <c r="EJ123" i="6"/>
  <c r="EJ138" i="6"/>
  <c r="EJ141" i="6"/>
  <c r="EJ127" i="6"/>
  <c r="EJ122" i="6"/>
  <c r="EJ126" i="6"/>
  <c r="EJ142" i="6"/>
  <c r="EJ135" i="6"/>
  <c r="EJ137" i="6"/>
  <c r="EJ125" i="6"/>
  <c r="EJ128" i="6"/>
  <c r="EJ120" i="6"/>
  <c r="EV140" i="6"/>
  <c r="AF30" i="7"/>
  <c r="AT30" i="7"/>
  <c r="AT15" i="7"/>
  <c r="AS15" i="7" s="1"/>
  <c r="AN15" i="7" s="1"/>
  <c r="BA15" i="7" s="1"/>
  <c r="BG15" i="7" s="1"/>
  <c r="EU131" i="6"/>
  <c r="EV139" i="6"/>
  <c r="EV138" i="6"/>
  <c r="EV142" i="6"/>
  <c r="EU125" i="6"/>
  <c r="FM142" i="6"/>
  <c r="FL142" i="6"/>
  <c r="FL128" i="6"/>
  <c r="FM128" i="6"/>
  <c r="FM129" i="6"/>
  <c r="FL129" i="6"/>
  <c r="EW140" i="6"/>
  <c r="EX140" i="6"/>
  <c r="EW141" i="6"/>
  <c r="EX141" i="6"/>
  <c r="EX137" i="6"/>
  <c r="EW137" i="6"/>
  <c r="EM144" i="6"/>
  <c r="EM143" i="6"/>
  <c r="EW138" i="6"/>
  <c r="EX138" i="6"/>
  <c r="FM125" i="6"/>
  <c r="FL125" i="6"/>
  <c r="FM122" i="6"/>
  <c r="FL122" i="6"/>
  <c r="FM126" i="6"/>
  <c r="FL126" i="6"/>
  <c r="FL132" i="6"/>
  <c r="FM132" i="6"/>
  <c r="EW125" i="6"/>
  <c r="EX125" i="6"/>
  <c r="EW142" i="6"/>
  <c r="EX142" i="6"/>
  <c r="EV123" i="6"/>
  <c r="EU123" i="6"/>
  <c r="EV127" i="6"/>
  <c r="EU127" i="6"/>
  <c r="EU128" i="6"/>
  <c r="EV128" i="6"/>
  <c r="FL124" i="6"/>
  <c r="FM124" i="6"/>
  <c r="FM134" i="6"/>
  <c r="FL134" i="6"/>
  <c r="FM135" i="6"/>
  <c r="FL135" i="6"/>
  <c r="FL136" i="6"/>
  <c r="FM136" i="6"/>
  <c r="FM137" i="6"/>
  <c r="FL137" i="6"/>
  <c r="EX123" i="6"/>
  <c r="EW123" i="6"/>
  <c r="EW124" i="6"/>
  <c r="EX124" i="6"/>
  <c r="EW127" i="6"/>
  <c r="EX127" i="6"/>
  <c r="EU136" i="6"/>
  <c r="EV136" i="6"/>
  <c r="EX132" i="6"/>
  <c r="EW132" i="6"/>
  <c r="EX121" i="6"/>
  <c r="EW121" i="6"/>
  <c r="EX129" i="6"/>
  <c r="EW129" i="6"/>
  <c r="ES120" i="6"/>
  <c r="ET120" i="6" s="1"/>
  <c r="EX139" i="6"/>
  <c r="EW139" i="6"/>
  <c r="FM123" i="6"/>
  <c r="FL123" i="6"/>
  <c r="FM138" i="6"/>
  <c r="FL138" i="6"/>
  <c r="EU130" i="6"/>
  <c r="EV130" i="6"/>
  <c r="EX136" i="6"/>
  <c r="EW136" i="6"/>
  <c r="EW134" i="6"/>
  <c r="EX134" i="6"/>
  <c r="FM131" i="6"/>
  <c r="FL131" i="6"/>
  <c r="FM133" i="6"/>
  <c r="FL133" i="6"/>
  <c r="EU134" i="6"/>
  <c r="EV134" i="6"/>
  <c r="EX133" i="6"/>
  <c r="EW133" i="6"/>
  <c r="EW130" i="6"/>
  <c r="EX130" i="6"/>
  <c r="EX131" i="6"/>
  <c r="EW131" i="6"/>
  <c r="FM121" i="6"/>
  <c r="FL121" i="6"/>
  <c r="FM127" i="6"/>
  <c r="FL127" i="6"/>
  <c r="FM130" i="6"/>
  <c r="FL130" i="6"/>
  <c r="FM139" i="6"/>
  <c r="FL139" i="6"/>
  <c r="FL140" i="6"/>
  <c r="FM140" i="6"/>
  <c r="FM141" i="6"/>
  <c r="FL141" i="6"/>
  <c r="EU132" i="6"/>
  <c r="EV132" i="6"/>
  <c r="EW135" i="6"/>
  <c r="EX135" i="6"/>
  <c r="EW126" i="6"/>
  <c r="EX126" i="6"/>
  <c r="EU124" i="6"/>
  <c r="EV124" i="6"/>
  <c r="EU141" i="6"/>
  <c r="EV141" i="6"/>
  <c r="EU137" i="6"/>
  <c r="EV137" i="6"/>
  <c r="EX128" i="6"/>
  <c r="EW128" i="6"/>
  <c r="EW122" i="6"/>
  <c r="EX122" i="6"/>
  <c r="FF78" i="5"/>
  <c r="T107" i="6" s="1"/>
  <c r="T96" i="6" s="1"/>
  <c r="J31" i="7" s="1"/>
  <c r="FE78" i="5"/>
  <c r="T108" i="6" s="1"/>
  <c r="T97" i="6" s="1"/>
  <c r="I31" i="7" s="1"/>
  <c r="FM58" i="5"/>
  <c r="FM71" i="5"/>
  <c r="FM69" i="5"/>
  <c r="FM65" i="5"/>
  <c r="FM64" i="5"/>
  <c r="FM61" i="5"/>
  <c r="FM76" i="5"/>
  <c r="FM63" i="5"/>
  <c r="FM67" i="5"/>
  <c r="FM74" i="5"/>
  <c r="FM75" i="5"/>
  <c r="FM77" i="5"/>
  <c r="FM68" i="5"/>
  <c r="FM73" i="5"/>
  <c r="FM59" i="5"/>
  <c r="FM70" i="5"/>
  <c r="FM72" i="5"/>
  <c r="FM62" i="5"/>
  <c r="FM66" i="5"/>
  <c r="HH64" i="5"/>
  <c r="HB64" i="5"/>
  <c r="HC64" i="5"/>
  <c r="HD64" i="5"/>
  <c r="HI64" i="5"/>
  <c r="HH77" i="5"/>
  <c r="HI77" i="5"/>
  <c r="HB77" i="5"/>
  <c r="HD77" i="5"/>
  <c r="HC77" i="5"/>
  <c r="HH61" i="5"/>
  <c r="HC61" i="5"/>
  <c r="HI61" i="5"/>
  <c r="HD61" i="5"/>
  <c r="HB61" i="5"/>
  <c r="HH67" i="5"/>
  <c r="HB67" i="5"/>
  <c r="HI67" i="5"/>
  <c r="HC67" i="5"/>
  <c r="HD67" i="5"/>
  <c r="HH69" i="5"/>
  <c r="HB69" i="5"/>
  <c r="HC69" i="5"/>
  <c r="HD69" i="5"/>
  <c r="HI69" i="5"/>
  <c r="HH70" i="5"/>
  <c r="HI70" i="5"/>
  <c r="HB70" i="5"/>
  <c r="HC70" i="5"/>
  <c r="HD70" i="5"/>
  <c r="HH71" i="5"/>
  <c r="HC71" i="5"/>
  <c r="HI71" i="5"/>
  <c r="HD71" i="5"/>
  <c r="HB71" i="5"/>
  <c r="HH72" i="5"/>
  <c r="HB72" i="5"/>
  <c r="HI72" i="5"/>
  <c r="HC72" i="5"/>
  <c r="HD72" i="5"/>
  <c r="HH73" i="5"/>
  <c r="HI73" i="5"/>
  <c r="HB73" i="5"/>
  <c r="HC73" i="5"/>
  <c r="HD73" i="5"/>
  <c r="HH63" i="5"/>
  <c r="HD63" i="5"/>
  <c r="HB63" i="5"/>
  <c r="HI63" i="5"/>
  <c r="HC63" i="5"/>
  <c r="HH66" i="5"/>
  <c r="HB66" i="5"/>
  <c r="HI66" i="5"/>
  <c r="HC66" i="5"/>
  <c r="HD66" i="5"/>
  <c r="HH68" i="5"/>
  <c r="HB68" i="5"/>
  <c r="HD68" i="5"/>
  <c r="HC68" i="5"/>
  <c r="HI68" i="5"/>
  <c r="HH62" i="5"/>
  <c r="HD62" i="5"/>
  <c r="HI62" i="5"/>
  <c r="HB62" i="5"/>
  <c r="HC62" i="5"/>
  <c r="HH65" i="5"/>
  <c r="HB65" i="5"/>
  <c r="HC65" i="5"/>
  <c r="HI65" i="5"/>
  <c r="HD65" i="5"/>
  <c r="HH74" i="5"/>
  <c r="HD74" i="5"/>
  <c r="HI74" i="5"/>
  <c r="HC74" i="5"/>
  <c r="HB74" i="5"/>
  <c r="HH75" i="5"/>
  <c r="HB75" i="5"/>
  <c r="HI75" i="5"/>
  <c r="HC75" i="5"/>
  <c r="HD75" i="5"/>
  <c r="HH76" i="5"/>
  <c r="HD76" i="5"/>
  <c r="HI76" i="5"/>
  <c r="HC76" i="5"/>
  <c r="HB76" i="5"/>
  <c r="FM55" i="5"/>
  <c r="HH60" i="5"/>
  <c r="HH59" i="5"/>
  <c r="HH56" i="5"/>
  <c r="HH58" i="5"/>
  <c r="HH57" i="5"/>
  <c r="FM60" i="5"/>
  <c r="FM56" i="5"/>
  <c r="FC52" i="5"/>
  <c r="T111" i="6" s="1"/>
  <c r="T114" i="6"/>
  <c r="T103" i="6" s="1"/>
  <c r="D16" i="7" s="1"/>
  <c r="HI58" i="5"/>
  <c r="HI60" i="5"/>
  <c r="HI57" i="5"/>
  <c r="HI56" i="5"/>
  <c r="HI59" i="5"/>
  <c r="HD56" i="5"/>
  <c r="HD60" i="5"/>
  <c r="HD57" i="5"/>
  <c r="HD59" i="5"/>
  <c r="HD58" i="5"/>
  <c r="HB59" i="5"/>
  <c r="HC59" i="5"/>
  <c r="HB56" i="5"/>
  <c r="HC56" i="5"/>
  <c r="GY55" i="5"/>
  <c r="GZ78" i="5"/>
  <c r="HB58" i="5"/>
  <c r="HC58" i="5"/>
  <c r="HB60" i="5"/>
  <c r="HC60" i="5"/>
  <c r="HB57" i="5"/>
  <c r="HC57" i="5"/>
  <c r="EU129" i="6" l="1"/>
  <c r="EU126" i="6"/>
  <c r="EO144" i="6"/>
  <c r="EO143" i="6"/>
  <c r="FH120" i="6"/>
  <c r="FI120" i="6" s="1"/>
  <c r="FD120" i="6"/>
  <c r="FB120" i="6"/>
  <c r="EZ120" i="6"/>
  <c r="EZ143" i="6" s="1"/>
  <c r="AR30" i="7"/>
  <c r="AS30" i="7"/>
  <c r="EJ143" i="6"/>
  <c r="BO122" i="6" s="1"/>
  <c r="AJ15" i="7" s="1"/>
  <c r="AO15" i="7" s="1"/>
  <c r="BB15" i="7" s="1"/>
  <c r="BH15" i="7" s="1"/>
  <c r="FN135" i="6"/>
  <c r="FO135" i="6" s="1"/>
  <c r="FN127" i="6"/>
  <c r="FO127" i="6" s="1"/>
  <c r="FN131" i="6"/>
  <c r="FO131" i="6" s="1"/>
  <c r="FP131" i="6" s="1"/>
  <c r="FN138" i="6"/>
  <c r="FO138" i="6" s="1"/>
  <c r="FN141" i="6"/>
  <c r="FO141" i="6" s="1"/>
  <c r="FN132" i="6"/>
  <c r="FO132" i="6" s="1"/>
  <c r="FD143" i="6"/>
  <c r="FD145" i="6" s="1"/>
  <c r="FN124" i="6"/>
  <c r="FO124" i="6" s="1"/>
  <c r="FN123" i="6"/>
  <c r="FO123" i="6" s="1"/>
  <c r="FN122" i="6"/>
  <c r="FO122" i="6" s="1"/>
  <c r="FN128" i="6"/>
  <c r="FO128" i="6" s="1"/>
  <c r="FN133" i="6"/>
  <c r="FO133" i="6" s="1"/>
  <c r="FN137" i="6"/>
  <c r="FO137" i="6" s="1"/>
  <c r="FN134" i="6"/>
  <c r="FO134" i="6" s="1"/>
  <c r="FQ124" i="6"/>
  <c r="FN126" i="6"/>
  <c r="FO126" i="6" s="1"/>
  <c r="FN142" i="6"/>
  <c r="FO142" i="6" s="1"/>
  <c r="FN139" i="6"/>
  <c r="FO139" i="6" s="1"/>
  <c r="FN130" i="6"/>
  <c r="FO130" i="6" s="1"/>
  <c r="EU120" i="6"/>
  <c r="EU143" i="6" s="1"/>
  <c r="EU145" i="6" s="1"/>
  <c r="EV120" i="6"/>
  <c r="EV143" i="6" s="1"/>
  <c r="EV145" i="6" s="1"/>
  <c r="EX120" i="6"/>
  <c r="EX143" i="6" s="1"/>
  <c r="EW120" i="6"/>
  <c r="EW143" i="6" s="1"/>
  <c r="EP144" i="6"/>
  <c r="EP143" i="6"/>
  <c r="FB143" i="6"/>
  <c r="FL120" i="6"/>
  <c r="FM120" i="6"/>
  <c r="FN140" i="6"/>
  <c r="FO140" i="6" s="1"/>
  <c r="FN121" i="6"/>
  <c r="FO121" i="6" s="1"/>
  <c r="FN136" i="6"/>
  <c r="FO136" i="6" s="1"/>
  <c r="FN125" i="6"/>
  <c r="FO125" i="6" s="1"/>
  <c r="FN129" i="6"/>
  <c r="FO129" i="6" s="1"/>
  <c r="HH55" i="5"/>
  <c r="HH78" i="5" s="1"/>
  <c r="Z113" i="6" s="1"/>
  <c r="Z102" i="6" s="1"/>
  <c r="C17" i="7" s="1"/>
  <c r="FM78" i="5"/>
  <c r="T115" i="6" s="1"/>
  <c r="T104" i="6" s="1"/>
  <c r="G16" i="7" s="1"/>
  <c r="T100" i="6"/>
  <c r="T110" i="6"/>
  <c r="T99" i="6" s="1"/>
  <c r="K31" i="7" s="1"/>
  <c r="T109" i="6"/>
  <c r="T98" i="6" s="1"/>
  <c r="L31" i="7" s="1"/>
  <c r="HI55" i="5"/>
  <c r="HI78" i="5" s="1"/>
  <c r="HJ57" i="5" s="1"/>
  <c r="HD55" i="5"/>
  <c r="HD78" i="5" s="1"/>
  <c r="Z116" i="6" s="1"/>
  <c r="Z105" i="6" s="1"/>
  <c r="HC55" i="5"/>
  <c r="HB55" i="5"/>
  <c r="GY78" i="5"/>
  <c r="FJ120" i="6" l="1"/>
  <c r="FI143" i="6"/>
  <c r="FI144" i="6"/>
  <c r="FP122" i="6"/>
  <c r="FY122" i="6"/>
  <c r="FU122" i="6"/>
  <c r="FW122" i="6"/>
  <c r="FP132" i="6"/>
  <c r="FY132" i="6"/>
  <c r="FU132" i="6"/>
  <c r="FW132" i="6"/>
  <c r="FQ127" i="6"/>
  <c r="FW127" i="6"/>
  <c r="FU127" i="6"/>
  <c r="FY127" i="6"/>
  <c r="FY129" i="6"/>
  <c r="FU129" i="6"/>
  <c r="FW129" i="6"/>
  <c r="FU130" i="6"/>
  <c r="FY130" i="6"/>
  <c r="FW130" i="6"/>
  <c r="FP137" i="6"/>
  <c r="FW137" i="6"/>
  <c r="FY137" i="6"/>
  <c r="FU137" i="6"/>
  <c r="FQ141" i="6"/>
  <c r="FW141" i="6"/>
  <c r="FY141" i="6"/>
  <c r="FU141" i="6"/>
  <c r="FU121" i="6"/>
  <c r="FY121" i="6"/>
  <c r="FW121" i="6"/>
  <c r="FU139" i="6"/>
  <c r="FW139" i="6"/>
  <c r="FY139" i="6"/>
  <c r="FQ133" i="6"/>
  <c r="FW133" i="6"/>
  <c r="FY133" i="6"/>
  <c r="FU133" i="6"/>
  <c r="FP124" i="6"/>
  <c r="FU124" i="6"/>
  <c r="FY124" i="6"/>
  <c r="FW124" i="6"/>
  <c r="FQ138" i="6"/>
  <c r="FU138" i="6"/>
  <c r="FW138" i="6"/>
  <c r="FY138" i="6"/>
  <c r="FY136" i="6"/>
  <c r="FU136" i="6"/>
  <c r="FW136" i="6"/>
  <c r="FW126" i="6"/>
  <c r="FY126" i="6"/>
  <c r="FU126" i="6"/>
  <c r="FP123" i="6"/>
  <c r="FU123" i="6"/>
  <c r="FW123" i="6"/>
  <c r="FY123" i="6"/>
  <c r="FP135" i="6"/>
  <c r="FW135" i="6"/>
  <c r="FY135" i="6"/>
  <c r="FU135" i="6"/>
  <c r="FU125" i="6"/>
  <c r="FY125" i="6"/>
  <c r="FW125" i="6"/>
  <c r="FY140" i="6"/>
  <c r="FU140" i="6"/>
  <c r="FW140" i="6"/>
  <c r="FQ132" i="6"/>
  <c r="FU142" i="6"/>
  <c r="FW142" i="6"/>
  <c r="FY142" i="6"/>
  <c r="FU134" i="6"/>
  <c r="FW134" i="6"/>
  <c r="FY134" i="6"/>
  <c r="FQ128" i="6"/>
  <c r="FU128" i="6"/>
  <c r="FY128" i="6"/>
  <c r="FW128" i="6"/>
  <c r="FQ131" i="6"/>
  <c r="FW131" i="6"/>
  <c r="FY131" i="6"/>
  <c r="FU131" i="6"/>
  <c r="FQ135" i="6"/>
  <c r="EJ145" i="6"/>
  <c r="AK30" i="7"/>
  <c r="AX30" i="7" s="1"/>
  <c r="BD30" i="7" s="1"/>
  <c r="AL30" i="7"/>
  <c r="AY30" i="7" s="1"/>
  <c r="BE30" i="7" s="1"/>
  <c r="AM30" i="7"/>
  <c r="AZ30" i="7" s="1"/>
  <c r="BF30" i="7" s="1"/>
  <c r="EW145" i="6"/>
  <c r="BO128" i="6"/>
  <c r="AD31" i="7" s="1"/>
  <c r="FB145" i="6"/>
  <c r="BO131" i="6"/>
  <c r="AG16" i="7" s="1"/>
  <c r="EX145" i="6"/>
  <c r="BO129" i="6"/>
  <c r="AE31" i="7" s="1"/>
  <c r="EZ145" i="6"/>
  <c r="BO130" i="6"/>
  <c r="AE16" i="7" s="1"/>
  <c r="FP127" i="6"/>
  <c r="FP128" i="6"/>
  <c r="FP138" i="6"/>
  <c r="FD148" i="6"/>
  <c r="BO133" i="6" s="1"/>
  <c r="FQ123" i="6"/>
  <c r="FP141" i="6"/>
  <c r="FQ122" i="6"/>
  <c r="FP133" i="6"/>
  <c r="FQ137" i="6"/>
  <c r="FP125" i="6"/>
  <c r="FQ125" i="6"/>
  <c r="FQ136" i="6"/>
  <c r="FP136" i="6"/>
  <c r="FR125" i="6"/>
  <c r="FS125" i="6"/>
  <c r="FH143" i="6"/>
  <c r="FH144" i="6"/>
  <c r="FS126" i="6"/>
  <c r="FR126" i="6"/>
  <c r="FS122" i="6"/>
  <c r="FR122" i="6"/>
  <c r="FP134" i="6"/>
  <c r="FQ134" i="6"/>
  <c r="FS138" i="6"/>
  <c r="FR138" i="6"/>
  <c r="FR130" i="6"/>
  <c r="FS130" i="6"/>
  <c r="FR128" i="6"/>
  <c r="FS128" i="6"/>
  <c r="FS137" i="6"/>
  <c r="FR137" i="6"/>
  <c r="FR131" i="6"/>
  <c r="FS131" i="6"/>
  <c r="FS121" i="6"/>
  <c r="FR121" i="6"/>
  <c r="FN120" i="6"/>
  <c r="FO120" i="6" s="1"/>
  <c r="FR124" i="6"/>
  <c r="FS124" i="6"/>
  <c r="FS134" i="6"/>
  <c r="FR134" i="6"/>
  <c r="FP130" i="6"/>
  <c r="FQ130" i="6"/>
  <c r="FP126" i="6"/>
  <c r="FQ126" i="6"/>
  <c r="FR136" i="6"/>
  <c r="FS136" i="6"/>
  <c r="FR140" i="6"/>
  <c r="FS140" i="6"/>
  <c r="FP129" i="6"/>
  <c r="FQ129" i="6"/>
  <c r="FS123" i="6"/>
  <c r="FR123" i="6"/>
  <c r="FR133" i="6"/>
  <c r="FS133" i="6"/>
  <c r="FQ140" i="6"/>
  <c r="FP140" i="6"/>
  <c r="FS129" i="6"/>
  <c r="FR129" i="6"/>
  <c r="FS139" i="6"/>
  <c r="FR139" i="6"/>
  <c r="FS142" i="6"/>
  <c r="FR142" i="6"/>
  <c r="FS135" i="6"/>
  <c r="FR135" i="6"/>
  <c r="FQ139" i="6"/>
  <c r="FP139" i="6"/>
  <c r="FR132" i="6"/>
  <c r="FS132" i="6"/>
  <c r="FP121" i="6"/>
  <c r="FQ121" i="6"/>
  <c r="FR141" i="6"/>
  <c r="FS141" i="6"/>
  <c r="FP142" i="6"/>
  <c r="FQ142" i="6"/>
  <c r="FS127" i="6"/>
  <c r="FR127" i="6"/>
  <c r="HB78" i="5"/>
  <c r="Z108" i="6" s="1"/>
  <c r="Z97" i="6" s="1"/>
  <c r="I32" i="7" s="1"/>
  <c r="HC78" i="5"/>
  <c r="Z107" i="6" s="1"/>
  <c r="Z96" i="6" s="1"/>
  <c r="J32" i="7" s="1"/>
  <c r="N16" i="7"/>
  <c r="X16" i="7" s="1"/>
  <c r="M31" i="7"/>
  <c r="U31" i="7" s="1"/>
  <c r="HJ58" i="5"/>
  <c r="HJ64" i="5"/>
  <c r="HJ65" i="5"/>
  <c r="HJ69" i="5"/>
  <c r="HJ62" i="5"/>
  <c r="HJ74" i="5"/>
  <c r="HJ76" i="5"/>
  <c r="HJ77" i="5"/>
  <c r="HJ67" i="5"/>
  <c r="HJ70" i="5"/>
  <c r="HJ72" i="5"/>
  <c r="HJ63" i="5"/>
  <c r="HJ59" i="5"/>
  <c r="HJ68" i="5"/>
  <c r="HJ75" i="5"/>
  <c r="HJ61" i="5"/>
  <c r="HJ71" i="5"/>
  <c r="HJ73" i="5"/>
  <c r="HJ66" i="5"/>
  <c r="HJ60" i="5"/>
  <c r="HJ56" i="5"/>
  <c r="HJ55" i="5"/>
  <c r="Z114" i="6"/>
  <c r="Z103" i="6" s="1"/>
  <c r="D17" i="7" s="1"/>
  <c r="GZ52" i="5"/>
  <c r="Z111" i="6" s="1"/>
  <c r="FJ143" i="6" l="1"/>
  <c r="FJ144" i="6"/>
  <c r="FU120" i="6"/>
  <c r="FU143" i="6" s="1"/>
  <c r="FY120" i="6"/>
  <c r="FY143" i="6" s="1"/>
  <c r="FY145" i="6" s="1"/>
  <c r="FW120" i="6"/>
  <c r="FW143" i="6" s="1"/>
  <c r="FE121" i="6"/>
  <c r="FE125" i="6"/>
  <c r="FE129" i="6"/>
  <c r="FE133" i="6"/>
  <c r="FE137" i="6"/>
  <c r="FE141" i="6"/>
  <c r="FE122" i="6"/>
  <c r="FE126" i="6"/>
  <c r="FE130" i="6"/>
  <c r="FE134" i="6"/>
  <c r="FE138" i="6"/>
  <c r="FE142" i="6"/>
  <c r="FE123" i="6"/>
  <c r="FE127" i="6"/>
  <c r="FE131" i="6"/>
  <c r="FE135" i="6"/>
  <c r="FE139" i="6"/>
  <c r="FE120" i="6"/>
  <c r="FE124" i="6"/>
  <c r="FE128" i="6"/>
  <c r="FE132" i="6"/>
  <c r="FE136" i="6"/>
  <c r="FE140" i="6"/>
  <c r="AT31" i="7"/>
  <c r="AF31" i="7"/>
  <c r="AT16" i="7"/>
  <c r="AS16" i="7" s="1"/>
  <c r="AN16" i="7" s="1"/>
  <c r="BA16" i="7" s="1"/>
  <c r="BG16" i="7" s="1"/>
  <c r="FQ120" i="6"/>
  <c r="FQ143" i="6" s="1"/>
  <c r="FQ145" i="6" s="1"/>
  <c r="FP120" i="6"/>
  <c r="FP143" i="6" s="1"/>
  <c r="FP145" i="6" s="1"/>
  <c r="FS120" i="6"/>
  <c r="FS143" i="6" s="1"/>
  <c r="FR120" i="6"/>
  <c r="FR143" i="6" s="1"/>
  <c r="FK143" i="6"/>
  <c r="FK144" i="6"/>
  <c r="Y16" i="7"/>
  <c r="V31" i="7"/>
  <c r="W31" i="7"/>
  <c r="Z100" i="6"/>
  <c r="Z110" i="6"/>
  <c r="Z99" i="6" s="1"/>
  <c r="K32" i="7" s="1"/>
  <c r="Z109" i="6"/>
  <c r="Z98" i="6" s="1"/>
  <c r="L32" i="7" s="1"/>
  <c r="P32" i="7" s="1"/>
  <c r="HJ78" i="5"/>
  <c r="Z115" i="6" s="1"/>
  <c r="Z104" i="6" s="1"/>
  <c r="G17" i="7" s="1"/>
  <c r="V78" i="5"/>
  <c r="FY148" i="6" l="1"/>
  <c r="BO143" i="6" s="1"/>
  <c r="AF32" i="7" s="1"/>
  <c r="FE143" i="6"/>
  <c r="FE145" i="6" s="1"/>
  <c r="AR31" i="7"/>
  <c r="AS31" i="7"/>
  <c r="FU145" i="6"/>
  <c r="BO140" i="6"/>
  <c r="AE17" i="7" s="1"/>
  <c r="FW145" i="6"/>
  <c r="BO141" i="6"/>
  <c r="AG17" i="7" s="1"/>
  <c r="FS145" i="6"/>
  <c r="BO139" i="6"/>
  <c r="AE32" i="7" s="1"/>
  <c r="FR145" i="6"/>
  <c r="BO138" i="6"/>
  <c r="AD32" i="7" s="1"/>
  <c r="B115" i="6"/>
  <c r="B104" i="6" s="1"/>
  <c r="N17" i="7"/>
  <c r="X17" i="7" s="1"/>
  <c r="M32" i="7"/>
  <c r="U32" i="7" s="1"/>
  <c r="FZ121" i="6" l="1"/>
  <c r="FZ125" i="6"/>
  <c r="FZ129" i="6"/>
  <c r="FZ133" i="6"/>
  <c r="FZ137" i="6"/>
  <c r="FZ141" i="6"/>
  <c r="FZ123" i="6"/>
  <c r="FZ131" i="6"/>
  <c r="FZ139" i="6"/>
  <c r="FZ128" i="6"/>
  <c r="FZ136" i="6"/>
  <c r="FZ122" i="6"/>
  <c r="FZ126" i="6"/>
  <c r="FZ130" i="6"/>
  <c r="FZ134" i="6"/>
  <c r="FZ138" i="6"/>
  <c r="FZ142" i="6"/>
  <c r="FZ127" i="6"/>
  <c r="FZ135" i="6"/>
  <c r="FZ120" i="6"/>
  <c r="FZ124" i="6"/>
  <c r="FZ132" i="6"/>
  <c r="FZ140" i="6"/>
  <c r="AT17" i="7"/>
  <c r="AS17" i="7" s="1"/>
  <c r="AN17" i="7" s="1"/>
  <c r="BA17" i="7" s="1"/>
  <c r="BG17" i="7" s="1"/>
  <c r="AT32" i="7"/>
  <c r="AR32" i="7" s="1"/>
  <c r="BO132" i="6"/>
  <c r="AJ16" i="7" s="1"/>
  <c r="AO16" i="7" s="1"/>
  <c r="BB16" i="7" s="1"/>
  <c r="BH16" i="7" s="1"/>
  <c r="AK31" i="7"/>
  <c r="AX31" i="7" s="1"/>
  <c r="BD31" i="7" s="1"/>
  <c r="AL31" i="7"/>
  <c r="AY31" i="7" s="1"/>
  <c r="BE31" i="7" s="1"/>
  <c r="AM31" i="7"/>
  <c r="AZ31" i="7" s="1"/>
  <c r="BF31" i="7" s="1"/>
  <c r="G13" i="7"/>
  <c r="CT145" i="6"/>
  <c r="F6" i="7"/>
  <c r="AF6" i="7" s="1"/>
  <c r="Y17" i="7"/>
  <c r="W32" i="7"/>
  <c r="V32" i="7"/>
  <c r="AS32" i="7" l="1"/>
  <c r="AM32" i="7" s="1"/>
  <c r="AZ32" i="7" s="1"/>
  <c r="BF32" i="7" s="1"/>
  <c r="Y13" i="7"/>
  <c r="AJ13" i="7"/>
  <c r="AO13" i="7" s="1"/>
  <c r="FZ143" i="6"/>
  <c r="FZ145" i="6" s="1"/>
  <c r="F5" i="7"/>
  <c r="AF5" i="7" s="1"/>
  <c r="G12" i="16"/>
  <c r="H12" i="16"/>
  <c r="F3" i="7"/>
  <c r="AF3" i="7" s="1"/>
  <c r="F4" i="7"/>
  <c r="AF4" i="7" s="1"/>
  <c r="AL32" i="7" l="1"/>
  <c r="AY32" i="7" s="1"/>
  <c r="BE32" i="7" s="1"/>
  <c r="D12" i="16" s="1"/>
  <c r="AK32" i="7"/>
  <c r="AX32" i="7" s="1"/>
  <c r="BD32" i="7" s="1"/>
  <c r="F12" i="16" s="1"/>
  <c r="BB13" i="7"/>
  <c r="BH13" i="7" s="1"/>
  <c r="F7" i="7"/>
  <c r="BO142" i="6"/>
  <c r="AJ17" i="7" s="1"/>
  <c r="AO17" i="7" s="1"/>
  <c r="BB17" i="7" s="1"/>
  <c r="BH17" i="7" s="1"/>
  <c r="G21" i="16"/>
  <c r="R12" i="16"/>
  <c r="S12" i="16" s="1"/>
  <c r="S21" i="16" s="1"/>
  <c r="E12" i="16"/>
  <c r="C12" i="16"/>
  <c r="I12" i="16"/>
  <c r="J12" i="16"/>
  <c r="AF7" i="7" l="1"/>
  <c r="L12" i="16" s="1"/>
  <c r="K12" i="16"/>
  <c r="K21" i="16" s="1"/>
  <c r="H21" i="16"/>
  <c r="E21" i="16"/>
  <c r="P12" i="16"/>
  <c r="Q12" i="16" s="1"/>
  <c r="Q21" i="16" s="1"/>
  <c r="I21" i="16"/>
  <c r="T12" i="16"/>
  <c r="U12" i="16" s="1"/>
  <c r="U21" i="16" s="1"/>
  <c r="C21" i="16"/>
  <c r="N12" i="16"/>
  <c r="O12" i="16" s="1"/>
  <c r="O21" i="16" s="1"/>
  <c r="D21" i="16" l="1"/>
  <c r="V12" i="16"/>
  <c r="W12" i="16" s="1"/>
  <c r="W21" i="16" s="1"/>
  <c r="L21" i="16" s="1"/>
  <c r="F21" i="16"/>
  <c r="J21" i="16"/>
</calcChain>
</file>

<file path=xl/sharedStrings.xml><?xml version="1.0" encoding="utf-8"?>
<sst xmlns="http://schemas.openxmlformats.org/spreadsheetml/2006/main" count="6988" uniqueCount="1592">
  <si>
    <t>نوع محفظه احتراق</t>
  </si>
  <si>
    <r>
      <t xml:space="preserve"> (</t>
    </r>
    <r>
      <rPr>
        <b/>
        <sz val="10"/>
        <color theme="1"/>
        <rFont val="Times New Roman"/>
        <family val="1"/>
      </rPr>
      <t>MMBTU/hr</t>
    </r>
    <r>
      <rPr>
        <b/>
        <sz val="11"/>
        <color theme="1"/>
        <rFont val="B Nazanin"/>
        <charset val="178"/>
      </rPr>
      <t xml:space="preserve"> حرارت ورودی)</t>
    </r>
  </si>
  <si>
    <r>
      <t xml:space="preserve">آلاینده </t>
    </r>
    <r>
      <rPr>
        <b/>
        <sz val="10"/>
        <color theme="1"/>
        <rFont val="Times New Roman"/>
        <family val="1"/>
      </rPr>
      <t>NOx</t>
    </r>
  </si>
  <si>
    <r>
      <t xml:space="preserve">آلاینده </t>
    </r>
    <r>
      <rPr>
        <b/>
        <sz val="10"/>
        <color theme="1"/>
        <rFont val="Times New Roman"/>
        <family val="1"/>
      </rPr>
      <t>CO</t>
    </r>
  </si>
  <si>
    <t>ضریب انتشار</t>
  </si>
  <si>
    <r>
      <t>(</t>
    </r>
    <r>
      <rPr>
        <b/>
        <sz val="10"/>
        <color theme="1"/>
        <rFont val="Times New Roman"/>
        <family val="1"/>
      </rPr>
      <t>g/GJ</t>
    </r>
    <r>
      <rPr>
        <b/>
        <sz val="11"/>
        <color theme="1"/>
        <rFont val="B Nazanin"/>
        <charset val="178"/>
      </rPr>
      <t>)</t>
    </r>
  </si>
  <si>
    <t>رتبه عدم قطعیت</t>
  </si>
  <si>
    <r>
      <t>رتبه عدم قطعیت</t>
    </r>
    <r>
      <rPr>
        <b/>
        <vertAlign val="superscript"/>
        <sz val="11"/>
        <color theme="1"/>
        <rFont val="B Nazanin"/>
        <charset val="178"/>
      </rPr>
      <t>3</t>
    </r>
  </si>
  <si>
    <t>بویلرهای بزرگ با احتراق در دیواره بیشتر از 100 میلیون بی.تی.یو بر ساعت</t>
  </si>
  <si>
    <t xml:space="preserve">کنترل نشده </t>
  </si>
  <si>
    <t>A</t>
  </si>
  <si>
    <t>B</t>
  </si>
  <si>
    <r>
      <t xml:space="preserve">کنترل‌شده (مشعل‌هایی با </t>
    </r>
    <r>
      <rPr>
        <sz val="10"/>
        <color theme="1"/>
        <rFont val="Times New Roman"/>
        <family val="1"/>
      </rPr>
      <t>NOx</t>
    </r>
    <r>
      <rPr>
        <sz val="11"/>
        <color theme="1"/>
        <rFont val="B Nazanin"/>
        <charset val="178"/>
      </rPr>
      <t xml:space="preserve"> پایین)</t>
    </r>
  </si>
  <si>
    <t>کنترل‌شده (بازگشت محصولات احتراق)</t>
  </si>
  <si>
    <t>D</t>
  </si>
  <si>
    <t>بویلرهای کوچک کمتر از 100 میلیون بی.تی.یو بر ساعت</t>
  </si>
  <si>
    <t>کنترل‌نشده</t>
  </si>
  <si>
    <t>C</t>
  </si>
  <si>
    <t>احتراق مماسی (همه اندازه‌ها)</t>
  </si>
  <si>
    <r>
      <t>نکته 1:</t>
    </r>
    <r>
      <rPr>
        <sz val="10"/>
        <color theme="1"/>
        <rFont val="B Nazanin"/>
        <charset val="178"/>
      </rPr>
      <t xml:space="preserve"> </t>
    </r>
    <r>
      <rPr>
        <sz val="12"/>
        <color theme="1"/>
        <rFont val="B Nazanin"/>
        <charset val="178"/>
      </rPr>
      <t xml:space="preserve"> </t>
    </r>
    <r>
      <rPr>
        <sz val="11"/>
        <color theme="1"/>
        <rFont val="B Nazanin"/>
        <charset val="178"/>
      </rPr>
      <t xml:space="preserve">ضرائب ارائه شده در مرجع مربوطه برای سوخت گاز طبیعی و بر حسب </t>
    </r>
    <r>
      <rPr>
        <sz val="10"/>
        <color theme="1"/>
        <rFont val="Times New Roman"/>
        <family val="1"/>
      </rPr>
      <t>lb/10</t>
    </r>
    <r>
      <rPr>
        <vertAlign val="superscript"/>
        <sz val="10"/>
        <color theme="1"/>
        <rFont val="Times New Roman"/>
        <family val="1"/>
      </rPr>
      <t>6</t>
    </r>
    <r>
      <rPr>
        <sz val="10"/>
        <color theme="1"/>
        <rFont val="Times New Roman"/>
        <family val="1"/>
      </rPr>
      <t xml:space="preserve"> scf</t>
    </r>
    <r>
      <rPr>
        <sz val="11"/>
        <color theme="1"/>
        <rFont val="B Nazanin"/>
        <charset val="178"/>
      </rPr>
      <t xml:space="preserve"> آورده شده است که برای تعمیم ضرایب جهت کاربرد برای ساير سوخت‌هاي گازي و سوخت مايع </t>
    </r>
    <r>
      <rPr>
        <sz val="10"/>
        <color theme="1"/>
        <rFont val="Times New Roman"/>
        <family val="1"/>
      </rPr>
      <t>LPG</t>
    </r>
    <r>
      <rPr>
        <sz val="11"/>
        <color theme="1"/>
        <rFont val="B Nazanin"/>
        <charset val="178"/>
      </rPr>
      <t>، در این سند بر حسب ارزش حرارتی ناخالص (</t>
    </r>
    <r>
      <rPr>
        <sz val="10"/>
        <color theme="1"/>
        <rFont val="Times New Roman"/>
        <family val="1"/>
      </rPr>
      <t>HHV</t>
    </r>
    <r>
      <rPr>
        <sz val="11"/>
        <color theme="1"/>
        <rFont val="B Nazanin"/>
        <charset val="178"/>
      </rPr>
      <t xml:space="preserve">) ارائه شده است. ارزش حرارتی ناخالص گاز طبیعی برابر با </t>
    </r>
    <r>
      <rPr>
        <sz val="10"/>
        <color theme="1"/>
        <rFont val="Times New Roman"/>
        <family val="1"/>
      </rPr>
      <t>0.038 GJ/Sm</t>
    </r>
    <r>
      <rPr>
        <vertAlign val="superscript"/>
        <sz val="10"/>
        <color theme="1"/>
        <rFont val="Times New Roman"/>
        <family val="1"/>
      </rPr>
      <t>3</t>
    </r>
    <r>
      <rPr>
        <sz val="11"/>
        <color theme="1"/>
        <rFont val="B Nazanin"/>
        <charset val="178"/>
      </rPr>
      <t xml:space="preserve"> در نظر گرفته شده است که اگر سوخت مصرفی گاز طبیعی باشد، از این عدد برای ارزش حرارتی در رابطه (12) می‌توان استفاده کرد. برای محاسبه ارزش حرارتی ناخالص سایر سوخت ها به پیوست (3) مراجعه شود و يا در صورت عدم وجود تركيب درصد گاز مي‌توان از مقادير پيش فرض پيوست (8) و يا مقادير ارائه شده از آزمايشگاه سازمان سطح 3 مربوطه استفاده كرد.</t>
    </r>
  </si>
  <si>
    <t>جدول (پ2-2)-  ضرایب انتشار NOx و CO حاصل از احتراق گاز طبيعي در بویلر، کوره‌های فرایندی و گرمکن‌ها 1و 2 [2]</t>
  </si>
  <si>
    <r>
      <t>نکته 2:</t>
    </r>
    <r>
      <rPr>
        <sz val="10"/>
        <color theme="1"/>
        <rFont val="B Nazanin"/>
        <charset val="178"/>
      </rPr>
      <t xml:space="preserve"> </t>
    </r>
    <r>
      <rPr>
        <sz val="11"/>
        <color theme="1"/>
        <rFont val="B Nazanin"/>
        <charset val="178"/>
      </rPr>
      <t xml:space="preserve"> ضرايب </t>
    </r>
    <r>
      <rPr>
        <sz val="10"/>
        <color theme="1"/>
        <rFont val="Times New Roman"/>
        <family val="1"/>
      </rPr>
      <t>CO</t>
    </r>
    <r>
      <rPr>
        <sz val="11"/>
        <color theme="1"/>
        <rFont val="B Nazanin"/>
        <charset val="178"/>
      </rPr>
      <t xml:space="preserve">، </t>
    </r>
    <r>
      <rPr>
        <sz val="10"/>
        <color theme="1"/>
        <rFont val="Times New Roman"/>
        <family val="1"/>
      </rPr>
      <t>PM</t>
    </r>
    <r>
      <rPr>
        <sz val="11"/>
        <color theme="1"/>
        <rFont val="B Nazanin"/>
        <charset val="178"/>
      </rPr>
      <t xml:space="preserve"> و </t>
    </r>
    <r>
      <rPr>
        <sz val="10"/>
        <color theme="1"/>
        <rFont val="Times New Roman"/>
        <family val="1"/>
      </rPr>
      <t>VOC</t>
    </r>
    <r>
      <rPr>
        <sz val="11"/>
        <color theme="1"/>
        <rFont val="B Nazanin"/>
        <charset val="178"/>
      </rPr>
      <t xml:space="preserve">  ارائه شده در سند </t>
    </r>
    <r>
      <rPr>
        <sz val="10"/>
        <color theme="1"/>
        <rFont val="Times New Roman"/>
        <family val="1"/>
      </rPr>
      <t>AP-42</t>
    </r>
    <r>
      <rPr>
        <sz val="11"/>
        <color theme="1"/>
        <rFont val="B Nazanin"/>
        <charset val="178"/>
      </rPr>
      <t xml:space="preserve"> در بخش </t>
    </r>
    <r>
      <rPr>
        <sz val="10"/>
        <color theme="1"/>
        <rFont val="Times New Roman"/>
        <family val="1"/>
      </rPr>
      <t>LPG</t>
    </r>
    <r>
      <rPr>
        <sz val="11"/>
        <color theme="1"/>
        <rFont val="B Nazanin"/>
        <charset val="178"/>
      </rPr>
      <t xml:space="preserve"> نيز بر مبنا ضرايب گاز طبيعي و ارزش حرارتي آنها است. از آنجايي كه ضريب </t>
    </r>
    <r>
      <rPr>
        <sz val="10"/>
        <color theme="1"/>
        <rFont val="Times New Roman"/>
        <family val="1"/>
      </rPr>
      <t>NOx</t>
    </r>
    <r>
      <rPr>
        <sz val="11"/>
        <color theme="1"/>
        <rFont val="B Nazanin"/>
        <charset val="178"/>
      </rPr>
      <t xml:space="preserve"> سوخت </t>
    </r>
    <r>
      <rPr>
        <sz val="10"/>
        <color theme="1"/>
        <rFont val="Times New Roman"/>
        <family val="1"/>
      </rPr>
      <t>LPG</t>
    </r>
    <r>
      <rPr>
        <sz val="11"/>
        <color theme="1"/>
        <rFont val="B Nazanin"/>
        <charset val="178"/>
      </rPr>
      <t xml:space="preserve"> در سند مذكور نيز تقريبا برابر با ضرايب احتراق گاز طبيعي است، در راهنماي حاضر جهت تسهيل كار كارشناسان ضرايب </t>
    </r>
    <r>
      <rPr>
        <sz val="10"/>
        <color theme="1"/>
        <rFont val="Times New Roman"/>
        <family val="1"/>
      </rPr>
      <t>LPG</t>
    </r>
    <r>
      <rPr>
        <sz val="11"/>
        <color theme="1"/>
        <rFont val="B Nazanin"/>
        <charset val="178"/>
      </rPr>
      <t xml:space="preserve"> نيز برابر با گاز طبيعي در نظر گرفته شده است. لذا براي سوخت مايع </t>
    </r>
    <r>
      <rPr>
        <sz val="10"/>
        <color theme="1"/>
        <rFont val="Times New Roman"/>
        <family val="1"/>
      </rPr>
      <t>LPG</t>
    </r>
    <r>
      <rPr>
        <sz val="11"/>
        <color theme="1"/>
        <rFont val="B Nazanin"/>
        <charset val="178"/>
      </rPr>
      <t xml:space="preserve"> نيز از ضرايب اين جدول استفاده مي‌شود و چنانچه قبلا گفته شد بهترين روش برآورد مقدار </t>
    </r>
    <r>
      <rPr>
        <sz val="10"/>
        <color theme="1"/>
        <rFont val="Times New Roman"/>
        <family val="1"/>
      </rPr>
      <t>SO2</t>
    </r>
    <r>
      <rPr>
        <sz val="11"/>
        <color theme="1"/>
        <rFont val="B Nazanin"/>
        <charset val="178"/>
      </rPr>
      <t xml:space="preserve"> منتشره، موزانه جرم (روش (ج)) است.</t>
    </r>
  </si>
  <si>
    <t>نکته 2:  ضرايب CO، PM و VOC  ارائه شده در سند AP-42 در بخش LPG نيز بر مبنا ضرايب گاز طبيعي و ارزش حرارتي آنها است. از آنجايي كه ضريب NOx سوخت LPG در سند مذكور نيز تقريبا برابر با ضرايب احتراق گاز طبيعي است، در راهنماي حاضر جهت تسهيل كار كارشناسان ضرايب LPG نيز برابر با گاز طبيعي در نظر گرفته شده است. لذا براي سوخت مايع LPG نيز از ضرايب اين جدول استفاده مي‌شود و چنانچه قبلا گفته شد بهترين روش برآورد مقدار SO2 منتشره، موزانه جرم (روش (ج)) است.
نکته 3: رتبه کیفی عدم قطعیت که در تعیین عدم قطعیت کمی انتشار آلاینده ها مورد استفاده قرار می‌گیرد (جدول (پ4-5)).</t>
  </si>
  <si>
    <r>
      <t xml:space="preserve">نکته 1:  ضرائب ارائه شده در مرجع مربوطه برای سوخت گاز طبیعی و بر حسب </t>
    </r>
    <r>
      <rPr>
        <sz val="10"/>
        <color theme="1"/>
        <rFont val="Times New Roman"/>
        <family val="1"/>
      </rPr>
      <t>lb/10</t>
    </r>
    <r>
      <rPr>
        <vertAlign val="superscript"/>
        <sz val="10"/>
        <color theme="1"/>
        <rFont val="Times New Roman"/>
        <family val="1"/>
      </rPr>
      <t>6</t>
    </r>
    <r>
      <rPr>
        <sz val="10"/>
        <color theme="1"/>
        <rFont val="Times New Roman"/>
        <family val="1"/>
      </rPr>
      <t xml:space="preserve"> scf</t>
    </r>
    <r>
      <rPr>
        <sz val="10"/>
        <color theme="1"/>
        <rFont val="B Nazanin"/>
        <charset val="178"/>
      </rPr>
      <t xml:space="preserve"> آورده شده است که برای تعمیم ضرایب جهت کاربرد برای ساير سوخت‌هاي گازي و سوخت مايع </t>
    </r>
    <r>
      <rPr>
        <sz val="10"/>
        <color theme="1"/>
        <rFont val="Times New Roman"/>
        <family val="1"/>
      </rPr>
      <t>LPG</t>
    </r>
    <r>
      <rPr>
        <sz val="10"/>
        <color theme="1"/>
        <rFont val="B Nazanin"/>
        <charset val="178"/>
      </rPr>
      <t>، در این سند بر حسب ارزش حرارتی ناخالص (</t>
    </r>
    <r>
      <rPr>
        <sz val="10"/>
        <color theme="1"/>
        <rFont val="Times New Roman"/>
        <family val="1"/>
      </rPr>
      <t>HHV</t>
    </r>
    <r>
      <rPr>
        <sz val="10"/>
        <color theme="1"/>
        <rFont val="B Nazanin"/>
        <charset val="178"/>
      </rPr>
      <t xml:space="preserve">) ارائه شده است. ارزش حرارتی ناخالص گاز طبیعی برابر با </t>
    </r>
    <r>
      <rPr>
        <sz val="10"/>
        <color theme="1"/>
        <rFont val="Times New Roman"/>
        <family val="1"/>
      </rPr>
      <t>0.038 GJ/Sm</t>
    </r>
    <r>
      <rPr>
        <vertAlign val="superscript"/>
        <sz val="10"/>
        <color theme="1"/>
        <rFont val="Times New Roman"/>
        <family val="1"/>
      </rPr>
      <t>3</t>
    </r>
    <r>
      <rPr>
        <sz val="10"/>
        <color theme="1"/>
        <rFont val="B Nazanin"/>
        <charset val="178"/>
      </rPr>
      <t xml:space="preserve"> در نظر گرفته شده است که اگر سوخت مصرفی گاز طبیعی باشد، از این عدد برای ارزش حرارتی در رابطه (12) می‌توان استفاده کرد. برای محاسبه ارزش حرارتی ناخالص سایر سوخت ها به پیوست (3) مراجعه شود و يا در صورت عدم وجود تركيب درصد گاز مي‌توان از مقادير پيش فرض پيوست (8) و يا مقادير ارائه شده از آزمايشگاه سازمان سطح 3 مربوطه استفاده كرد.</t>
    </r>
  </si>
  <si>
    <r>
      <t xml:space="preserve">جدول (پ2-3)- ضرایب انتشار آلاینده‌ها به‌جزء </t>
    </r>
    <r>
      <rPr>
        <sz val="10"/>
        <color theme="1"/>
        <rFont val="Times New Roman"/>
        <family val="1"/>
      </rPr>
      <t>CO</t>
    </r>
    <r>
      <rPr>
        <sz val="10"/>
        <color theme="1"/>
        <rFont val="B Nazanin"/>
        <charset val="178"/>
      </rPr>
      <t xml:space="preserve"> و </t>
    </r>
    <r>
      <rPr>
        <sz val="10"/>
        <color theme="1"/>
        <rFont val="Times New Roman"/>
        <family val="1"/>
      </rPr>
      <t>NOx</t>
    </r>
    <r>
      <rPr>
        <sz val="10"/>
        <color theme="1"/>
        <rFont val="B Nazanin"/>
        <charset val="178"/>
      </rPr>
      <t xml:space="preserve"> </t>
    </r>
    <r>
      <rPr>
        <b/>
        <sz val="10"/>
        <color theme="1"/>
        <rFont val="B Nazanin"/>
        <charset val="178"/>
      </rPr>
      <t>حاصل از احتراق گاز طبيعي در</t>
    </r>
    <r>
      <rPr>
        <sz val="10"/>
        <color theme="1"/>
        <rFont val="B Nazanin"/>
        <charset val="178"/>
      </rPr>
      <t xml:space="preserve"> بویلرها، </t>
    </r>
    <r>
      <rPr>
        <b/>
        <sz val="10"/>
        <color theme="1"/>
        <rFont val="B Nazanin"/>
        <charset val="178"/>
      </rPr>
      <t>کوره‌ها و گرمکن‌ها</t>
    </r>
    <r>
      <rPr>
        <b/>
        <vertAlign val="superscript"/>
        <sz val="10"/>
        <color theme="1"/>
        <rFont val="B Nazanin"/>
        <charset val="178"/>
      </rPr>
      <t xml:space="preserve">1و2 </t>
    </r>
    <r>
      <rPr>
        <sz val="10"/>
        <color theme="1"/>
        <rFont val="B Nazanin"/>
        <charset val="178"/>
      </rPr>
      <t>[2]</t>
    </r>
  </si>
  <si>
    <t xml:space="preserve">نوع آلاینده </t>
  </si>
  <si>
    <r>
      <t>ضریب انتشار (</t>
    </r>
    <r>
      <rPr>
        <b/>
        <sz val="11"/>
        <color theme="1"/>
        <rFont val="Times New Roman"/>
        <family val="1"/>
      </rPr>
      <t>g/GJ</t>
    </r>
    <r>
      <rPr>
        <b/>
        <sz val="11"/>
        <color theme="1"/>
        <rFont val="B Nazanin"/>
        <charset val="178"/>
      </rPr>
      <t>)</t>
    </r>
  </si>
  <si>
    <r>
      <t>PM</t>
    </r>
    <r>
      <rPr>
        <sz val="10"/>
        <color theme="1"/>
        <rFont val="B Nazanin"/>
        <charset val="178"/>
      </rPr>
      <t xml:space="preserve"> (کل)</t>
    </r>
  </si>
  <si>
    <r>
      <t>PM</t>
    </r>
    <r>
      <rPr>
        <sz val="10"/>
        <color theme="1"/>
        <rFont val="B Nazanin"/>
        <charset val="178"/>
      </rPr>
      <t xml:space="preserve"> (چگالش‌پذیر</t>
    </r>
    <r>
      <rPr>
        <vertAlign val="superscript"/>
        <sz val="10"/>
        <color theme="1"/>
        <rFont val="B Nazanin"/>
        <charset val="178"/>
      </rPr>
      <t>3</t>
    </r>
    <r>
      <rPr>
        <sz val="10"/>
        <color theme="1"/>
        <rFont val="B Nazanin"/>
        <charset val="178"/>
      </rPr>
      <t>)</t>
    </r>
  </si>
  <si>
    <r>
      <t>PM</t>
    </r>
    <r>
      <rPr>
        <sz val="10"/>
        <color theme="1"/>
        <rFont val="B Nazanin"/>
        <charset val="178"/>
      </rPr>
      <t xml:space="preserve"> (قابل تصفیه)</t>
    </r>
    <r>
      <rPr>
        <vertAlign val="superscript"/>
        <sz val="10"/>
        <color theme="1"/>
        <rFont val="B Nazanin"/>
        <charset val="178"/>
      </rPr>
      <t>4</t>
    </r>
  </si>
  <si>
    <r>
      <t>SO</t>
    </r>
    <r>
      <rPr>
        <vertAlign val="subscript"/>
        <sz val="10"/>
        <color theme="1"/>
        <rFont val="Times New Roman"/>
        <family val="1"/>
      </rPr>
      <t>2</t>
    </r>
    <r>
      <rPr>
        <vertAlign val="superscript"/>
        <sz val="10"/>
        <color theme="1"/>
        <rFont val="B Nazanin"/>
        <charset val="178"/>
      </rPr>
      <t>5</t>
    </r>
  </si>
  <si>
    <t>VOC</t>
  </si>
  <si>
    <r>
      <t>نکته 3:</t>
    </r>
    <r>
      <rPr>
        <sz val="10"/>
        <color theme="1"/>
        <rFont val="B Nazanin"/>
        <charset val="178"/>
      </rPr>
      <t xml:space="preserve"> </t>
    </r>
    <r>
      <rPr>
        <sz val="11"/>
        <color theme="1"/>
        <rFont val="B Nazanin"/>
        <charset val="178"/>
      </rPr>
      <t>بخشی از ذرات معلق که با استفاده از روش 202</t>
    </r>
    <r>
      <rPr>
        <sz val="10"/>
        <color theme="1"/>
        <rFont val="Times New Roman"/>
        <family val="1"/>
      </rPr>
      <t xml:space="preserve"> </t>
    </r>
    <r>
      <rPr>
        <sz val="11"/>
        <color theme="1"/>
        <rFont val="B Nazanin"/>
        <charset val="178"/>
      </rPr>
      <t xml:space="preserve"> </t>
    </r>
    <r>
      <rPr>
        <sz val="10"/>
        <color theme="1"/>
        <rFont val="Times New Roman"/>
        <family val="1"/>
      </rPr>
      <t>EPA</t>
    </r>
    <r>
      <rPr>
        <sz val="11"/>
        <color theme="1"/>
        <rFont val="B Nazanin"/>
        <charset val="178"/>
      </rPr>
      <t xml:space="preserve"> قابل اندازه‌گیری هستند. اين ذرات به شکل گاز از دودكش خارج مي‌شوند ولي در هواي سرد محيط تبديل به ذرات معلق مي‌شوند. </t>
    </r>
  </si>
  <si>
    <r>
      <t>نکته 4:</t>
    </r>
    <r>
      <rPr>
        <sz val="10"/>
        <color theme="1"/>
        <rFont val="B Nazanin"/>
        <charset val="178"/>
      </rPr>
      <t xml:space="preserve"> </t>
    </r>
    <r>
      <rPr>
        <sz val="11"/>
        <color theme="1"/>
        <rFont val="B Nazanin"/>
        <charset val="178"/>
      </rPr>
      <t>بخشی از ذرات معلق که با استفاده از روش 5</t>
    </r>
    <r>
      <rPr>
        <sz val="10"/>
        <color theme="1"/>
        <rFont val="Times New Roman"/>
        <family val="1"/>
      </rPr>
      <t xml:space="preserve"> </t>
    </r>
    <r>
      <rPr>
        <sz val="11"/>
        <color theme="1"/>
        <rFont val="B Nazanin"/>
        <charset val="178"/>
      </rPr>
      <t xml:space="preserve"> </t>
    </r>
    <r>
      <rPr>
        <sz val="10"/>
        <color theme="1"/>
        <rFont val="Times New Roman"/>
        <family val="1"/>
      </rPr>
      <t>EPA</t>
    </r>
    <r>
      <rPr>
        <sz val="11"/>
        <color theme="1"/>
        <rFont val="B Nazanin"/>
        <charset val="178"/>
      </rPr>
      <t xml:space="preserve"> قابل اندازه‌گیری هستند. اين ذرات از ابتدا در حالت ذرات جامد و مايع معلق از دودكش خارج مي‌شوند.</t>
    </r>
  </si>
  <si>
    <r>
      <t>جدول (پ2-4)- ضرایب انتشار آلاینده‌های معیار حاصل از احتراق نفت كوره در بویلر‌ها</t>
    </r>
    <r>
      <rPr>
        <vertAlign val="superscript"/>
        <sz val="10"/>
        <color theme="1"/>
        <rFont val="B Nazanin"/>
        <charset val="178"/>
      </rPr>
      <t>1</t>
    </r>
    <r>
      <rPr>
        <sz val="10"/>
        <color theme="1"/>
        <rFont val="B Nazanin"/>
        <charset val="178"/>
      </rPr>
      <t>[23]</t>
    </r>
  </si>
  <si>
    <t>آلاينده</t>
  </si>
  <si>
    <r>
      <t>PM</t>
    </r>
    <r>
      <rPr>
        <b/>
        <sz val="11"/>
        <color rgb="FF000000"/>
        <rFont val="B Nazanin"/>
        <charset val="178"/>
      </rPr>
      <t xml:space="preserve"> (قابل تصفیه)</t>
    </r>
  </si>
  <si>
    <r>
      <t xml:space="preserve">PM </t>
    </r>
    <r>
      <rPr>
        <b/>
        <sz val="11"/>
        <color rgb="FF000000"/>
        <rFont val="B Nazanin"/>
        <charset val="178"/>
      </rPr>
      <t>(چگالش‌پذیر)</t>
    </r>
  </si>
  <si>
    <r>
      <t xml:space="preserve">PM </t>
    </r>
    <r>
      <rPr>
        <b/>
        <sz val="11"/>
        <color rgb="FF000000"/>
        <rFont val="B Nazanin"/>
        <charset val="178"/>
      </rPr>
      <t>(کل)</t>
    </r>
  </si>
  <si>
    <t>CO</t>
  </si>
  <si>
    <t>Nox</t>
  </si>
  <si>
    <t>واحد</t>
  </si>
  <si>
    <t>(g/GJ)</t>
  </si>
  <si>
    <t>Boilers &gt; 100 Million Btu/hr</t>
  </si>
  <si>
    <t>احتراق عادي</t>
  </si>
  <si>
    <t>26.34(S)+9.23</t>
  </si>
  <si>
    <t>26.34(S)+13.53</t>
  </si>
  <si>
    <r>
      <t xml:space="preserve">احتراق عادي با مشعل‌هایی با </t>
    </r>
    <r>
      <rPr>
        <b/>
        <sz val="10"/>
        <color rgb="FF000000"/>
        <rFont val="Times New Roman"/>
        <family val="1"/>
      </rPr>
      <t>NOx</t>
    </r>
    <r>
      <rPr>
        <b/>
        <sz val="10"/>
        <color rgb="FF000000"/>
        <rFont val="B Nazanin"/>
        <charset val="178"/>
      </rPr>
      <t xml:space="preserve"> پایین</t>
    </r>
  </si>
  <si>
    <t>احتراق مماسي</t>
  </si>
  <si>
    <r>
      <t xml:space="preserve">احتراق مماسي با مشعل‌هایی با </t>
    </r>
    <r>
      <rPr>
        <b/>
        <sz val="10"/>
        <color rgb="FF000000"/>
        <rFont val="Times New Roman"/>
        <family val="1"/>
      </rPr>
      <t>NOx</t>
    </r>
    <r>
      <rPr>
        <b/>
        <sz val="10"/>
        <color rgb="FF000000"/>
        <rFont val="B Nazanin"/>
        <charset val="178"/>
      </rPr>
      <t xml:space="preserve"> پایین</t>
    </r>
  </si>
  <si>
    <t>Boilers &lt; 100 Million Btu/hr</t>
  </si>
  <si>
    <t xml:space="preserve">احتراق عادي </t>
  </si>
  <si>
    <r>
      <t xml:space="preserve">نکته 2: </t>
    </r>
    <r>
      <rPr>
        <sz val="11"/>
        <color rgb="FF000000"/>
        <rFont val="B Nazanin"/>
        <charset val="178"/>
      </rPr>
      <t xml:space="preserve"> ضرايب در صد جرمي گوگرد در سوخت مثلا اگر درصد جرمي گوگرد در سوخت برابر با 1% است</t>
    </r>
    <r>
      <rPr>
        <sz val="11"/>
        <color rgb="FF000000"/>
        <rFont val="Arial"/>
        <family val="2"/>
      </rPr>
      <t>s=1</t>
    </r>
    <r>
      <rPr>
        <sz val="11"/>
        <color rgb="FF000000"/>
        <rFont val="B Nazanin"/>
        <charset val="178"/>
      </rPr>
      <t xml:space="preserve"> است</t>
    </r>
  </si>
  <si>
    <r>
      <t xml:space="preserve">جدول (پ2-5)- ضرایب انتشار آلاینده‌ </t>
    </r>
    <r>
      <rPr>
        <sz val="10"/>
        <color theme="1"/>
        <rFont val="Times New Roman"/>
        <family val="1"/>
      </rPr>
      <t>VOC</t>
    </r>
    <r>
      <rPr>
        <sz val="10"/>
        <color theme="1"/>
        <rFont val="B Nazanin"/>
        <charset val="178"/>
      </rPr>
      <t xml:space="preserve"> حاصل از احتراق نفت كوره در بویلر</t>
    </r>
    <r>
      <rPr>
        <b/>
        <sz val="10"/>
        <color theme="1"/>
        <rFont val="B Nazanin"/>
        <charset val="178"/>
      </rPr>
      <t>‌ها</t>
    </r>
    <r>
      <rPr>
        <vertAlign val="superscript"/>
        <sz val="10"/>
        <color theme="1"/>
        <rFont val="B Nazanin"/>
        <charset val="178"/>
      </rPr>
      <t>1</t>
    </r>
    <r>
      <rPr>
        <sz val="10"/>
        <color theme="1"/>
        <rFont val="B Nazanin"/>
        <charset val="178"/>
      </rPr>
      <t>[23]</t>
    </r>
  </si>
  <si>
    <t>نوع بويلر</t>
  </si>
  <si>
    <t>NMTOC</t>
  </si>
  <si>
    <t>Utility boilers</t>
  </si>
  <si>
    <t>Industrial boilers</t>
  </si>
  <si>
    <r>
      <t xml:space="preserve">جدول (پ2-6)- ضرایب انتشار آلاینده‌های معیار حاصل از احتراق  </t>
    </r>
    <r>
      <rPr>
        <sz val="10"/>
        <color theme="1"/>
        <rFont val="Times New Roman"/>
        <family val="1"/>
      </rPr>
      <t>Heavy 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</si>
  <si>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PM</t>
    </r>
    <r>
      <rPr>
        <b/>
        <sz val="10"/>
        <color rgb="FF000000"/>
        <rFont val="B Nazanin"/>
        <charset val="178"/>
      </rPr>
      <t xml:space="preserve"> </t>
    </r>
    <r>
      <rPr>
        <b/>
        <sz val="11"/>
        <color rgb="FF000000"/>
        <rFont val="B Nazanin"/>
        <charset val="178"/>
      </rPr>
      <t>(قابل تصفیه)</t>
    </r>
  </si>
  <si>
    <r>
      <t xml:space="preserve">PM </t>
    </r>
    <r>
      <rPr>
        <b/>
        <sz val="10"/>
        <color rgb="FF000000"/>
        <rFont val="B Nazanin"/>
        <charset val="178"/>
      </rPr>
      <t>(کل)</t>
    </r>
  </si>
  <si>
    <r>
      <t xml:space="preserve">جدول (پ2-7)- ضرایب انتشار آلاینده‌های معیار حاصل از احتراق  </t>
    </r>
    <r>
      <rPr>
        <sz val="10"/>
        <color theme="1"/>
        <rFont val="Times New Roman"/>
        <family val="1"/>
      </rPr>
      <t>Light 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</si>
  <si>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 xml:space="preserve">جدول (پ2-8)- ضرایب انتشار آلاینده‌ </t>
    </r>
    <r>
      <rPr>
        <sz val="10"/>
        <color theme="1"/>
        <rFont val="Times New Roman"/>
        <family val="1"/>
      </rPr>
      <t>VOC</t>
    </r>
    <r>
      <rPr>
        <sz val="10"/>
        <color theme="1"/>
        <rFont val="B Nazanin"/>
        <charset val="178"/>
      </rPr>
      <t xml:space="preserve"> حاصل از احتراق </t>
    </r>
    <r>
      <rPr>
        <sz val="10"/>
        <color theme="1"/>
        <rFont val="Times New Roman"/>
        <family val="1"/>
      </rPr>
      <t>GasOil</t>
    </r>
    <r>
      <rPr>
        <sz val="10"/>
        <color theme="1"/>
        <rFont val="B Nazanin"/>
        <charset val="178"/>
      </rPr>
      <t xml:space="preserve"> در بویلر</t>
    </r>
    <r>
      <rPr>
        <b/>
        <sz val="10"/>
        <color theme="1"/>
        <rFont val="B Nazanin"/>
        <charset val="178"/>
      </rPr>
      <t>‌ها</t>
    </r>
    <r>
      <rPr>
        <vertAlign val="superscript"/>
        <sz val="10"/>
        <color theme="1"/>
        <rFont val="B Nazanin"/>
        <charset val="178"/>
      </rPr>
      <t>1</t>
    </r>
    <r>
      <rPr>
        <sz val="10"/>
        <color theme="1"/>
        <rFont val="B Nazanin"/>
        <charset val="178"/>
      </rPr>
      <t>[23]</t>
    </r>
  </si>
  <si>
    <r>
      <t xml:space="preserve">جدول (پ2-9)- ضرایب انتشار ارائه ‌شده توسط </t>
    </r>
    <r>
      <rPr>
        <b/>
        <sz val="10"/>
        <color theme="1"/>
        <rFont val="Times New Roman"/>
        <family val="1"/>
      </rPr>
      <t>EPA</t>
    </r>
    <r>
      <rPr>
        <b/>
        <sz val="10"/>
        <color theme="1"/>
        <rFont val="B Nazanin"/>
        <charset val="178"/>
      </rPr>
      <t xml:space="preserve"> برای دو آلاینده </t>
    </r>
    <r>
      <rPr>
        <b/>
        <sz val="10"/>
        <color theme="1"/>
        <rFont val="Times New Roman"/>
        <family val="1"/>
      </rPr>
      <t>NOx</t>
    </r>
    <r>
      <rPr>
        <b/>
        <sz val="10"/>
        <color theme="1"/>
        <rFont val="B Nazanin"/>
        <charset val="178"/>
      </rPr>
      <t xml:space="preserve"> و </t>
    </r>
    <r>
      <rPr>
        <b/>
        <sz val="10"/>
        <color theme="1"/>
        <rFont val="Times New Roman"/>
        <family val="1"/>
      </rPr>
      <t>CO</t>
    </r>
    <r>
      <rPr>
        <b/>
        <sz val="10"/>
        <color theme="1"/>
        <rFont val="B Nazanin"/>
        <charset val="178"/>
      </rPr>
      <t xml:space="preserve"> از توربین‌ها</t>
    </r>
    <r>
      <rPr>
        <b/>
        <vertAlign val="superscript"/>
        <sz val="10"/>
        <color theme="1"/>
        <rFont val="B Nazanin"/>
        <charset val="178"/>
      </rPr>
      <t>1</t>
    </r>
    <r>
      <rPr>
        <b/>
        <sz val="10"/>
        <color theme="1"/>
        <rFont val="B Nazanin"/>
        <charset val="178"/>
      </rPr>
      <t xml:space="preserve"> [3]</t>
    </r>
  </si>
  <si>
    <t>نوع توربین</t>
  </si>
  <si>
    <t>NOx</t>
  </si>
  <si>
    <r>
      <t>توربین با سوخت گاز طبیعی</t>
    </r>
    <r>
      <rPr>
        <b/>
        <vertAlign val="superscript"/>
        <sz val="10"/>
        <color theme="1"/>
        <rFont val="B Nazanin"/>
        <charset val="178"/>
      </rPr>
      <t>2</t>
    </r>
  </si>
  <si>
    <r>
      <t>(</t>
    </r>
    <r>
      <rPr>
        <b/>
        <sz val="10"/>
        <color theme="1"/>
        <rFont val="Times New Roman"/>
        <family val="1"/>
      </rPr>
      <t>g/GJ</t>
    </r>
    <r>
      <rPr>
        <b/>
        <sz val="10"/>
        <color theme="1"/>
        <rFont val="B Nazanin"/>
        <charset val="178"/>
      </rPr>
      <t>)</t>
    </r>
  </si>
  <si>
    <t>(سوخت ورودی)</t>
  </si>
  <si>
    <t>تزریق بخار آب</t>
  </si>
  <si>
    <t>پیش‌اختلاط رقیق</t>
  </si>
  <si>
    <r>
      <t>توربین با سوخت گازوئیل</t>
    </r>
    <r>
      <rPr>
        <b/>
        <vertAlign val="superscript"/>
        <sz val="10"/>
        <color theme="1"/>
        <rFont val="B Nazanin"/>
        <charset val="178"/>
      </rPr>
      <t>3</t>
    </r>
  </si>
  <si>
    <r>
      <t>نکته 1:</t>
    </r>
    <r>
      <rPr>
        <sz val="12"/>
        <color theme="1"/>
        <rFont val="B Nazanin"/>
        <charset val="178"/>
      </rPr>
      <t xml:space="preserve"> </t>
    </r>
    <r>
      <rPr>
        <sz val="11"/>
        <color theme="1"/>
        <rFont val="B Nazanin"/>
        <charset val="178"/>
      </rPr>
      <t>ضرایب انتشار بر مبنای ارزش حرارتی ناخالص سوخت‌ها (</t>
    </r>
    <r>
      <rPr>
        <sz val="10"/>
        <color theme="1"/>
        <rFont val="Times New Roman"/>
        <family val="1"/>
      </rPr>
      <t>HHV</t>
    </r>
    <r>
      <rPr>
        <sz val="11"/>
        <color theme="1"/>
        <rFont val="B Nazanin"/>
        <charset val="178"/>
      </rPr>
      <t>) ارائه شده اند.</t>
    </r>
  </si>
  <si>
    <r>
      <t>نکته 2:</t>
    </r>
    <r>
      <rPr>
        <sz val="12"/>
        <color theme="1"/>
        <rFont val="B Nazanin"/>
        <charset val="178"/>
      </rPr>
      <t xml:space="preserve"> </t>
    </r>
    <r>
      <rPr>
        <sz val="11"/>
        <color theme="1"/>
        <rFont val="B Nazanin"/>
        <charset val="178"/>
      </rPr>
      <t xml:space="preserve">ارزش حرارتی ناخالص گاز طبیعی برابر با </t>
    </r>
    <r>
      <rPr>
        <sz val="10"/>
        <color theme="1"/>
        <rFont val="Times New Roman"/>
        <family val="1"/>
      </rPr>
      <t>0.038 GJ/Sm</t>
    </r>
    <r>
      <rPr>
        <vertAlign val="superscript"/>
        <sz val="10"/>
        <color theme="1"/>
        <rFont val="Times New Roman"/>
        <family val="1"/>
      </rPr>
      <t>3</t>
    </r>
    <r>
      <rPr>
        <sz val="11"/>
        <color theme="1"/>
        <rFont val="B Nazanin"/>
        <charset val="178"/>
      </rPr>
      <t xml:space="preserve"> در نظر گرفته شده است که در صورت عدم وجود ترکیبات سوخت مصرفی می‌توان از این عدد در رابطه (12) استفاده کرد.</t>
    </r>
  </si>
  <si>
    <r>
      <t>نکته 3:</t>
    </r>
    <r>
      <rPr>
        <sz val="11"/>
        <color theme="1"/>
        <rFont val="B Nazanin"/>
        <charset val="178"/>
      </rPr>
      <t xml:space="preserve"> ارزش حرارتی ناخالص گازوئیل برابر با </t>
    </r>
    <r>
      <rPr>
        <sz val="10"/>
        <color theme="1"/>
        <rFont val="Times New Roman"/>
        <family val="1"/>
      </rPr>
      <t>GJ/Sm</t>
    </r>
    <r>
      <rPr>
        <vertAlign val="superscript"/>
        <sz val="10"/>
        <color theme="1"/>
        <rFont val="Times New Roman"/>
        <family val="1"/>
      </rPr>
      <t>3</t>
    </r>
    <r>
      <rPr>
        <sz val="11"/>
        <color theme="1"/>
        <rFont val="B Nazanin"/>
        <charset val="178"/>
      </rPr>
      <t xml:space="preserve"> </t>
    </r>
    <r>
      <rPr>
        <sz val="10"/>
        <color theme="1"/>
        <rFont val="Times New Roman"/>
        <family val="1"/>
      </rPr>
      <t>38.7</t>
    </r>
    <r>
      <rPr>
        <sz val="11"/>
        <color theme="1"/>
        <rFont val="B Nazanin"/>
        <charset val="178"/>
      </rPr>
      <t xml:space="preserve"> در نظر گرفته شده است که در صورت عدم وجود ترکیبات سوخت مصرفی میتوان از این عدد در رابطه (12) استفاده کرد.</t>
    </r>
  </si>
  <si>
    <r>
      <t xml:space="preserve">جدول (پ2-10)- ضرایب انتشار آلاینده‌های معیار (به‌جز </t>
    </r>
    <r>
      <rPr>
        <b/>
        <sz val="10"/>
        <color theme="1"/>
        <rFont val="Times New Roman"/>
        <family val="1"/>
      </rPr>
      <t>CO</t>
    </r>
    <r>
      <rPr>
        <b/>
        <sz val="10"/>
        <color theme="1"/>
        <rFont val="B Nazanin"/>
        <charset val="178"/>
      </rPr>
      <t xml:space="preserve"> و </t>
    </r>
    <r>
      <rPr>
        <b/>
        <sz val="10"/>
        <color theme="1"/>
        <rFont val="Times New Roman"/>
        <family val="1"/>
      </rPr>
      <t>NOx</t>
    </r>
    <r>
      <rPr>
        <b/>
        <sz val="10"/>
        <color theme="1"/>
        <rFont val="B Nazanin"/>
        <charset val="178"/>
      </rPr>
      <t xml:space="preserve"> ) ناشی از توربین‌ها با سوخت گاز طبیعی و گازوئیل</t>
    </r>
    <r>
      <rPr>
        <b/>
        <vertAlign val="superscript"/>
        <sz val="10"/>
        <color theme="1"/>
        <rFont val="B Nazanin"/>
        <charset val="178"/>
      </rPr>
      <t xml:space="preserve"> نكته1</t>
    </r>
    <r>
      <rPr>
        <b/>
        <sz val="10"/>
        <color theme="1"/>
        <rFont val="B Nazanin"/>
        <charset val="178"/>
      </rPr>
      <t xml:space="preserve"> [3]</t>
    </r>
  </si>
  <si>
    <t>توربین با سوخت گاز طبیعی</t>
  </si>
  <si>
    <t>توربین با سوخت گازوئیل</t>
  </si>
  <si>
    <r>
      <t>(</t>
    </r>
    <r>
      <rPr>
        <sz val="10"/>
        <color theme="1"/>
        <rFont val="Times New Roman"/>
        <family val="1"/>
      </rPr>
      <t>g/GJ</t>
    </r>
    <r>
      <rPr>
        <b/>
        <sz val="10"/>
        <color theme="1"/>
        <rFont val="B Nazanin"/>
        <charset val="178"/>
      </rPr>
      <t>)</t>
    </r>
  </si>
  <si>
    <r>
      <t>(</t>
    </r>
    <r>
      <rPr>
        <sz val="10"/>
        <color theme="1"/>
        <rFont val="Times New Roman"/>
        <family val="1"/>
      </rPr>
      <t>g/GJ</t>
    </r>
    <r>
      <rPr>
        <b/>
        <sz val="10"/>
        <color theme="1"/>
        <rFont val="Times New Roman"/>
        <family val="1"/>
      </rPr>
      <t xml:space="preserve"> </t>
    </r>
    <r>
      <rPr>
        <b/>
        <sz val="10"/>
        <color theme="1"/>
        <rFont val="B Nazanin"/>
        <charset val="178"/>
      </rPr>
      <t>)</t>
    </r>
  </si>
  <si>
    <t>E</t>
  </si>
  <si>
    <r>
      <t>PM</t>
    </r>
    <r>
      <rPr>
        <b/>
        <sz val="10"/>
        <color theme="1"/>
        <rFont val="B Nazanin"/>
        <charset val="178"/>
      </rPr>
      <t xml:space="preserve"> (چگالش‌پذیر)</t>
    </r>
  </si>
  <si>
    <r>
      <t>PM</t>
    </r>
    <r>
      <rPr>
        <b/>
        <sz val="10"/>
        <color theme="1"/>
        <rFont val="B Nazanin"/>
        <charset val="178"/>
      </rPr>
      <t xml:space="preserve"> (قابل تصفیه)</t>
    </r>
  </si>
  <si>
    <r>
      <t>PM</t>
    </r>
    <r>
      <rPr>
        <b/>
        <sz val="10"/>
        <color theme="1"/>
        <rFont val="B Nazanin"/>
        <charset val="178"/>
      </rPr>
      <t xml:space="preserve"> (کل)</t>
    </r>
  </si>
  <si>
    <r>
      <t>نكته 1:</t>
    </r>
    <r>
      <rPr>
        <sz val="10"/>
        <color theme="1"/>
        <rFont val="B Nazanin"/>
        <charset val="178"/>
      </rPr>
      <t xml:space="preserve"> </t>
    </r>
    <r>
      <rPr>
        <sz val="11"/>
        <color theme="1"/>
        <rFont val="B Nazanin"/>
        <charset val="178"/>
      </rPr>
      <t>ضرایب انتشار بر مبنای ارزش حرارتی ناخالص سوخت‌ها (</t>
    </r>
    <r>
      <rPr>
        <sz val="10"/>
        <color theme="1"/>
        <rFont val="Times New Roman"/>
        <family val="1"/>
      </rPr>
      <t>HHV</t>
    </r>
    <r>
      <rPr>
        <sz val="11"/>
        <color theme="1"/>
        <rFont val="B Nazanin"/>
        <charset val="178"/>
      </rPr>
      <t>) ارائه شده‌اند.</t>
    </r>
  </si>
  <si>
    <t>نوع سوخت</t>
  </si>
  <si>
    <r>
      <t>ارزش حرارتی ناخالص</t>
    </r>
    <r>
      <rPr>
        <b/>
        <sz val="10"/>
        <color theme="1"/>
        <rFont val="Times New Roman"/>
        <family val="1"/>
      </rPr>
      <t>HHV</t>
    </r>
  </si>
  <si>
    <r>
      <t>ارزش حرارتی خالص</t>
    </r>
    <r>
      <rPr>
        <b/>
        <sz val="10"/>
        <color theme="1"/>
        <rFont val="Times New Roman"/>
        <family val="1"/>
      </rPr>
      <t>LHV</t>
    </r>
  </si>
  <si>
    <t>جرم مولی تقریبی</t>
  </si>
  <si>
    <t>دانسيته تقریبی</t>
  </si>
  <si>
    <r>
      <t xml:space="preserve">ضریب تبدیل یک مول سوخت به </t>
    </r>
    <r>
      <rPr>
        <b/>
        <sz val="10"/>
        <color theme="1"/>
        <rFont val="Times New Roman"/>
        <family val="1"/>
      </rPr>
      <t>CO2</t>
    </r>
  </si>
  <si>
    <r>
      <t>GJ/Sm</t>
    </r>
    <r>
      <rPr>
        <b/>
        <vertAlign val="superscript"/>
        <sz val="10"/>
        <color theme="1"/>
        <rFont val="Times New Roman"/>
        <family val="1"/>
      </rPr>
      <t>3</t>
    </r>
  </si>
  <si>
    <t>gr/mol</t>
  </si>
  <si>
    <r>
      <t>Kg/m</t>
    </r>
    <r>
      <rPr>
        <b/>
        <vertAlign val="superscript"/>
        <sz val="10"/>
        <color theme="1"/>
        <rFont val="Times New Roman"/>
        <family val="1"/>
      </rPr>
      <t>3</t>
    </r>
  </si>
  <si>
    <r>
      <t>mol CO</t>
    </r>
    <r>
      <rPr>
        <b/>
        <vertAlign val="subscript"/>
        <sz val="10"/>
        <color theme="1"/>
        <rFont val="Times New Roman"/>
        <family val="1"/>
      </rPr>
      <t>2</t>
    </r>
    <r>
      <rPr>
        <b/>
        <sz val="10"/>
        <color theme="1"/>
        <rFont val="Times New Roman"/>
        <family val="1"/>
      </rPr>
      <t>/mol fuel</t>
    </r>
  </si>
  <si>
    <r>
      <t>نفت گاز (</t>
    </r>
    <r>
      <rPr>
        <sz val="10"/>
        <color theme="1"/>
        <rFont val="Times New Roman"/>
        <family val="1"/>
      </rPr>
      <t>Gas oil</t>
    </r>
    <r>
      <rPr>
        <sz val="11"/>
        <color theme="1"/>
        <rFont val="B Nazanin"/>
        <charset val="178"/>
      </rPr>
      <t>)</t>
    </r>
  </si>
  <si>
    <r>
      <t>بنزين</t>
    </r>
    <r>
      <rPr>
        <sz val="10"/>
        <color theme="1"/>
        <rFont val="Times New Roman"/>
        <family val="1"/>
      </rPr>
      <t xml:space="preserve"> </t>
    </r>
    <r>
      <rPr>
        <sz val="11"/>
        <color theme="1"/>
        <rFont val="B Nazanin"/>
        <charset val="178"/>
      </rPr>
      <t xml:space="preserve"> </t>
    </r>
    <r>
      <rPr>
        <sz val="10"/>
        <color theme="1"/>
        <rFont val="Times New Roman"/>
        <family val="1"/>
      </rPr>
      <t>Gasoline</t>
    </r>
    <r>
      <rPr>
        <sz val="11"/>
        <color theme="1"/>
        <rFont val="B Nazanin"/>
        <charset val="178"/>
      </rPr>
      <t xml:space="preserve">) </t>
    </r>
  </si>
  <si>
    <r>
      <t>نفت كوره (</t>
    </r>
    <r>
      <rPr>
        <sz val="10"/>
        <color theme="1"/>
        <rFont val="Times New Roman"/>
        <family val="1"/>
      </rPr>
      <t>Fuel oil</t>
    </r>
    <r>
      <rPr>
        <sz val="11"/>
        <color theme="1"/>
        <rFont val="B Nazanin"/>
        <charset val="178"/>
      </rPr>
      <t xml:space="preserve">) </t>
    </r>
  </si>
  <si>
    <r>
      <t>نفت خام (</t>
    </r>
    <r>
      <rPr>
        <sz val="10"/>
        <color theme="1"/>
        <rFont val="Times New Roman"/>
        <family val="1"/>
      </rPr>
      <t>Crude oil</t>
    </r>
    <r>
      <rPr>
        <sz val="11"/>
        <color theme="1"/>
        <rFont val="B Nazanin"/>
        <charset val="178"/>
      </rPr>
      <t>)</t>
    </r>
  </si>
  <si>
    <r>
      <t>نفت سفيد (</t>
    </r>
    <r>
      <rPr>
        <sz val="10"/>
        <color theme="1"/>
        <rFont val="Times New Roman"/>
        <family val="1"/>
      </rPr>
      <t>Kerosene</t>
    </r>
    <r>
      <rPr>
        <sz val="11"/>
        <color theme="1"/>
        <rFont val="B Nazanin"/>
        <charset val="178"/>
      </rPr>
      <t>)</t>
    </r>
  </si>
  <si>
    <r>
      <t>(</t>
    </r>
    <r>
      <rPr>
        <sz val="10"/>
        <color theme="1"/>
        <rFont val="Times New Roman"/>
        <family val="1"/>
      </rPr>
      <t>LPG</t>
    </r>
    <r>
      <rPr>
        <sz val="11"/>
        <color theme="1"/>
        <rFont val="B Nazanin"/>
        <charset val="178"/>
      </rPr>
      <t>)</t>
    </r>
  </si>
  <si>
    <r>
      <t>نفتا (</t>
    </r>
    <r>
      <rPr>
        <sz val="10"/>
        <color theme="1"/>
        <rFont val="Times New Roman"/>
        <family val="1"/>
      </rPr>
      <t>Naphtha</t>
    </r>
    <r>
      <rPr>
        <sz val="11"/>
        <color theme="1"/>
        <rFont val="B Nazanin"/>
        <charset val="178"/>
      </rPr>
      <t>)</t>
    </r>
  </si>
  <si>
    <r>
      <t xml:space="preserve"> گاز طبيعي (</t>
    </r>
    <r>
      <rPr>
        <sz val="10"/>
        <color theme="1"/>
        <rFont val="Times New Roman"/>
        <family val="1"/>
      </rPr>
      <t>Natural Gas</t>
    </r>
    <r>
      <rPr>
        <sz val="11"/>
        <color theme="1"/>
        <rFont val="B Nazanin"/>
        <charset val="178"/>
      </rPr>
      <t>)</t>
    </r>
  </si>
  <si>
    <t>جدول (پ8- 1) جدول مشخصات پيش‌فرض سوخت‌هاي مصرفي در صنعت نفت [24]</t>
  </si>
  <si>
    <r>
      <rPr>
        <sz val="48"/>
        <color theme="1"/>
        <rFont val="Times New Roman"/>
        <family val="1"/>
        <scheme val="major"/>
      </rPr>
      <t>SO2</t>
    </r>
    <r>
      <rPr>
        <sz val="48"/>
        <color theme="1"/>
        <rFont val="B Titr"/>
        <charset val="178"/>
      </rPr>
      <t xml:space="preserve"> وVOC وPM - بويلر- گاز طبيعي و ساير سوخت‌هاي گازي و سوخت مايع LPG</t>
    </r>
  </si>
  <si>
    <t>CO و Nox و PM - بويلر- FULE OIL</t>
  </si>
  <si>
    <r>
      <rPr>
        <sz val="48"/>
        <color theme="1"/>
        <rFont val="Times New Roman"/>
        <family val="1"/>
        <scheme val="major"/>
      </rPr>
      <t>VOC</t>
    </r>
    <r>
      <rPr>
        <sz val="48"/>
        <color theme="1"/>
        <rFont val="B Titr"/>
        <charset val="178"/>
      </rPr>
      <t xml:space="preserve"> - بويلر- </t>
    </r>
    <r>
      <rPr>
        <sz val="48"/>
        <color theme="1"/>
        <rFont val="Times New Roman"/>
        <family val="1"/>
        <scheme val="major"/>
      </rPr>
      <t>FULE OIL</t>
    </r>
  </si>
  <si>
    <t>CO و Nox و PM-  بويلر - Heavy GasOil</t>
  </si>
  <si>
    <t>CO و Nox و PM-  بويلر - Light GasOil</t>
  </si>
  <si>
    <t>VOC-  بويلر -  GasOil</t>
  </si>
  <si>
    <t>CO و Nox- توربين- گاز طبيعي و GasOil</t>
  </si>
  <si>
    <t>توربين</t>
  </si>
  <si>
    <t>بويلر</t>
  </si>
  <si>
    <r>
      <t>نكته 2:</t>
    </r>
    <r>
      <rPr>
        <sz val="11"/>
        <color theme="1"/>
        <rFont val="B Nazanin"/>
        <charset val="178"/>
      </rPr>
      <t xml:space="preserve"> در صورت موجود بودن غلظت S در سوخت كه روش (ج) پيشنهاد مي شود ولي اگر مقادیر غلظت گوگرد موجود نباشند، ضریب انتشار برای سوخت گاز طبیعی برابر با g/GJ   و برای گازوئیل برابر با g/GJ   درنظر گرفته می‌شود.</t>
    </r>
  </si>
  <si>
    <t>VOC و PM- توربين- گاز طبيعي و GasOil</t>
  </si>
  <si>
    <t>ضرايب احتراق</t>
  </si>
  <si>
    <t>نوع تجهيز</t>
  </si>
  <si>
    <t>Gas oil</t>
  </si>
  <si>
    <t>Crude oil</t>
  </si>
  <si>
    <t>Kerosene</t>
  </si>
  <si>
    <t>LPG</t>
  </si>
  <si>
    <t>Naphtha</t>
  </si>
  <si>
    <r>
      <t xml:space="preserve"> </t>
    </r>
    <r>
      <rPr>
        <sz val="10"/>
        <color theme="1"/>
        <rFont val="Times New Roman"/>
        <family val="1"/>
      </rPr>
      <t>Natural Gas</t>
    </r>
  </si>
  <si>
    <r>
      <rPr>
        <sz val="10"/>
        <color theme="1"/>
        <rFont val="Times New Roman"/>
        <family val="1"/>
      </rPr>
      <t>Fuel oil</t>
    </r>
    <r>
      <rPr>
        <sz val="10"/>
        <color theme="1"/>
        <rFont val="B Nazanin"/>
        <charset val="178"/>
      </rPr>
      <t xml:space="preserve"> </t>
    </r>
  </si>
  <si>
    <t>Heavy Gas oil</t>
  </si>
  <si>
    <t>Light Gas oil</t>
  </si>
  <si>
    <t>سايز بويلر</t>
  </si>
  <si>
    <t>نوع احتراق</t>
  </si>
  <si>
    <t>عادي</t>
  </si>
  <si>
    <t>مماسي</t>
  </si>
  <si>
    <t>نوع كنترل</t>
  </si>
  <si>
    <t xml:space="preserve">بویلر، کوره‌های فرایندی و گرمکن‌ها </t>
  </si>
  <si>
    <t>مشخصات تجهيز</t>
  </si>
  <si>
    <t>نوع داده</t>
  </si>
  <si>
    <t>واقعي</t>
  </si>
  <si>
    <t>مشخصات سوخت</t>
  </si>
  <si>
    <t>ارزش حرارتي ناخالص  (HHV)</t>
  </si>
  <si>
    <t xml:space="preserve">مقدار واقعي </t>
  </si>
  <si>
    <t xml:space="preserve">واحد </t>
  </si>
  <si>
    <t>پيش‌فرض</t>
  </si>
  <si>
    <t xml:space="preserve"> Natural Gas</t>
  </si>
  <si>
    <r>
      <t>GJ/Sm</t>
    </r>
    <r>
      <rPr>
        <vertAlign val="superscript"/>
        <sz val="10"/>
        <color theme="1"/>
        <rFont val="Times New Roman"/>
        <family val="1"/>
      </rPr>
      <t>3</t>
    </r>
  </si>
  <si>
    <t>مقدار پيش‌فرض</t>
  </si>
  <si>
    <t>واحد مصرف</t>
  </si>
  <si>
    <t>مقدار انتشارات آلاينده هاي هوا از منابع احتراقی</t>
  </si>
  <si>
    <t>PM</t>
  </si>
  <si>
    <t>Ton/yr</t>
  </si>
  <si>
    <r>
      <t>SO</t>
    </r>
    <r>
      <rPr>
        <b/>
        <vertAlign val="subscript"/>
        <sz val="12"/>
        <color theme="0"/>
        <rFont val="Times New Roman"/>
        <family val="1"/>
      </rPr>
      <t>2</t>
    </r>
  </si>
  <si>
    <t xml:space="preserve">مقدار سوخت مصرفي </t>
  </si>
  <si>
    <r>
      <t>Sm</t>
    </r>
    <r>
      <rPr>
        <vertAlign val="superscript"/>
        <sz val="10"/>
        <color theme="1"/>
        <rFont val="Times New Roman"/>
        <family val="1"/>
      </rPr>
      <t>3</t>
    </r>
    <r>
      <rPr>
        <sz val="10"/>
        <color theme="1"/>
        <rFont val="Times New Roman"/>
        <family val="1"/>
      </rPr>
      <t>/yr</t>
    </r>
  </si>
  <si>
    <r>
      <t>m</t>
    </r>
    <r>
      <rPr>
        <vertAlign val="superscript"/>
        <sz val="10"/>
        <color theme="1"/>
        <rFont val="Times New Roman"/>
        <family val="1"/>
      </rPr>
      <t>3</t>
    </r>
    <r>
      <rPr>
        <sz val="10"/>
        <color theme="1"/>
        <rFont val="Times New Roman"/>
        <family val="1"/>
      </rPr>
      <t>/yr</t>
    </r>
  </si>
  <si>
    <t>واحد ارزش حرارتي ناخالص</t>
  </si>
  <si>
    <r>
      <t>GJ/m</t>
    </r>
    <r>
      <rPr>
        <vertAlign val="superscript"/>
        <sz val="10"/>
        <color theme="1"/>
        <rFont val="Times New Roman"/>
        <family val="1"/>
      </rPr>
      <t>3</t>
    </r>
  </si>
  <si>
    <t xml:space="preserve">Fuel oil </t>
  </si>
  <si>
    <t xml:space="preserve"> Gas oil</t>
  </si>
  <si>
    <r>
      <t xml:space="preserve">ارزش حرارتی ناخالص </t>
    </r>
    <r>
      <rPr>
        <b/>
        <sz val="10"/>
        <color theme="1"/>
        <rFont val="Times New Roman"/>
        <family val="1"/>
      </rPr>
      <t>HHV</t>
    </r>
  </si>
  <si>
    <r>
      <t xml:space="preserve">ارزش حرارتی خالص </t>
    </r>
    <r>
      <rPr>
        <b/>
        <sz val="10"/>
        <color theme="1"/>
        <rFont val="Times New Roman"/>
        <family val="1"/>
      </rPr>
      <t>LHV</t>
    </r>
  </si>
  <si>
    <t>جرم مولی</t>
  </si>
  <si>
    <t>تعداد کربن</t>
  </si>
  <si>
    <t>فرمول</t>
  </si>
  <si>
    <t>ترکیب</t>
  </si>
  <si>
    <r>
      <t>GJ.kmol</t>
    </r>
    <r>
      <rPr>
        <b/>
        <vertAlign val="superscript"/>
        <sz val="10"/>
        <color theme="1"/>
        <rFont val="Times New Roman"/>
        <family val="1"/>
      </rPr>
      <t>-1</t>
    </r>
  </si>
  <si>
    <r>
      <t>gr.mol</t>
    </r>
    <r>
      <rPr>
        <b/>
        <vertAlign val="superscript"/>
        <sz val="10"/>
        <color theme="1"/>
        <rFont val="Times New Roman"/>
        <family val="1"/>
      </rPr>
      <t>-1</t>
    </r>
  </si>
  <si>
    <r>
      <t>H</t>
    </r>
    <r>
      <rPr>
        <vertAlign val="subscript"/>
        <sz val="10"/>
        <color theme="1"/>
        <rFont val="Times New Roman"/>
        <family val="1"/>
      </rPr>
      <t>2</t>
    </r>
  </si>
  <si>
    <t>Hydrogen</t>
  </si>
  <si>
    <t>He</t>
  </si>
  <si>
    <t>Helium</t>
  </si>
  <si>
    <r>
      <t>H</t>
    </r>
    <r>
      <rPr>
        <vertAlign val="subscript"/>
        <sz val="10"/>
        <color theme="1"/>
        <rFont val="Times New Roman"/>
        <family val="1"/>
      </rPr>
      <t>2</t>
    </r>
    <r>
      <rPr>
        <sz val="10"/>
        <color theme="1"/>
        <rFont val="Times New Roman"/>
        <family val="1"/>
      </rPr>
      <t>O</t>
    </r>
  </si>
  <si>
    <t>Water</t>
  </si>
  <si>
    <t>Carbon Monoxide</t>
  </si>
  <si>
    <r>
      <t>N</t>
    </r>
    <r>
      <rPr>
        <vertAlign val="subscript"/>
        <sz val="10"/>
        <color theme="1"/>
        <rFont val="Times New Roman"/>
        <family val="1"/>
      </rPr>
      <t>2</t>
    </r>
  </si>
  <si>
    <t>Nitrogen</t>
  </si>
  <si>
    <r>
      <t>O</t>
    </r>
    <r>
      <rPr>
        <vertAlign val="subscript"/>
        <sz val="10"/>
        <color theme="1"/>
        <rFont val="Times New Roman"/>
        <family val="1"/>
      </rPr>
      <t>2</t>
    </r>
  </si>
  <si>
    <t>Oxygen</t>
  </si>
  <si>
    <r>
      <t>H</t>
    </r>
    <r>
      <rPr>
        <vertAlign val="subscript"/>
        <sz val="10"/>
        <color theme="1"/>
        <rFont val="Times New Roman"/>
        <family val="1"/>
      </rPr>
      <t>2</t>
    </r>
    <r>
      <rPr>
        <sz val="10"/>
        <color theme="1"/>
        <rFont val="Times New Roman"/>
        <family val="1"/>
      </rPr>
      <t>S</t>
    </r>
  </si>
  <si>
    <t>Hydrogen Sulfide</t>
  </si>
  <si>
    <t>Ar</t>
  </si>
  <si>
    <t>Argon</t>
  </si>
  <si>
    <r>
      <t>CO</t>
    </r>
    <r>
      <rPr>
        <vertAlign val="subscript"/>
        <sz val="10"/>
        <color theme="1"/>
        <rFont val="Times New Roman"/>
        <family val="1"/>
      </rPr>
      <t>2</t>
    </r>
  </si>
  <si>
    <t>Carbon Dioxide</t>
  </si>
  <si>
    <r>
      <t>CH</t>
    </r>
    <r>
      <rPr>
        <vertAlign val="subscript"/>
        <sz val="10"/>
        <color theme="1"/>
        <rFont val="Times New Roman"/>
        <family val="1"/>
      </rPr>
      <t>4</t>
    </r>
  </si>
  <si>
    <t>Methane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</si>
  <si>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6</t>
    </r>
  </si>
  <si>
    <t>Ethane</t>
  </si>
  <si>
    <r>
      <t>C</t>
    </r>
    <r>
      <rPr>
        <vertAlign val="subscript"/>
        <sz val="10"/>
        <color theme="1"/>
        <rFont val="Times New Roman"/>
        <family val="1"/>
      </rPr>
      <t>3</t>
    </r>
    <r>
      <rPr>
        <sz val="10"/>
        <color theme="1"/>
        <rFont val="Times New Roman"/>
        <family val="1"/>
      </rPr>
      <t>H</t>
    </r>
    <r>
      <rPr>
        <vertAlign val="subscript"/>
        <sz val="10"/>
        <color theme="1"/>
        <rFont val="Times New Roman"/>
        <family val="1"/>
      </rPr>
      <t>8</t>
    </r>
  </si>
  <si>
    <t>Propane</t>
  </si>
  <si>
    <r>
      <t>C</t>
    </r>
    <r>
      <rPr>
        <vertAlign val="subscript"/>
        <sz val="10"/>
        <color theme="1"/>
        <rFont val="Times New Roman"/>
        <family val="1"/>
      </rPr>
      <t>4</t>
    </r>
    <r>
      <rPr>
        <sz val="10"/>
        <color theme="1"/>
        <rFont val="Times New Roman"/>
        <family val="1"/>
      </rPr>
      <t>H</t>
    </r>
    <r>
      <rPr>
        <vertAlign val="subscript"/>
        <sz val="10"/>
        <color theme="1"/>
        <rFont val="Times New Roman"/>
        <family val="1"/>
      </rPr>
      <t>10</t>
    </r>
  </si>
  <si>
    <t>Iso-Butane</t>
  </si>
  <si>
    <t>n-Butane</t>
  </si>
  <si>
    <r>
      <t>C</t>
    </r>
    <r>
      <rPr>
        <vertAlign val="subscript"/>
        <sz val="10"/>
        <color theme="1"/>
        <rFont val="Times New Roman"/>
        <family val="1"/>
      </rPr>
      <t>5</t>
    </r>
    <r>
      <rPr>
        <sz val="10"/>
        <color theme="1"/>
        <rFont val="Times New Roman"/>
        <family val="1"/>
      </rPr>
      <t>H</t>
    </r>
    <r>
      <rPr>
        <vertAlign val="subscript"/>
        <sz val="10"/>
        <color theme="1"/>
        <rFont val="Times New Roman"/>
        <family val="1"/>
      </rPr>
      <t>12</t>
    </r>
  </si>
  <si>
    <t>Iso-Pentane</t>
  </si>
  <si>
    <t>n-Pentane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</si>
  <si>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14</t>
    </r>
  </si>
  <si>
    <t>n-Hexane</t>
  </si>
  <si>
    <r>
      <t>C</t>
    </r>
    <r>
      <rPr>
        <vertAlign val="subscript"/>
        <sz val="10"/>
        <color theme="1"/>
        <rFont val="Times New Roman"/>
        <family val="1"/>
      </rPr>
      <t>7</t>
    </r>
    <r>
      <rPr>
        <sz val="10"/>
        <color theme="1"/>
        <rFont val="Times New Roman"/>
        <family val="1"/>
      </rPr>
      <t>H</t>
    </r>
    <r>
      <rPr>
        <vertAlign val="subscript"/>
        <sz val="10"/>
        <color theme="1"/>
        <rFont val="Times New Roman"/>
        <family val="1"/>
      </rPr>
      <t>16</t>
    </r>
  </si>
  <si>
    <t>n-Heptane</t>
  </si>
  <si>
    <r>
      <t>C</t>
    </r>
    <r>
      <rPr>
        <vertAlign val="subscript"/>
        <sz val="10"/>
        <color theme="1"/>
        <rFont val="Times New Roman"/>
        <family val="1"/>
      </rPr>
      <t>8</t>
    </r>
    <r>
      <rPr>
        <sz val="10"/>
        <color theme="1"/>
        <rFont val="Times New Roman"/>
        <family val="1"/>
      </rPr>
      <t>H</t>
    </r>
    <r>
      <rPr>
        <vertAlign val="subscript"/>
        <sz val="10"/>
        <color theme="1"/>
        <rFont val="Times New Roman"/>
        <family val="1"/>
      </rPr>
      <t>18</t>
    </r>
  </si>
  <si>
    <t>n-Octane</t>
  </si>
  <si>
    <r>
      <t>C</t>
    </r>
    <r>
      <rPr>
        <vertAlign val="subscript"/>
        <sz val="10"/>
        <color theme="1"/>
        <rFont val="Times New Roman"/>
        <family val="1"/>
      </rPr>
      <t>9</t>
    </r>
    <r>
      <rPr>
        <sz val="10"/>
        <color theme="1"/>
        <rFont val="Times New Roman"/>
        <family val="1"/>
      </rPr>
      <t>H</t>
    </r>
    <r>
      <rPr>
        <vertAlign val="subscript"/>
        <sz val="10"/>
        <color theme="1"/>
        <rFont val="Times New Roman"/>
        <family val="1"/>
      </rPr>
      <t>20</t>
    </r>
  </si>
  <si>
    <t>n-Nonane</t>
  </si>
  <si>
    <r>
      <t>C</t>
    </r>
    <r>
      <rPr>
        <vertAlign val="subscript"/>
        <sz val="10"/>
        <color theme="1"/>
        <rFont val="Times New Roman"/>
        <family val="1"/>
      </rPr>
      <t>10</t>
    </r>
    <r>
      <rPr>
        <sz val="10"/>
        <color theme="1"/>
        <rFont val="Times New Roman"/>
        <family val="1"/>
      </rPr>
      <t>H</t>
    </r>
    <r>
      <rPr>
        <vertAlign val="subscript"/>
        <sz val="10"/>
        <color theme="1"/>
        <rFont val="Times New Roman"/>
        <family val="1"/>
      </rPr>
      <t>22</t>
    </r>
  </si>
  <si>
    <t>n-Decane</t>
  </si>
  <si>
    <t>Neopentane</t>
  </si>
  <si>
    <t>2-Methylpentane</t>
  </si>
  <si>
    <t>3-Methylpentane</t>
  </si>
  <si>
    <t>2,2-Dimethylbutane</t>
  </si>
  <si>
    <t>2,3-Dimethylbutane</t>
  </si>
  <si>
    <r>
      <t>C</t>
    </r>
    <r>
      <rPr>
        <vertAlign val="subscript"/>
        <sz val="10"/>
        <color theme="1"/>
        <rFont val="Times New Roman"/>
        <family val="1"/>
      </rPr>
      <t>3</t>
    </r>
    <r>
      <rPr>
        <sz val="10"/>
        <color theme="1"/>
        <rFont val="Times New Roman"/>
        <family val="1"/>
      </rPr>
      <t>H</t>
    </r>
    <r>
      <rPr>
        <vertAlign val="subscript"/>
        <sz val="10"/>
        <color theme="1"/>
        <rFont val="Times New Roman"/>
        <family val="1"/>
      </rPr>
      <t>6</t>
    </r>
  </si>
  <si>
    <t>Cyclopropane</t>
  </si>
  <si>
    <r>
      <t>C</t>
    </r>
    <r>
      <rPr>
        <vertAlign val="subscript"/>
        <sz val="10"/>
        <color theme="1"/>
        <rFont val="Times New Roman"/>
        <family val="1"/>
      </rPr>
      <t>4</t>
    </r>
    <r>
      <rPr>
        <sz val="10"/>
        <color theme="1"/>
        <rFont val="Times New Roman"/>
        <family val="1"/>
      </rPr>
      <t>H</t>
    </r>
    <r>
      <rPr>
        <vertAlign val="subscript"/>
        <sz val="10"/>
        <color theme="1"/>
        <rFont val="Times New Roman"/>
        <family val="1"/>
      </rPr>
      <t>8</t>
    </r>
  </si>
  <si>
    <t>Cyclobutane</t>
  </si>
  <si>
    <r>
      <t>C</t>
    </r>
    <r>
      <rPr>
        <vertAlign val="subscript"/>
        <sz val="10"/>
        <color theme="1"/>
        <rFont val="Times New Roman"/>
        <family val="1"/>
      </rPr>
      <t>5</t>
    </r>
    <r>
      <rPr>
        <sz val="10"/>
        <color theme="1"/>
        <rFont val="Times New Roman"/>
        <family val="1"/>
      </rPr>
      <t>H</t>
    </r>
    <r>
      <rPr>
        <vertAlign val="subscript"/>
        <sz val="10"/>
        <color theme="1"/>
        <rFont val="Times New Roman"/>
        <family val="1"/>
      </rPr>
      <t>10</t>
    </r>
  </si>
  <si>
    <t>Cyclopentane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</si>
  <si>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12</t>
    </r>
  </si>
  <si>
    <t>Cyclohexane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</si>
  <si>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2</t>
    </r>
  </si>
  <si>
    <t>Ethyne (acetylene)</t>
  </si>
  <si>
    <r>
      <t>C</t>
    </r>
    <r>
      <rPr>
        <vertAlign val="subscript"/>
        <sz val="10"/>
        <color theme="1"/>
        <rFont val="Times New Roman"/>
        <family val="1"/>
      </rPr>
      <t>2</t>
    </r>
    <r>
      <rPr>
        <sz val="10"/>
        <color theme="1"/>
        <rFont val="Times New Roman"/>
        <family val="1"/>
      </rPr>
      <t>H</t>
    </r>
    <r>
      <rPr>
        <vertAlign val="subscript"/>
        <sz val="10"/>
        <color theme="1"/>
        <rFont val="Times New Roman"/>
        <family val="1"/>
      </rPr>
      <t>4</t>
    </r>
  </si>
  <si>
    <t>Ethene (ethylene)</t>
  </si>
  <si>
    <t>Propene (propylene)</t>
  </si>
  <si>
    <r>
      <t>C</t>
    </r>
    <r>
      <rPr>
        <vertAlign val="subscript"/>
        <sz val="10"/>
        <color theme="1"/>
        <rFont val="Times New Roman"/>
        <family val="1"/>
      </rPr>
      <t>6</t>
    </r>
    <r>
      <rPr>
        <sz val="10"/>
        <color theme="1"/>
        <rFont val="Times New Roman"/>
        <family val="1"/>
      </rPr>
      <t>H</t>
    </r>
    <r>
      <rPr>
        <vertAlign val="subscript"/>
        <sz val="10"/>
        <color theme="1"/>
        <rFont val="Times New Roman"/>
        <family val="1"/>
      </rPr>
      <t>6</t>
    </r>
  </si>
  <si>
    <t>Benzene</t>
  </si>
  <si>
    <t>Butanes, avg</t>
  </si>
  <si>
    <t>Pentanes, avg</t>
  </si>
  <si>
    <t>Hexanes, avg</t>
  </si>
  <si>
    <t>wt%</t>
  </si>
  <si>
    <t>مجموع</t>
  </si>
  <si>
    <t>ترکیبات سوخت</t>
  </si>
  <si>
    <t>mol%</t>
  </si>
  <si>
    <t>HHV</t>
  </si>
  <si>
    <t>LHV</t>
  </si>
  <si>
    <t>Other Gas 1</t>
  </si>
  <si>
    <t>Other Gas 2</t>
  </si>
  <si>
    <t>Other Gas 3</t>
  </si>
  <si>
    <t>Other Gas 4</t>
  </si>
  <si>
    <t>Other Gas 5</t>
  </si>
  <si>
    <t xml:space="preserve"> شماره نمونه آناليز سوخت</t>
  </si>
  <si>
    <t>نمونه 1</t>
  </si>
  <si>
    <t>نمونه 2</t>
  </si>
  <si>
    <t>نمونه 3</t>
  </si>
  <si>
    <t>نمونه 4</t>
  </si>
  <si>
    <t>#CAL</t>
  </si>
  <si>
    <t>انتخاب درصد مولی یا وزنی</t>
  </si>
  <si>
    <t>نوع سوخت گازي 1:</t>
  </si>
  <si>
    <t>نوع سوخت گازي 2:</t>
  </si>
  <si>
    <t>نوع سوخت گازي 3:</t>
  </si>
  <si>
    <t>نوع سوخت گازي 4:</t>
  </si>
  <si>
    <t>نوع سوخت گازي 5:</t>
  </si>
  <si>
    <t>نوع سوخت گازي 6:</t>
  </si>
  <si>
    <t>تركيب درصد سوخت‌هاي گازي را وارد كنيد:</t>
  </si>
  <si>
    <t xml:space="preserve">دانسيته </t>
  </si>
  <si>
    <t/>
  </si>
  <si>
    <t>سوخت مايع مصرفي</t>
  </si>
  <si>
    <t xml:space="preserve">جرم مولی </t>
  </si>
  <si>
    <t>مشخصات سوخت‌هاي مايع را وارد كنيد:</t>
  </si>
  <si>
    <t>Gasoline</t>
  </si>
  <si>
    <t>Fuel oil</t>
  </si>
  <si>
    <t>Natural Gas</t>
  </si>
  <si>
    <r>
      <t>ارزش حرارتی ناخالص</t>
    </r>
    <r>
      <rPr>
        <b/>
        <sz val="10"/>
        <color theme="1"/>
        <rFont val="Times New Roman"/>
        <family val="1"/>
      </rPr>
      <t xml:space="preserve">HHV </t>
    </r>
    <r>
      <rPr>
        <b/>
        <sz val="10"/>
        <color theme="1"/>
        <rFont val="B Nazanin"/>
        <charset val="178"/>
      </rPr>
      <t>واقعي</t>
    </r>
  </si>
  <si>
    <r>
      <t>ارزش حرارتی خالص</t>
    </r>
    <r>
      <rPr>
        <b/>
        <sz val="10"/>
        <color theme="1"/>
        <rFont val="Times New Roman"/>
        <family val="1"/>
      </rPr>
      <t xml:space="preserve">LHV </t>
    </r>
    <r>
      <rPr>
        <b/>
        <sz val="10"/>
        <color theme="1"/>
        <rFont val="B Nazanin"/>
        <charset val="178"/>
      </rPr>
      <t>واقعي</t>
    </r>
  </si>
  <si>
    <r>
      <t>ارزش حرارتی ناخالص</t>
    </r>
    <r>
      <rPr>
        <b/>
        <sz val="10"/>
        <color theme="1"/>
        <rFont val="Times New Roman"/>
        <family val="1"/>
      </rPr>
      <t xml:space="preserve">HHV </t>
    </r>
    <r>
      <rPr>
        <b/>
        <sz val="10"/>
        <color theme="1"/>
        <rFont val="B Nazanin"/>
        <charset val="178"/>
      </rPr>
      <t>پيش فرض</t>
    </r>
  </si>
  <si>
    <r>
      <t>ارزش حرارتی خالص</t>
    </r>
    <r>
      <rPr>
        <b/>
        <sz val="10"/>
        <color theme="1"/>
        <rFont val="Times New Roman"/>
        <family val="1"/>
      </rPr>
      <t xml:space="preserve">LHV </t>
    </r>
    <r>
      <rPr>
        <b/>
        <sz val="10"/>
        <color theme="1"/>
        <rFont val="B Nazanin"/>
        <charset val="178"/>
      </rPr>
      <t>پيش فرض</t>
    </r>
  </si>
  <si>
    <r>
      <rPr>
        <sz val="48"/>
        <color theme="1"/>
        <rFont val="Times New Roman"/>
        <family val="1"/>
        <scheme val="major"/>
      </rPr>
      <t>Nox</t>
    </r>
    <r>
      <rPr>
        <sz val="48"/>
        <color theme="1"/>
        <rFont val="B Titr"/>
        <charset val="178"/>
      </rPr>
      <t xml:space="preserve"> و </t>
    </r>
    <r>
      <rPr>
        <sz val="48"/>
        <color theme="1"/>
        <rFont val="Times New Roman"/>
        <family val="1"/>
        <scheme val="major"/>
      </rPr>
      <t>CO</t>
    </r>
    <r>
      <rPr>
        <sz val="48"/>
        <color theme="1"/>
        <rFont val="B Titr"/>
        <charset val="178"/>
      </rPr>
      <t xml:space="preserve"> - بويلر- گاز طبيعي و ساير سوخت‌هاي گازي و سوخت مايع </t>
    </r>
    <r>
      <rPr>
        <sz val="48"/>
        <color theme="1"/>
        <rFont val="Times New Roman"/>
        <family val="1"/>
        <scheme val="major"/>
      </rPr>
      <t>LPG</t>
    </r>
  </si>
  <si>
    <t>r</t>
  </si>
  <si>
    <t>t</t>
  </si>
  <si>
    <t>a</t>
  </si>
  <si>
    <t>b</t>
  </si>
  <si>
    <t>c</t>
  </si>
  <si>
    <t>d</t>
  </si>
  <si>
    <t>a1</t>
  </si>
  <si>
    <t>a2</t>
  </si>
  <si>
    <t>a3</t>
  </si>
  <si>
    <t>a4</t>
  </si>
  <si>
    <t>a5</t>
  </si>
  <si>
    <t>a6</t>
  </si>
  <si>
    <t>eeee</t>
  </si>
  <si>
    <t>erf</t>
  </si>
  <si>
    <t>ed</t>
  </si>
  <si>
    <t>erfd</t>
  </si>
  <si>
    <t>Uncontrolled</t>
  </si>
  <si>
    <t>Controlled-Flue gas recirculation</t>
  </si>
  <si>
    <t>Controlled-Low NOx burners</t>
  </si>
  <si>
    <t>Controlled-Water Steam Injection</t>
  </si>
  <si>
    <t>Controlled-Lean Premix</t>
  </si>
  <si>
    <t>انتشار از روش (ج) برآورد شود</t>
  </si>
  <si>
    <t>ضرايب انتشارات آلاينده هاي هوا از منابع احتراقی</t>
  </si>
  <si>
    <t>g/GJ</t>
  </si>
  <si>
    <t xml:space="preserve">روش (ج): موازنه جرم </t>
  </si>
  <si>
    <t>دوره اندازه گيري</t>
  </si>
  <si>
    <t xml:space="preserve">دوره اندازه گيري </t>
  </si>
  <si>
    <t>اول</t>
  </si>
  <si>
    <t>دوم</t>
  </si>
  <si>
    <t>سوم</t>
  </si>
  <si>
    <t>چهارم</t>
  </si>
  <si>
    <t>پنجم</t>
  </si>
  <si>
    <t>ششم</t>
  </si>
  <si>
    <t>هفتم</t>
  </si>
  <si>
    <t>هشتم</t>
  </si>
  <si>
    <t>نهم</t>
  </si>
  <si>
    <t>دهم</t>
  </si>
  <si>
    <t>يازدهم</t>
  </si>
  <si>
    <t>دوازدهم</t>
  </si>
  <si>
    <t>تمام تجهيزات احتراقي</t>
  </si>
  <si>
    <t>واحد غلظت</t>
  </si>
  <si>
    <t>مايع</t>
  </si>
  <si>
    <t>گاز</t>
  </si>
  <si>
    <r>
      <rPr>
        <b/>
        <sz val="12"/>
        <color theme="0"/>
        <rFont val="B Nazanin"/>
        <charset val="178"/>
      </rPr>
      <t>در هر دوره اندازه گيري</t>
    </r>
    <r>
      <rPr>
        <b/>
        <sz val="12"/>
        <color theme="0"/>
        <rFont val="Times New Roman"/>
        <family val="1"/>
      </rPr>
      <t>/Ton</t>
    </r>
  </si>
  <si>
    <r>
      <t>sm</t>
    </r>
    <r>
      <rPr>
        <vertAlign val="superscript"/>
        <sz val="12"/>
        <color theme="1"/>
        <rFont val="Times New Roman"/>
        <family val="1"/>
      </rPr>
      <t>3</t>
    </r>
    <r>
      <rPr>
        <sz val="12"/>
        <color theme="1"/>
        <rFont val="Times New Roman"/>
        <family val="1"/>
      </rPr>
      <t>/s</t>
    </r>
  </si>
  <si>
    <r>
      <t>mg/sm</t>
    </r>
    <r>
      <rPr>
        <vertAlign val="superscript"/>
        <sz val="12"/>
        <color theme="1"/>
        <rFont val="Times New Roman"/>
        <family val="1"/>
      </rPr>
      <t>3</t>
    </r>
  </si>
  <si>
    <r>
      <t>m</t>
    </r>
    <r>
      <rPr>
        <vertAlign val="superscript"/>
        <sz val="12"/>
        <color theme="1"/>
        <rFont val="Times New Roman"/>
        <family val="1"/>
      </rPr>
      <t>3</t>
    </r>
    <r>
      <rPr>
        <sz val="12"/>
        <color theme="1"/>
        <rFont val="Times New Roman"/>
        <family val="1"/>
      </rPr>
      <t>/s</t>
    </r>
  </si>
  <si>
    <r>
      <t>mg/m</t>
    </r>
    <r>
      <rPr>
        <vertAlign val="superscript"/>
        <sz val="12"/>
        <color theme="1"/>
        <rFont val="Times New Roman"/>
        <family val="1"/>
      </rPr>
      <t>3</t>
    </r>
  </si>
  <si>
    <t>فاز سوخت</t>
  </si>
  <si>
    <t>مشخصات دوره اندازه‌گيري</t>
  </si>
  <si>
    <t>انتشار اين آلاينده به روش (ج) برآورد نمي‌شود.</t>
  </si>
  <si>
    <t>روش (الف): استفاده از دبی و ترکیب گاز ارسالی و راندمان احتراق</t>
  </si>
  <si>
    <t>شماره فلر</t>
  </si>
  <si>
    <t>شماره 1</t>
  </si>
  <si>
    <t>شماره 2</t>
  </si>
  <si>
    <t>شماره 3</t>
  </si>
  <si>
    <t>شماره 4</t>
  </si>
  <si>
    <t>شماره 5</t>
  </si>
  <si>
    <t>شماره 6</t>
  </si>
  <si>
    <t>شماره 7</t>
  </si>
  <si>
    <t>sm3/s</t>
  </si>
  <si>
    <t>انتشار اين آلاينده به روش (الف) برآورد نمي‌شود.</t>
  </si>
  <si>
    <t>صنايع پتروشيمي و پالايشگاهي</t>
  </si>
  <si>
    <t>صنايع بالادستي نفت و گاز</t>
  </si>
  <si>
    <t>kg/sm3</t>
  </si>
  <si>
    <t>تركيب درصد گاز ارسالي به فلر را وارد كنيد:</t>
  </si>
  <si>
    <t>فلر 1:</t>
  </si>
  <si>
    <t>فلر 2:</t>
  </si>
  <si>
    <t>فلر 3:</t>
  </si>
  <si>
    <t>فلر 4:</t>
  </si>
  <si>
    <t>فلر 5:</t>
  </si>
  <si>
    <t>فلر 6:</t>
  </si>
  <si>
    <t>wt% to mol%</t>
  </si>
  <si>
    <t>m3⋅Pa⋅K−1⋅mol−1</t>
  </si>
  <si>
    <t>چگالي</t>
  </si>
  <si>
    <t xml:space="preserve"> شرایط استاندارد: عبارت است از دمای 288.6 درجه کلوین (15.6 درجه سلسیوس) و فشار یک اتمسفر.</t>
  </si>
  <si>
    <t>Mavg</t>
  </si>
  <si>
    <t>گاز فلر6:</t>
  </si>
  <si>
    <t>گاز فلر 5:</t>
  </si>
  <si>
    <t>گاز فلر 4:</t>
  </si>
  <si>
    <t>گاز فلر 3:</t>
  </si>
  <si>
    <t>گاز فلر 2:</t>
  </si>
  <si>
    <t>گاز فلر 1:</t>
  </si>
  <si>
    <t>mol%*M</t>
  </si>
  <si>
    <r>
      <t>Y</t>
    </r>
    <r>
      <rPr>
        <vertAlign val="subscript"/>
        <sz val="11"/>
        <color theme="1"/>
        <rFont val="Arial"/>
        <family val="2"/>
        <scheme val="minor"/>
      </rPr>
      <t>HC</t>
    </r>
  </si>
  <si>
    <t>فلر بدون دود</t>
  </si>
  <si>
    <t>فلر با دود کم</t>
  </si>
  <si>
    <t>فلر با دود متوسط</t>
  </si>
  <si>
    <t>فلر با دود زیاد</t>
  </si>
  <si>
    <t>ميزان دوده فلر</t>
  </si>
  <si>
    <r>
      <t xml:space="preserve">ارز ش حرارتي  </t>
    </r>
    <r>
      <rPr>
        <b/>
        <sz val="12"/>
        <color theme="0"/>
        <rFont val="Times New Roman"/>
        <family val="1"/>
        <scheme val="major"/>
      </rPr>
      <t/>
    </r>
  </si>
  <si>
    <t>GJ/kg</t>
  </si>
  <si>
    <t>چگالي گاز ارسالي به فلر در شرايط استاندارد (ρ)</t>
  </si>
  <si>
    <t>%</t>
  </si>
  <si>
    <t>نوع تاسيسات</t>
  </si>
  <si>
    <t xml:space="preserve">نوع فلر </t>
  </si>
  <si>
    <t xml:space="preserve">فلر گرم </t>
  </si>
  <si>
    <t xml:space="preserve">فلر اسيدي </t>
  </si>
  <si>
    <t>(kg/kg)</t>
  </si>
  <si>
    <t>انتشار اين آلاينده به روش (ب) برآورد نمي‌شود.</t>
  </si>
  <si>
    <t xml:space="preserve">حجم ساليانه گاز ارسالی به فلر  </t>
  </si>
  <si>
    <t>مشخصات فلر</t>
  </si>
  <si>
    <t>ضرايب انتشارات آلاينده هاي هوا از منابع فلر</t>
  </si>
  <si>
    <t>مشخصات گوگرد توليدي</t>
  </si>
  <si>
    <t>انتشار اين آلاينده‌ها به روش (ب) برآورد نمي‌شود.</t>
  </si>
  <si>
    <t>شماره اكسيدايزر</t>
  </si>
  <si>
    <t>بخش محاسبه انتشارات چاله‌های سوخت</t>
  </si>
  <si>
    <t>مقدار سالانه تولید گوگرد در واحد SRU</t>
  </si>
  <si>
    <t xml:space="preserve">جرم هیدروکربن در سیال ورودی به چاله سوخت  </t>
  </si>
  <si>
    <t>kg/yr</t>
  </si>
  <si>
    <r>
      <t>Kg/(ton</t>
    </r>
    <r>
      <rPr>
        <b/>
        <vertAlign val="subscript"/>
        <sz val="12"/>
        <color theme="0"/>
        <rFont val="Times New Roman"/>
        <family val="1"/>
      </rPr>
      <t xml:space="preserve"> S</t>
    </r>
    <r>
      <rPr>
        <b/>
        <sz val="12"/>
        <color theme="0"/>
        <rFont val="Times New Roman"/>
        <family val="1"/>
      </rPr>
      <t>)</t>
    </r>
  </si>
  <si>
    <r>
      <t xml:space="preserve">kg/(kg </t>
    </r>
    <r>
      <rPr>
        <b/>
        <vertAlign val="subscript"/>
        <sz val="12"/>
        <color theme="0"/>
        <rFont val="Times New Roman"/>
        <family val="1"/>
      </rPr>
      <t>HC</t>
    </r>
    <r>
      <rPr>
        <b/>
        <sz val="12"/>
        <color theme="0"/>
        <rFont val="Times New Roman"/>
        <family val="1"/>
      </rPr>
      <t>)</t>
    </r>
  </si>
  <si>
    <t xml:space="preserve">مشخصات سیال ورودی به چاله سوخت </t>
  </si>
  <si>
    <t>انتشار اين آلاينده‌ها به روش (الف) برآورد نمي‌شود.</t>
  </si>
  <si>
    <t>شماره چاله سوخت</t>
  </si>
  <si>
    <t>مقدار انتشارات آلاينده هاي هوا از منابع پسماندسوز و اکسیدایزر</t>
  </si>
  <si>
    <t>مقدار انتشارات آلاينده هاي هوا از منابع چاله‌های سوخت</t>
  </si>
  <si>
    <t>مشخصات سيال ورودي به چاله سوخت</t>
  </si>
  <si>
    <t>تعداد ساعت عملکرد در سال</t>
  </si>
  <si>
    <t>hr</t>
  </si>
  <si>
    <t>نوع واحد</t>
  </si>
  <si>
    <t>مشخصات زماني</t>
  </si>
  <si>
    <t>مشخصات سيال ورودي و خروجي واحد نم‌زدایی</t>
  </si>
  <si>
    <t>دبی گاز ورودي به واحد نم‌زدایی</t>
  </si>
  <si>
    <t xml:space="preserve">غلظت جرمی VOC در جریان گاز ورودی (مرطوب) </t>
  </si>
  <si>
    <t>غلظت جرمی VOC در جريان گاز خروجی (خشک)</t>
  </si>
  <si>
    <t>روش (ب): آنالیز VOC در گاز ورودي و خروجی واحد نم‌زدایی</t>
  </si>
  <si>
    <t xml:space="preserve">روش (ب): استفاده از ضرایب انتشار </t>
  </si>
  <si>
    <t xml:space="preserve">مقدارخوراک سالانه واحد شکست کاتالیستی بستر سیال </t>
  </si>
  <si>
    <t>واحد نم‌زدایی</t>
  </si>
  <si>
    <t>واحد کک‌سازی تاخیری</t>
  </si>
  <si>
    <t>m</t>
  </si>
  <si>
    <t>شماره محفظه كك‌سازي</t>
  </si>
  <si>
    <t xml:space="preserve">دما در بالای محفظه کک سازی قبل از باز شدن ونت تخلیه بخار </t>
  </si>
  <si>
    <t xml:space="preserve">تعداد سیکل‌های سالانه تولید کک در هر محفظه </t>
  </si>
  <si>
    <t>kg</t>
  </si>
  <si>
    <t>انتشار اين آلاينده ها در واحد نم زدايي مدنظر نيست.</t>
  </si>
  <si>
    <t>انتشار اين آلاينده ها در واحد كك‌سازي تاخيري مدنظر نيست.</t>
  </si>
  <si>
    <t xml:space="preserve"> واحد ریفورمینگ کاتالیستی</t>
  </si>
  <si>
    <t xml:space="preserve">حجم سالانه خوراک واحد ریفورمینگ كاتاليستي </t>
  </si>
  <si>
    <t>ضرايب انتشارات آلاينده هاي هوا از منابع ونت  واحد شكست كاتاليستي بستر سيال</t>
  </si>
  <si>
    <t>ضرايب انتشارات آلاينده‌هاي هوا از منابع ونت واحد كك‌سازي تاخيري</t>
  </si>
  <si>
    <t>ضرايب انتشارات آلاينده‌هاي هوا از منابع ونت واحد ريفورمينگ كاتاليستي</t>
  </si>
  <si>
    <t xml:space="preserve">مشخصات خوراک واحد ریفورمینگ كاتاليستي </t>
  </si>
  <si>
    <t>مشخصات محفظه کک‌سازی تاخیری</t>
  </si>
  <si>
    <t xml:space="preserve">مشخصات خوراک واحد شکست کاتالیستی بستر سیال </t>
  </si>
  <si>
    <t>واحد آسفالت سازی</t>
  </si>
  <si>
    <t>مقدار سالانه قیر تولیدي</t>
  </si>
  <si>
    <t>مشخصات قیر تولیدي</t>
  </si>
  <si>
    <t>ton</t>
  </si>
  <si>
    <t>نوع فرآيند</t>
  </si>
  <si>
    <t>Saturant Asphalt (زمان هوادهی به مدت یک ساعت و نیم)</t>
  </si>
  <si>
    <t>Coating Asphalt (زمان هوادهی به مدت چهار ساعت و نیم)</t>
  </si>
  <si>
    <t>مشخصات فرآيند</t>
  </si>
  <si>
    <t>مشخصات تجهيز كنترلي</t>
  </si>
  <si>
    <t>انتشار اين آلاينده ها در ريفورمينگ كاتاليستي مدنظر نيست.</t>
  </si>
  <si>
    <t>انتشار اين آلاينده ها در واحد ريفورمينگ كاتاليستي مدنظر نيست.</t>
  </si>
  <si>
    <t>انتشار اين آلاينده در واحد آسفالت سازی مدنظر نيست.</t>
  </si>
  <si>
    <t xml:space="preserve">مشخصات خوراک پالايشگاه </t>
  </si>
  <si>
    <t xml:space="preserve">حجم سالانه خوراک پالايشگاه  </t>
  </si>
  <si>
    <t>انتشار اين آلاينده ها در سیستم‌های Blowdown مدنظر نيست.</t>
  </si>
  <si>
    <t>واحد تقطیر خلاء</t>
  </si>
  <si>
    <t>انتشار اين آلاينده ها در تقطیر خلاء مدنظر نيست.</t>
  </si>
  <si>
    <t>انتشار اين آلاينده ها در  تقطیر خلاء مدنظر نيست.</t>
  </si>
  <si>
    <t xml:space="preserve">مشخصات خوراک واحد تقطیر خلاء </t>
  </si>
  <si>
    <t xml:space="preserve">حجم سالانه خوراک واحد تقطیر خلاء </t>
  </si>
  <si>
    <r>
      <t xml:space="preserve"> Kg/m</t>
    </r>
    <r>
      <rPr>
        <b/>
        <vertAlign val="superscript"/>
        <sz val="12"/>
        <color theme="0"/>
        <rFont val="Times New Roman"/>
        <family val="1"/>
      </rPr>
      <t>3</t>
    </r>
    <r>
      <rPr>
        <b/>
        <vertAlign val="subscript"/>
        <sz val="12"/>
        <color theme="0"/>
        <rFont val="Times New Roman"/>
        <family val="1"/>
      </rPr>
      <t>Feed of VD</t>
    </r>
  </si>
  <si>
    <t xml:space="preserve">روش (الف): استفاده از ضرایب انتشار </t>
  </si>
  <si>
    <t xml:space="preserve">ضرايب انتشارات آلاينده‌هاي هوا از منابع ونت  واحد تقطیر خلاء </t>
  </si>
  <si>
    <t xml:space="preserve">مقدار انتشارات آلاينده هاي هوا از منابع ونت واحد تقطیر خلاء </t>
  </si>
  <si>
    <t>ضرايب انتشارات آلاينده‌هاي هوا از منابع ونت سیستم‌های Blowdown</t>
  </si>
  <si>
    <t>مقدار انتشارات آلاينده هاي هوا از منابع ونت سیستم‌های Blowdown</t>
  </si>
  <si>
    <t>ضرايب انتشارات آلاينده‌هاي هوا از منابع ونت واحد آسفالت سازی</t>
  </si>
  <si>
    <t>مقدار انتشارات آلاينده هاي هوا از منابع ونت واحد آسفالت سازی</t>
  </si>
  <si>
    <t>مقدار انتشارات آلاينده هاي هوا از منابع  ونت واحد ریفورمینگ کاتالیستی</t>
  </si>
  <si>
    <t>مقدار انتشارات آلاينده هاي هوا از منابع ونت واحد کک‌سازی تاخیری</t>
  </si>
  <si>
    <t>مقدار انتشارات آلاينده هاي هوا از منابع ونت واحد شکست کاتالیستی بستر سیال</t>
  </si>
  <si>
    <t>مقدار انتشارات آلاينده هاي هوا از منابع ونت واحد نم‌زدایی</t>
  </si>
  <si>
    <t>ضرايب انتشارات آلاينده هاي هوا از منابع ونت واحد نم‌زدایی</t>
  </si>
  <si>
    <t>واحد پلی اتیلن سنگین</t>
  </si>
  <si>
    <t xml:space="preserve">جرم سالانه پلی اتیلن سنگین تولیدی  </t>
  </si>
  <si>
    <t>Ton</t>
  </si>
  <si>
    <t>انتشار اين آلاينده ها در واحد پلی اتیلن سنگین مدنظر نيست.</t>
  </si>
  <si>
    <t>واحد ونیل کلراید مونومر</t>
  </si>
  <si>
    <t xml:space="preserve">جرم سالانه اتیلن دی کلراید ناخالص ورودی به واحد خالص سازی اتیلن دی کلراید </t>
  </si>
  <si>
    <t>انتشار اين آلاينده ها در واحد ونیل کلراید مونومرمدنظر نيست.</t>
  </si>
  <si>
    <t>انتشار اين آلاينده ها در واحد ونیل کلراید مونومر مدنظر نيست.</t>
  </si>
  <si>
    <t>ضرايب انتشارات آلاينده‌هاي هوا از منابع ونت واحد ونیل کلراید مونومر</t>
  </si>
  <si>
    <t>مقدار انتشارات آلاينده هاي هوا از منابع ونت واحد ونیل کلراید مونومر</t>
  </si>
  <si>
    <t>مقدار انتشارات آلاينده هاي هوا از منابع ونت واحد پلی اتیلن سنگین</t>
  </si>
  <si>
    <t>ضرايب انتشارات آلاينده‌هاي هوا از منابع ونت واحد پلی اتیلن سنگین</t>
  </si>
  <si>
    <t>واحد پلی ونیل کلراید</t>
  </si>
  <si>
    <t>ضرايب انتشارات آلاينده‌هاي هوا از منابع ونت واحد پلی ونیل کلراید</t>
  </si>
  <si>
    <t>مقدار انتشارات آلاينده هاي هوا از منابع ونت واحد پلی ونیل کلراید</t>
  </si>
  <si>
    <t>انتشار اين آلاينده ها در واحد پلی ونیل کلراید مدنظر نيست.</t>
  </si>
  <si>
    <r>
      <t xml:space="preserve"> Kg/Ton </t>
    </r>
    <r>
      <rPr>
        <b/>
        <vertAlign val="subscript"/>
        <sz val="12"/>
        <color theme="0"/>
        <rFont val="Times New Roman"/>
        <family val="1"/>
      </rPr>
      <t>PVC</t>
    </r>
  </si>
  <si>
    <t>جرم سالانه پلی ونیل کلراید تولیدی</t>
  </si>
  <si>
    <t>واحد پلی پروپیلن</t>
  </si>
  <si>
    <t>انتشار اين آلاينده ها در واحد پلی پروپیلن مدنظر نيست.</t>
  </si>
  <si>
    <t xml:space="preserve">مشخصات  پلی اتیلن سنگین تولیدی  </t>
  </si>
  <si>
    <t xml:space="preserve">مشخصات خوراک واحد خالص سازی اتیلن دی کلراید </t>
  </si>
  <si>
    <t>مشخصات پلی ونیل کلراید تولیدی</t>
  </si>
  <si>
    <t>جرم سالانه پلی پروپیلن تولیدی</t>
  </si>
  <si>
    <t>مشخصات پلی پروپیلن تولیدی</t>
  </si>
  <si>
    <t>بازده حذف تجهیز کنترلی واحد</t>
  </si>
  <si>
    <t xml:space="preserve"> جرم سالانه پلی استایرن تولیدی</t>
  </si>
  <si>
    <t>انتشار اين آلاينده در واحد پلی استایرن مدنظر نيست.</t>
  </si>
  <si>
    <t>مشخصات پلی استایرن تولیدي</t>
  </si>
  <si>
    <t>ضرايب انتشارات آلاينده‌هاي هوا از منابع ونت واحد پلی استایرن</t>
  </si>
  <si>
    <t>مقدار انتشارات آلاينده هاي هوا از منابع ونت واحد پلی استایرن</t>
  </si>
  <si>
    <t>Batch Process</t>
  </si>
  <si>
    <t>Continuous Process (Using vacuum pump)</t>
  </si>
  <si>
    <t>Continuous Process (Using steam jet)</t>
  </si>
  <si>
    <t>Expandable Polystyrene</t>
  </si>
  <si>
    <t>بله</t>
  </si>
  <si>
    <t>خير</t>
  </si>
  <si>
    <r>
      <t xml:space="preserve"> Kg/ton</t>
    </r>
    <r>
      <rPr>
        <b/>
        <vertAlign val="subscript"/>
        <sz val="12"/>
        <color theme="0"/>
        <rFont val="Times New Roman"/>
        <family val="1"/>
      </rPr>
      <t>NH3</t>
    </r>
  </si>
  <si>
    <t xml:space="preserve"> جرم سالانه آمونیاک تولیدی</t>
  </si>
  <si>
    <t>انتشار اين آلاينده در واحد آمونياك مدنظر نيست.</t>
  </si>
  <si>
    <t>فرآيندهاي مورد بررسي در واحد آمونياك</t>
  </si>
  <si>
    <t xml:space="preserve"> آيا واحد آمونياك، فرآيند سولفورزدایی دارد؟</t>
  </si>
  <si>
    <t xml:space="preserve"> آيا واحد آمونياك، فرآيند جذب CO2 دارد؟</t>
  </si>
  <si>
    <t xml:space="preserve"> آيا واحد آمونياك، فرآيند گاز زدایی (استریپر) دارد؟</t>
  </si>
  <si>
    <t>مشخصات آمونياك تولیدي</t>
  </si>
  <si>
    <t>ND</t>
  </si>
  <si>
    <t>بازده حذف تجهیز کنترلی در اين فرآيند</t>
  </si>
  <si>
    <t>ضرايب انتشارات آلاينده‌هاي هوا از منابع ونت واحد آمونياك</t>
  </si>
  <si>
    <t>مقدار انتشارات آلاينده هاي هوا از منابع ونت واحد آمونياك</t>
  </si>
  <si>
    <t>واحد آمونياك</t>
  </si>
  <si>
    <t>واحد اسید نیتریک</t>
  </si>
  <si>
    <t>نوع اسيد نيتريك</t>
  </si>
  <si>
    <t>اسید نیتریک رقیق (50 تا 70 درصد)</t>
  </si>
  <si>
    <t>اسید نیتریک غليظ (بيشتر از 70 درصد)</t>
  </si>
  <si>
    <t>جرم سالانه اسید نیتریک تولیدی</t>
  </si>
  <si>
    <t>درصد خلوص اسید نیتریک تولیدی</t>
  </si>
  <si>
    <t>نوع  تجهيز كنترلي</t>
  </si>
  <si>
    <t>احيا کاتالیستی اکسیدهای نیتروژن در tail gas تولیدی (تركيب با سوخت گاز طبيعي)</t>
  </si>
  <si>
    <t>احيا کاتالیستی اکسیدهای نیتروژن در tail gas تولیدی (تركيب با سوخت هيدروژن)</t>
  </si>
  <si>
    <t>احيا کاتالیستی اکسیدهای نیتروژن در tail gas تولیدی (تركيب با سوخت گاز طبيعي و هيدروژن)</t>
  </si>
  <si>
    <t>افزایش بازده جذب در برج جذب در فرایند جذب تک مرحله ای</t>
  </si>
  <si>
    <t>افزایش بازده جذب در برج جذب در فرایند جذب دو مرحله ای</t>
  </si>
  <si>
    <t>انتشار اين آلاينده در واحد اسید نیتریک مدنظر نيست.</t>
  </si>
  <si>
    <t>انتشار اين آلاينده‌ها در واحد اسید نیتریک مدنظر نيست.</t>
  </si>
  <si>
    <t>استفاده از اسکرابر با محلول باز قوی (NAOH یا Na2CO3)</t>
  </si>
  <si>
    <t>مشخصات  اسید نیتریک تولیدي</t>
  </si>
  <si>
    <t xml:space="preserve">حجم سیال هیدروکربنی ذخیره شده در یک سال </t>
  </si>
  <si>
    <t>انتشار اين آلاينده ها از مخازن مدنظر نيست.</t>
  </si>
  <si>
    <t>ضرايب انتشارات آلاينده‌هاي هوا از منابع ونت مخازن</t>
  </si>
  <si>
    <t>مقدار انتشارات آلاينده هاي هوا از منابع ونت مخازن</t>
  </si>
  <si>
    <t>بخش محاسبه انتشارات ونت فرآیندهاي پتروشيمي (واحد پلی ونیل کلراید)</t>
  </si>
  <si>
    <t>نفت خام در مخازن سقف شناور</t>
  </si>
  <si>
    <t>نفت خام در مخازن سقف ثابت</t>
  </si>
  <si>
    <t>محصولات تقطيري سبك در مخازن سقف ثابت</t>
  </si>
  <si>
    <t>محصولات تقطيري متوسط در مخازن سقف ثابت</t>
  </si>
  <si>
    <t xml:space="preserve">  (kg/MMbbl)</t>
  </si>
  <si>
    <t xml:space="preserve">بالادستي نفت و گاز </t>
  </si>
  <si>
    <t>صنایع پتروشیمی ]</t>
  </si>
  <si>
    <t xml:space="preserve">صنايع پالايشگاهي </t>
  </si>
  <si>
    <t>نفت خام در مخازن سقف شناور خارجی/ شناور داخلی/ مخازن با سقف شناور خارجی گنبدی</t>
  </si>
  <si>
    <t>بنزین و محصولات تقطیری سبک در مخازن سقف شناور خارجی/ شناور داخلی/ مخازن با سقف شناور خارجی گنبدی</t>
  </si>
  <si>
    <t>دیزل و محصولات تقطیری متوسط در مخازن سقف شناور خارجی/ شناور داخلی/ مخازن با سقف شناور خارجی گنبدی</t>
  </si>
  <si>
    <t>آسفالت، روغن روغنکاری و محصولات تقطیری سنگین  در مخازن سقف شناور خارجی/ شناور داخلی/ مخازن با سقف شناور خارجی گنبدی</t>
  </si>
  <si>
    <t>آروماتیک‌ها در مخازن سقف شناور خارجی/ شناور داخلی/ مخازن با سقف شناور خارجی گنبدی</t>
  </si>
  <si>
    <t>اتیلن دی کلراید درمخازن با سقف ثابت</t>
  </si>
  <si>
    <t>نفتا در مخازن با سقف شناور داخلی</t>
  </si>
  <si>
    <t>نفتا در مخازن با سقف ثابت</t>
  </si>
  <si>
    <t>متانول در مخازن با سقف ثابت</t>
  </si>
  <si>
    <t>متانول در مخازن با سقف شناور داخلی</t>
  </si>
  <si>
    <t>زایلن در مخازن با سقف ثابت</t>
  </si>
  <si>
    <t>فنول در مخازن با سقف ثابت</t>
  </si>
  <si>
    <t>تولوئن در مخازن با سقف شناور داخلی</t>
  </si>
  <si>
    <t>تولوئن درمخازن با سقف شناور خارجی</t>
  </si>
  <si>
    <t>تولوئن در مخازن با سقف ثابت</t>
  </si>
  <si>
    <t>متیل اتیل کتون در مخازن با سقف ثابت</t>
  </si>
  <si>
    <t>هگزان در مخازن با سقف ثابت</t>
  </si>
  <si>
    <t>مونواتیلن گلایکل در مخازن با سقف ثابت</t>
  </si>
  <si>
    <t>دی اتیلن گلایکل در مخازن با سقف ثابت</t>
  </si>
  <si>
    <t>بنزین پیرولیز در مخازن با سقف ثابت</t>
  </si>
  <si>
    <t>بنزین پیرولیز درمخازن با سقف شناور داخلی</t>
  </si>
  <si>
    <t>MTBE در مخازن با سقف شناور خارجی</t>
  </si>
  <si>
    <t>نوع مخزن و سيال ذخيره شده</t>
  </si>
  <si>
    <t>kg/MMbbl</t>
  </si>
  <si>
    <t>شماره 8</t>
  </si>
  <si>
    <t>شماره مخزن</t>
  </si>
  <si>
    <t>شماره 9</t>
  </si>
  <si>
    <t>شماره 10</t>
  </si>
  <si>
    <t>بخش محاسبه انتشارات ونت مخازن نگهداري محصولات (صنایع بالادستي نفت و گاز)</t>
  </si>
  <si>
    <t>بخش محاسبه انتشارات ونت مخازن نگهداري محصولات (صنایع پتروشيمي)</t>
  </si>
  <si>
    <t>شماره 11</t>
  </si>
  <si>
    <t>حجم سالانه فرآورده بارگیری شده</t>
  </si>
  <si>
    <t xml:space="preserve">متوسط فشار بخار واقعی فراورده </t>
  </si>
  <si>
    <t>atm</t>
  </si>
  <si>
    <t>متوسط جرم مولی بخار تولید شده از فراورده</t>
  </si>
  <si>
    <t>g/gmol</t>
  </si>
  <si>
    <t>متوسط دمای سیال بارگیری در تانكر</t>
  </si>
  <si>
    <t>K</t>
  </si>
  <si>
    <t>نفت خام</t>
  </si>
  <si>
    <t>محصولات پتروشيمي (جز VOC ها)</t>
  </si>
  <si>
    <t>ساير محصولات هيدروكربني</t>
  </si>
  <si>
    <t>بارگيري</t>
  </si>
  <si>
    <t>نسبت VOC به TOC در فراورده</t>
  </si>
  <si>
    <t>نوع و نحوه بارگیری</t>
  </si>
  <si>
    <t>بارگیری  در خشکی (مستغرغ درون یک تانکر تمیز)</t>
  </si>
  <si>
    <t>بارگیری  در خشکی (مستغرغ بدون سیستم جمع آوری بخارات)</t>
  </si>
  <si>
    <t>بارگیری در خشکی (مستغرغ با سیستم جمع آوری بخارات)</t>
  </si>
  <si>
    <t>بارگیری در خشکی (پاششی درون یک تانکر تمیز)</t>
  </si>
  <si>
    <t>بارگیری در خشکی (پاششی بدون سیستم جمع آوری بخارات)</t>
  </si>
  <si>
    <t>بارگیری در خشکی (پاششی با سیستم جمع آوری بخارات)</t>
  </si>
  <si>
    <t>بارگیری در دريا (مستغرغ به کشتی)</t>
  </si>
  <si>
    <t>بارگیری در دريا (مستغرغ به بشکه)</t>
  </si>
  <si>
    <t>ضریب اشباع</t>
  </si>
  <si>
    <t>نوع فرآورده</t>
  </si>
  <si>
    <t>درصد بازده جمع آوری بخارات در فرایند بارگیری</t>
  </si>
  <si>
    <t>اقدام کنترلی</t>
  </si>
  <si>
    <t>بازده (%)</t>
  </si>
  <si>
    <t xml:space="preserve">جمع آوری بخارات بدون تست نشتی تانکر </t>
  </si>
  <si>
    <t>جمع آوری بخارات بدون تست نشتی تانکر (برقراری حداقل فشار مثبت بین 3 تا 5 اینچ آب)</t>
  </si>
  <si>
    <t>جمع آوری بخارات با تست نشتی دو بار در سال تانكر بر اساس متد 27 EPA  (محصولات غیر بنزینی)</t>
  </si>
  <si>
    <t>جمع آوری بخارات با تست نشتی سالانه تانکر بر اساس متد 27 EPA (محصولات غیر بنزینی)</t>
  </si>
  <si>
    <t>جمع آوری بخارات با تست نشتی سالانه تانكر بر اساس متد 27 EPA  (محصولات بنزینی)</t>
  </si>
  <si>
    <t>جمع آوری بخارات به روش بارگیری خلاء (حفظ خلاء کمتر از 1/5- اینچ آب).  (اتصال فشرده فلنج‌های متصل کننده بین تانکر و سیستم جمع‌آوری بخارات)</t>
  </si>
  <si>
    <t>جمع آوری بخارات به روش بارگیری خلاء (حفظ خلاء کمتر از 1/5- اینچ آب). (تانكرهايي كه گواهي تاييديه ايمني و عدم نشتي از سازماني معتبر را داشته باشد.)</t>
  </si>
  <si>
    <t xml:space="preserve">درصد بازده كنترلي بازيابي بخارات جمع‌آوری شده  </t>
  </si>
  <si>
    <t>نحوه جمع آوری بخارات در فرایند بارگیری</t>
  </si>
  <si>
    <t>درصد جمع آوری بخارات در فرایند بارگیری</t>
  </si>
  <si>
    <t>شماره محصول بارگيري شده</t>
  </si>
  <si>
    <t>عنوان محصول بارگيري شده</t>
  </si>
  <si>
    <t>شرایط مخزن قبل از بارگیری</t>
  </si>
  <si>
    <t>بدون تمیزکاری (محصول بارگیری شده قبلي مخزن فرار بوده است)</t>
  </si>
  <si>
    <t>پرشده با آب توازن- Ballasted (محصول بارگیری شده قبلي مخزن فرار بوده است)</t>
  </si>
  <si>
    <t>تمیز شده (محصول بارگیری شده قبلي مخزن فرار بوده است)</t>
  </si>
  <si>
    <t>پرشده با گاز بی اثر-Gas-freed (محصول بارگیری شده قبلي مخزن فرار بوده است)</t>
  </si>
  <si>
    <t>به طور عام (محصول بارگیری شده قبلي مخزن غير فرار بوده است)</t>
  </si>
  <si>
    <t>پرشده با گاز بی اثر-Gas-freed (محصول بارگیری شده قبلي مخزن هر نوع فراورده اي بوده است)</t>
  </si>
  <si>
    <t>به طور عام (محصول بارگیری شده قبلي مخزن هر نوع فراورده‌اي بوده است)</t>
  </si>
  <si>
    <t>کشتی و یا بشکه های بزرگ (مثلا با عمق حدود   12/2m  )</t>
  </si>
  <si>
    <t>بشکه کوچک (مثلا با عمق حدود 3m الي  3/7m)</t>
  </si>
  <si>
    <t xml:space="preserve">بخش محاسبه انتشارات ونت بارگيري (بارگيري بنزين در دريا) </t>
  </si>
  <si>
    <t>مشخصات سيستم جمع آوري بخارات و سيستم كنترلي بازيابي بخارات</t>
  </si>
  <si>
    <t>مشخصات فرآورده بارگيري شده</t>
  </si>
  <si>
    <t>ابعاد بشكه و كشتي بارگيري</t>
  </si>
  <si>
    <t>کشتی و یا بشکه های بزرگ (مثلا با عمق حدود 12/2m)</t>
  </si>
  <si>
    <t>بشکه کوچک (مثلا با عمق حدود 3m الي 3/7m)</t>
  </si>
  <si>
    <t>ضريبي براي اين مورد ارائه نشده است.</t>
  </si>
  <si>
    <t xml:space="preserve">بخش محاسبه انتشارات ونت بارگيري (بارگيري نفت خام در دريا) </t>
  </si>
  <si>
    <t>ضريب CA</t>
  </si>
  <si>
    <t>کشتی و یا بشکه های بزرگ</t>
  </si>
  <si>
    <t>بدون تمیزکاری  (محصول بارگیری شده قبلي مخزن فرار بوده است)</t>
  </si>
  <si>
    <t>پرشده با آب توازن  (محصول بارگیری شده قبلي مخزن فرار بوده است)</t>
  </si>
  <si>
    <t>تمیز شده  (محصول بارگیری شده قبلي مخزن فرار بوده است)</t>
  </si>
  <si>
    <t>پرشده با گاز بی اثر  (محصول بارگیری شده قبلي مخزن فرار بوده است)</t>
  </si>
  <si>
    <t xml:space="preserve">جرم مولی متوسط بخار نفت خام </t>
  </si>
  <si>
    <t xml:space="preserve">متوسط فشار بخار واقعی نفت خام بارگيري شده </t>
  </si>
  <si>
    <t xml:space="preserve">متوسط دمای بخار نفت خام </t>
  </si>
  <si>
    <t>مشخصات فرآورده بارگيري شده و شرايط بارگيري</t>
  </si>
  <si>
    <t>تعداد شیرآلات گاز</t>
  </si>
  <si>
    <t>تعداد شیرآلات نفت سبک</t>
  </si>
  <si>
    <t>تعداد شیرآلات نفت سنگین</t>
  </si>
  <si>
    <t>تعداد آب‌بندی پمپ گاز</t>
  </si>
  <si>
    <t>تعداد آب‌بندی پمپ نفت سبک</t>
  </si>
  <si>
    <t>تعداد آب‌بندی پمپ آب/نفت</t>
  </si>
  <si>
    <t>تعداد اتصالات گاز</t>
  </si>
  <si>
    <t>تعداد اتصالات نفت سبک</t>
  </si>
  <si>
    <t>تعداد اتصالات نفت سنگین</t>
  </si>
  <si>
    <t>تعداد اتصالات آب/نفت</t>
  </si>
  <si>
    <t>تعداد فلنج ها گاز</t>
  </si>
  <si>
    <t>تعداد فلنج ها نفت سبک</t>
  </si>
  <si>
    <t>تعداد فلنج ها نفت سنگین</t>
  </si>
  <si>
    <t>تعداد فلنج ها آب/نفت</t>
  </si>
  <si>
    <t>تعداد خطوط با انتهای باز گاز</t>
  </si>
  <si>
    <t>تعداد خطوط با انتهای باز نفت سبک</t>
  </si>
  <si>
    <t>تعداد خطوط با انتهای باز نفت سنگین</t>
  </si>
  <si>
    <t>تعداد خطوط با انتهای باز آب/نفت</t>
  </si>
  <si>
    <t>شماره جريان</t>
  </si>
  <si>
    <t>تعداد تجهيزات در هر خط جريان با نسبت جرمي VOC به TOC مشخص</t>
  </si>
  <si>
    <t>ضريب شیرآلات گاز</t>
  </si>
  <si>
    <t>ضريب شیرآلات نفت سبک</t>
  </si>
  <si>
    <t>ضريب خطوط با انتهای باز آب/نفت</t>
  </si>
  <si>
    <t>ضريب خطوط با انتهای باز نفت سنگین</t>
  </si>
  <si>
    <t>ضريب خطوط با انتهای باز نفت سبک</t>
  </si>
  <si>
    <t>ضريب خطوط با انتهای باز گاز</t>
  </si>
  <si>
    <t>ضريب فلنج ها آب/نفت</t>
  </si>
  <si>
    <t>ضريب فلنج ها نفت سنگین</t>
  </si>
  <si>
    <t>ضريب فلنج ها نفت سبک</t>
  </si>
  <si>
    <t>ضريب فلنج ها گاز</t>
  </si>
  <si>
    <t>ضريب اتصالات آب/نفت</t>
  </si>
  <si>
    <t>ضريب اتصالات نفت سنگین</t>
  </si>
  <si>
    <t>ضريب اتصالات نفت سبک</t>
  </si>
  <si>
    <t>ضريب اتصالات گاز</t>
  </si>
  <si>
    <t>ضريب آب‌بندی پمپ آب/نفت</t>
  </si>
  <si>
    <t>ضريب آب‌بندی پمپ نفت سبک</t>
  </si>
  <si>
    <t>ضريب آب‌بندی پمپ گاز</t>
  </si>
  <si>
    <t>ضريب شیرآلات نفت سنگین</t>
  </si>
  <si>
    <t>نسبت درصد جرمي VOC به درصد جرمي TOC جريان</t>
  </si>
  <si>
    <t>انتشار اين آلاينده‌ها از منابع فرار (نشتي تجهيزات) مدنظر نيست.</t>
  </si>
  <si>
    <t xml:space="preserve">روش (د) و (ه): استفاده از تعداد دقیق/ پیش‌فرض تجهیزات نشتی و ضرایب انتشار مختص نوع تجهيز </t>
  </si>
  <si>
    <t>مقدار انتشارات آلاينده هاي هوا از كل منابع فرار (كل نشتي تجهيزات)</t>
  </si>
  <si>
    <t>مقدار انتشارات آلاينده هاي هوا از منابع فرار هر جريان (نشتي تجهيزات هر جريان)</t>
  </si>
  <si>
    <t>بخش محاسبه انتشارات  فرار در صنایع بالادستی نفت و گاز (نشتي تجهيزات)</t>
  </si>
  <si>
    <t>تعداد شیرآلات مایعات سبک</t>
  </si>
  <si>
    <t>تعداد شیرآلات مایعات سنگین</t>
  </si>
  <si>
    <t>تعداد آب‌بندی پمپمایعات سنگین</t>
  </si>
  <si>
    <t>تعداد آب‌بندی کمپرسور گاز</t>
  </si>
  <si>
    <t>تعداد شیرهای اطمینان تخلیه فشار گاز</t>
  </si>
  <si>
    <t>تعداد اتصالات همه نوع سیال</t>
  </si>
  <si>
    <t>تعداد خطوط با انتهای باز همه نوع سیال</t>
  </si>
  <si>
    <t>تعداد اتصالات نمونه‌گیری همه نوع سیال</t>
  </si>
  <si>
    <t>تعداد آب‌بندی پمپ مایعات سبک</t>
  </si>
  <si>
    <t>تعداد اتصالات و فلنج‌ها گاز</t>
  </si>
  <si>
    <t>تعداد اتصالات و فلنج‌ها مایعات سبک</t>
  </si>
  <si>
    <t>ضريب شیرآلات مایعات سبک</t>
  </si>
  <si>
    <t>ضريب شیرآلات مایعات سنگین</t>
  </si>
  <si>
    <t>ضريب آب‌بندی پمپ مایعات سبک</t>
  </si>
  <si>
    <t>ضريب آب‌بندی پمپمایعات سنگین</t>
  </si>
  <si>
    <t>ضريب آب‌بندی کمپرسور گاز</t>
  </si>
  <si>
    <t>ضريب شیرهای اطمینان تخلیه فشار گاز</t>
  </si>
  <si>
    <t>ضريب اتصالات همه نوع سیال</t>
  </si>
  <si>
    <t>ضريب خطوط با انتهای باز همه نوع سیال</t>
  </si>
  <si>
    <t>ضريب اتصالات نمونه‌گیری همه نوع سیال</t>
  </si>
  <si>
    <t>بخش محاسبه انتشارات  فرار در صنایع پالايشگاهي (نشتي تجهيزات)</t>
  </si>
  <si>
    <t>بخش محاسبه انتشارات  فرار در صنایع  پتروشيمي (نشتي تجهيزات)</t>
  </si>
  <si>
    <t>تعداد سایر تجهیزات 2 گاز</t>
  </si>
  <si>
    <t>تعداد سایر تجهیزات2 مایعات سبک</t>
  </si>
  <si>
    <t>ضريب اتصالات و فلنج‌ها گاز</t>
  </si>
  <si>
    <t>ضريب اتصالات و فلنج‌ها مایعات سبک</t>
  </si>
  <si>
    <t>بخش محاسبه انتشارات  فرار در ترمینال‌های فروش محصولات  (نشتي تجهيزات)</t>
  </si>
  <si>
    <t>تعداد كل شیرآلات گاز</t>
  </si>
  <si>
    <t>تعداد كل شیرآلات مایعات سبک</t>
  </si>
  <si>
    <t>تعداد كل شیرآلات مایعات سنگین</t>
  </si>
  <si>
    <t>تعداد كل آب‌بندی پمپمایعات سنگین</t>
  </si>
  <si>
    <t>تعداد كل آب‌بندی کمپرسور گاز</t>
  </si>
  <si>
    <t>تعداد كل شیرهای اطمینان تخلیه فشار گاز</t>
  </si>
  <si>
    <t>تعداد كل اتصالات همه نوع سیال</t>
  </si>
  <si>
    <t>تعداد كل خطوط با انتهای باز همه نوع سیال</t>
  </si>
  <si>
    <t>تعداد كل اتصالات نمونه‌گیری همه نوع سیال</t>
  </si>
  <si>
    <t xml:space="preserve">تعداد كل آب‌بندی پمپ مایعات سبک، همزن‌ها و مخلوط‌کن‌ها </t>
  </si>
  <si>
    <t>حوضچه جداسازی آب و نفت</t>
  </si>
  <si>
    <t>کنترل نشده</t>
  </si>
  <si>
    <t xml:space="preserve">متوسط ضرایب انتشار VOC از واحدهای مدیریت پساب </t>
  </si>
  <si>
    <t xml:space="preserve">بخش محاسبه انتشارات فرار سيستم‌هاي تصفیه پساب </t>
  </si>
  <si>
    <t>انتشار اين آلاينده ها از  سيستم‌هاي تصفیه پساب  مدنظر نيست.</t>
  </si>
  <si>
    <t>واحدهای مدیریت پساب</t>
  </si>
  <si>
    <t xml:space="preserve">مسیرهای جمع آوری فاضلاب </t>
  </si>
  <si>
    <r>
      <t xml:space="preserve">سیستم‌های شناورسازی مواد نفتی با هوا </t>
    </r>
    <r>
      <rPr>
        <sz val="11"/>
        <color theme="1"/>
        <rFont val="Times New Roman"/>
        <family val="1"/>
      </rPr>
      <t>(DAF/IAF)</t>
    </r>
  </si>
  <si>
    <t>واحد ضريب</t>
  </si>
  <si>
    <t>Kg/(hr-drain)</t>
  </si>
  <si>
    <t xml:space="preserve">حجم سالانه فاضلاب تولید شده </t>
  </si>
  <si>
    <t>تعداد ساعت در سال که فاضلاب به سمت سیستم جمع آوری جریان دارد</t>
  </si>
  <si>
    <t>در اين رديف به اين داده نيازي نيست.</t>
  </si>
  <si>
    <t>مشخصات واحدهاي تصفيه پساب</t>
  </si>
  <si>
    <t>مشخصات سيستم كنترلي</t>
  </si>
  <si>
    <t>بخش محاسبه انتشارات فرار برج هاي خنك‌كن</t>
  </si>
  <si>
    <t>روش (الف): سنجش يا تخمين TDS آب خنک‎کن</t>
  </si>
  <si>
    <t>انتشار اين آلاينده از روش (ب و يا ج) برآورد شود.</t>
  </si>
  <si>
    <t>انتشار اين آلاينده ها از برج‌هاي خنك‌كن مدنظر نيست.</t>
  </si>
  <si>
    <t>انتشار اين آلاينده از برج‌هاي خنك‌كن مدنظر نيست.</t>
  </si>
  <si>
    <t>ضرايب انتشارات آلاينده‌هاي هوا از منابع فرار برج‌هاي خنك‌كن</t>
  </si>
  <si>
    <t>مقدار انتشارات آلاينده هاي هوا از منابع فرار برج‌هاي خنك‌كن</t>
  </si>
  <si>
    <t>دبی حجمي آب در گردش برج خنک کن</t>
  </si>
  <si>
    <t>تعداد ساعت عملکرد برج خنک کن در سال</t>
  </si>
  <si>
    <t>ppmw</t>
  </si>
  <si>
    <t>غلظت ذرات محلول در آب خنک کن در گردش (TDS)</t>
  </si>
  <si>
    <t>نوع برج خنک کن</t>
  </si>
  <si>
    <t>عمر بالاتر از 20 سال</t>
  </si>
  <si>
    <t>عمر کمتر از 20 سال</t>
  </si>
  <si>
    <t>عمر کمتر از 20 سال ( با طراحی بهترین تکنولوژی حذف قطرات)</t>
  </si>
  <si>
    <t>درصد آب منتقل شده به هوا</t>
  </si>
  <si>
    <t>Drift Loss (%)</t>
  </si>
  <si>
    <t>اين روش بر مبناي ضريب نيست</t>
  </si>
  <si>
    <t>روش (ب): سنجش غلظت VOC آب خنک‎کن</t>
  </si>
  <si>
    <t>مشخصات برج خنك‌كن</t>
  </si>
  <si>
    <t>غلظت VOC در آب ورودی به برج خنک کن</t>
  </si>
  <si>
    <t>غلظت VOC در آب خروجی از برج خنک کن</t>
  </si>
  <si>
    <t>انتشار اين آلاينده از روش (الف) برآورد شود.</t>
  </si>
  <si>
    <t>بدون کنترل</t>
  </si>
  <si>
    <t>ضرایب انتشار برای ترکیبات آلی فرار ناشی از برج‌های خنک‌کن</t>
  </si>
  <si>
    <t xml:space="preserve">روش (ج):  استفاده از ضرایب انتشار </t>
  </si>
  <si>
    <t>راهنماي روش (ج): موازنه جرم (تمام تجهيزات احتراقي)</t>
  </si>
  <si>
    <t xml:space="preserve">مقدار كل انتشارات </t>
  </si>
  <si>
    <t>از منابع احتراقي</t>
  </si>
  <si>
    <t>است.</t>
  </si>
  <si>
    <t xml:space="preserve">مقدارسوخت مصرفی در اين دوره اندازه‌گیری </t>
  </si>
  <si>
    <t>غلظت گوگرد (S) در سوخت مصرفی در زمان پايش اين دوره اندازه‌گيري</t>
  </si>
  <si>
    <r>
      <t>sm</t>
    </r>
    <r>
      <rPr>
        <vertAlign val="superscript"/>
        <sz val="12"/>
        <color theme="1"/>
        <rFont val="Times New Roman"/>
        <family val="1"/>
      </rPr>
      <t>3</t>
    </r>
    <r>
      <rPr>
        <sz val="12"/>
        <color theme="1"/>
        <rFont val="Times New Roman"/>
        <family val="1"/>
      </rPr>
      <t>/در هر دوره اندازه گيري</t>
    </r>
  </si>
  <si>
    <r>
      <t>m</t>
    </r>
    <r>
      <rPr>
        <vertAlign val="superscript"/>
        <sz val="12"/>
        <color theme="1"/>
        <rFont val="Times New Roman"/>
        <family val="1"/>
      </rPr>
      <t>3</t>
    </r>
    <r>
      <rPr>
        <sz val="12"/>
        <color theme="1"/>
        <rFont val="Times New Roman"/>
        <family val="1"/>
      </rPr>
      <t>/در هر دوره اندازه گيري</t>
    </r>
  </si>
  <si>
    <t>عنوان سوخت</t>
  </si>
  <si>
    <t>شماره سوخت</t>
  </si>
  <si>
    <t>معادل كدام يك از نوع سوخت‌ها است؟</t>
  </si>
  <si>
    <t>مشخصات سوخت ها در هر دوره اندازه‌گيري</t>
  </si>
  <si>
    <t>توضيحات:</t>
  </si>
  <si>
    <t>ton/yr</t>
  </si>
  <si>
    <t>نوع كنترل آلايندگي</t>
  </si>
  <si>
    <t>مشخصات گاز ارسالي به فلر</t>
  </si>
  <si>
    <t>روش (الف) بر مبناي ضرايب نيست.</t>
  </si>
  <si>
    <t>مقدار انتشارات آلاينده هاي هوا از منابع فلر</t>
  </si>
  <si>
    <t>راهنماي روش (الف):  استفاده از دبی و ترکیب گاز ارسالی و راندمان احتراق</t>
  </si>
  <si>
    <t>(الف)</t>
  </si>
  <si>
    <t>(ب)</t>
  </si>
  <si>
    <t>(ج)</t>
  </si>
  <si>
    <t>(د)</t>
  </si>
  <si>
    <t>(د) و (ه)</t>
  </si>
  <si>
    <t>از منابع فلر</t>
  </si>
  <si>
    <t>بخش محاسبه انتشارات  پسماندسوز و اکسیدایزر و چاله سوخت</t>
  </si>
  <si>
    <t xml:space="preserve"> و چاله سوخت</t>
  </si>
  <si>
    <t>از منابع     پسماندسوز و اکسیدایزر</t>
  </si>
  <si>
    <t>از منابع ونت فرآيندي</t>
  </si>
  <si>
    <t>پالايش نفت</t>
  </si>
  <si>
    <t>پالايش گاز</t>
  </si>
  <si>
    <t>پتروشيمي</t>
  </si>
  <si>
    <t>نوع تاسيسات را انتخاب كنيد:</t>
  </si>
  <si>
    <t>بخش محاسبه انتشارات ونت فرآيندي واحدهاي  پالایش گاز (واحد نم‌زدایی)</t>
  </si>
  <si>
    <t>بخش محاسبه انتشارات ونت فرآيندي واحدهاي پالایش نفت (واحد شکست کاتالیستی بستر سیال)</t>
  </si>
  <si>
    <t>بخش محاسبه انتشارات ونت فرآيندي واحدهاي پالایش نفت (واحد کک‌سازی تاخیری)</t>
  </si>
  <si>
    <t>بخش محاسبه انتشارات ونت فرآيندي واحدهاي پالایش نفت (واحد ریفورمینگ کاتالیستی)</t>
  </si>
  <si>
    <t>بخش محاسبه انتشارات ونت فرآيندي واحدهاي پالایش نفت (واحد آسفالت سازی)</t>
  </si>
  <si>
    <t>بخش محاسبه انتشارات ونت فرآيندي واحدهاي پالایش نفت (سیستم‌های Blowdown )</t>
  </si>
  <si>
    <t>بخش محاسبه انتشارات ونت فرآيندي واحدهاي پالایش نفت (واحد تقطیر خلاء)</t>
  </si>
  <si>
    <t>بخش محاسبه انتشارات ونت فرآيندي واحدهاي پتروشيمي (واحد پلی اتیلن سنگین)</t>
  </si>
  <si>
    <t>بخش محاسبه انتشارات ونت فرآيندي واحدهاي پتروشيمي (واحد ونیل کلراید مونومر)</t>
  </si>
  <si>
    <t>بخش محاسبه انتشارات ونت فرآيندي واحدهاي پتروشيمي (واحد پلی پروپیلن)</t>
  </si>
  <si>
    <t>بخش محاسبه انتشارات ونت فرآيندي واحدهاي پتروشيمي (واحد پلی استایرن)</t>
  </si>
  <si>
    <t>بخش محاسبه انتشارات ونت فرآيندي واحدهاي پتروشيمي (واحد آمونياك)</t>
  </si>
  <si>
    <t>بخش محاسبه انتشارات ونت فرآيندي واحدهاي پتروشيمي (واحد اسید نیتریک)</t>
  </si>
  <si>
    <t>توليد پلی اتیلن سنگین</t>
  </si>
  <si>
    <t xml:space="preserve">توليد ونیل کلراید مونومر
</t>
  </si>
  <si>
    <t xml:space="preserve">توليد پلی ونیل کلراید
</t>
  </si>
  <si>
    <t>توليد پلی پروپیلن</t>
  </si>
  <si>
    <t xml:space="preserve">توليد پلی استایرن
</t>
  </si>
  <si>
    <t xml:space="preserve">توليد آمونياك
</t>
  </si>
  <si>
    <t xml:space="preserve">توليد اسید نیتریک
</t>
  </si>
  <si>
    <t>در اين روش ضرايب كاربرد ندارد</t>
  </si>
  <si>
    <t>شکست كاتالیستی بستر سیال</t>
  </si>
  <si>
    <t>راهنماي روش (ب): آنالیز VOC در گاز ورودي و خروجی واحد نم‌زدایی (پالايش گاز)</t>
  </si>
  <si>
    <t xml:space="preserve"> </t>
  </si>
  <si>
    <t>راهنماي روش (ب): استفاده از ضرایب انتشار ونت فرآيندي واحد شکست کاتالیستی بستر سیال (پالايش نفت)</t>
  </si>
  <si>
    <t>راهنماي روش (ب): استفاده از ضرایب انتشار ونت فرآيندي واحد کک‌سازی تاخیری (پالایش نفت)</t>
  </si>
  <si>
    <t>راهنماي روش (ب): استفاده از ضرایب انتشار ونت فرآيندي واحد ریفورمینگ کاتالیستی (پالايش نفت)</t>
  </si>
  <si>
    <t>راهنماي روش (ب): استفاده از ضرایب انتشار ونت فرآيندي واحد آسفالت سازی (پالايش نفت)</t>
  </si>
  <si>
    <t>راهنماي روش (ب): استفاده از ضرایب انتشار ونت فرآيندي سیستم‌های Blowdown (پالايش نفت)</t>
  </si>
  <si>
    <t>راهنماي روش (ب): استفاده از ضرایب انتشار ونت فرآيندي واحد تقطیر خلاء (پالايش نفت)</t>
  </si>
  <si>
    <t>راهنماي روش (ب): استفاده از ضرایب انتشار ونت فرآيندي واحدهاي پتروشيمي (واحد پلی اتیلن سنگین)</t>
  </si>
  <si>
    <t>راهنماي روش (ب): استفاده از ضرایب انتشار ونت فرآيندي واحدهاي پتروشيمي (واحد ونیل کلراید مونومر)</t>
  </si>
  <si>
    <t>راهنماي روش (ب): استفاده از ضرایب انتشار ونت فرآيندي واحدهاي پتروشيمي (واحد پلی ونیل کلراید)</t>
  </si>
  <si>
    <t>راهنماي روش (ب): استفاده از ضرایب انتشار ونت فرآيندي واحدهاي پتروشيمي (واحد پلی پروپیلن)</t>
  </si>
  <si>
    <t>واحد پلی‌استایرن</t>
  </si>
  <si>
    <t>راهنماي روش (ب): استفاده از ضرایب انتشار ونت فرآيندي واحدهاي پتروشيمي (واحد پلی استایرن)</t>
  </si>
  <si>
    <t>راهنماي روش (ب): استفاده از ضرایب انتشار ونت فرآيندي واحدهاي پتروشيمي (واحد آمونياك)</t>
  </si>
  <si>
    <t>راهنماي روش (ب): استفاده از ضرایب انتشار ونت فرآيندي واحدهاي پتروشيمي (واحد اسيد نيتريك)</t>
  </si>
  <si>
    <t xml:space="preserve">مشخصات مخزن و سیال هیدروکربنی ذخیره شده </t>
  </si>
  <si>
    <t>صنایع بالادستي نفت و گاز</t>
  </si>
  <si>
    <t>صنایع پالايشگاهي</t>
  </si>
  <si>
    <t>صنایع پتروشيمي</t>
  </si>
  <si>
    <t>از منابع ونت مخازن</t>
  </si>
  <si>
    <t>راهنماي روش (الف): استفاده از ضرایب انتشارات ونت مخازن نگهداري محصولات (صنایع بالادستي نفت و گاز، صنایع پالايشگاهي و صنایع پتروشيمي)</t>
  </si>
  <si>
    <t>انتشار اين آلاينده ها از فرآيند بارگيري مدنظر نيست.</t>
  </si>
  <si>
    <t xml:space="preserve">بخش محاسبه انتشارات ونت بارگيري (بارگيري همه محصولات در خشكي و بارگيري همه محصولات به غير از بنزين و نفت خام در دريا) </t>
  </si>
  <si>
    <t>از منابع ونت بارگيري</t>
  </si>
  <si>
    <t>ضرايب انتشار آلاينده‌ VOC از منابع فرار (نشتي تجهيزات) (kg/hr/source)</t>
  </si>
  <si>
    <t>ضرايب انتشار آلاينده‌ VOC از منابع فرار (نشتي تجهيزات)  (kg/hr/source)</t>
  </si>
  <si>
    <t>راهنماي روش (د) و (ه): استفاده از تعداد دقیق/ پیش‌فرض تجهیزات نشتی و ضرایب انتشار مختص نوع تجهيز در صنایع بالادستي نفت و گاز، صنایع پتروشيمي و ترمينال‌هاي فروش محصولات</t>
  </si>
  <si>
    <t>راهنماي روش (د) و (ه): استفاده از تعداد دقیق/ پیش‌فرض تجهیزات نشتی و ضرایب انتشار مختص نوع تجهيز در صنایع پالايشگاهي</t>
  </si>
  <si>
    <t xml:space="preserve">ضرايب انتشارات آلاينده‌هاي هوا از منابع فرار سيستم‌هاي تصفیه پساب </t>
  </si>
  <si>
    <t xml:space="preserve">مقدار انتشارات آلاينده‌هاي هوا از منابع فرار سيستم‌هاي تصفیه پساب </t>
  </si>
  <si>
    <t xml:space="preserve">راهنماي روش (الف): استفاده از ضرایب انتشارات فرار سيستم‌هاي تصفیه پساب  </t>
  </si>
  <si>
    <t>از منابع فرار سيستم‌هاي تصفیه پساب</t>
  </si>
  <si>
    <t>از منابع فرار برج هاي خنك‌كن</t>
  </si>
  <si>
    <t>راهنماي روش (الف): سنجش يا تخمين TDS آب خنک‎کن</t>
  </si>
  <si>
    <t>راهنماي روش (ب): سنجش غلظت VOC آب خنک‎کن</t>
  </si>
  <si>
    <t xml:space="preserve">راهنماي روش (ج):  استفاده از ضرایب انتشار </t>
  </si>
  <si>
    <t>اخطار لازم:</t>
  </si>
  <si>
    <t>جهت وارد كردن تركيب درصد سوخت‌هاي گازي، يك جدول براي  Natural Gas  و  5 جدول جداگانه براي Other Gas1 الي Other Gas 5  در نظر گرفته شده است ( توجه شود كه در اين فايل اكسل تنها امكان انتخاب Natural Gas و 5 نوع Other Gas به عنوان سوخت گازي وجود دارد). در هريك از اين جداول، بايد تركيب درصد همان سوخت گازي كه در بالاي جدول نوشته شده است وارد شود چراكه در صورت انتخاب هر يك از اين سوخت‌هاي گازي در هر قسمت از اين فايل اكسل، تركيب درصد واقعي آن به جدول مربوط به همان سوخت گازي در اين صفحه ارجاع داده مي‌شود. . تكميل هر يك از اين جداول طبق گام‌هاي زير انجام شوند:</t>
  </si>
  <si>
    <t>ترکیبات گاز ارسالي</t>
  </si>
  <si>
    <t>براي ورود مشخصات سوخت‌هاي مايع، فقط يك جدول در نظر گرفته شده است. تكميل  اين جدول طبق گامهاي زير انجام شوند:</t>
  </si>
  <si>
    <t>راهنماي ورود مشخصات سوختهاي مايع</t>
  </si>
  <si>
    <t>راهنماي ورود تركيب درصد سوخت‌هاي گازي</t>
  </si>
  <si>
    <t>راهنماي ورود تركيب درصد گاز ارسالي به فلر</t>
  </si>
  <si>
    <t>بخش ورود مشخصات و تركيب درصد  سوخت‌ها و گازهاي ارسالي به فلر</t>
  </si>
  <si>
    <r>
      <t xml:space="preserve">مقداركل مصرف اين سوخت در سال      </t>
    </r>
    <r>
      <rPr>
        <b/>
        <sz val="16"/>
        <color theme="0"/>
        <rFont val="Times New Roman"/>
        <family val="1"/>
        <scheme val="major"/>
      </rPr>
      <t/>
    </r>
  </si>
  <si>
    <t>راهنماي كلي بخش منابع احتراقي</t>
  </si>
  <si>
    <t xml:space="preserve">     بخش محاسبه انتشارات احتراقي</t>
  </si>
  <si>
    <t xml:space="preserve">     بخش محاسبه انتشارات فلر</t>
  </si>
  <si>
    <t>راهنماي كلي بخش منابع فلر</t>
  </si>
  <si>
    <t xml:space="preserve">بخش محاسبه انتشارات  پسماندسوز و اکسیدایزر </t>
  </si>
  <si>
    <t>راهنماي كلي بخش منابع پسماند سوز، اكسيدايزر و بخش منابع چاله سوخت</t>
  </si>
  <si>
    <t xml:space="preserve">     بخش محاسبه انتشارات ونت فرآيندي</t>
  </si>
  <si>
    <t>راهنماي كلي بخش منابع ونت فرآيندي</t>
  </si>
  <si>
    <t xml:space="preserve">     بخش محاسبه انتشارات ونت مخازن</t>
  </si>
  <si>
    <t>راهنماي كلي بخش منابع ونت مخازن</t>
  </si>
  <si>
    <t>راهنماي كلي بخش منابع ونت  بارگيري</t>
  </si>
  <si>
    <t>ضرايب انتشارات آلاينده‌هاي هوا از منابع ونت بارگيري</t>
  </si>
  <si>
    <t>مقدار انتشارات آلاينده هاي هوا از منابع ونت بارگيري</t>
  </si>
  <si>
    <t xml:space="preserve">     بخش محاسبه انتشارات فرار نشتي تجهيزات</t>
  </si>
  <si>
    <t>راهنماي كلي بخش منابع فرار نشتي تجهيزات</t>
  </si>
  <si>
    <t>راهنماي كلي بخش منابع فرار سيستم تصفيه پساب</t>
  </si>
  <si>
    <t>راهنماي كلي بخش منابع فرار برج خنك كن</t>
  </si>
  <si>
    <t xml:space="preserve">نام سازمان سطح 3: </t>
  </si>
  <si>
    <t>نام سازمان سطح 2مربوطه:</t>
  </si>
  <si>
    <t xml:space="preserve">نام سازمان سطح 1 مربوطه: </t>
  </si>
  <si>
    <t>نوع منبع</t>
  </si>
  <si>
    <t>مقدار</t>
  </si>
  <si>
    <t>منابع احتراقی</t>
  </si>
  <si>
    <t>احتراقی ثابت غیر از فلر، اکسیدایزر و پسماندسوز</t>
  </si>
  <si>
    <t>فلر</t>
  </si>
  <si>
    <t>پسماندسوز و اکسیدایزر</t>
  </si>
  <si>
    <t>چاله سوخت</t>
  </si>
  <si>
    <t>منابع فرآيندي و تخليه‌اي</t>
  </si>
  <si>
    <t>فرآيند پالايش نفت و گاز و توليد محصولات پتروشيمي</t>
  </si>
  <si>
    <t>مخازن</t>
  </si>
  <si>
    <t>منابع فرار</t>
  </si>
  <si>
    <t>منابع نشتي</t>
  </si>
  <si>
    <t>تصفیه پساب</t>
  </si>
  <si>
    <t>برج خنک کن</t>
  </si>
  <si>
    <t xml:space="preserve">فرضيات و توضيحات: </t>
  </si>
  <si>
    <t>مقدار انتشار سالانه آلاينده‌هاي هوا</t>
  </si>
  <si>
    <t xml:space="preserve">مجموع </t>
  </si>
  <si>
    <t xml:space="preserve">راهنماي كلي صفحه نتايج </t>
  </si>
  <si>
    <t>1. راهنماي رنگ سلول ها</t>
  </si>
  <si>
    <t>سلول هايي كه بايد توسط كاربر پر شوند (انتخاب از ليست، ورود مقدار يا انتخاب واحد).</t>
  </si>
  <si>
    <t>ساير رنگها</t>
  </si>
  <si>
    <t>■</t>
  </si>
  <si>
    <t>3. سلسله مراتب انجام كار</t>
  </si>
  <si>
    <t>سلسله مراتب انجام كار به ترتيب زير است:</t>
  </si>
  <si>
    <t xml:space="preserve">تكميل فرم صفحه General بر اساس مشخصات و توليدات سازمان. </t>
  </si>
  <si>
    <t>اداره كل بهداشت، ايمني و محيط زيست وزارت نفت</t>
  </si>
  <si>
    <t>سلول هايي كه حاوي مطالب راهنما و ارجاع هستند. اين سلول ها قفل بوده و نيازي به پر كردن آنها نيست.</t>
  </si>
  <si>
    <t>عناوين ستونهاي مختلف و سلول‌هاي نمايش نتايج محاسبات اين سلول ها قفل بوده و لازم نيست عمل خاصي رو آنها انجام شود.</t>
  </si>
  <si>
    <t>در تكميل صفحه Combustion در صورت تمايل به استفاده از مشخصات واقعي سوخت، لازم است با مراجعه به صفحه Composition، تركيب درصد سوخت در فرمهاي مربوطه وارد شوند.</t>
  </si>
  <si>
    <t>با مراجعه و مشاهده نتايج كلي محاسبات در صفحه Results مي‌توان اشكالات احتمالي را مشاهده كرد و اقدامات لازم در جهت رفع آنها را  انجام داد.</t>
  </si>
  <si>
    <t>معرفي اكسل محاسبه موجودي</t>
  </si>
  <si>
    <t>نحوه كار با اكسل محاسبه موجودي</t>
  </si>
  <si>
    <t xml:space="preserve">بر اساس "راهنمای محاسبه و گزارش‌دهی میزان انتشار آلاینده‌های هوا" كه توسط اداره كل بهداشت، ايمني و محيط زيست وزارت نفت تهيه شده است، سازمان‌هاي تحت پوشش اين راهنما ملزم به برآورد و ارائه گزارش موجودي انتشار گازهاي آلاينده‌ي هوا خود طبق الزامات و روابط محاسباتي راهنما هستند. "اكسل محاسبه موجودي انتشار گازهاي آلاينده هوا در تاسيسات صنعت نفت"،  به منظور تسهيل انجام اين محاسبات و گزارش دهي تهيه شده است. رويه مورد استفاده در اين اكسل محاسبه موجودي، شامل نحوه تقسيم بندي منابع انتشار، روابط محاسباتي، ضرايب انتشار و ثوابت و همچنين فرمت گزارش دهي، كاملاً منطبق بر الزامات محاسبه و گزارش دهي راهنمای محاسبه و گزارش‌دهی میزان انتشار آلاینده‌های هوا مي باشد. </t>
  </si>
  <si>
    <t>قبل از وارد شدن به صفحات مربوط به ورود اطلاعات و انجام محاسبات، لازم است اين صفحه (معرفي و نحوه كار با اكسل محاسبه موجودي) به دقت مطالعه شود. يك سري از راهنمايي هاي كلي در اين صفحه و راهنمايي هاي جزئي تر مربوط به هر صفحه از ورود اطلاعات و محاسبات در صفحه مربوطه ارائه شده است. بديهي است براي ورود صحيح اطلاعات و اخذ نتيجه صحيح و مطلوب از اين اكسل محاسبه موجودي، لازم است تا كليه اين راهنمايي ها مطالعه و موارد گفته شده بطور كامل رعايت شوند. راهنمايي هاي كلي به شرح زير است:</t>
  </si>
  <si>
    <t xml:space="preserve">نام سازمان سطح 1مربوطه: </t>
  </si>
  <si>
    <t>اطلاعات مربوط به محصولات تولیدی و خدمات</t>
  </si>
  <si>
    <t>عنوان</t>
  </si>
  <si>
    <t>واحد (در سال)</t>
  </si>
  <si>
    <t>هزار بشکه</t>
  </si>
  <si>
    <t>میلیون استاندارد مترمکعب</t>
  </si>
  <si>
    <t>هزار بشكه</t>
  </si>
  <si>
    <t>مقدار بنزين بارگیری شده در دريا</t>
  </si>
  <si>
    <t>مقدار نفت خام بارگیری شده در دريا</t>
  </si>
  <si>
    <t>هزار تن</t>
  </si>
  <si>
    <t>مقدار فرآورده نفتی انتقال یافته</t>
  </si>
  <si>
    <t>مترمکعب</t>
  </si>
  <si>
    <t>مقدار فرآورده نفتی توزیع شده</t>
  </si>
  <si>
    <t>مقدار گاز انتقال یافته</t>
  </si>
  <si>
    <t>مقدار گاز توزیع شده</t>
  </si>
  <si>
    <t>توضيحات محصولات بارگيري در خشكي:</t>
  </si>
  <si>
    <t>توضيحات محصولات بارگيري در دريا:</t>
  </si>
  <si>
    <t>توضيحات محصولات پتروشيميايي:</t>
  </si>
  <si>
    <t>2. مقادير</t>
  </si>
  <si>
    <t>در خصوص واحد مقادير بطور كلي، كاربر در موقع وارد كردن مقادير حتماً بايد به واحد درج شده يا انتخابي دقت كرده و مقدار خواسته شده را بر اساس آن وارد نمايد.</t>
  </si>
  <si>
    <t xml:space="preserve"> به منظور عدم ابهام درخوانایی اعداد، کلیه اعداد به انگلیسی نوشته شود. ( هم زبان در حالت انگليسي باشد و هم فونت نوشتاري اعداد "Times New Roman" باشد.</t>
  </si>
  <si>
    <t xml:space="preserve">مقدار نفت خام و میعانات دريافتي پالايشگاه </t>
  </si>
  <si>
    <t xml:space="preserve">مقدار گاز دريافتي پالايشگاه </t>
  </si>
  <si>
    <t xml:space="preserve">مقدار محصول نهایی تولید شده پتروشیمیایی  </t>
  </si>
  <si>
    <t xml:space="preserve">مقدار كل پلی‌اتیلن سنگین تولیدی </t>
  </si>
  <si>
    <t xml:space="preserve">مقدار كل پلی ونیل کلراید تولیدی </t>
  </si>
  <si>
    <t xml:space="preserve">مقدار كل پلی‌پروپیلن تولیدی </t>
  </si>
  <si>
    <t xml:space="preserve">مقدار كل پلی استایرن تولیدی </t>
  </si>
  <si>
    <t xml:space="preserve">مقدار كل آمونیاک تولیدی </t>
  </si>
  <si>
    <t>مقدار كل ونیل کلراید مونومر تولیدی</t>
  </si>
  <si>
    <t>مقدار نفت خام انتقال یافته با خط لوله</t>
  </si>
  <si>
    <t xml:space="preserve">دامنه گزارش از تاریخ :              </t>
  </si>
  <si>
    <t xml:space="preserve">  01/01/-140      </t>
  </si>
  <si>
    <t xml:space="preserve">   لغایت      </t>
  </si>
  <si>
    <t xml:space="preserve">    30/12/-140</t>
  </si>
  <si>
    <t xml:space="preserve">    بخش محاسبه انتشارات ونت بارگيري</t>
  </si>
  <si>
    <t>تعداد گوگرد</t>
  </si>
  <si>
    <t>Carbon Disulfide</t>
  </si>
  <si>
    <t>CS2</t>
  </si>
  <si>
    <r>
      <t>C</t>
    </r>
    <r>
      <rPr>
        <vertAlign val="subscript"/>
        <sz val="11"/>
        <color theme="1"/>
        <rFont val="Arial"/>
        <family val="2"/>
        <scheme val="minor"/>
      </rPr>
      <t>S</t>
    </r>
  </si>
  <si>
    <r>
      <t>C</t>
    </r>
    <r>
      <rPr>
        <vertAlign val="subscript"/>
        <sz val="11"/>
        <color theme="1"/>
        <rFont val="Arial"/>
        <family val="2"/>
        <scheme val="minor"/>
      </rPr>
      <t>VOC</t>
    </r>
  </si>
  <si>
    <r>
      <t>MW</t>
    </r>
    <r>
      <rPr>
        <vertAlign val="subscript"/>
        <sz val="11"/>
        <color theme="1"/>
        <rFont val="Arial"/>
        <family val="2"/>
        <scheme val="minor"/>
      </rPr>
      <t>VOC</t>
    </r>
  </si>
  <si>
    <t>فلر 7:</t>
  </si>
  <si>
    <t>فلر 8:</t>
  </si>
  <si>
    <t>فلر 9:</t>
  </si>
  <si>
    <t>فلر 10:</t>
  </si>
  <si>
    <t>گاز فلر 7:</t>
  </si>
  <si>
    <t>گاز فلر 8:</t>
  </si>
  <si>
    <t>گاز فلر 9:</t>
  </si>
  <si>
    <t>گاز فلر 10:</t>
  </si>
  <si>
    <t>(wt%) / MW</t>
  </si>
  <si>
    <t>كسر مولي گوگرد گاز ارسالي به فلر</t>
  </si>
  <si>
    <t>كسر مولي VOC گاز ارسالي به فلر</t>
  </si>
  <si>
    <t>متوسط كسر مولي VOC گاز ارسالي به فلر</t>
  </si>
  <si>
    <t>متوسط جرم مولی VOC گاز ارسالي به فلر (MWvoc) g/mol</t>
  </si>
  <si>
    <t>جرم مولی VOC گاز ارسالي به فلر (MWvoc) g/mol</t>
  </si>
  <si>
    <t>GJ/Sm3</t>
  </si>
  <si>
    <t xml:space="preserve"> g/mol</t>
  </si>
  <si>
    <t>درصد جرمي</t>
  </si>
  <si>
    <t xml:space="preserve">كسر مولي </t>
  </si>
  <si>
    <t>جرم مولی گاز ارسالي به فلر (MWvoc) g/mol</t>
  </si>
  <si>
    <t>متوسط جرم مولی گاز ارسالي به فلر (MW) g/mol</t>
  </si>
  <si>
    <t xml:space="preserve">حجم ساليانه گاز ارسالي به فلر </t>
  </si>
  <si>
    <t>جرم</t>
  </si>
  <si>
    <t>حجم</t>
  </si>
  <si>
    <t>كسر مولي گوگرد در گاز ارسالي به فلر</t>
  </si>
  <si>
    <t>مقدارساليانه گاز ارسالي به فلر بر مبناي</t>
  </si>
  <si>
    <t xml:space="preserve">مقدار ساليانه گاز ارسالي به فلر </t>
  </si>
  <si>
    <t>ton/s</t>
  </si>
  <si>
    <t>واحد مقدار ساليانه گاز ارسالي به فلر</t>
  </si>
  <si>
    <t>واحد حجم ساليانه گاز ارسالي به فلر</t>
  </si>
  <si>
    <t>sm3/year</t>
  </si>
  <si>
    <t>جرم مولی  VOCs  در گاز ارسالي به فلر</t>
  </si>
  <si>
    <t>كسر مولي VOCs در گاز ارسالي به فلر</t>
  </si>
  <si>
    <t>جرم (ton/year):</t>
  </si>
  <si>
    <t>حجم (sm3/year):</t>
  </si>
  <si>
    <t>درصد جرمي گوگرد در سوخت (%)</t>
  </si>
  <si>
    <t>شماره 12</t>
  </si>
  <si>
    <t>شماره 13</t>
  </si>
  <si>
    <t>شماره 14</t>
  </si>
  <si>
    <t>شماره 15</t>
  </si>
  <si>
    <t>شماره 16</t>
  </si>
  <si>
    <t>شماره 17</t>
  </si>
  <si>
    <t>شماره 18</t>
  </si>
  <si>
    <t>شماره 19</t>
  </si>
  <si>
    <t>شماره 20</t>
  </si>
  <si>
    <t>شماره 21</t>
  </si>
  <si>
    <t>شماره 22</t>
  </si>
  <si>
    <t>شماره 23</t>
  </si>
  <si>
    <t>شماره 24</t>
  </si>
  <si>
    <t>شماره 25</t>
  </si>
  <si>
    <t>شماره 26</t>
  </si>
  <si>
    <t>شماره 27</t>
  </si>
  <si>
    <t>شماره 28</t>
  </si>
  <si>
    <t>شماره 29</t>
  </si>
  <si>
    <t>شماره 30</t>
  </si>
  <si>
    <t xml:space="preserve">شماره بويلر، كوره‌های فرایندی و گرمکن‌ها </t>
  </si>
  <si>
    <t>Industrial</t>
  </si>
  <si>
    <t>Utility</t>
  </si>
  <si>
    <t>شماره توربين</t>
  </si>
  <si>
    <t>Uncontrolled, etc.</t>
  </si>
  <si>
    <t>کنترل شده (پوشش فيت و كاملا چسبيده با 97% كنترل)</t>
  </si>
  <si>
    <t>شماره تجهيز</t>
  </si>
  <si>
    <t>kg/year</t>
  </si>
  <si>
    <t xml:space="preserve">نوع تجهيز </t>
  </si>
  <si>
    <t>تجهيزات احتراقي با سوخت گازي NIOC</t>
  </si>
  <si>
    <t>Boiler</t>
  </si>
  <si>
    <t>Heater</t>
  </si>
  <si>
    <t>Turbine</t>
  </si>
  <si>
    <t>در صورت انتخاب تجهيز توربين مدل آن را انتخاب كنيد</t>
  </si>
  <si>
    <t>AVON1533</t>
  </si>
  <si>
    <t>Ruston</t>
  </si>
  <si>
    <t>مدل توربين</t>
  </si>
  <si>
    <t>AVON1534</t>
  </si>
  <si>
    <t>Hispano</t>
  </si>
  <si>
    <t>SGT200</t>
  </si>
  <si>
    <t xml:space="preserve">ساير مدل‌ها </t>
  </si>
  <si>
    <t>g/kg fuel</t>
  </si>
  <si>
    <t xml:space="preserve">مقدارسوخت گازي مصرفي در سال </t>
  </si>
  <si>
    <t xml:space="preserve">متوسط چگالي سوخت در شرايط استاندارد </t>
  </si>
  <si>
    <t>(ρmix) kg/sm3</t>
  </si>
  <si>
    <t>روش (د): استفاده از ضرایب انتشار بومي  (مختص تجهيزات احتراقي با سوخت گازي در شركت‌هاي تابعه شركت ملي نفت)</t>
  </si>
  <si>
    <r>
      <t xml:space="preserve">ارزش حرارتي ناخالص گاز طبيعي مصرفي (HHV) </t>
    </r>
    <r>
      <rPr>
        <b/>
        <sz val="12"/>
        <color theme="0"/>
        <rFont val="Times New Roman"/>
        <family val="1"/>
        <scheme val="major"/>
      </rPr>
      <t>(GJ/sm</t>
    </r>
    <r>
      <rPr>
        <b/>
        <vertAlign val="superscript"/>
        <sz val="12"/>
        <color theme="0"/>
        <rFont val="Times New Roman"/>
        <family val="1"/>
        <scheme val="major"/>
      </rPr>
      <t>3</t>
    </r>
    <r>
      <rPr>
        <b/>
        <sz val="12"/>
        <color theme="0"/>
        <rFont val="Times New Roman"/>
        <family val="1"/>
        <scheme val="major"/>
      </rPr>
      <t>)</t>
    </r>
    <r>
      <rPr>
        <b/>
        <sz val="12"/>
        <color theme="0"/>
        <rFont val="B Nazanin"/>
        <charset val="178"/>
      </rPr>
      <t xml:space="preserve">   </t>
    </r>
    <r>
      <rPr>
        <b/>
        <vertAlign val="superscript"/>
        <sz val="12"/>
        <color theme="0"/>
        <rFont val="Times New Roman"/>
        <family val="1"/>
        <scheme val="major"/>
      </rPr>
      <t xml:space="preserve"> </t>
    </r>
  </si>
  <si>
    <r>
      <t xml:space="preserve">دانسيته گاز طبيعي مصرفي </t>
    </r>
    <r>
      <rPr>
        <b/>
        <sz val="12"/>
        <color theme="0"/>
        <rFont val="Times New Roman"/>
        <family val="1"/>
        <scheme val="major"/>
      </rPr>
      <t>(kg/m</t>
    </r>
    <r>
      <rPr>
        <b/>
        <vertAlign val="superscript"/>
        <sz val="12"/>
        <color theme="0"/>
        <rFont val="Times New Roman"/>
        <family val="1"/>
        <scheme val="major"/>
      </rPr>
      <t>3</t>
    </r>
    <r>
      <rPr>
        <b/>
        <sz val="12"/>
        <color theme="0"/>
        <rFont val="Times New Roman"/>
        <family val="1"/>
        <scheme val="major"/>
      </rPr>
      <t>)</t>
    </r>
    <r>
      <rPr>
        <b/>
        <sz val="12"/>
        <color theme="0"/>
        <rFont val="B Nazanin"/>
        <charset val="178"/>
      </rPr>
      <t xml:space="preserve">   </t>
    </r>
    <r>
      <rPr>
        <b/>
        <vertAlign val="superscript"/>
        <sz val="12"/>
        <color theme="0"/>
        <rFont val="Times New Roman"/>
        <family val="1"/>
        <scheme val="major"/>
      </rPr>
      <t xml:space="preserve"> </t>
    </r>
  </si>
  <si>
    <r>
      <t>(</t>
    </r>
    <r>
      <rPr>
        <b/>
        <sz val="12"/>
        <color theme="0"/>
        <rFont val="Times New Roman"/>
        <family val="1"/>
        <scheme val="major"/>
      </rPr>
      <t>m</t>
    </r>
    <r>
      <rPr>
        <b/>
        <vertAlign val="superscript"/>
        <sz val="12"/>
        <color theme="0"/>
        <rFont val="Times New Roman"/>
        <family val="1"/>
        <scheme val="major"/>
      </rPr>
      <t>3</t>
    </r>
    <r>
      <rPr>
        <b/>
        <sz val="12"/>
        <color theme="0"/>
        <rFont val="Times New Roman"/>
        <family val="1"/>
        <scheme val="major"/>
      </rPr>
      <t xml:space="preserve"> يا sm</t>
    </r>
    <r>
      <rPr>
        <b/>
        <vertAlign val="superscript"/>
        <sz val="12"/>
        <color theme="0"/>
        <rFont val="Times New Roman"/>
        <family val="1"/>
        <scheme val="major"/>
      </rPr>
      <t>3</t>
    </r>
    <r>
      <rPr>
        <b/>
        <sz val="12"/>
        <color theme="0"/>
        <rFont val="B Nazanin"/>
        <charset val="178"/>
      </rPr>
      <t>)</t>
    </r>
  </si>
  <si>
    <r>
      <rPr>
        <b/>
        <sz val="12"/>
        <color theme="9" tint="-0.499984740745262"/>
        <rFont val="B Nazanin"/>
        <charset val="178"/>
      </rPr>
      <t>گام اول:</t>
    </r>
    <r>
      <rPr>
        <b/>
        <sz val="12"/>
        <color theme="1"/>
        <rFont val="B Nazanin"/>
        <charset val="178"/>
      </rPr>
      <t xml:space="preserve"> </t>
    </r>
    <r>
      <rPr>
        <sz val="12"/>
        <color theme="1"/>
        <rFont val="B Nazanin"/>
        <charset val="178"/>
      </rPr>
      <t>در هر رديف براي هر يك از بويلرهاي سازمان سطح 3 اطلاعات خواسته شده در كادرهاي طوسي رنگ پر شود. لازم به ذكر است در اينجا کوره‌های فرایندی و گرمکن‌ها نيز معادل بويلر در نظر گرفته شوند. در ستون "ارزش حرارتي" و در ستون "نوع داده" در صورت انتخاب حالت واقعي بايستي تركيب درصد سوخت‌هاي گازي و يا مشخصات سوخت مايع در صفحه Compositions وارد شود.</t>
    </r>
  </si>
  <si>
    <r>
      <rPr>
        <b/>
        <sz val="12"/>
        <color theme="9" tint="-0.499984740745262"/>
        <rFont val="B Nazanin"/>
        <charset val="178"/>
      </rPr>
      <t>گام اول:</t>
    </r>
    <r>
      <rPr>
        <sz val="12"/>
        <color theme="1"/>
        <rFont val="B Nazanin"/>
        <charset val="178"/>
      </rPr>
      <t xml:space="preserve"> در هر رديف براي هر يك از توربين‌هاي سازمان سطح 3 اطلاعات خواسته شده در كادرهاي طوسي رنگ پر شود. در ستون "ارزش حرارتي" و در ستون "نوع داده" در صورت انتخاب حالت واقعي بايستي تركيب درصد سوخت‌هاي گازي و يا مشخصات سوخت مايع در صفحه Compositions وارد 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</si>
  <si>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در هر رديف براي هر نوع سوخت سازمان سطح 3 اطلاعات خواسته شده در كادرهاي طوسي رنگ پر شود.</t>
    </r>
  </si>
  <si>
    <r>
      <t>مثلا سازمان سطح 3 در كل 50 ميليون sm</t>
    </r>
    <r>
      <rPr>
        <vertAlign val="superscript"/>
        <sz val="12"/>
        <color theme="1"/>
        <rFont val="B Nazanin"/>
        <charset val="178"/>
      </rPr>
      <t>3</t>
    </r>
    <r>
      <rPr>
        <sz val="12"/>
        <color theme="1"/>
        <rFont val="B Nazanin"/>
        <charset val="178"/>
      </rPr>
      <t xml:space="preserve"> گاز طبيعي و 4 هزار m</t>
    </r>
    <r>
      <rPr>
        <vertAlign val="superscript"/>
        <sz val="12"/>
        <color theme="1"/>
        <rFont val="B Nazanin"/>
        <charset val="178"/>
      </rPr>
      <t>3</t>
    </r>
    <r>
      <rPr>
        <sz val="12"/>
        <color theme="1"/>
        <rFont val="B Nazanin"/>
        <charset val="178"/>
      </rPr>
      <t xml:space="preserve"> سوخت مايع GasOil مصرف دارد. لذا اين سازمان بايد رديف سوخت شماره 1 و 2 را  پر نمايد. سوخت شماره (1) گاز طبيعي و سوخت شماره(2)  GasOil است.</t>
    </r>
  </si>
  <si>
    <r>
      <rPr>
        <b/>
        <sz val="12"/>
        <color theme="9" tint="-0.499984740745262"/>
        <rFont val="B Nazanin"/>
        <charset val="178"/>
      </rPr>
      <t>گام دوم:</t>
    </r>
    <r>
      <rPr>
        <b/>
        <sz val="12"/>
        <color theme="1"/>
        <rFont val="B Nazanin"/>
        <charset val="178"/>
      </rPr>
      <t xml:space="preserve"> </t>
    </r>
    <r>
      <rPr>
        <sz val="12"/>
        <color theme="1"/>
        <rFont val="B Nazanin"/>
        <charset val="178"/>
      </rPr>
      <t xml:space="preserve">بسته به آن كه در طول سال سازمان سطح 3 در چند دوره اندازه گيري سوخت مربوطه را پايش كرده باشد. اطلاعات خواسته شده در هر دوره اندازه گيري تكميل گردد.  </t>
    </r>
  </si>
  <si>
    <r>
      <rPr>
        <b/>
        <sz val="12"/>
        <color theme="9" tint="-0.499984740745262"/>
        <rFont val="B Nazanin"/>
        <charset val="178"/>
      </rPr>
      <t>براي مثال:</t>
    </r>
    <r>
      <rPr>
        <b/>
        <sz val="12"/>
        <color theme="1"/>
        <rFont val="B Nazanin"/>
        <charset val="178"/>
      </rPr>
      <t xml:space="preserve"> </t>
    </r>
    <r>
      <rPr>
        <sz val="12"/>
        <color theme="1"/>
        <rFont val="B Nazanin"/>
        <charset val="178"/>
      </rPr>
      <t>اگر سازمان سطح سه  50 ميليون sm3 گاز طبيعي مصرفي سالانه را در 2 دوره، اندازه‌گيري كرده باشد. در دوره اول (مثلا در 7 ماه) 30ميليون sm</t>
    </r>
    <r>
      <rPr>
        <vertAlign val="superscript"/>
        <sz val="12"/>
        <color theme="1"/>
        <rFont val="B Nazanin"/>
        <charset val="178"/>
      </rPr>
      <t>3</t>
    </r>
    <r>
      <rPr>
        <sz val="12"/>
        <color theme="1"/>
        <rFont val="B Nazanin"/>
        <charset val="178"/>
      </rPr>
      <t xml:space="preserve">  و در دوره دوم (مثلا 5 ماه) 20 ميليون sm</t>
    </r>
    <r>
      <rPr>
        <vertAlign val="superscript"/>
        <sz val="12"/>
        <color theme="1"/>
        <rFont val="B Nazanin"/>
        <charset val="178"/>
      </rPr>
      <t>3</t>
    </r>
    <r>
      <rPr>
        <sz val="12"/>
        <color theme="1"/>
        <rFont val="B Nazanin"/>
        <charset val="178"/>
      </rPr>
      <t xml:space="preserve"> مصرف كرده باشد دو رديف دوره اندازه‌گيري اول و دوم را بايستي پر كند و غلظت گوگرد در پايش اول و دوم را نيز وارد كند.</t>
    </r>
  </si>
  <si>
    <r>
      <rPr>
        <b/>
        <sz val="12"/>
        <color theme="9" tint="-0.499984740745262"/>
        <rFont val="B Nazanin"/>
        <charset val="178"/>
      </rPr>
      <t xml:space="preserve">نكته 1: </t>
    </r>
    <r>
      <rPr>
        <sz val="12"/>
        <color theme="1"/>
        <rFont val="B Nazanin"/>
        <charset val="178"/>
      </rPr>
      <t>در ستون "مقداركل مصرف اين سوخت در سال " مجموع سوخت مصرفي مورد نظر بر اساس مصرف در هر دوره اندازه گيري برآورد مي شود. لذا كارشناس مربوطه بايستي دقت نمايد كه مقدار كل براورد شده با آمار سالانه سازمان مغايرت نداشته باشد</t>
    </r>
  </si>
  <si>
    <t xml:space="preserve">      اداره كل HSE وزارت نفت</t>
  </si>
  <si>
    <t>روش (د): استفاده از ضرایب انتشار بين‌المللي  (بویلر، کوره‌های فرایندی و گرمکن‌ها )</t>
  </si>
  <si>
    <t>روش (د): استفاده از ضرایب انتشار بين‌المللي (توربين)</t>
  </si>
  <si>
    <r>
      <rPr>
        <b/>
        <sz val="12"/>
        <color theme="9" tint="-0.499984740745262"/>
        <rFont val="B Nazanin"/>
        <charset val="178"/>
      </rPr>
      <t xml:space="preserve">4. </t>
    </r>
    <r>
      <rPr>
        <sz val="12"/>
        <color theme="1"/>
        <rFont val="B Nazanin"/>
        <charset val="178"/>
      </rPr>
      <t>در روش (د) سازمان‌هاي تحت پوشش شركت ملي نفت براي تجهيزات احتراقي با سوخت گازي از بخش ضرايب بومي و براي ساير تجهيزات با سوخت هاي غير گازي از بخش ضرايب بين‌المللي استفاده كنند. ساير سازمان ها بايستي بسته به نوع تجهيز تنها از بخش ضرايب انتشار بين‌المللي استفاده كنند. هر سازمان اطلاعات خواسته شده هر منبع احتراقي خود را وارد مي‌كند. سپس نرم‌افزار مقدار انتشار آلاينده هاي VOC، CO، Nox و PM از منابع احتراقي سازمان را محاسبه مي‌كند.</t>
    </r>
  </si>
  <si>
    <t>راهنماي روش (د): استفاده از ضرایب انتشار بين‌المللي (بویلر، کوره‌های فرایندی و گرمکن‌ها )</t>
  </si>
  <si>
    <r>
      <rPr>
        <b/>
        <sz val="12"/>
        <color theme="9" tint="-0.499984740745262"/>
        <rFont val="B Nazanin"/>
        <charset val="178"/>
      </rPr>
      <t xml:space="preserve">2. </t>
    </r>
    <r>
      <rPr>
        <sz val="12"/>
        <color theme="1"/>
        <rFont val="B Nazanin"/>
        <charset val="178"/>
      </rPr>
      <t>در روش (د) سه دسته ضريب انتشار ارائه شده است. دسته اول ضرايب انتشار بين المللي براي بویلر، کوره‌های فرایندی و گرمکن‌ها با هر نوع سوختي، دسته دوم ضرايب انتشار بين المللي براي تمامي توربين ها با هر نوع سوختي و دسته سوم ضرايب انتشار بومي كه تنها براي شركت هاي تابعه شركت ملي نفت و تجهيزات احتراقي با سوخت گازي آنها ارائه شده است.</t>
    </r>
  </si>
  <si>
    <r>
      <t xml:space="preserve">تمامي سازمان‍ها جهت برآورد انتشار گازهاي آلاينده به جز </t>
    </r>
    <r>
      <rPr>
        <sz val="12"/>
        <color theme="1"/>
        <rFont val="Times New Roman"/>
        <family val="1"/>
        <scheme val="major"/>
      </rPr>
      <t>SO2</t>
    </r>
    <r>
      <rPr>
        <sz val="12"/>
        <color theme="1"/>
        <rFont val="B Nazanin"/>
        <charset val="178"/>
      </rPr>
      <t xml:space="preserve"> از بویلر، کوره‌های فرایندی و گرمکن‌هاي سازمان خود مي توانند از اين دسته از روش ضرايب بين‌المللي استفاده كنند. لازم به ذكر است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دسته سوم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عمل كنند.</t>
    </r>
  </si>
  <si>
    <t>راهنماي روش (د): استفاده از ضرایب انتشار بين‌المللي(توربين)</t>
  </si>
  <si>
    <r>
      <t xml:space="preserve">تمامي سازمان‍ها جهت برآورد انتشار گازهاي آلاينده به جز </t>
    </r>
    <r>
      <rPr>
        <sz val="12"/>
        <color theme="1"/>
        <rFont val="Times New Roman"/>
        <family val="1"/>
        <scheme val="major"/>
      </rPr>
      <t>SO2</t>
    </r>
    <r>
      <rPr>
        <sz val="12"/>
        <color theme="1"/>
        <rFont val="B Nazanin"/>
        <charset val="178"/>
      </rPr>
      <t xml:space="preserve"> از توربين‌هاي سازمان خود مي توانند از اين دسته از روش ضرايب بين‌المللي استفاده كنند. لازم به ذكر است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دسته سوم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عمل كنند.</t>
    </r>
  </si>
  <si>
    <t>راهنماي روش (د): استفاده از ضرایب انتشار بومي  (مختص تجهيزات احتراقي با سوخت گازي در شركت‌هاي تابعه شركت ملي نفت)</t>
  </si>
  <si>
    <r>
      <t xml:space="preserve">تمامي سازمان هاي تحت نظر شركت ملي نفت براي تجهيزات احتراقي با </t>
    </r>
    <r>
      <rPr>
        <u/>
        <sz val="12"/>
        <color theme="1"/>
        <rFont val="B Nazanin"/>
        <charset val="178"/>
      </rPr>
      <t>سوخت گازي</t>
    </r>
    <r>
      <rPr>
        <sz val="12"/>
        <color theme="1"/>
        <rFont val="B Nazanin"/>
        <charset val="178"/>
      </rPr>
      <t xml:space="preserve"> بايد از اين روش ( ضرايب بومي) استفاده كنند ولي براي تجهيزات احتراقي با</t>
    </r>
    <r>
      <rPr>
        <u/>
        <sz val="12"/>
        <color theme="1"/>
        <rFont val="B Nazanin"/>
        <charset val="178"/>
      </rPr>
      <t xml:space="preserve"> سوخت مايع</t>
    </r>
    <r>
      <rPr>
        <sz val="12"/>
        <color theme="1"/>
        <rFont val="B Nazanin"/>
        <charset val="178"/>
      </rPr>
      <t xml:space="preserve"> مانند ساير سازمان ها بايستي از ضرايب بين‏المللي روش (د) استفاده كنند. لازم به ذكر است برآورد انتشار گاز آلاينده </t>
    </r>
    <r>
      <rPr>
        <sz val="12"/>
        <color theme="1"/>
        <rFont val="Times New Roman"/>
        <family val="1"/>
        <scheme val="major"/>
      </rPr>
      <t>SO2</t>
    </r>
    <r>
      <rPr>
        <sz val="12"/>
        <color theme="1"/>
        <rFont val="B Nazanin"/>
        <charset val="178"/>
      </rPr>
      <t xml:space="preserve"> براي سازمان هاي تحت نظر شركت ملي نفت نيز مانند ساير سازمان‌ها بر اساس روش (ج) است.</t>
    </r>
  </si>
  <si>
    <r>
      <rPr>
        <b/>
        <sz val="12"/>
        <color theme="9" tint="-0.499984740745262"/>
        <rFont val="B Nazanin"/>
        <charset val="178"/>
      </rPr>
      <t>گام اول:</t>
    </r>
    <r>
      <rPr>
        <sz val="12"/>
        <color theme="1"/>
        <rFont val="B Nazanin"/>
        <charset val="178"/>
      </rPr>
      <t xml:space="preserve"> در هر رديف براي هر تجهيز سازمان سطح سه شركت ملي نفت اطلاعات خواسته شده در كادرهاي طوسي رنگ پر شود. در ستون "ارزش حرارتي" و  "دانسيته" و در ستون "نوع داده" در صورت انتخاب حالت واقعي بايستي تركيب درصد سوخت‌هاي گازي در صفحه Compositions وارد شود.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</si>
  <si>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كادرهاي طوسي رنگ، ميزان انتشارات از تجهيزات احتراقي با سوخت گازي سازمان سطح 3 شركت ملي نفت محاسبه و نمايش داده مي‌شود.</t>
    </r>
  </si>
  <si>
    <r>
      <rPr>
        <b/>
        <sz val="12"/>
        <color theme="9" tint="-0.499984740745262"/>
        <rFont val="B Nazanin"/>
        <charset val="178"/>
      </rPr>
      <t>گام سوم:</t>
    </r>
    <r>
      <rPr>
        <sz val="12"/>
        <color theme="1"/>
        <rFont val="B Nazanin"/>
        <charset val="178"/>
      </rPr>
      <t xml:space="preserve"> بعد از تكميل كادرهاي طوسي رنگ، ميزان انتشارات </t>
    </r>
    <r>
      <rPr>
        <sz val="12"/>
        <color theme="1"/>
        <rFont val="Times New Roman"/>
        <family val="1"/>
        <scheme val="major"/>
      </rPr>
      <t>SO2</t>
    </r>
    <r>
      <rPr>
        <sz val="12"/>
        <color theme="1"/>
        <rFont val="B Nazanin"/>
        <charset val="178"/>
      </rPr>
      <t xml:space="preserve"> از هر نوع سوخت سازمان سطح 3 محاسبه و نمايش داده مي‌شود.</t>
    </r>
  </si>
  <si>
    <t>Standard T (°F)</t>
  </si>
  <si>
    <t>Standard P (atm)</t>
  </si>
  <si>
    <t>molar volume</t>
  </si>
  <si>
    <r>
      <rPr>
        <b/>
        <sz val="12"/>
        <color theme="9" tint="-0.499984740745262"/>
        <rFont val="B Nazanin"/>
        <charset val="178"/>
      </rPr>
      <t xml:space="preserve">1. </t>
    </r>
    <r>
      <rPr>
        <sz val="12"/>
        <color theme="1"/>
        <rFont val="B Nazanin"/>
        <charset val="178"/>
      </rPr>
      <t xml:space="preserve">در اين صفحه مقدار انتشارات آلاينده </t>
    </r>
    <r>
      <rPr>
        <sz val="12"/>
        <color theme="1"/>
        <rFont val="Times New Roman"/>
        <family val="1"/>
        <scheme val="major"/>
      </rPr>
      <t>SO2</t>
    </r>
    <r>
      <rPr>
        <sz val="12"/>
        <color theme="1"/>
        <rFont val="B Nazanin"/>
        <charset val="178"/>
      </rPr>
      <t xml:space="preserve"> از تمام منابع احتراقي سازمان از روش (ج) و مقدار انتشارات ساير آلاينده‌هاي از منابع احتراقي (بویلر، کوره‌های فرایندی ، گرمکن‌ها و توربين‌ها) سازمان از روش (د) برآورد مي‌شود. لذا هر سازمان بايستي از هر دو روش جهت برآورد تمام آلاينده‌ها استفاده نمايد.</t>
    </r>
  </si>
  <si>
    <r>
      <rPr>
        <b/>
        <sz val="12"/>
        <color theme="9" tint="-0.499984740745262"/>
        <rFont val="B Nazanin"/>
        <charset val="178"/>
      </rPr>
      <t xml:space="preserve">3. </t>
    </r>
    <r>
      <rPr>
        <sz val="12"/>
        <color theme="1"/>
        <rFont val="B Nazanin"/>
        <charset val="178"/>
      </rPr>
      <t xml:space="preserve">در روش (ج) سازمان عنوان و مقدار كل مصرف هر نوع سوخت‌ را به همراه غلظت گوگرد آن در هر دوره پايش وارد مي‌كند. سپس نرم افزار مقدار انتشار </t>
    </r>
    <r>
      <rPr>
        <sz val="12"/>
        <color theme="1"/>
        <rFont val="Times New Roman"/>
        <family val="1"/>
        <scheme val="major"/>
      </rPr>
      <t xml:space="preserve">SO2 </t>
    </r>
    <r>
      <rPr>
        <sz val="12"/>
        <color theme="1"/>
        <rFont val="B Nazanin"/>
        <charset val="178"/>
      </rPr>
      <t>از منابع احتراقي سازمان را محاسبه مي‌كند.</t>
    </r>
  </si>
  <si>
    <r>
      <t xml:space="preserve">توجه 2: </t>
    </r>
    <r>
      <rPr>
        <sz val="11"/>
        <rFont val="B Nazanin"/>
        <charset val="178"/>
      </rPr>
      <t>هر سال سازمان بايستي حذفيات (منابع انتشار و اطلاعات عملكردي كه به هر دليلي از گزارش آنها صرف نظر شده است)، ‌فرضیات، محدودیت‌ها و پيشنهادات خود را در قسمت توضيحات هر روش درج كند. همچنين جهت بررسي معيار كيفي ثبات تهيه سياهه در دوره زماني، ذكر منابعي كه اطلاعات عملكردي از آنجا استخراج شده است ( براي مثال بر اساس ديتاهاي آنالايزرهاي واحدهاي عملكردي يا بر مبناي اطلاعات فروش و ...) و علت تغيير احتمالي منابع استخراج اطلاعات و حتي تغيير احتمالي و قابل توجه مقدار اطلاعات عملكردي نسبت به سال گزارش‌دهي قبل، الزامي است.</t>
    </r>
  </si>
  <si>
    <r>
      <rPr>
        <b/>
        <sz val="12"/>
        <color theme="9" tint="-0.499984740745262"/>
        <rFont val="B Nazanin"/>
        <charset val="178"/>
      </rPr>
      <t>5.</t>
    </r>
    <r>
      <rPr>
        <sz val="12"/>
        <color theme="1"/>
        <rFont val="B Nazanin"/>
        <charset val="178"/>
      </rPr>
      <t xml:space="preserve"> با ورود اطلاعات در كادرهاي طوسي رنگ، نتايج محاسبات در ستون و رديف‌هاي مشخص شده نمايش داده مي‌شود. نمايش "ND" در قسمت نتايج هر رديف علي رغم تكميل </t>
    </r>
    <r>
      <rPr>
        <b/>
        <u/>
        <sz val="12"/>
        <color theme="1"/>
        <rFont val="B Nazanin"/>
        <charset val="178"/>
      </rPr>
      <t xml:space="preserve">تمام </t>
    </r>
    <r>
      <rPr>
        <sz val="12"/>
        <color theme="1"/>
        <rFont val="B Nazanin"/>
        <charset val="178"/>
      </rPr>
      <t>كادرهاي طوسي رنگ آن رديف بدين معنا است كه براي شرايط تجهيز و سوخت سازمان شما ضرايبي در راهنما ارائه نشده است، در اين حالت در صورت امكان استفاده از موارد مشابه، اطلاعات كادرهاي طوسي رنگ را تغيير دهيد در غير اين صورت آلاينده موردنظر براي سازمان شما محاسبه نخواهد شد و اين مورد بايستي در كادر طوسي رنگ "توضيحات" شرح داده شود. لازم به ذكر است كه كادرها و مستطيل‌هاي زرد رنگ جهت راهنمايي و ارجاع هستند.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</si>
  <si>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كادرهاي طوسي رنگ، ميزان انتشارات از توربين‌هاي سازمان سطح 3 محاسبه و نمايش داده مي‌شود. لازم به ذكر است، در صورتي كه سوخت توربين‌هاي سازمان غير از گاز طبيعي و گازوئيل است بايستي شرح لازم در خصوص آن توربين‌ها و نوع سوخت آنها تحت عنوان حذفيات در قسمت كادر طوسي رنگ "توضيحات" ارائه شود.</t>
    </r>
  </si>
  <si>
    <t>تجهيزات احتراقي با سوخت گازي در شركت‌هاي تابعه شركت ملي نفت</t>
  </si>
  <si>
    <t>واحد دبي حجمي مصرفي</t>
  </si>
  <si>
    <r>
      <t xml:space="preserve">چنانچه واحد غلظت گوگرد (S) برای سوخت گازي بر حسب ppmv موجود باشد، غلظت بر حسب </t>
    </r>
    <r>
      <rPr>
        <sz val="14"/>
        <color theme="1"/>
        <rFont val="Times New Roman"/>
        <family val="1"/>
        <scheme val="major"/>
      </rPr>
      <t>mg/sm</t>
    </r>
    <r>
      <rPr>
        <vertAlign val="superscript"/>
        <sz val="14"/>
        <color theme="1"/>
        <rFont val="Times New Roman"/>
        <family val="1"/>
        <scheme val="major"/>
      </rPr>
      <t>3</t>
    </r>
    <r>
      <rPr>
        <sz val="14"/>
        <color theme="1"/>
        <rFont val="B Nazanin"/>
        <charset val="178"/>
      </rPr>
      <t xml:space="preserve"> برابر است با حاصضرب غلظت بر حسب ppmv و كسر         است.</t>
    </r>
  </si>
  <si>
    <r>
      <t xml:space="preserve">اين روش در واقع جهت محاسبه انتشار آلاينده </t>
    </r>
    <r>
      <rPr>
        <sz val="12"/>
        <color theme="1"/>
        <rFont val="Times New Roman"/>
        <family val="1"/>
        <scheme val="major"/>
      </rPr>
      <t>SO2</t>
    </r>
    <r>
      <rPr>
        <sz val="12"/>
        <color theme="1"/>
        <rFont val="B Nazanin"/>
        <charset val="178"/>
      </rPr>
      <t xml:space="preserve"> از تمام منابع احتراقي در تمامي سازمان ها است كه در روش (د) برآورد نشده است. اين روش بر مبناي نوع سوخت، مقدار آن سوخت و مقدار غلظت گوگرد در آن است.</t>
    </r>
  </si>
  <si>
    <r>
      <t>درصد جرمي هيدروكربن‌هاي گاز ارسالي به فلر (Y</t>
    </r>
    <r>
      <rPr>
        <b/>
        <vertAlign val="subscript"/>
        <sz val="12"/>
        <color theme="0"/>
        <rFont val="B Nazanin"/>
        <charset val="178"/>
      </rPr>
      <t>HC</t>
    </r>
    <r>
      <rPr>
        <b/>
        <sz val="12"/>
        <color theme="0"/>
        <rFont val="B Nazanin"/>
        <charset val="178"/>
      </rPr>
      <t>)</t>
    </r>
  </si>
  <si>
    <r>
      <t>GJ/Sm</t>
    </r>
    <r>
      <rPr>
        <b/>
        <vertAlign val="superscript"/>
        <sz val="12"/>
        <color theme="0"/>
        <rFont val="Times New Roman"/>
        <family val="1"/>
        <scheme val="major"/>
      </rPr>
      <t>3</t>
    </r>
  </si>
  <si>
    <r>
      <t>Sm</t>
    </r>
    <r>
      <rPr>
        <b/>
        <vertAlign val="superscript"/>
        <sz val="12"/>
        <color theme="0"/>
        <rFont val="Times New Roman"/>
        <family val="1"/>
        <scheme val="major"/>
      </rPr>
      <t>3</t>
    </r>
    <r>
      <rPr>
        <b/>
        <sz val="12"/>
        <color theme="0"/>
        <rFont val="Times New Roman"/>
        <family val="1"/>
        <scheme val="major"/>
      </rPr>
      <t>/yr</t>
    </r>
  </si>
  <si>
    <r>
      <t xml:space="preserve">ارزش حرارتي ناخالص  </t>
    </r>
    <r>
      <rPr>
        <b/>
        <sz val="12"/>
        <color theme="0"/>
        <rFont val="Times New Roman"/>
        <family val="1"/>
        <scheme val="major"/>
      </rPr>
      <t>(HHV)</t>
    </r>
  </si>
  <si>
    <r>
      <t xml:space="preserve">ارزش حرارتي خالص  </t>
    </r>
    <r>
      <rPr>
        <b/>
        <sz val="12"/>
        <color theme="0"/>
        <rFont val="Times New Roman"/>
        <family val="1"/>
        <scheme val="major"/>
      </rPr>
      <t>(LHV)</t>
    </r>
  </si>
  <si>
    <r>
      <t xml:space="preserve"> kg/sm</t>
    </r>
    <r>
      <rPr>
        <b/>
        <vertAlign val="superscript"/>
        <sz val="12"/>
        <color theme="0"/>
        <rFont val="Times New Roman"/>
        <family val="1"/>
        <scheme val="major"/>
      </rPr>
      <t>3</t>
    </r>
  </si>
  <si>
    <r>
      <rPr>
        <b/>
        <sz val="12"/>
        <color theme="9" tint="-0.499984740745262"/>
        <rFont val="B Nazanin"/>
        <charset val="178"/>
      </rPr>
      <t>1.</t>
    </r>
    <r>
      <rPr>
        <sz val="12"/>
        <color theme="1"/>
        <rFont val="B Nazanin"/>
        <charset val="178"/>
      </rPr>
      <t xml:space="preserve"> در اين صفحه مقدار انتشارات آلاينده‌هاي SO2 و VOC از منابع فلر سازمان از روش (الف) و مقدار انتشارات ساير آلاينده‌هاي از منابع فلر سازمان از روش (ب) برآورد مي‌شود. لذا هر سازمان بايستي از هر دو روش جهت برآورد تمام آلاينده‌ها استفاده نمايد.</t>
    </r>
  </si>
  <si>
    <r>
      <rPr>
        <b/>
        <sz val="12"/>
        <color theme="9" tint="-0.499984740745262"/>
        <rFont val="B Nazanin"/>
        <charset val="178"/>
      </rPr>
      <t xml:space="preserve">2. </t>
    </r>
    <r>
      <rPr>
        <sz val="12"/>
        <color theme="1"/>
        <rFont val="B Nazanin"/>
        <charset val="178"/>
      </rPr>
      <t>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</si>
  <si>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كادرهاي طوسي رنگ، ميزان انتشارات ساليانه از فلرهاي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</si>
  <si>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فلر سازمان سطح 3  نمايش داده مي‌شود.</t>
    </r>
  </si>
  <si>
    <r>
      <rPr>
        <b/>
        <sz val="12"/>
        <color theme="9" tint="-0.499984740745262"/>
        <rFont val="B Nazanin"/>
        <charset val="178"/>
      </rPr>
      <t xml:space="preserve">نكته 1: </t>
    </r>
    <r>
      <rPr>
        <sz val="12"/>
        <color theme="1"/>
        <rFont val="B Nazanin"/>
        <charset val="178"/>
      </rPr>
      <t>لازم است كه در انتخاب شماره فلر ها دقت شود چرا كه مشخصات هر فلر بر اساس تركيب درصد وارد شده براي آن شماره فلر در برگه "Compositions" محاسبه و نمايش داده مي شود.</t>
    </r>
  </si>
  <si>
    <t>روش (ب): استفاده از ضرایب نشر بين المللي و بومي</t>
  </si>
  <si>
    <r>
      <rPr>
        <b/>
        <sz val="12"/>
        <color theme="9" tint="-0.499984740745262"/>
        <rFont val="B Nazanin"/>
        <charset val="178"/>
      </rPr>
      <t xml:space="preserve">گام اول: </t>
    </r>
    <r>
      <rPr>
        <sz val="12"/>
        <color theme="1"/>
        <rFont val="B Nazanin"/>
        <charset val="178"/>
      </rPr>
      <t>ابتدا در شيت Compositions تركيب درصد هر گاز ارسالي به فلر وارد شود. سپس در هر رديف با توجه به "شماره فلر" باقي اطلاعات خواسته شده در خصوص آن فلر از سازمان را در كادرهاي طوسي رنگ وارد كنيد.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</si>
  <si>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اكسيدايزر واحد بازیابی گوگرد سازمان سطح 3 محاسبه و نمايش داده مي‌شود.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</si>
  <si>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كادرهاي طوسي رنگ، ميزان انتشارات از چاله سوخت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</si>
  <si>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از چاله سوخت سازمان سطح 3 محاسبه و نمايش داده مي‌شود.</t>
    </r>
  </si>
  <si>
    <r>
      <t xml:space="preserve">ضرايب انتشارات آلاينده هاي هوا از منابع پسماندسوز و اکسیدایزر واحدهاي </t>
    </r>
    <r>
      <rPr>
        <b/>
        <sz val="12"/>
        <color theme="1"/>
        <rFont val="B Titr"/>
        <charset val="178"/>
      </rPr>
      <t>SRU</t>
    </r>
  </si>
  <si>
    <t>ضرايب انتشارات آلاينده هاي هوا از منابع چاله‌های سوخت</t>
  </si>
  <si>
    <r>
      <t>m</t>
    </r>
    <r>
      <rPr>
        <b/>
        <vertAlign val="superscript"/>
        <sz val="12"/>
        <color theme="0"/>
        <rFont val="Times New Roman"/>
        <family val="1"/>
        <scheme val="major"/>
      </rPr>
      <t>3</t>
    </r>
    <r>
      <rPr>
        <b/>
        <sz val="12"/>
        <color theme="0"/>
        <rFont val="Times New Roman"/>
        <family val="1"/>
        <scheme val="major"/>
      </rPr>
      <t>/</t>
    </r>
    <r>
      <rPr>
        <b/>
        <sz val="12"/>
        <color theme="0"/>
        <rFont val="B Nazanin"/>
        <charset val="178"/>
      </rPr>
      <t>در هر دوره اندازه گيري</t>
    </r>
  </si>
  <si>
    <r>
      <t xml:space="preserve">مقداركل سیال ورودی به چاله سوخت در سال      </t>
    </r>
    <r>
      <rPr>
        <b/>
        <sz val="16"/>
        <color theme="0"/>
        <rFont val="Times New Roman"/>
        <family val="1"/>
        <scheme val="major"/>
      </rPr>
      <t/>
    </r>
  </si>
  <si>
    <t>بازه دوره اندازه گيري</t>
  </si>
  <si>
    <t>(مثلا  15 مهر الي 19 دي)</t>
  </si>
  <si>
    <t xml:space="preserve">مقدارسیال ورودی به چاله سوخت در اين دوره اندازه‌گیری </t>
  </si>
  <si>
    <t>روش (ب) بر مبناي ضرايب نيست.</t>
  </si>
  <si>
    <r>
      <t>m</t>
    </r>
    <r>
      <rPr>
        <b/>
        <vertAlign val="superscript"/>
        <sz val="12"/>
        <color theme="0"/>
        <rFont val="Times New Roman"/>
        <family val="1"/>
        <scheme val="major"/>
      </rPr>
      <t>3</t>
    </r>
  </si>
  <si>
    <r>
      <t>m</t>
    </r>
    <r>
      <rPr>
        <b/>
        <vertAlign val="superscript"/>
        <sz val="12"/>
        <color theme="0"/>
        <rFont val="Times New Roman"/>
        <family val="1"/>
        <scheme val="major"/>
      </rPr>
      <t>3</t>
    </r>
    <r>
      <rPr>
        <b/>
        <sz val="12"/>
        <color theme="0"/>
        <rFont val="Times New Roman"/>
        <family val="1"/>
        <scheme val="major"/>
      </rPr>
      <t>/yr</t>
    </r>
  </si>
  <si>
    <r>
      <t xml:space="preserve">غلظت گوگرد (S) در سیال ورودی به چاله سوخت در اين دوره اندازه‌گيري </t>
    </r>
    <r>
      <rPr>
        <b/>
        <sz val="12"/>
        <color theme="0"/>
        <rFont val="Times New Roman"/>
        <family val="1"/>
        <scheme val="major"/>
      </rPr>
      <t>mg/m</t>
    </r>
    <r>
      <rPr>
        <b/>
        <vertAlign val="superscript"/>
        <sz val="12"/>
        <color theme="0"/>
        <rFont val="Times New Roman"/>
        <family val="1"/>
        <scheme val="major"/>
      </rPr>
      <t>3</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</si>
  <si>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ضرايب روش (الف) براي چاله سوخت ها بر مبناي ضرايب بومي برآورد شده در شركت ملي نفت است.</t>
    </r>
  </si>
  <si>
    <r>
      <rPr>
        <b/>
        <sz val="12"/>
        <color theme="9" tint="-0.499984740745262"/>
        <rFont val="B Nazanin"/>
        <charset val="178"/>
      </rPr>
      <t>گام اول:</t>
    </r>
    <r>
      <rPr>
        <sz val="12"/>
        <color theme="1"/>
        <rFont val="B Nazanin"/>
        <charset val="178"/>
      </rPr>
      <t xml:space="preserve"> سه رديف جهت ارائه اطلاعات نهايت سه اكسيدايزر واحد SRU در نظر گرفته شده است. در هر رديف براي هر يك از اكسيدايزرهاي سازمان سطح 3 اطلاعات خواسته شده در كادرهاي طوسي رنگ پر 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</si>
  <si>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پنج رديف جهت ارائه اطلاعات پنج چاله سوخت در نظر گرفته شده است. در هر رديف براي هر يك از چاله سوخت‌هاي سازمان سطح 3 اطلاعات خواسته شده در كادرهاي طوسي رنگ پر شود.</t>
    </r>
  </si>
  <si>
    <t>روش (الف): استفاده از ضرایب انتشار بومي</t>
  </si>
  <si>
    <t>راهنماي روش (الف): استفاده از ضرایب انتشار بومي (چاله سوخت)</t>
  </si>
  <si>
    <r>
      <t>m</t>
    </r>
    <r>
      <rPr>
        <b/>
        <vertAlign val="superscript"/>
        <sz val="12"/>
        <color theme="0"/>
        <rFont val="Times New Roman"/>
        <family val="1"/>
        <scheme val="major"/>
      </rPr>
      <t>3</t>
    </r>
    <r>
      <rPr>
        <b/>
        <sz val="12"/>
        <color theme="0"/>
        <rFont val="Times New Roman"/>
        <family val="1"/>
        <scheme val="major"/>
      </rPr>
      <t>/hr</t>
    </r>
  </si>
  <si>
    <r>
      <t>mg/m</t>
    </r>
    <r>
      <rPr>
        <b/>
        <vertAlign val="superscript"/>
        <sz val="12"/>
        <color theme="0"/>
        <rFont val="Times New Roman"/>
        <family val="1"/>
        <scheme val="major"/>
      </rPr>
      <t>3</t>
    </r>
  </si>
  <si>
    <r>
      <t>Kg/10</t>
    </r>
    <r>
      <rPr>
        <b/>
        <vertAlign val="superscript"/>
        <sz val="12"/>
        <color theme="0"/>
        <rFont val="Times New Roman"/>
        <family val="1"/>
      </rPr>
      <t>3</t>
    </r>
    <r>
      <rPr>
        <b/>
        <sz val="12"/>
        <color theme="0"/>
        <rFont val="Times New Roman"/>
        <family val="1"/>
      </rPr>
      <t>m</t>
    </r>
    <r>
      <rPr>
        <b/>
        <vertAlign val="superscript"/>
        <sz val="12"/>
        <color theme="0"/>
        <rFont val="Times New Roman"/>
        <family val="1"/>
      </rPr>
      <t>3</t>
    </r>
  </si>
  <si>
    <r>
      <t>قطر محفظه کک‌سازی (</t>
    </r>
    <r>
      <rPr>
        <b/>
        <sz val="12"/>
        <color theme="0"/>
        <rFont val="Times New Roman"/>
        <family val="1"/>
        <scheme val="major"/>
      </rPr>
      <t>D</t>
    </r>
    <r>
      <rPr>
        <b/>
        <sz val="12"/>
        <color theme="0"/>
        <rFont val="B Nazanin"/>
        <charset val="178"/>
      </rPr>
      <t>)</t>
    </r>
  </si>
  <si>
    <r>
      <t>ارتفاع داخلی محفظه (</t>
    </r>
    <r>
      <rPr>
        <b/>
        <sz val="12"/>
        <color theme="0"/>
        <rFont val="Times New Roman"/>
        <family val="1"/>
        <scheme val="major"/>
      </rPr>
      <t>H</t>
    </r>
    <r>
      <rPr>
        <b/>
        <vertAlign val="subscript"/>
        <sz val="12"/>
        <color theme="0"/>
        <rFont val="Times New Roman"/>
        <family val="1"/>
        <scheme val="major"/>
      </rPr>
      <t>D</t>
    </r>
    <r>
      <rPr>
        <b/>
        <sz val="12"/>
        <color theme="0"/>
        <rFont val="B Nazanin"/>
        <charset val="178"/>
      </rPr>
      <t>)</t>
    </r>
  </si>
  <si>
    <r>
      <t>ارتفاع فضای خالی بالای بستر كك توليدشده تا سقف داخلی محفظه  (</t>
    </r>
    <r>
      <rPr>
        <b/>
        <sz val="12"/>
        <color theme="0"/>
        <rFont val="Times New Roman"/>
        <family val="1"/>
        <scheme val="major"/>
      </rPr>
      <t>H</t>
    </r>
    <r>
      <rPr>
        <b/>
        <vertAlign val="subscript"/>
        <sz val="12"/>
        <color theme="0"/>
        <rFont val="Times New Roman"/>
        <family val="1"/>
        <scheme val="major"/>
      </rPr>
      <t>outage</t>
    </r>
    <r>
      <rPr>
        <b/>
        <sz val="12"/>
        <color theme="0"/>
        <rFont val="B Nazanin"/>
        <charset val="178"/>
      </rPr>
      <t>)</t>
    </r>
  </si>
  <si>
    <r>
      <t>ارتفاع سطح آب تا کف محفظه در انتهای خنک کاری و قبل از تخلیه بخار (H</t>
    </r>
    <r>
      <rPr>
        <b/>
        <vertAlign val="subscript"/>
        <sz val="12"/>
        <color theme="0"/>
        <rFont val="B Nazanin"/>
        <charset val="178"/>
      </rPr>
      <t>W</t>
    </r>
    <r>
      <rPr>
        <b/>
        <sz val="12"/>
        <color theme="0"/>
        <rFont val="B Nazanin"/>
        <charset val="178"/>
      </rPr>
      <t>)</t>
    </r>
  </si>
  <si>
    <r>
      <t>بخار توليدي در هرچرخه توليد كك (</t>
    </r>
    <r>
      <rPr>
        <b/>
        <sz val="12"/>
        <color theme="0"/>
        <rFont val="Times New Roman"/>
        <family val="1"/>
        <scheme val="major"/>
      </rPr>
      <t>M</t>
    </r>
    <r>
      <rPr>
        <b/>
        <vertAlign val="subscript"/>
        <sz val="12"/>
        <color theme="0"/>
        <rFont val="Times New Roman"/>
        <family val="1"/>
        <scheme val="major"/>
      </rPr>
      <t>steam</t>
    </r>
    <r>
      <rPr>
        <b/>
        <sz val="12"/>
        <color theme="0"/>
        <rFont val="B Nazanin"/>
        <charset val="178"/>
      </rPr>
      <t>)</t>
    </r>
  </si>
  <si>
    <r>
      <t>جرم کک تولیدی (</t>
    </r>
    <r>
      <rPr>
        <b/>
        <sz val="12"/>
        <color theme="0"/>
        <rFont val="Times New Roman"/>
        <family val="1"/>
        <scheme val="major"/>
      </rPr>
      <t>M</t>
    </r>
    <r>
      <rPr>
        <b/>
        <vertAlign val="subscript"/>
        <sz val="12"/>
        <color theme="0"/>
        <rFont val="Times New Roman"/>
        <family val="1"/>
        <scheme val="major"/>
      </rPr>
      <t>C</t>
    </r>
    <r>
      <rPr>
        <b/>
        <sz val="12"/>
        <color theme="0"/>
        <rFont val="B Nazanin"/>
        <charset val="178"/>
      </rPr>
      <t>)</t>
    </r>
  </si>
  <si>
    <r>
      <t>جرم آب مصرفي (</t>
    </r>
    <r>
      <rPr>
        <b/>
        <sz val="12"/>
        <color theme="0"/>
        <rFont val="Times New Roman"/>
        <family val="1"/>
        <scheme val="major"/>
      </rPr>
      <t>M</t>
    </r>
    <r>
      <rPr>
        <b/>
        <vertAlign val="subscript"/>
        <sz val="12"/>
        <color theme="0"/>
        <rFont val="Times New Roman"/>
        <family val="1"/>
        <scheme val="major"/>
      </rPr>
      <t>W</t>
    </r>
    <r>
      <rPr>
        <b/>
        <sz val="12"/>
        <color theme="0"/>
        <rFont val="B Nazanin"/>
        <charset val="178"/>
      </rPr>
      <t>)</t>
    </r>
  </si>
  <si>
    <r>
      <t xml:space="preserve"> Kg/10</t>
    </r>
    <r>
      <rPr>
        <b/>
        <vertAlign val="superscript"/>
        <sz val="12"/>
        <color theme="0"/>
        <rFont val="Times New Roman"/>
        <family val="1"/>
      </rPr>
      <t>3</t>
    </r>
    <r>
      <rPr>
        <b/>
        <sz val="12"/>
        <color theme="0"/>
        <rFont val="Times New Roman"/>
        <family val="1"/>
      </rPr>
      <t>kg</t>
    </r>
    <r>
      <rPr>
        <b/>
        <vertAlign val="subscript"/>
        <sz val="12"/>
        <color theme="0"/>
        <rFont val="Times New Roman"/>
        <family val="1"/>
      </rPr>
      <t>steam</t>
    </r>
  </si>
  <si>
    <r>
      <t xml:space="preserve"> Kg/10</t>
    </r>
    <r>
      <rPr>
        <b/>
        <vertAlign val="superscript"/>
        <sz val="12"/>
        <color theme="0"/>
        <rFont val="Times New Roman"/>
        <family val="1"/>
      </rPr>
      <t xml:space="preserve">3 </t>
    </r>
    <r>
      <rPr>
        <b/>
        <sz val="12"/>
        <color theme="0"/>
        <rFont val="Times New Roman"/>
        <family val="1"/>
      </rPr>
      <t>m</t>
    </r>
    <r>
      <rPr>
        <b/>
        <vertAlign val="superscript"/>
        <sz val="12"/>
        <color theme="0"/>
        <rFont val="Times New Roman"/>
        <family val="1"/>
      </rPr>
      <t>3</t>
    </r>
    <r>
      <rPr>
        <b/>
        <vertAlign val="subscript"/>
        <sz val="12"/>
        <color theme="0"/>
        <rFont val="Times New Roman"/>
        <family val="1"/>
      </rPr>
      <t>Feed</t>
    </r>
  </si>
  <si>
    <r>
      <t xml:space="preserve"> Kg/ton</t>
    </r>
    <r>
      <rPr>
        <b/>
        <vertAlign val="subscript"/>
        <sz val="12"/>
        <color theme="0"/>
        <rFont val="Times New Roman"/>
        <family val="1"/>
      </rPr>
      <t>Asphalt</t>
    </r>
  </si>
  <si>
    <r>
      <t xml:space="preserve"> Kg/</t>
    </r>
    <r>
      <rPr>
        <b/>
        <vertAlign val="superscript"/>
        <sz val="12"/>
        <color theme="0"/>
        <rFont val="Times New Roman"/>
        <family val="1"/>
      </rPr>
      <t xml:space="preserve"> </t>
    </r>
    <r>
      <rPr>
        <b/>
        <sz val="12"/>
        <color theme="0"/>
        <rFont val="Times New Roman"/>
        <family val="1"/>
      </rPr>
      <t>m</t>
    </r>
    <r>
      <rPr>
        <b/>
        <vertAlign val="superscript"/>
        <sz val="12"/>
        <color theme="0"/>
        <rFont val="Times New Roman"/>
        <family val="1"/>
      </rPr>
      <t>3</t>
    </r>
    <r>
      <rPr>
        <b/>
        <vertAlign val="subscript"/>
        <sz val="12"/>
        <color theme="0"/>
        <rFont val="Times New Roman"/>
        <family val="1"/>
      </rPr>
      <t>Feed</t>
    </r>
  </si>
  <si>
    <r>
      <t xml:space="preserve"> kg/Ton</t>
    </r>
    <r>
      <rPr>
        <b/>
        <vertAlign val="subscript"/>
        <sz val="12"/>
        <color theme="0"/>
        <rFont val="Times New Roman"/>
        <family val="1"/>
      </rPr>
      <t>HDPE</t>
    </r>
  </si>
  <si>
    <r>
      <t xml:space="preserve"> kg/Ton</t>
    </r>
    <r>
      <rPr>
        <b/>
        <vertAlign val="subscript"/>
        <sz val="12"/>
        <color theme="0"/>
        <rFont val="Times New Roman"/>
        <family val="1"/>
      </rPr>
      <t>EDC</t>
    </r>
  </si>
  <si>
    <r>
      <t xml:space="preserve"> Kg/Ton </t>
    </r>
    <r>
      <rPr>
        <b/>
        <vertAlign val="subscript"/>
        <sz val="12"/>
        <color theme="0"/>
        <rFont val="Times New Roman"/>
        <family val="1"/>
      </rPr>
      <t>PP</t>
    </r>
  </si>
  <si>
    <r>
      <t xml:space="preserve"> Kg/ton</t>
    </r>
    <r>
      <rPr>
        <b/>
        <vertAlign val="subscript"/>
        <sz val="12"/>
        <color theme="0"/>
        <rFont val="Times New Roman"/>
        <family val="1"/>
      </rPr>
      <t>PS</t>
    </r>
  </si>
  <si>
    <r>
      <t xml:space="preserve"> Kg/ton</t>
    </r>
    <r>
      <rPr>
        <b/>
        <vertAlign val="subscript"/>
        <sz val="12"/>
        <color theme="0"/>
        <rFont val="Times New Roman"/>
        <family val="1"/>
      </rPr>
      <t>(100%)HNO3</t>
    </r>
  </si>
  <si>
    <r>
      <rPr>
        <b/>
        <sz val="12"/>
        <color theme="9" tint="-0.499984740745262"/>
        <rFont val="B Nazanin"/>
        <charset val="178"/>
      </rPr>
      <t>گام اول:</t>
    </r>
    <r>
      <rPr>
        <b/>
        <sz val="12"/>
        <color theme="1"/>
        <rFont val="B Nazanin"/>
        <charset val="178"/>
      </rPr>
      <t xml:space="preserve">  </t>
    </r>
    <r>
      <rPr>
        <sz val="12"/>
        <color theme="1"/>
        <rFont val="B Nazanin"/>
        <charset val="178"/>
      </rPr>
      <t>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</si>
  <si>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نم‌زدايي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</si>
  <si>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</si>
  <si>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شکست کاتالیستی بستر سیال (پالايش نفت) سازمان سطح 3 محاسبه و نمايش داده مي‌شود.</t>
    </r>
  </si>
  <si>
    <r>
      <rPr>
        <b/>
        <sz val="12"/>
        <color theme="9" tint="-0.499984740745262"/>
        <rFont val="B Nazanin"/>
        <charset val="178"/>
      </rPr>
      <t>گام اول:</t>
    </r>
    <r>
      <rPr>
        <sz val="12"/>
        <color theme="1"/>
        <rFont val="B Nazanin"/>
        <charset val="178"/>
      </rPr>
      <t xml:space="preserve"> شش رديف جهت ارائه اطلاعات حداكثر شش محفظه كك سازي در نظر گرفته شده است. در هر رديف براي هر يك از محفظه هاي كك سازي سازمان سطح 3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</si>
  <si>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کک‌سازی تاخیری سازمان سطح 3 محاسبه و نمايش داده مي‌شود.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</si>
  <si>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</si>
  <si>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sz val="12"/>
        <color theme="9" tint="-0.499984740745262"/>
        <rFont val="B Nazanin"/>
        <charset val="178"/>
      </rPr>
      <t>:</t>
    </r>
    <r>
      <rPr>
        <sz val="12"/>
        <color theme="1"/>
        <rFont val="B Nazanin"/>
        <charset val="178"/>
      </rPr>
      <t xml:space="preserve"> بعد از تكميل كادر طوسي رنگ، ميزان انتشارات ونت فرآيندي از واحد ریفورمینگ کاتالیستی (پالايش نفت) سازمان سطح 3 محاسبه و نمايش داده مي‌شود.</t>
    </r>
  </si>
  <si>
    <r>
      <rPr>
        <b/>
        <sz val="12"/>
        <color theme="9" tint="-0.499984740745262"/>
        <rFont val="B Nazanin"/>
        <charset val="178"/>
      </rPr>
      <t>گام اول:</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</si>
  <si>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فرآيندي از واحد آسفالت سازی سازمان سطح 3 محاسبه و نمايش داده مي‌شود.</t>
    </r>
  </si>
  <si>
    <r>
      <rPr>
        <b/>
        <sz val="12"/>
        <color theme="9" tint="-0.499984740745262"/>
        <rFont val="B Nazanin"/>
        <charset val="178"/>
      </rPr>
      <t xml:space="preserve">گام اول: </t>
    </r>
    <r>
      <rPr>
        <sz val="12"/>
        <color theme="9" tint="-0.499984740745262"/>
        <rFont val="B Nazanin"/>
        <charset val="178"/>
      </rPr>
      <t xml:space="preserve"> </t>
    </r>
    <r>
      <rPr>
        <sz val="12"/>
        <color theme="1"/>
        <rFont val="B Nazanin"/>
        <charset val="178"/>
      </rPr>
      <t>دررديف مربوطه اطلاعات خواسته شده در كادر طوسي رنگ پر شود.</t>
    </r>
  </si>
  <si>
    <r>
      <rPr>
        <b/>
        <sz val="12"/>
        <color theme="9" tint="-0.499984740745262"/>
        <rFont val="B Nazanin"/>
        <charset val="178"/>
      </rPr>
      <t>گام دوم</t>
    </r>
    <r>
      <rPr>
        <b/>
        <sz val="12"/>
        <color theme="1"/>
        <rFont val="B Nazanin"/>
        <charset val="178"/>
      </rPr>
      <t>:</t>
    </r>
    <r>
      <rPr>
        <sz val="12"/>
        <color theme="1"/>
        <rFont val="B Nazanin"/>
        <charset val="178"/>
      </rPr>
      <t xml:space="preserve"> بعد از تكميل كادر طوسي رنگ، ميزان انتشارات ونت فرآيندي از سیستم‌های Blowdown (پالايش نفت) سازمان سطح 3 محاسبه و نمايش داده مي‌شود.</t>
    </r>
  </si>
  <si>
    <r>
      <rPr>
        <b/>
        <sz val="12"/>
        <color theme="9" tint="-0.499984740745262"/>
        <rFont val="B Nazanin"/>
        <charset val="178"/>
      </rPr>
      <t>گام اول:</t>
    </r>
    <r>
      <rPr>
        <b/>
        <sz val="12"/>
        <color theme="1"/>
        <rFont val="B Nazanin"/>
        <charset val="178"/>
      </rPr>
      <t xml:space="preserve">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</si>
  <si>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تقطیر خلاء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</si>
  <si>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</si>
  <si>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 طوسي رنگ، ميزان انتشارات ونت فرآيندي از واحد پلی اتیلن سنگین (پتروشيمي) سازمان سطح 3 محاسبه و نمايش داده مي‌شود.</t>
    </r>
  </si>
  <si>
    <r>
      <rPr>
        <b/>
        <sz val="12"/>
        <color theme="9" tint="-0.499984740745262"/>
        <rFont val="B Nazanin"/>
        <charset val="178"/>
      </rPr>
      <t xml:space="preserve">گام اول: </t>
    </r>
    <r>
      <rPr>
        <sz val="12"/>
        <color theme="1"/>
        <rFont val="B Nazanin"/>
        <charset val="178"/>
      </rPr>
      <t xml:space="preserve"> دررديف مربوطه اطلاعات خواسته شده در كادر طوسي رنگ پر شود.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</si>
  <si>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بعد از تكميل كادر طوسي رنگ، ميزان انتشارات ونت فرآيندي از واحد ونیل کلراید مونومر (پتروشيمي) سازمان سطح 3 محاسبه و نمايش داده مي‌شود.</t>
    </r>
  </si>
  <si>
    <r>
      <rPr>
        <b/>
        <sz val="12"/>
        <color theme="9" tint="-0.499984740745262"/>
        <rFont val="B Nazanin"/>
        <charset val="178"/>
      </rPr>
      <t xml:space="preserve">گام اول: </t>
    </r>
    <r>
      <rPr>
        <sz val="12"/>
        <color theme="9" tint="-0.499984740745262"/>
        <rFont val="B Nazanin"/>
        <charset val="178"/>
      </rPr>
      <t xml:space="preserve"> </t>
    </r>
    <r>
      <rPr>
        <sz val="12"/>
        <color theme="1"/>
        <rFont val="B Nazanin"/>
        <charset val="178"/>
      </rPr>
      <t>دررديف مربوطه اطلاعات خواسته شده در كادرهاي طوسي رنگ پر 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</si>
  <si>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پلی ونیل کلراید (پتروشيمي) سازمان سطح 3 محاسبه و نمايش داده مي‌شود.</t>
    </r>
  </si>
  <si>
    <r>
      <rPr>
        <b/>
        <sz val="12"/>
        <color theme="9" tint="-0.499984740745262"/>
        <rFont val="B Nazanin"/>
        <charset val="178"/>
      </rPr>
      <t xml:space="preserve">گام دوم: </t>
    </r>
    <r>
      <rPr>
        <sz val="12"/>
        <color theme="1"/>
        <rFont val="B Nazanin"/>
        <charset val="178"/>
      </rPr>
      <t>بعد از تكميل كادرهاي طوسي رنگ، ميزان انتشارات ونت فرآيندي از واحد پلی پروپیلن (پتروشيمي) سازمان سطح 3 محاسبه و نمايش داده مي‌شود.</t>
    </r>
  </si>
  <si>
    <r>
      <rPr>
        <b/>
        <sz val="12"/>
        <color theme="9" tint="-0.499984740745262"/>
        <rFont val="B Nazanin"/>
        <charset val="178"/>
      </rPr>
      <t xml:space="preserve">گام اول: </t>
    </r>
    <r>
      <rPr>
        <sz val="12"/>
        <color theme="1"/>
        <rFont val="B Nazanin"/>
        <charset val="178"/>
      </rPr>
      <t xml:space="preserve"> دررديف مربوطه اطلاعات خواسته شده در كادرهاي طوسي رنگ پر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</si>
  <si>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فرآيندي از واحد پلی استایرن (پتروشيمي)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</si>
  <si>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در اولين ستون طوسي رنگ، مقدار آمونياك توليدي را وارد كنيد، سپس پاسخ سه سوال در سه رديف ستون "فرآيندهاي مورد بررسي در واحد آمونياك" را بدهيد تا مشخص شود كه سه فرآيند ذكر شده در واحد توليد آمونياك وجود دارند يا خير. سپس در كادر طوسي مشخص شده بازده سيستم كنترل آلودگي تجهيز را وارد كنيد. </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</si>
  <si>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آمونياك (پتروشيمي) سازمان سطح 3 محاسبه و نمايش داده مي‌شود.</t>
    </r>
  </si>
  <si>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ونت فرآيندي از واحد اسيد نيتريك (پتروشيمي) سازمان سطح 3 محاسبه و نمايش داده مي‌شود.</t>
    </r>
  </si>
  <si>
    <r>
      <t xml:space="preserve">سیستم‌های </t>
    </r>
    <r>
      <rPr>
        <b/>
        <sz val="11"/>
        <color theme="1"/>
        <rFont val="Times New Roman"/>
        <family val="1"/>
        <scheme val="major"/>
      </rPr>
      <t>Blowdown</t>
    </r>
    <r>
      <rPr>
        <b/>
        <sz val="11"/>
        <color theme="1"/>
        <rFont val="B Nazanin"/>
        <charset val="178"/>
      </rPr>
      <t xml:space="preserve"> </t>
    </r>
  </si>
  <si>
    <t>توضيح اخطار احتمالي</t>
  </si>
  <si>
    <t>بازده تجهیز کنترل انتشارات ونت در بخش هوادهی قیر (%)</t>
  </si>
  <si>
    <t>(در صورتي كه تجهيز كنترلي براي انتشارات ونت در واحد آسفالت سازي وجود ندارد مقدار اين قسمت را برابر با صفر ارائه دهيد.)</t>
  </si>
  <si>
    <t>بازده تجهیز کنترل انتشارات ونت  از کندانسور واحد خلاء (%)</t>
  </si>
  <si>
    <t>(در صورت عدم وجود تجهیز کنترلی بر سر راه گاز ونت خروجی از کندانسور واحد خلاء مقدار اين قسمت را برابر با صفر ارائه دهيد.)</t>
  </si>
  <si>
    <t>بدون کنترل آلودگی و يا موارد ديگر</t>
  </si>
  <si>
    <r>
      <rPr>
        <b/>
        <sz val="12"/>
        <color theme="9" tint="-0.499984740745262"/>
        <rFont val="B Nazanin"/>
        <charset val="178"/>
      </rPr>
      <t>1.</t>
    </r>
    <r>
      <rPr>
        <sz val="12"/>
        <color theme="1"/>
        <rFont val="B Nazanin"/>
        <charset val="178"/>
      </rPr>
      <t xml:space="preserve"> در اين صفحه، سازمان بايستي بعد از تعيين </t>
    </r>
    <r>
      <rPr>
        <b/>
        <u/>
        <sz val="12"/>
        <color theme="1"/>
        <rFont val="B Nazanin"/>
        <charset val="178"/>
      </rPr>
      <t xml:space="preserve">نوع تاسيسات </t>
    </r>
    <r>
      <rPr>
        <sz val="12"/>
        <color theme="1"/>
        <rFont val="B Nazanin"/>
        <charset val="178"/>
      </rPr>
      <t xml:space="preserve">(پالايش گاز، پالايش نفت و يا پتروشيمي) در صورت دارا بودن هر كدام از واحدهاي فرآيندي مربوط به آن تاسيسات، اطلاعات خواسته شده آن واحد را وارد كند. با ورود اطلاعات در كادرهاي طوسي رنگ، نتايج محاسبات در ستون و رديف‌هاي مشخص شده نمايش داده مي‌شود. لازم به ذكر است در صورت عدم انتخاب نوع تاسيسات (پالايش گاز، پالايش نفت و يا پتروشيمي) نتايج نهايي كل انتشارات از منابع ونت فرآيندي </t>
    </r>
    <r>
      <rPr>
        <b/>
        <u/>
        <sz val="12"/>
        <color theme="1"/>
        <rFont val="B Nazanin"/>
        <charset val="178"/>
      </rPr>
      <t>نمايش داده نمي‌شود</t>
    </r>
    <r>
      <rPr>
        <sz val="12"/>
        <color theme="1"/>
        <rFont val="B Nazanin"/>
        <charset val="178"/>
      </rPr>
      <t>. درضمن كادرها و مستطيل‌هاي زرد رنگ جهت راهنمايي و ارجاع هستند.</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</si>
  <si>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در صورتي كه سازمان محفظه هاي كك سازي بيشتري دارد، بايستي جداگانه محاسبات را بر اساس سند راهنما انجام داده و نتايج در كادر طوسي رنگ توضيحات روبرو درج شود.</t>
    </r>
  </si>
  <si>
    <r>
      <rPr>
        <b/>
        <sz val="12"/>
        <color theme="9" tint="-0.499984740745262"/>
        <rFont val="B Nazanin"/>
        <charset val="178"/>
      </rPr>
      <t>گام اول:</t>
    </r>
    <r>
      <rPr>
        <sz val="12"/>
        <color theme="1"/>
        <rFont val="B Nazanin"/>
        <charset val="178"/>
      </rPr>
      <t xml:space="preserve"> در اولين ستون طوسي رنگ، نوع اسيد نيتريك را وارد كنيد. توجه شود كه اگر واحد فرآيندي هم اسيد نيتريك غليظ و هم رقيق توليد مي كند هر دو نوع اسيد نيتريك را در دو رديف بايستي وارد كند. سپس مقدار و خلوص هر نوع اسيد نيتريك و نوع سيستم كنترل آلودگي را براي هر رديف مشخص كنيد.</t>
    </r>
  </si>
  <si>
    <r>
      <rPr>
        <b/>
        <sz val="12"/>
        <color theme="0"/>
        <rFont val="B Nazanin"/>
        <charset val="178"/>
      </rPr>
      <t xml:space="preserve"> ميليون بشكه نفت</t>
    </r>
    <r>
      <rPr>
        <b/>
        <sz val="12"/>
        <color theme="0"/>
        <rFont val="Times New Roman"/>
        <family val="1"/>
        <scheme val="major"/>
      </rPr>
      <t xml:space="preserve"> (MMbbl)</t>
    </r>
  </si>
  <si>
    <r>
      <rPr>
        <b/>
        <sz val="12"/>
        <color theme="1"/>
        <rFont val="B Nazanin"/>
        <charset val="178"/>
      </rPr>
      <t xml:space="preserve">گام دوم: </t>
    </r>
    <r>
      <rPr>
        <sz val="12"/>
        <color theme="1"/>
        <rFont val="B Nazanin"/>
        <charset val="178"/>
      </rPr>
      <t>بعد از تكميل كادرهاي طوسي رنگ، ميزان انتشارات ونت از مخازن سازمان سطح 3 محاسبه و نمايش داده مي‌شود.</t>
    </r>
  </si>
  <si>
    <r>
      <rPr>
        <b/>
        <sz val="12"/>
        <color theme="1"/>
        <rFont val="B Nazanin"/>
        <charset val="178"/>
      </rPr>
      <t>توجه 2:</t>
    </r>
    <r>
      <rPr>
        <sz val="12"/>
        <color theme="1"/>
        <rFont val="B Nazanin"/>
        <charset val="178"/>
      </rPr>
      <t xml:space="preserve"> برای تبدیل مقدار نفت برحسب m</t>
    </r>
    <r>
      <rPr>
        <vertAlign val="superscript"/>
        <sz val="12"/>
        <color theme="1"/>
        <rFont val="B Nazanin"/>
        <charset val="178"/>
      </rPr>
      <t>3</t>
    </r>
    <r>
      <rPr>
        <sz val="12"/>
        <color theme="1"/>
        <rFont val="B Nazanin"/>
        <charset val="178"/>
      </rPr>
      <t xml:space="preserve"> به ميليون بشكه نفت (MMbbl)، مقدار برحسب m</t>
    </r>
    <r>
      <rPr>
        <vertAlign val="superscript"/>
        <sz val="12"/>
        <color theme="1"/>
        <rFont val="B Nazanin"/>
        <charset val="178"/>
      </rPr>
      <t>3</t>
    </r>
    <r>
      <rPr>
        <sz val="12"/>
        <color theme="1"/>
        <rFont val="B Nazanin"/>
        <charset val="178"/>
      </rPr>
      <t xml:space="preserve"> را بايد ضرب در                          کنید.</t>
    </r>
  </si>
  <si>
    <r>
      <rPr>
        <b/>
        <sz val="12"/>
        <color theme="1"/>
        <rFont val="B Nazanin"/>
        <charset val="178"/>
      </rPr>
      <t>گام اول:</t>
    </r>
    <r>
      <rPr>
        <sz val="12"/>
        <color theme="1"/>
        <rFont val="B Nazanin"/>
        <charset val="178"/>
      </rPr>
      <t xml:space="preserve"> مشخصات مخزن و سیال هیدروکربنی ذخیره شده در رديف هاي در نظر گرفته شده انتخاب شود.</t>
    </r>
  </si>
  <si>
    <r>
      <rPr>
        <b/>
        <sz val="12"/>
        <color theme="1"/>
        <rFont val="B Nazanin"/>
        <charset val="178"/>
      </rPr>
      <t>توجه 1:</t>
    </r>
    <r>
      <rPr>
        <sz val="12"/>
        <color theme="1"/>
        <rFont val="B Nazanin"/>
        <charset val="178"/>
      </rPr>
      <t xml:space="preserve"> منظور از حجم سیال هیدروکربنی ذخیره شده در یک سال، حجم محصول هيدروكربني در واحد صنعتي است كه در طول يك سال به مخزن فرستاده مي‌شود و زمان نگهداري آن در مخزن اهميت ندارد. </t>
    </r>
  </si>
  <si>
    <t>بخش محاسبه انتشارات ونت مخازن نگهداري محصولات (صنایع پالايشگاهي و پخش فرآورده هاي نفتي)</t>
  </si>
  <si>
    <t xml:space="preserve">صنایع پالايشگاهي و پخش فرآورده‌هاي نفتي </t>
  </si>
  <si>
    <r>
      <t>kg/m</t>
    </r>
    <r>
      <rPr>
        <b/>
        <vertAlign val="superscript"/>
        <sz val="12"/>
        <color theme="0"/>
        <rFont val="Times New Roman"/>
        <family val="1"/>
      </rPr>
      <t>3</t>
    </r>
  </si>
  <si>
    <r>
      <t>g/m</t>
    </r>
    <r>
      <rPr>
        <b/>
        <vertAlign val="superscript"/>
        <sz val="12"/>
        <color theme="0"/>
        <rFont val="Times New Roman"/>
        <family val="1"/>
      </rPr>
      <t>3</t>
    </r>
  </si>
  <si>
    <r>
      <t xml:space="preserve">ضریب انتشار مربوط به عملیات حین بارگیری </t>
    </r>
    <r>
      <rPr>
        <b/>
        <sz val="12"/>
        <color theme="0"/>
        <rFont val="Times New Roman"/>
        <family val="1"/>
        <scheme val="major"/>
      </rPr>
      <t>(CG)</t>
    </r>
  </si>
  <si>
    <r>
      <t xml:space="preserve">ضریب انتشار مربوط به بخارات به‌جامانده قبل از بارگیری محصول جدید </t>
    </r>
    <r>
      <rPr>
        <b/>
        <sz val="12"/>
        <color theme="0"/>
        <rFont val="Times New Roman"/>
        <family val="1"/>
        <scheme val="major"/>
      </rPr>
      <t>(CA)</t>
    </r>
  </si>
  <si>
    <r>
      <t>gr/m</t>
    </r>
    <r>
      <rPr>
        <b/>
        <vertAlign val="superscript"/>
        <sz val="12"/>
        <color theme="0"/>
        <rFont val="Times New Roman"/>
        <family val="1"/>
        <scheme val="major"/>
      </rPr>
      <t>3</t>
    </r>
  </si>
  <si>
    <r>
      <rPr>
        <b/>
        <sz val="12"/>
        <color theme="9" tint="-0.499984740745262"/>
        <rFont val="B Nazanin"/>
        <charset val="178"/>
      </rPr>
      <t xml:space="preserve">1. </t>
    </r>
    <r>
      <rPr>
        <sz val="12"/>
        <color theme="1"/>
        <rFont val="B Nazanin"/>
        <charset val="178"/>
      </rPr>
      <t>در اين صفحه، سازمان بايستي بعد از تعيين نوع بارگيري (خشكي يا دريا) و نوع محصول (بنزين، نفت خام و يا ساير محصولات) جدول مربوط به بارگيري خود را انتخاب و اطلاعات خواسته شده در آن را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</si>
  <si>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r>
      <rPr>
        <b/>
        <sz val="12"/>
        <color theme="9" tint="-0.499984740745262"/>
        <rFont val="B Nazanin"/>
        <charset val="178"/>
      </rPr>
      <t>گام اول:</t>
    </r>
    <r>
      <rPr>
        <sz val="12"/>
        <color theme="1"/>
        <rFont val="B Nazanin"/>
        <charset val="178"/>
      </rPr>
      <t xml:space="preserve"> ده رديف براي وارد كردن اطلاعات ده محصول بارگيري شده در نظر گرفته شده است. اطلاعات خواسته شده در كادرهاي طوسي رنگ را وارد كنيد. </t>
    </r>
  </si>
  <si>
    <r>
      <rPr>
        <b/>
        <sz val="12"/>
        <color theme="9" tint="-0.499984740745262"/>
        <rFont val="B Nazanin"/>
        <charset val="178"/>
      </rPr>
      <t>نكته 1:</t>
    </r>
    <r>
      <rPr>
        <sz val="12"/>
        <color theme="1"/>
        <rFont val="B Nazanin"/>
        <charset val="178"/>
      </rPr>
      <t xml:space="preserve"> در اينجا ده رديف جهت ارائه مشخصات ده محصول بارگيري شده در نظر گرفته شده است. در صورتي كه سازمان  بارگيري محصولات بيشتري دارد، بايستي جداگانه محاسبات را بر اساس سند راهنما انجام داده و نتايج در كادر توضيحات روبرو درج شود.</t>
    </r>
  </si>
  <si>
    <r>
      <rPr>
        <b/>
        <sz val="12"/>
        <color theme="1"/>
        <rFont val="B Nazanin"/>
        <charset val="178"/>
      </rPr>
      <t>توجه 3:</t>
    </r>
    <r>
      <rPr>
        <sz val="12"/>
        <color theme="1"/>
        <rFont val="B Nazanin"/>
        <charset val="178"/>
      </rPr>
      <t xml:space="preserve"> در اينجا ده رديف جهت ارائه مشخصات ده مخزن در نظر گرفته شده است. در صورتي كه سازمان مخازن نگهداري بيشتري دارد، بايستي جداگانه محاسبات را بر اساس سند راهنما انجام داده و نتايج در كادر توضيحات روبرو درج شود. همچنین لازم به ذكر است كه در این بخش مخازنی که خروجی ونت آنها جمع آوری شده و به بخش ریکاوری و یا فلر منتقل می‌شود، بررسی نمی‌شوند اما لازم است در كادر طوسي رنگ توضيحات روبرو در صورت وجود چنين انتشاراتي از مخازن، موارد آنها و در صورت وجود مقدار انتشار ارسالي به سيستم فلر درج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</si>
  <si>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ونت از فرآيند بارگيري محصولات سازمان سطح 3 محاسبه و نمايش داده مي‌شود.</t>
    </r>
  </si>
  <si>
    <r>
      <rPr>
        <b/>
        <sz val="12"/>
        <color theme="9" tint="-0.499984740745262"/>
        <rFont val="B Nazanin"/>
        <charset val="178"/>
      </rPr>
      <t xml:space="preserve">نكته 2: </t>
    </r>
    <r>
      <rPr>
        <sz val="12"/>
        <color theme="1"/>
        <rFont val="B Nazanin"/>
        <charset val="178"/>
      </rPr>
      <t>بايد توجه داشت كه فشار بخار واقعی فراورده (True vapor pressure) با فشار بخار ريد (Reid vapor pressure) متفاوت است. در صورت عدم دسترسي به فشار بخار واقعي محصول، مقدار آن با توجه به نوع فراورده از طریق روابط 1-25 و 1-26 و جداول 7-1-2 و 7-1-3 فصل هفتم راهنمای AP-42 قابل محاسبه است. همچنين در صورت عدم دسترسي به جرم مولی بخار حاصل از محصول، از جداول 7-1-2 و 7-1-3 فصل هفتم راهنمای AP-42 استفاده شود.</t>
    </r>
  </si>
  <si>
    <r>
      <rPr>
        <b/>
        <sz val="12"/>
        <color theme="9" tint="-0.499984740745262"/>
        <rFont val="B Nazanin"/>
        <charset val="178"/>
      </rPr>
      <t xml:space="preserve">نكته 3: </t>
    </r>
    <r>
      <rPr>
        <sz val="12"/>
        <color theme="1"/>
        <rFont val="B Nazanin"/>
        <charset val="178"/>
      </rPr>
      <t xml:space="preserve">در صورتي كه سازمان به دليل عدم دسترسي به اطلاعات عملكردي مورد نياز، قادر به برآورد انتشارات ونت بارگيري هريك از محصولات نيست، لازم است علاوه بر ذكر پارامترهايي كه به مقادير آنها دسترسي ندارد، مشكلات و نيازمندي هاي لازم جهت دسترسي به اين اطلاعات را در قسمت طوسي رنگ توضيحات روبرو درج كند. </t>
    </r>
  </si>
  <si>
    <r>
      <rPr>
        <b/>
        <sz val="12"/>
        <color theme="9" tint="-0.499984740745262"/>
        <rFont val="B Nazanin"/>
        <charset val="178"/>
      </rPr>
      <t xml:space="preserve">نكته 4: </t>
    </r>
    <r>
      <rPr>
        <sz val="12"/>
        <color theme="1"/>
        <rFont val="B Nazanin"/>
        <charset val="178"/>
      </rPr>
      <t>چنانچه بخشی از بخارات در حین فرایند بارگیری، جمع‌آوری شود و سپس توسط یک فرایند کنترلی بازیابی بخارات (مانند جذب، جذب سطحی و سرمایش)، وارد اتمسفر نشود، مقدار انتشار کم می‌شود. لازم به توضیح است چنانچه بازده جمع‌آوری بخارات 100 درصد هم باشد اما این بخارات کنترل نشود و مستقیم به اتمسفر وارد شود، اقدامات جمع آوری صرف هیچ تاثیری بر کاهش نرخ انتشار نخواهد داشت. لذا در اينجا كارشناس مربوطه "</t>
    </r>
    <r>
      <rPr>
        <b/>
        <sz val="12"/>
        <color theme="1"/>
        <rFont val="B Nazanin"/>
        <charset val="178"/>
      </rPr>
      <t>نحوه جمع آوری بخارات در فرایند بارگیری</t>
    </r>
    <r>
      <rPr>
        <sz val="12"/>
        <color theme="1"/>
        <rFont val="B Nazanin"/>
        <charset val="178"/>
      </rPr>
      <t>" را از بين گزينه‌هاي موجود انتخاب و درصد جمع آوري روش انتخاب شده به صورت پيش فرض اعمال مي شود اما مقدار "</t>
    </r>
    <r>
      <rPr>
        <b/>
        <sz val="12"/>
        <color theme="1"/>
        <rFont val="B Nazanin"/>
        <charset val="178"/>
      </rPr>
      <t>درصد بازده كنترلي بازيابي بخارات جمع‌آوری شده</t>
    </r>
    <r>
      <rPr>
        <sz val="12"/>
        <color theme="1"/>
        <rFont val="B Nazanin"/>
        <charset val="178"/>
      </rPr>
      <t>" را بايد در كادر طوسي رنگ مشخص شده وارد كند. بنابراين در صورت عدم درج "</t>
    </r>
    <r>
      <rPr>
        <b/>
        <sz val="12"/>
        <color theme="1"/>
        <rFont val="B Nazanin"/>
        <charset val="178"/>
      </rPr>
      <t>درصد بازده كنترلي بازيابي بخارات جمع‌آوری شده</t>
    </r>
    <r>
      <rPr>
        <sz val="12"/>
        <color theme="1"/>
        <rFont val="B Nazanin"/>
        <charset val="178"/>
      </rPr>
      <t>" اين مقدار به طور پيش فرض برابر با صفر در نظر گرفته مي‌شود.</t>
    </r>
  </si>
  <si>
    <r>
      <t>ضريب شیرآلات آب/نفت</t>
    </r>
    <r>
      <rPr>
        <b/>
        <vertAlign val="superscript"/>
        <sz val="12"/>
        <color theme="0"/>
        <rFont val="B Nazanin"/>
        <charset val="178"/>
      </rPr>
      <t xml:space="preserve"> </t>
    </r>
  </si>
  <si>
    <r>
      <t>ضريب سایر تجهیزات</t>
    </r>
    <r>
      <rPr>
        <b/>
        <vertAlign val="superscript"/>
        <sz val="12"/>
        <color theme="0"/>
        <rFont val="B Nazanin"/>
        <charset val="178"/>
      </rPr>
      <t xml:space="preserve"> </t>
    </r>
    <r>
      <rPr>
        <b/>
        <sz val="12"/>
        <color theme="0"/>
        <rFont val="B Nazanin"/>
        <charset val="178"/>
      </rPr>
      <t>گاز</t>
    </r>
  </si>
  <si>
    <r>
      <t>ضريب سایر تجهیزات</t>
    </r>
    <r>
      <rPr>
        <b/>
        <vertAlign val="superscript"/>
        <sz val="12"/>
        <color theme="0"/>
        <rFont val="B Nazanin"/>
        <charset val="178"/>
      </rPr>
      <t xml:space="preserve"> </t>
    </r>
    <r>
      <rPr>
        <b/>
        <sz val="12"/>
        <color theme="0"/>
        <rFont val="B Nazanin"/>
        <charset val="178"/>
      </rPr>
      <t>نفت سبک</t>
    </r>
  </si>
  <si>
    <r>
      <t>ضريب سایر تجهیزات</t>
    </r>
    <r>
      <rPr>
        <b/>
        <vertAlign val="superscript"/>
        <sz val="12"/>
        <color theme="0"/>
        <rFont val="B Nazanin"/>
        <charset val="178"/>
      </rPr>
      <t xml:space="preserve"> </t>
    </r>
    <r>
      <rPr>
        <b/>
        <sz val="12"/>
        <color theme="0"/>
        <rFont val="B Nazanin"/>
        <charset val="178"/>
      </rPr>
      <t>نفت سنگین</t>
    </r>
  </si>
  <si>
    <r>
      <t>ضريب سایر تجهیزات</t>
    </r>
    <r>
      <rPr>
        <b/>
        <vertAlign val="superscript"/>
        <sz val="12"/>
        <color theme="0"/>
        <rFont val="B Nazanin"/>
        <charset val="178"/>
      </rPr>
      <t xml:space="preserve"> </t>
    </r>
    <r>
      <rPr>
        <b/>
        <sz val="12"/>
        <color theme="0"/>
        <rFont val="B Nazanin"/>
        <charset val="178"/>
      </rPr>
      <t>آب/نفت</t>
    </r>
  </si>
  <si>
    <r>
      <t>تعداد شیرآلات آب/نفت</t>
    </r>
    <r>
      <rPr>
        <b/>
        <vertAlign val="superscript"/>
        <sz val="12"/>
        <color theme="0"/>
        <rFont val="B Nazanin"/>
        <charset val="178"/>
      </rPr>
      <t xml:space="preserve"> </t>
    </r>
  </si>
  <si>
    <r>
      <t>تعداد سایر تجهیزات</t>
    </r>
    <r>
      <rPr>
        <b/>
        <vertAlign val="superscript"/>
        <sz val="12"/>
        <color theme="0"/>
        <rFont val="B Nazanin"/>
        <charset val="178"/>
      </rPr>
      <t xml:space="preserve"> </t>
    </r>
    <r>
      <rPr>
        <b/>
        <sz val="12"/>
        <color theme="0"/>
        <rFont val="B Nazanin"/>
        <charset val="178"/>
      </rPr>
      <t>گاز</t>
    </r>
  </si>
  <si>
    <r>
      <t>تعداد سایر تجهیزات</t>
    </r>
    <r>
      <rPr>
        <b/>
        <vertAlign val="superscript"/>
        <sz val="12"/>
        <color theme="0"/>
        <rFont val="B Nazanin"/>
        <charset val="178"/>
      </rPr>
      <t xml:space="preserve"> </t>
    </r>
    <r>
      <rPr>
        <b/>
        <sz val="12"/>
        <color theme="0"/>
        <rFont val="B Nazanin"/>
        <charset val="178"/>
      </rPr>
      <t>نفت سبک</t>
    </r>
  </si>
  <si>
    <r>
      <t>تعداد سایر تجهیزات</t>
    </r>
    <r>
      <rPr>
        <b/>
        <vertAlign val="superscript"/>
        <sz val="12"/>
        <color theme="0"/>
        <rFont val="B Nazanin"/>
        <charset val="178"/>
      </rPr>
      <t xml:space="preserve"> </t>
    </r>
    <r>
      <rPr>
        <b/>
        <sz val="12"/>
        <color theme="0"/>
        <rFont val="B Nazanin"/>
        <charset val="178"/>
      </rPr>
      <t>نفت سنگین</t>
    </r>
  </si>
  <si>
    <r>
      <t>تعداد سایر تجهیزات</t>
    </r>
    <r>
      <rPr>
        <b/>
        <vertAlign val="superscript"/>
        <sz val="12"/>
        <color theme="0"/>
        <rFont val="B Nazanin"/>
        <charset val="178"/>
      </rPr>
      <t xml:space="preserve"> </t>
    </r>
    <r>
      <rPr>
        <b/>
        <sz val="12"/>
        <color theme="0"/>
        <rFont val="B Nazanin"/>
        <charset val="178"/>
      </rPr>
      <t>آب/نفت</t>
    </r>
  </si>
  <si>
    <r>
      <rPr>
        <b/>
        <sz val="12"/>
        <color theme="9" tint="-0.499984740745262"/>
        <rFont val="B Nazanin"/>
        <charset val="178"/>
      </rPr>
      <t>1.</t>
    </r>
    <r>
      <rPr>
        <sz val="12"/>
        <color theme="1"/>
        <rFont val="B Nazanin"/>
        <charset val="178"/>
      </rPr>
      <t xml:space="preserve"> در اين صفحه، سازمان بايستي بعد از تعيين نوع تاسيسات (صنایع بالادستي نفت و گاز، صنایع پالايشگاهي، صنایع پتروشيمي و ترمينال‌هاي فروش محصولات) اطلاعات خواسته شده آن تاسيسات را در صورتي كه كسر جرمی ترکیبات هیدروکربنی در آنها حداقل 0/1 است در جدول مربوطه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t>
    </r>
  </si>
  <si>
    <r>
      <rPr>
        <b/>
        <sz val="12"/>
        <color theme="9" tint="-0.499984740745262"/>
        <rFont val="B Nazanin"/>
        <charset val="178"/>
      </rPr>
      <t>توجه 1:</t>
    </r>
    <r>
      <rPr>
        <sz val="12"/>
        <color theme="9" tint="-0.499984740745262"/>
        <rFont val="B Nazanin"/>
        <charset val="178"/>
      </rPr>
      <t xml:space="preserve"> </t>
    </r>
    <r>
      <rPr>
        <sz val="12"/>
        <color theme="1"/>
        <rFont val="B Nazanin"/>
        <charset val="178"/>
      </rPr>
      <t>در صورتي كه تعداد خطوط جريان با نسبت درصد جرمي VOC به TOC  متفاوت سازمان، بيشتر از رديف هاي در نظر گرفته شده در اينجا باشد، بايستي جداگانه محاسبات  جريان هاي بيشتر را بر اساس سند راهنما انجام داده و نتايج در كادر توضيحات روبرو درج 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</si>
  <si>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رديف طوسي رنگ، تعداد تجهيزات بر روي خط جرياني كه نسبت درصد جرمي VOC به درصد جرمي TOC مشخصي در آن جريان دارد نوشته مي شود. توجه شود كه اگر در سازمان سطح 3 چند خط جريان با نسبت درصد جرمي VOC به درصد جرمي TOC  يكسان وجود داشته باشد، مي توان تعداد كل هر نوع تجهيز بر روي تمام اين خطوط را در ستون مربوط به خود و در يك رديف وارد كرد.  </t>
    </r>
  </si>
  <si>
    <r>
      <rPr>
        <b/>
        <sz val="12"/>
        <color theme="9" tint="-0.499984740745262"/>
        <rFont val="B Nazanin"/>
        <charset val="178"/>
      </rPr>
      <t xml:space="preserve">گام دوم: </t>
    </r>
    <r>
      <rPr>
        <sz val="12"/>
        <color theme="1"/>
        <rFont val="B Nazanin"/>
        <charset val="178"/>
      </rPr>
      <t>بعد از تكميل كادرهاي طوسي رنگ، ميزان انتشارات فرار از تجهيزات نشتي سازمان سطح 3 محاسبه و نمايش داده مي‌شود.</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</si>
  <si>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رديف طوسي رنگ تعداد كل هر نوع تجهيز سازمان سطح (3) در ستون مربوطه بدون اهميت نسبت درصد جرمي VOC به درصد جرمي TOC جريان ها نوشته شود. </t>
    </r>
  </si>
  <si>
    <t xml:space="preserve">ضريب آب‌بندی پمپ مایعات سبک، همزن‌ها و مخلوط‌کن‌ها </t>
  </si>
  <si>
    <t>ضريب آب‌بندی پمپ مایعات سنگین</t>
  </si>
  <si>
    <t>ضريب سایر تجهیزات گاز(تجهیزات به‌غیر از اتصالات، فلنج‌ها، آب‌بندی پمپ‌ها و شیرآلات)</t>
  </si>
  <si>
    <t>ضريب سایر تجهیزات مایعات سبک(تجهیزات به‌غیر از اتصالات، فلنج‌ها، آب‌بندی پمپ‌ها و شیرآلات)</t>
  </si>
  <si>
    <r>
      <t xml:space="preserve"> m</t>
    </r>
    <r>
      <rPr>
        <b/>
        <vertAlign val="superscript"/>
        <sz val="12"/>
        <color theme="0"/>
        <rFont val="Times New Roman"/>
        <family val="1"/>
      </rPr>
      <t>3</t>
    </r>
  </si>
  <si>
    <r>
      <t>Kg/(m</t>
    </r>
    <r>
      <rPr>
        <vertAlign val="superscript"/>
        <sz val="12"/>
        <color theme="1"/>
        <rFont val="Times New Roman"/>
        <family val="1"/>
        <scheme val="major"/>
      </rPr>
      <t>3</t>
    </r>
    <r>
      <rPr>
        <sz val="12"/>
        <color theme="1"/>
        <rFont val="Times New Roman"/>
        <family val="1"/>
        <scheme val="major"/>
      </rPr>
      <t xml:space="preserve"> wastewater)</t>
    </r>
  </si>
  <si>
    <r>
      <t xml:space="preserve">سیستم‌های شناورسازی مواد نفتی با هوا </t>
    </r>
    <r>
      <rPr>
        <b/>
        <sz val="12"/>
        <color theme="1"/>
        <rFont val="Times New Roman"/>
        <family val="1"/>
      </rPr>
      <t>(DAF/IAF)</t>
    </r>
  </si>
  <si>
    <r>
      <rPr>
        <b/>
        <sz val="12"/>
        <color theme="9" tint="-0.499984740745262"/>
        <rFont val="B Nazanin"/>
        <charset val="178"/>
      </rPr>
      <t>1.</t>
    </r>
    <r>
      <rPr>
        <sz val="12"/>
        <color theme="1"/>
        <rFont val="B Nazanin"/>
        <charset val="178"/>
      </rPr>
      <t xml:space="preserve"> در اين صفحه، بر اساس اطلاعات واحدهاي مديريت پساب، انتشار آلاينده VOC از سيستم تصفيه پساب محاسبه مي‌شود.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</si>
  <si>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t>توضيحات</t>
  </si>
  <si>
    <t>وضعيت كنترل نشتي (نشتي دراثر تبخیر سطحی)</t>
  </si>
  <si>
    <t xml:space="preserve">  کنترل شده (جمع آوری با لوله و کاملا آب بندی شده با كنترل 100% )</t>
  </si>
  <si>
    <r>
      <rPr>
        <b/>
        <sz val="12"/>
        <color theme="9" tint="-0.499984740745262"/>
        <rFont val="B Nazanin"/>
        <charset val="178"/>
      </rPr>
      <t>گام دوم:</t>
    </r>
    <r>
      <rPr>
        <sz val="12"/>
        <color theme="1"/>
        <rFont val="B Nazanin"/>
        <charset val="178"/>
      </rPr>
      <t xml:space="preserve"> بعد از تكميل كادرهاي طوسي رنگ، ميزان انتشارات فرار سيستم‌ تصفیه پساب محاسبه و نمايش داده مي‌شود.</t>
    </r>
  </si>
  <si>
    <r>
      <rPr>
        <b/>
        <sz val="12"/>
        <color theme="9" tint="-0.499984740745262"/>
        <rFont val="B Nazanin"/>
        <charset val="178"/>
      </rPr>
      <t>گام اول:</t>
    </r>
    <r>
      <rPr>
        <sz val="12"/>
        <color theme="1"/>
        <rFont val="B Nazanin"/>
        <charset val="178"/>
      </rPr>
      <t xml:space="preserve">  اطلاعات خواسته شده در سه رديف ستون "واحدهای مدیریت پساب" را در كادرهاي طوسي رنگ مشخص شده پر نماييد. در صورت عدم دسترسي به برخي اطلاعات عملكردي موردنياز، آن موارد و علت عدم دسترسي به آن اطلاعات در قسمت طوسي رنگ توضيحات روبرو درج شود.</t>
    </r>
  </si>
  <si>
    <r>
      <rPr>
        <b/>
        <sz val="12"/>
        <color theme="9" tint="-0.499984740745262"/>
        <rFont val="B Nazanin"/>
        <charset val="178"/>
      </rPr>
      <t>نكته 1:</t>
    </r>
    <r>
      <rPr>
        <sz val="12"/>
        <color theme="1"/>
        <rFont val="B Nazanin"/>
        <charset val="178"/>
      </rPr>
      <t xml:space="preserve"> اين روش مختص محاسبه مقدار انتشار PM از برج خنك كن است. لذا  در صورت وجود اطلاعات لازم بايستي از اين روش استفاده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</si>
  <si>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فرار PM از برج خنك كن سازمان سطح 3 محاسبه و نمايش داده مي‌شود.</t>
    </r>
  </si>
  <si>
    <r>
      <rPr>
        <b/>
        <sz val="12"/>
        <color theme="9" tint="-0.499984740745262"/>
        <rFont val="B Nazanin"/>
        <charset val="178"/>
      </rPr>
      <t>نكته 1:</t>
    </r>
    <r>
      <rPr>
        <sz val="12"/>
        <color theme="1"/>
        <rFont val="B Nazanin"/>
        <charset val="178"/>
      </rPr>
      <t xml:space="preserve"> هرچند اين روش مختص محاسبه مقدار انتشار VOC از برج خنك كن است ولي روش (ب) جهت محاسبه VOC ارجح است. با اين حال در صورت عدم وجود تجهیزات اندازه‌گیری غلظت VOC در آب، مي‌توان از اين روش استفاده كرد</t>
    </r>
  </si>
  <si>
    <t>کنترل‌شده (کمینه‌سازی نشت هیدروکربن‌ها به داخل سیستم آب خنک‌کننده و پایش هیدروکربن‌ها در داخل آب خنک‌کننده)</t>
  </si>
  <si>
    <t>وضعيت كنترل نشت هيدروكربن ها در آب خنك كننده</t>
  </si>
  <si>
    <r>
      <rPr>
        <b/>
        <sz val="12"/>
        <color theme="9" tint="-0.499984740745262"/>
        <rFont val="B Nazanin"/>
        <charset val="178"/>
      </rPr>
      <t>1.</t>
    </r>
    <r>
      <rPr>
        <sz val="12"/>
        <color theme="1"/>
        <rFont val="B Nazanin"/>
        <charset val="178"/>
      </rPr>
      <t xml:space="preserve"> در اين صفحه، سازمان بايستي جهت محاسبه انتشار آلاينده PM از برج خنك كن از روش (الف) و جهت محاسبه انتشار آلاينده VOC به ترتيب اولويت از روش (ب) و يا (ج) استفاده كند. (در تجميع مقادير انتشارات VOC در بالاي صفحه در صورت عدم استفاده از روش (ب) از نتايج روش(ج) استفاده مي‌شود.) لذا هر سازمان بايستي از روش (الف) و يكي از دو روش (ب) و يا (ج) جهت برآورد تمام آلاينده‌ها استفاده نمايد.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در صورت عدم دسترسي به برخي اطلاعات عملكردي موردنياز، آن موارد و علت عدم دسترسي به آن اطلاعات در قسمت طوسي رنگ توضيحات روبرو درج شود.</t>
    </r>
  </si>
  <si>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فرار VOC از برج خنك كن سازمان سطح 3 محاسبه و نمايش داده مي‌شود.</t>
    </r>
  </si>
  <si>
    <r>
      <rPr>
        <b/>
        <sz val="12"/>
        <color theme="9" tint="-0.499984740745262"/>
        <rFont val="B Nazanin"/>
        <charset val="178"/>
      </rPr>
      <t>نكته 1:</t>
    </r>
    <r>
      <rPr>
        <sz val="12"/>
        <color theme="1"/>
        <rFont val="B Nazanin"/>
        <charset val="178"/>
      </rPr>
      <t xml:space="preserve"> اين روش مختص محاسبه مقدار انتشار VOC از برج خنك كن است. لذا  در صورت وجود تجهیزات اندازه‌گیری غلظت VOC در آب، بايستي از اين روش استفاده شود. در صورت عدم وجود اطلاعات عملكردي مورد نياز در اين روش جهت برآورد انتشارات VOC از برج خنك كن از روش (ج) استفاده شود.</t>
    </r>
  </si>
  <si>
    <r>
      <t xml:space="preserve">اداره كل </t>
    </r>
    <r>
      <rPr>
        <b/>
        <sz val="12"/>
        <color theme="1"/>
        <rFont val="Times New Roman"/>
        <family val="1"/>
        <scheme val="major"/>
      </rPr>
      <t>HSE</t>
    </r>
    <r>
      <rPr>
        <b/>
        <sz val="12"/>
        <color theme="1"/>
        <rFont val="B Nazanin"/>
        <charset val="178"/>
      </rPr>
      <t xml:space="preserve"> وزارت نفت</t>
    </r>
  </si>
  <si>
    <r>
      <t xml:space="preserve">میزان انتشار سالانه آلاینده‌ها </t>
    </r>
    <r>
      <rPr>
        <b/>
        <sz val="12"/>
        <color theme="0"/>
        <rFont val="Times New Roman"/>
        <family val="1"/>
      </rPr>
      <t>(ton/Year)</t>
    </r>
  </si>
  <si>
    <t xml:space="preserve">دامنه گزارش از تاریخ : </t>
  </si>
  <si>
    <t xml:space="preserve">               01/01/-140         لغایت          30/12/-140</t>
  </si>
  <si>
    <r>
      <t xml:space="preserve">در تكميل صفحه Flare  </t>
    </r>
    <r>
      <rPr>
        <u/>
        <sz val="12"/>
        <color theme="1"/>
        <rFont val="B Nazanin"/>
        <charset val="178"/>
      </rPr>
      <t>در هر صورت</t>
    </r>
    <r>
      <rPr>
        <sz val="12"/>
        <color theme="1"/>
        <rFont val="B Nazanin"/>
        <charset val="178"/>
      </rPr>
      <t xml:space="preserve"> لازم است با مراجعه به صفحه Composition، تركيب درصد گازهاي ارسالي به فلر در فرم‌ها وارد شوند.</t>
    </r>
  </si>
  <si>
    <t>ورود اطلاعات در هر يك از صفحات محاسبه مقدار انتشارات از منابع (در صورت وجود اين منابع انتشار در تاسيسات مورد نظر). اين صفحات غير وابسته به هم بوده و نيازي به رعايت ترتيب در تكميل آنها نيست.</t>
  </si>
  <si>
    <r>
      <t xml:space="preserve">معرفي و آموزش نحوه كار با 
اكسل محاسبه موجودي انتشار گازهاي آلاينده هوا در تاسيسات صنعت نفت
</t>
    </r>
    <r>
      <rPr>
        <b/>
        <sz val="12"/>
        <color rgb="FF002060"/>
        <rFont val="Times New Roman"/>
        <family val="1"/>
        <scheme val="major"/>
      </rPr>
      <t>(Version 1)</t>
    </r>
    <r>
      <rPr>
        <sz val="12"/>
        <color rgb="FF002060"/>
        <rFont val="Times New Roman"/>
        <family val="1"/>
        <scheme val="major"/>
      </rPr>
      <t xml:space="preserve">  </t>
    </r>
  </si>
  <si>
    <t>اگر به دلايلي انتشارات از منبعي محاسبه نشده است، كاربر بايستي شرح دلايل مذكور را دركادرهاي طوسي رنگ موجود در صفحه‌ي همان منبع و همچنين در صفحه "Results"  با عنوان "توضيحات" ارائه دهد. همچنين درج ساير فرضيات و روش ها در برآورد و جمع آوري اطلاعات عملكردي هر منبع انتشار نيز در بخش توضيحات صفحه مربوط به آن منبع ضروري است.</t>
  </si>
  <si>
    <t>4. ثبت فرضيات و توضيحات لازم</t>
  </si>
  <si>
    <t>نام و نام خانوادگی تهیه کنندگان گزارش (الزامي):</t>
  </si>
  <si>
    <t>شماره تماس تهیه کنندگان گزارش(الزامي):</t>
  </si>
  <si>
    <r>
      <t>مقدار نفت خام توليدي</t>
    </r>
    <r>
      <rPr>
        <vertAlign val="superscript"/>
        <sz val="14"/>
        <color theme="1"/>
        <rFont val="B Nazanin"/>
        <charset val="178"/>
      </rPr>
      <t xml:space="preserve"> </t>
    </r>
  </si>
  <si>
    <r>
      <t>مقدار گاز توليدي</t>
    </r>
    <r>
      <rPr>
        <vertAlign val="superscript"/>
        <sz val="14"/>
        <color theme="1"/>
        <rFont val="B Nazanin"/>
        <charset val="178"/>
      </rPr>
      <t xml:space="preserve"> </t>
    </r>
  </si>
  <si>
    <r>
      <t>مقدار محصولات بارگیری شده در خشكي</t>
    </r>
    <r>
      <rPr>
        <vertAlign val="superscript"/>
        <sz val="14"/>
        <color theme="1"/>
        <rFont val="B Nazanin"/>
        <charset val="178"/>
      </rPr>
      <t xml:space="preserve"> </t>
    </r>
  </si>
  <si>
    <r>
      <t>مقدار محصولات بارگیری‌شده در دريا به غيز از بنزين و نفت‌خام</t>
    </r>
    <r>
      <rPr>
        <vertAlign val="superscript"/>
        <sz val="14"/>
        <color theme="1"/>
        <rFont val="B Nazanin"/>
        <charset val="178"/>
      </rPr>
      <t xml:space="preserve"> </t>
    </r>
  </si>
  <si>
    <r>
      <t>مقدار كل اسید نیتریک خالص توليدي (100 درصد جرمی)</t>
    </r>
    <r>
      <rPr>
        <sz val="14"/>
        <color theme="1"/>
        <rFont val="B Lotus"/>
        <charset val="178"/>
      </rPr>
      <t xml:space="preserve"> </t>
    </r>
  </si>
  <si>
    <r>
      <t>راهنما (1):</t>
    </r>
    <r>
      <rPr>
        <sz val="14"/>
        <color theme="1"/>
        <rFont val="B Nazanin"/>
        <charset val="178"/>
      </rPr>
      <t xml:space="preserve"> در بخش نام سازمان، هر سازمان با توجه به سطح خود فقط اسم خود سازمان و سطوح بالاتر خود را تکمیل كند. همچنين به منظور عدم ابهام درخوانایی اعداد، کلیه اعداد به انگلیسی نوشته شود.</t>
    </r>
  </si>
  <si>
    <r>
      <t xml:space="preserve">راهنما (2): </t>
    </r>
    <r>
      <rPr>
        <sz val="14"/>
        <color theme="1"/>
        <rFont val="B Nazanin"/>
        <charset val="178"/>
      </rPr>
      <t xml:space="preserve">مقدار نفت توليد شده از مخازن نفت و گاز توسط تاسيسات بالادستي   </t>
    </r>
    <r>
      <rPr>
        <b/>
        <sz val="14"/>
        <color theme="1"/>
        <rFont val="B Nazanin"/>
        <charset val="178"/>
      </rPr>
      <t xml:space="preserve">          </t>
    </r>
  </si>
  <si>
    <r>
      <t>راهنما (3):</t>
    </r>
    <r>
      <rPr>
        <sz val="14"/>
        <color theme="1"/>
        <rFont val="B Nazanin"/>
        <charset val="178"/>
      </rPr>
      <t xml:space="preserve"> مقدار گاز توليد شده از مخازن نفت و گاز توسط تاسيسات بالادستي</t>
    </r>
  </si>
  <si>
    <r>
      <t>راهنما (4):</t>
    </r>
    <r>
      <rPr>
        <sz val="14"/>
        <color theme="1"/>
        <rFont val="B Nazanin"/>
        <charset val="178"/>
      </rPr>
      <t xml:space="preserve"> عنوان نام محصولات به همراه مقادير آنها به تفكيك، در رديف (توضيحات محصولات بارگيري در خشكي) آورده‌شود.</t>
    </r>
  </si>
  <si>
    <r>
      <t>راهنما (5):</t>
    </r>
    <r>
      <rPr>
        <sz val="14"/>
        <color theme="1"/>
        <rFont val="B Nazanin"/>
        <charset val="178"/>
      </rPr>
      <t xml:space="preserve"> عنوان نام محصولات به همراه مقادير آنها به تفكيك، در رديف (توضيحات محصولات بارگيري در دريا) آورده‌شود.</t>
    </r>
  </si>
  <si>
    <r>
      <t>راهنما (8):</t>
    </r>
    <r>
      <rPr>
        <sz val="14"/>
        <color theme="1"/>
        <rFont val="B Nazanin"/>
        <charset val="178"/>
      </rPr>
      <t xml:space="preserve"> عنوان نام محصولات نهايي به همراه مقادير آنها به تفكيك، در رديف (توضيحات محصولات پتروشيمايي) آورده‌شود.</t>
    </r>
  </si>
  <si>
    <r>
      <t>راهنما (9):</t>
    </r>
    <r>
      <rPr>
        <sz val="14"/>
        <color theme="1"/>
        <rFont val="B Nazanin"/>
        <charset val="178"/>
      </rPr>
      <t xml:space="preserve"> مقدار كل محصول به دليل انتشارات فرآيندي، حتي در صورت عدم‌فروش و استفاده در خود سازمان توليدكننده لازم است.</t>
    </r>
  </si>
  <si>
    <r>
      <t>راهنما (10):</t>
    </r>
    <r>
      <rPr>
        <sz val="14"/>
        <color theme="1"/>
        <rFont val="B Nazanin"/>
        <charset val="178"/>
      </rPr>
      <t xml:space="preserve"> نفت و گاز انتقال یافته با خطوط لوله شامل خطوط جریانی نمی‌شود. </t>
    </r>
  </si>
  <si>
    <r>
      <t>راهنما (6):</t>
    </r>
    <r>
      <rPr>
        <sz val="14"/>
        <color theme="1"/>
        <rFont val="B Nazanin"/>
        <charset val="178"/>
      </rPr>
      <t xml:space="preserve"> مقدار نفت خام و ميعانات ورودي به فرآيند پالايش نفت و ميعانات</t>
    </r>
  </si>
  <si>
    <r>
      <t>راهنما (7):</t>
    </r>
    <r>
      <rPr>
        <sz val="14"/>
        <color theme="1"/>
        <rFont val="B Nazanin"/>
        <charset val="178"/>
      </rPr>
      <t xml:space="preserve"> مقدار گاز خام وروردي به فرآيند پالايش گاز</t>
    </r>
  </si>
  <si>
    <r>
      <t xml:space="preserve">متوسط ارزش حرارتي خالص سوخت </t>
    </r>
    <r>
      <rPr>
        <sz val="12"/>
        <color theme="1"/>
        <rFont val="Times New Roman"/>
        <family val="1"/>
        <scheme val="major"/>
      </rPr>
      <t>(LHV): GJ/Sm</t>
    </r>
    <r>
      <rPr>
        <vertAlign val="superscript"/>
        <sz val="12"/>
        <color theme="1"/>
        <rFont val="Times New Roman"/>
        <family val="1"/>
        <scheme val="major"/>
      </rPr>
      <t>3</t>
    </r>
    <r>
      <rPr>
        <sz val="12"/>
        <color theme="1"/>
        <rFont val="Times New Roman"/>
        <family val="1"/>
        <scheme val="major"/>
      </rPr>
      <t xml:space="preserve"> </t>
    </r>
  </si>
  <si>
    <r>
      <t>متوسط ارزش حرارتي ناخالص سوخت (</t>
    </r>
    <r>
      <rPr>
        <sz val="12"/>
        <color theme="1"/>
        <rFont val="Times New Roman"/>
        <family val="1"/>
        <scheme val="major"/>
      </rPr>
      <t>HHV</t>
    </r>
    <r>
      <rPr>
        <sz val="12"/>
        <color theme="1"/>
        <rFont val="B Nazanin"/>
        <charset val="178"/>
      </rPr>
      <t xml:space="preserve">) : </t>
    </r>
    <r>
      <rPr>
        <sz val="12"/>
        <color theme="1"/>
        <rFont val="Times New Roman"/>
        <family val="1"/>
        <scheme val="major"/>
      </rPr>
      <t>GJ/Sm</t>
    </r>
    <r>
      <rPr>
        <vertAlign val="superscript"/>
        <sz val="12"/>
        <color theme="1"/>
        <rFont val="Times New Roman"/>
        <family val="1"/>
        <scheme val="major"/>
      </rPr>
      <t>3</t>
    </r>
    <r>
      <rPr>
        <sz val="12"/>
        <color theme="1"/>
        <rFont val="Times New Roman"/>
        <family val="1"/>
        <scheme val="major"/>
      </rPr>
      <t xml:space="preserve"> </t>
    </r>
  </si>
  <si>
    <r>
      <t>متوسط چگالي سوخت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Times New Roman"/>
        <family val="1"/>
        <scheme val="major"/>
      </rPr>
      <t>kg/sm</t>
    </r>
    <r>
      <rPr>
        <vertAlign val="superscript"/>
        <sz val="12"/>
        <color theme="1"/>
        <rFont val="Times New Roman"/>
        <family val="1"/>
        <scheme val="major"/>
      </rPr>
      <t>3</t>
    </r>
  </si>
  <si>
    <r>
      <t xml:space="preserve">ارزش حرارتي خالص هر نمونه </t>
    </r>
    <r>
      <rPr>
        <sz val="12"/>
        <color theme="1"/>
        <rFont val="Times New Roman"/>
        <family val="1"/>
        <scheme val="major"/>
      </rPr>
      <t>(LHV)</t>
    </r>
    <r>
      <rPr>
        <sz val="12"/>
        <color theme="1"/>
        <rFont val="B Nazanin"/>
        <charset val="178"/>
      </rPr>
      <t xml:space="preserve"> </t>
    </r>
    <r>
      <rPr>
        <sz val="12"/>
        <color theme="1"/>
        <rFont val="Times New Roman"/>
        <family val="1"/>
        <scheme val="major"/>
      </rPr>
      <t>GJ/Sm</t>
    </r>
    <r>
      <rPr>
        <vertAlign val="superscript"/>
        <sz val="12"/>
        <color theme="1"/>
        <rFont val="Times New Roman"/>
        <family val="1"/>
        <scheme val="major"/>
      </rPr>
      <t>3:</t>
    </r>
  </si>
  <si>
    <r>
      <t>ارزش حرارتي ناخالص هر نمونه (</t>
    </r>
    <r>
      <rPr>
        <sz val="12"/>
        <color theme="1"/>
        <rFont val="Times New Roman"/>
        <family val="1"/>
        <scheme val="major"/>
      </rPr>
      <t>HHV</t>
    </r>
    <r>
      <rPr>
        <sz val="12"/>
        <color theme="1"/>
        <rFont val="B Nazanin"/>
        <charset val="178"/>
      </rPr>
      <t xml:space="preserve">): </t>
    </r>
    <r>
      <rPr>
        <sz val="12"/>
        <color theme="1"/>
        <rFont val="Times New Roman"/>
        <family val="1"/>
        <scheme val="major"/>
      </rPr>
      <t>GJ/Sm</t>
    </r>
    <r>
      <rPr>
        <vertAlign val="superscript"/>
        <sz val="12"/>
        <color theme="1"/>
        <rFont val="Times New Roman"/>
        <family val="1"/>
        <scheme val="major"/>
      </rPr>
      <t>3</t>
    </r>
    <r>
      <rPr>
        <sz val="12"/>
        <color theme="1"/>
        <rFont val="Times New Roman"/>
        <family val="1"/>
        <scheme val="major"/>
      </rPr>
      <t xml:space="preserve"> </t>
    </r>
  </si>
  <si>
    <r>
      <t>چگالي  هر نمونه سوخت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Times New Roman"/>
        <family val="1"/>
        <scheme val="major"/>
      </rPr>
      <t>kg/sm</t>
    </r>
    <r>
      <rPr>
        <vertAlign val="superscript"/>
        <sz val="12"/>
        <color theme="1"/>
        <rFont val="Times New Roman"/>
        <family val="1"/>
        <scheme val="major"/>
      </rPr>
      <t>3</t>
    </r>
  </si>
  <si>
    <r>
      <t xml:space="preserve">ارزش حرارتی ناخالص </t>
    </r>
    <r>
      <rPr>
        <b/>
        <sz val="12"/>
        <color theme="0"/>
        <rFont val="Times New Roman"/>
        <family val="1"/>
        <scheme val="major"/>
      </rPr>
      <t>HHV</t>
    </r>
  </si>
  <si>
    <r>
      <t xml:space="preserve">ارزش حرارتی خالص </t>
    </r>
    <r>
      <rPr>
        <b/>
        <sz val="12"/>
        <color theme="0"/>
        <rFont val="Times New Roman"/>
        <family val="1"/>
        <scheme val="major"/>
      </rPr>
      <t>LHV</t>
    </r>
  </si>
  <si>
    <r>
      <t xml:space="preserve">ضریب تبدیل یک مول سوخت به </t>
    </r>
    <r>
      <rPr>
        <b/>
        <sz val="12"/>
        <color theme="0"/>
        <rFont val="Times New Roman"/>
        <family val="1"/>
        <scheme val="major"/>
      </rPr>
      <t>CO2</t>
    </r>
  </si>
  <si>
    <r>
      <t>Kg/m</t>
    </r>
    <r>
      <rPr>
        <b/>
        <vertAlign val="superscript"/>
        <sz val="12"/>
        <color theme="0"/>
        <rFont val="Times New Roman"/>
        <family val="1"/>
        <scheme val="major"/>
      </rPr>
      <t>3</t>
    </r>
  </si>
  <si>
    <r>
      <t>molCO</t>
    </r>
    <r>
      <rPr>
        <b/>
        <vertAlign val="subscript"/>
        <sz val="12"/>
        <color theme="0"/>
        <rFont val="Times New Roman"/>
        <family val="1"/>
        <scheme val="major"/>
      </rPr>
      <t xml:space="preserve">2 </t>
    </r>
    <r>
      <rPr>
        <b/>
        <sz val="12"/>
        <color theme="0"/>
        <rFont val="Times New Roman"/>
        <family val="1"/>
        <scheme val="major"/>
      </rPr>
      <t>/ mol fuel</t>
    </r>
  </si>
  <si>
    <r>
      <t xml:space="preserve">متوسط ارزش حرارتي خالص سوخت </t>
    </r>
    <r>
      <rPr>
        <sz val="12"/>
        <color theme="1"/>
        <rFont val="Times New Roman"/>
        <family val="1"/>
        <scheme val="major"/>
      </rPr>
      <t xml:space="preserve">(LHV) : GJ/kg  </t>
    </r>
  </si>
  <si>
    <r>
      <t>متوسط ارزش حرارتي ناخالص سوخت (</t>
    </r>
    <r>
      <rPr>
        <sz val="12"/>
        <color theme="1"/>
        <rFont val="Times New Roman"/>
        <family val="1"/>
        <scheme val="major"/>
      </rPr>
      <t>HHV</t>
    </r>
    <r>
      <rPr>
        <sz val="12"/>
        <color theme="1"/>
        <rFont val="B Nazanin"/>
        <charset val="178"/>
      </rPr>
      <t xml:space="preserve">) : </t>
    </r>
    <r>
      <rPr>
        <sz val="12"/>
        <color theme="1"/>
        <rFont val="Times New Roman"/>
        <family val="1"/>
        <scheme val="major"/>
      </rPr>
      <t xml:space="preserve">GJ/kg </t>
    </r>
  </si>
  <si>
    <r>
      <t>متوسط چگالي گاز ارسالي به فلر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Times New Roman"/>
        <family val="1"/>
        <scheme val="major"/>
      </rPr>
      <t>kg/sm</t>
    </r>
    <r>
      <rPr>
        <vertAlign val="superscript"/>
        <sz val="12"/>
        <color theme="1"/>
        <rFont val="Times New Roman"/>
        <family val="1"/>
        <scheme val="major"/>
      </rPr>
      <t>3</t>
    </r>
  </si>
  <si>
    <r>
      <t>متوسط درصد جرمي هيدروكربن‌هاي گاز ارسالي به فلر Y</t>
    </r>
    <r>
      <rPr>
        <vertAlign val="subscript"/>
        <sz val="12"/>
        <color theme="1"/>
        <rFont val="B Nazanin"/>
        <charset val="178"/>
      </rPr>
      <t>HC</t>
    </r>
  </si>
  <si>
    <r>
      <t>متوسط</t>
    </r>
    <r>
      <rPr>
        <b/>
        <sz val="12"/>
        <color theme="1"/>
        <rFont val="B Nazanin"/>
        <charset val="178"/>
      </rPr>
      <t xml:space="preserve"> </t>
    </r>
    <r>
      <rPr>
        <sz val="12"/>
        <color theme="1"/>
        <rFont val="B Nazanin"/>
        <charset val="178"/>
      </rPr>
      <t>كسر مولي گوگرد گاز ارسالي به فلر</t>
    </r>
  </si>
  <si>
    <r>
      <t xml:space="preserve">ارزش حرارتي خالص هر نمونه </t>
    </r>
    <r>
      <rPr>
        <sz val="12"/>
        <color theme="1"/>
        <rFont val="Times New Roman"/>
        <family val="1"/>
        <scheme val="major"/>
      </rPr>
      <t>(LHV)</t>
    </r>
    <r>
      <rPr>
        <sz val="12"/>
        <color theme="1"/>
        <rFont val="B Nazanin"/>
        <charset val="178"/>
      </rPr>
      <t xml:space="preserve"> </t>
    </r>
    <r>
      <rPr>
        <sz val="12"/>
        <color theme="1"/>
        <rFont val="Times New Roman"/>
        <family val="1"/>
        <scheme val="major"/>
      </rPr>
      <t>GJ/kg</t>
    </r>
    <r>
      <rPr>
        <vertAlign val="superscript"/>
        <sz val="12"/>
        <color theme="1"/>
        <rFont val="Times New Roman"/>
        <family val="1"/>
        <scheme val="major"/>
      </rPr>
      <t>:</t>
    </r>
  </si>
  <si>
    <r>
      <t>ارزش حرارتي ناخالص هر نمونه (</t>
    </r>
    <r>
      <rPr>
        <sz val="12"/>
        <color theme="1"/>
        <rFont val="Times New Roman"/>
        <family val="1"/>
        <scheme val="major"/>
      </rPr>
      <t>HHV</t>
    </r>
    <r>
      <rPr>
        <sz val="12"/>
        <color theme="1"/>
        <rFont val="B Nazanin"/>
        <charset val="178"/>
      </rPr>
      <t xml:space="preserve">): </t>
    </r>
    <r>
      <rPr>
        <sz val="12"/>
        <color theme="1"/>
        <rFont val="Times New Roman"/>
        <family val="1"/>
        <scheme val="major"/>
      </rPr>
      <t xml:space="preserve">GJ/kg </t>
    </r>
  </si>
  <si>
    <r>
      <t>چگالي گاز ارسالي به فلر در شرايط استاندارد (</t>
    </r>
    <r>
      <rPr>
        <sz val="12"/>
        <color theme="1"/>
        <rFont val="Times New Roman"/>
        <family val="1"/>
      </rPr>
      <t>ρ</t>
    </r>
    <r>
      <rPr>
        <vertAlign val="subscript"/>
        <sz val="12"/>
        <color theme="1"/>
        <rFont val="B Nazanin"/>
        <charset val="178"/>
      </rPr>
      <t>mix</t>
    </r>
    <r>
      <rPr>
        <sz val="12"/>
        <color theme="1"/>
        <rFont val="B Nazanin"/>
        <charset val="178"/>
      </rPr>
      <t xml:space="preserve">) </t>
    </r>
    <r>
      <rPr>
        <sz val="12"/>
        <color theme="1"/>
        <rFont val="Times New Roman"/>
        <family val="1"/>
        <scheme val="major"/>
      </rPr>
      <t>kg/sm</t>
    </r>
    <r>
      <rPr>
        <vertAlign val="superscript"/>
        <sz val="12"/>
        <color theme="1"/>
        <rFont val="Times New Roman"/>
        <family val="1"/>
        <scheme val="major"/>
      </rPr>
      <t>3</t>
    </r>
  </si>
  <si>
    <r>
      <t>درصد جرمي هيدروكربن‌هاي گاز ارسالي به فلر Y</t>
    </r>
    <r>
      <rPr>
        <vertAlign val="subscript"/>
        <sz val="12"/>
        <color theme="1"/>
        <rFont val="B Nazanin"/>
        <charset val="178"/>
      </rPr>
      <t>HC</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</si>
  <si>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جدول در ستون اول و در بخش "ترکیبات سوخت" تركيبات موجود در سوخت را انتخاب كنيد.</t>
    </r>
  </si>
  <si>
    <r>
      <rPr>
        <b/>
        <sz val="12"/>
        <color theme="9" tint="-0.499984740745262"/>
        <rFont val="B Nazanin"/>
        <charset val="178"/>
      </rPr>
      <t>گام دوم:</t>
    </r>
    <r>
      <rPr>
        <sz val="12"/>
        <color theme="9" tint="-0.499984740745262"/>
        <rFont val="B Nazanin"/>
        <charset val="178"/>
      </rPr>
      <t xml:space="preserve"> </t>
    </r>
    <r>
      <rPr>
        <sz val="12"/>
        <color theme="1"/>
        <rFont val="B Nazanin"/>
        <charset val="178"/>
      </rPr>
      <t>براي هر چهار ستون نشان داده شده در بخش "انتخاب درصد مولی یا وزنی"، نوع تركيب درصد را از بين دو گزينه wt% (جرمي)  و mol% (مولي) انتخاب كنيد. اگر انتخابي از طرف كاربر انجام نگيرد، تركيب درصد وارد شده بصورت  wt% "جرمي" در نظر گرفته خواهد شد.</t>
    </r>
  </si>
  <si>
    <r>
      <rPr>
        <b/>
        <sz val="12"/>
        <color theme="9" tint="-0.499984740745262"/>
        <rFont val="B Nazanin"/>
        <charset val="178"/>
      </rPr>
      <t>گام چهارم:</t>
    </r>
    <r>
      <rPr>
        <sz val="12"/>
        <color theme="9" tint="-0.499984740745262"/>
        <rFont val="B Nazanin"/>
        <charset val="178"/>
      </rPr>
      <t xml:space="preserve"> </t>
    </r>
    <r>
      <rPr>
        <sz val="12"/>
        <color theme="1"/>
        <rFont val="B Nazanin"/>
        <charset val="178"/>
      </rPr>
      <t>رديف آخر ستون‌هاي دوم تا پنجم هر جدول با عنوان "مجموع" را چك كنيد تا مطمئن شويد كه مجموع تركيب درصد ها برابر با 100 باشد. درصورتي كه مجوع تركيب درصدها برابر صد نباشد در رديف " اخطار لازم" جمله‌اي به شرح "مجموع درصدها برابر با 100 نيست. لطفا اصلاح شود." نمايش داده مي‌شود.</t>
    </r>
  </si>
  <si>
    <r>
      <rPr>
        <b/>
        <sz val="12"/>
        <color theme="9" tint="-0.499984740745262"/>
        <rFont val="B Nazanin"/>
        <charset val="178"/>
      </rPr>
      <t>گام اول:</t>
    </r>
    <r>
      <rPr>
        <sz val="12"/>
        <color theme="1"/>
        <rFont val="B Nazanin"/>
        <charset val="178"/>
      </rPr>
      <t xml:space="preserve"> اطلاعات خواسته شده در هر ستون براي هر نوع سوخت مايع مصرفي در سازمان در رديف مشخص شده، وارد شود. ( نكته 1)</t>
    </r>
  </si>
  <si>
    <r>
      <rPr>
        <b/>
        <sz val="12"/>
        <color theme="9" tint="-0.499984740745262"/>
        <rFont val="B Nazanin"/>
        <charset val="178"/>
      </rPr>
      <t>نكته 1:</t>
    </r>
    <r>
      <rPr>
        <sz val="12"/>
        <color theme="1"/>
        <rFont val="B Nazanin"/>
        <charset val="178"/>
      </rPr>
      <t xml:space="preserve"> وارد كردن ارزش حرارتي الزامي و ساير مشخصات اختياري است. </t>
    </r>
  </si>
  <si>
    <r>
      <rPr>
        <b/>
        <sz val="12"/>
        <color theme="9" tint="-0.499984740745262"/>
        <rFont val="B Nazanin"/>
        <charset val="178"/>
      </rPr>
      <t>گام اول:</t>
    </r>
    <r>
      <rPr>
        <sz val="12"/>
        <color theme="9" tint="-0.499984740745262"/>
        <rFont val="B Nazanin"/>
        <charset val="178"/>
      </rPr>
      <t xml:space="preserve"> </t>
    </r>
    <r>
      <rPr>
        <sz val="12"/>
        <color theme="1"/>
        <rFont val="B Nazanin"/>
        <charset val="178"/>
      </rPr>
      <t xml:space="preserve"> در هر جدول در ستون اول و در بخش "ترکیبات گاز ارسالي" تركيبات موجود در گاز ارسالي به فلر را انتخاب كنيد.</t>
    </r>
  </si>
  <si>
    <r>
      <rPr>
        <b/>
        <sz val="12"/>
        <color theme="9" tint="-0.499984740745262"/>
        <rFont val="B Nazanin"/>
        <charset val="178"/>
      </rPr>
      <t>گام دوم:</t>
    </r>
    <r>
      <rPr>
        <sz val="12"/>
        <color theme="1"/>
        <rFont val="B Nazanin"/>
        <charset val="178"/>
      </rPr>
      <t xml:space="preserve"> براي هر چهار ستون نشان داده شده در بخش "انتخاب درصد مولی یا وزنی"، نوع تركيب درصد را از بين دو گزينه wt% (جرمي)  و mol% (مولي) انتخاب كنيد. اگر انتخابي از طرف كاربر انجام نگيرد، تركيب درصد وارد شده بصورت  wt% "جرمي" در نظر گرفته خواهد شد.</t>
    </r>
  </si>
  <si>
    <r>
      <rPr>
        <b/>
        <sz val="12"/>
        <color theme="9" tint="-0.499984740745262"/>
        <rFont val="B Nazanin"/>
        <charset val="178"/>
      </rPr>
      <t>نكته 2</t>
    </r>
    <r>
      <rPr>
        <b/>
        <sz val="12"/>
        <color theme="1"/>
        <rFont val="B Nazanin"/>
        <charset val="178"/>
      </rPr>
      <t>:</t>
    </r>
    <r>
      <rPr>
        <sz val="12"/>
        <color theme="1"/>
        <rFont val="B Nazanin"/>
        <charset val="178"/>
      </rPr>
      <t xml:space="preserve"> اگرچه وارد كردن يك نمونه تركيب درصد براي هر گاز ارسالي به فلر  كافيست، ولي براي دقيق تر شدن نتايج بهتر است هر چهار نمونه وارد شوند. سعي شود تركيب درصدهاي ورودي در نمونه هاي 1 تا 4، با فاصله زماني تقريبا مساوي كل سال را پوشش دهند (مثلا يك نمونه براي هر فصل). </t>
    </r>
  </si>
  <si>
    <r>
      <rPr>
        <b/>
        <sz val="12"/>
        <color theme="9" tint="-0.499984740745262"/>
        <rFont val="B Nazanin"/>
        <charset val="178"/>
      </rPr>
      <t>گام سوم:</t>
    </r>
    <r>
      <rPr>
        <sz val="12"/>
        <color theme="1"/>
        <rFont val="B Nazanin"/>
        <charset val="178"/>
      </rPr>
      <t xml:space="preserve"> سپس در ستون هاي دوم تا پنجم هر جدول و در بخش طوسي رنگ نشان داده شده، درصد مولي يا وزني هر يك از تركيبات ستون اول را براي نمونه هاي 1 تا 4 وارد كنيد (نكته 1 و 2). </t>
    </r>
  </si>
  <si>
    <t>جهت وارد كردن تركيب درصد گازهاي ارسالي به فلر، ده جدول جداگانه براي فلر 1 الي فلر 10 در نظر گرفته شده است. در هريك از اين جداول، بايد تركيب درصد همان گاز ارسالي به فلر كه در بالاي جدول نوشته شده است وارد شود چراكه در هر قسمت از اين فايل اكسل در صورت انتخاب يك نوع گاز فلر، تركيب درصد آن به جدول مربوط به همان گاز در اين صفحه ارجاع داده مي‌شود. تكميل هر يك از اين جداول طبق گام‌هاي زير انجام شوند:</t>
  </si>
  <si>
    <r>
      <rPr>
        <b/>
        <sz val="12"/>
        <color theme="9" tint="-0.499984740745262"/>
        <rFont val="B Nazanin"/>
        <charset val="178"/>
      </rPr>
      <t>گام سوم:</t>
    </r>
    <r>
      <rPr>
        <sz val="12"/>
        <color theme="9" tint="-0.499984740745262"/>
        <rFont val="B Nazanin"/>
        <charset val="178"/>
      </rPr>
      <t xml:space="preserve"> </t>
    </r>
    <r>
      <rPr>
        <sz val="12"/>
        <color theme="1"/>
        <rFont val="B Nazanin"/>
        <charset val="178"/>
      </rPr>
      <t xml:space="preserve">سپس در ستون هاي دوم تا پنجم هر جدول و در بخش طوسي رنگ نشان داده شده، درصد مولي يا وزني هر يك از تركيبات ستون اول را براي نمونه هاي 1 تا 4 وارد كنيد (نكته 1 و 2). </t>
    </r>
  </si>
  <si>
    <r>
      <rPr>
        <b/>
        <sz val="12"/>
        <color theme="9" tint="-0.499984740745262"/>
        <rFont val="B Nazanin"/>
        <charset val="178"/>
      </rPr>
      <t>نكته 1:</t>
    </r>
    <r>
      <rPr>
        <sz val="12"/>
        <color theme="1"/>
        <rFont val="B Nazanin"/>
        <charset val="178"/>
      </rPr>
      <t xml:space="preserve"> براي هريك از گازهاي ارسالي به فلر مي توانيد تا حداكثر 4 نمونه تركيب درصد وارد كنيد. الزامي است كه پر كردن تركيب درصد نمونه ها به ترتيب از نمونه 1 الي 4 باشد. يعني مثلا نبايد تركيب درصد ستون نمونه 2 پر باشد در حالي كه تركيب درصد نمونه 1 خالي است.</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</si>
  <si>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براي هريك از سوخت‌هاي گازي مي توانيد تا حداكثر 4 نمونه تركيب درصد وارد كنيد. الزامي است كه پر كردن تركيب درصد نمونه ها به ترتيب از نمونه 1 الي 4 باشد. يعني مثلا نبايد تركيب درصد ستون نمونه 2 پر باشد در حالي كه تركيب درصد نمونه 1 خالي است.</t>
    </r>
  </si>
  <si>
    <t>كسر گوگرد</t>
  </si>
  <si>
    <t xml:space="preserve"> بخش محاسبه عدم قطعيت انتشارات احتراقي</t>
  </si>
  <si>
    <r>
      <t xml:space="preserve">انتشار </t>
    </r>
    <r>
      <rPr>
        <sz val="16"/>
        <color theme="1"/>
        <rFont val="Times New Roman"/>
        <family val="1"/>
        <scheme val="major"/>
      </rPr>
      <t>SO</t>
    </r>
    <r>
      <rPr>
        <vertAlign val="subscript"/>
        <sz val="16"/>
        <color theme="1"/>
        <rFont val="Times New Roman"/>
        <family val="1"/>
        <scheme val="major"/>
      </rPr>
      <t>2</t>
    </r>
    <r>
      <rPr>
        <sz val="16"/>
        <color theme="1"/>
        <rFont val="B Nazanin"/>
        <charset val="178"/>
      </rPr>
      <t xml:space="preserve"> و محاسبه عدم قطعيت آن از روش (ج) برآورد مي‌شود</t>
    </r>
  </si>
  <si>
    <t>عدم قطعيت نسبي مقدار انتشارات آلاينده‌هاي هوا از منابع احتراقی</t>
  </si>
  <si>
    <t>±</t>
  </si>
  <si>
    <t>%( )±</t>
  </si>
  <si>
    <r>
      <t>عدم قطعيت نسبي ضرايب انتشار</t>
    </r>
    <r>
      <rPr>
        <b/>
        <sz val="14"/>
        <color theme="0"/>
        <rFont val="B Nazanin"/>
        <charset val="178"/>
      </rPr>
      <t xml:space="preserve">  %()±</t>
    </r>
  </si>
  <si>
    <t>عدم قطعيت نسبي پارامترهای مورد استفاده در محاسبه عدم قطعيت نسبي مقدار انتشارات آلاينده‌هاي هوا از منابع احتراقی</t>
  </si>
  <si>
    <t>عدم قطعيت نسبي مقدار سوخت مصرفي   %()±</t>
  </si>
  <si>
    <t>عدم قطعيت نسبي مقدارسوخت مصرفی در اين دوره اندازه‌گیری    %()±</t>
  </si>
  <si>
    <t>عدم قطعيت نسبي غلظت گوگرد (S) در سوخت مصرفی در زمان پايش اين دوره اندازه‌گيري %()±</t>
  </si>
  <si>
    <t>مقدارانتشار اين آلاينده ها و محاسبه عدم قطعيت آنها از روش (الف) و يا (ب) برآورد مي‌شود</t>
  </si>
  <si>
    <t>مقدارانتشار اين آلاينده و محاسبه عدم قطعيت آن از روش (الف) و يا (ب) برآورد مي‌شود</t>
  </si>
  <si>
    <t>در اين روش ضرايب كاربردي ندارد</t>
  </si>
  <si>
    <t>مقدار عدم قطعيت نسبي كل انتشارات    Nox     از منابع احتراقي</t>
  </si>
  <si>
    <t>مقدار عدم قطعيت نسبي كل انتشارات    CO    از منابع احتراقي</t>
  </si>
  <si>
    <t>مقدار عدم قطعيت نسبي كل انتشارات    PM    از منابع احتراقي</t>
  </si>
  <si>
    <r>
      <t xml:space="preserve">مقدار عدم قطعيت نسبي كل انتشارات    </t>
    </r>
    <r>
      <rPr>
        <b/>
        <sz val="12"/>
        <color theme="0"/>
        <rFont val="Times New Roman"/>
        <family val="1"/>
        <scheme val="major"/>
      </rPr>
      <t>SO</t>
    </r>
    <r>
      <rPr>
        <b/>
        <vertAlign val="subscript"/>
        <sz val="12"/>
        <color theme="0"/>
        <rFont val="Times New Roman"/>
        <family val="1"/>
        <scheme val="major"/>
      </rPr>
      <t>2</t>
    </r>
    <r>
      <rPr>
        <b/>
        <sz val="12"/>
        <color theme="0"/>
        <rFont val="B Titr"/>
        <charset val="178"/>
      </rPr>
      <t xml:space="preserve">    از منابع احتراقي</t>
    </r>
  </si>
  <si>
    <t>مقدار عدم قطعيت نسبي كل انتشارات    VOC    از منابع احتراقي</t>
  </si>
  <si>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مقدار عدم قطعيت هر رديف و همچنين عدم قطعيت كل در بالاي صفحه نمايش داده خواهد شد. مشخص است كه در صورت كامل نبودن اطلاعات هر رديف در «بخش عدم قطعيت»، مقدار عدم قطعيت كل محاسبه شده در بالاي صفحه صحيح نخواهد بود.</t>
    </r>
  </si>
  <si>
    <t>راهنماي كلي بخش محاسبه عدم قطعيت انتشارات احتراقي</t>
  </si>
  <si>
    <t>عدم قطعيت نسبي مقدار كسر مولي گوگرد در گاز ارسالي به فلر   %()±</t>
  </si>
  <si>
    <t>عدم قطعيت نسبي مقدار كسر مولي VOCs در گاز ارسالي به فلر   %()±</t>
  </si>
  <si>
    <t>عدم قطعيت نسبي مقدار جرم مولی  VOCs  در گاز ارسالي به فلر   %()±</t>
  </si>
  <si>
    <t>عدم قطعيت نسبي پارامترهای مورد استفاده در محاسبه عدم قطعيت نسبي مقدار انتشارات آلاينده‌هاي هوا از منابع فلر</t>
  </si>
  <si>
    <t>عدم قطعيت نسبي مقدار انتشارات آلاينده‌هاي هوا از منابع فلر</t>
  </si>
  <si>
    <r>
      <t>SO</t>
    </r>
    <r>
      <rPr>
        <b/>
        <vertAlign val="subscript"/>
        <sz val="12"/>
        <color theme="0"/>
        <rFont val="Times New Roman"/>
        <family val="1"/>
      </rPr>
      <t>2</t>
    </r>
    <r>
      <rPr>
        <b/>
        <sz val="12"/>
        <color theme="0"/>
        <rFont val="Times New Roman"/>
        <family val="1"/>
      </rPr>
      <t xml:space="preserve"> </t>
    </r>
    <r>
      <rPr>
        <b/>
        <sz val="12"/>
        <color theme="0"/>
        <rFont val="B Nazanin"/>
        <charset val="178"/>
      </rPr>
      <t xml:space="preserve"> و </t>
    </r>
    <r>
      <rPr>
        <b/>
        <sz val="12"/>
        <color theme="0"/>
        <rFont val="Times New Roman"/>
        <family val="1"/>
      </rPr>
      <t xml:space="preserve"> VOC</t>
    </r>
  </si>
  <si>
    <t>عدم قطعيت نسبي چگالي گاز ارسالي به فلر در شرايط استاندارد  %()±</t>
  </si>
  <si>
    <t>انتشار و محاسبه عدم قطعيت SO2 و  VOC  از روش (الف) برآورد مي‌شود</t>
  </si>
  <si>
    <t>انتشار و محاسبه عدم قطعيت اين آلاينده ها از روش (ب) برآورد مي‌شود</t>
  </si>
  <si>
    <t>U(abs)*X</t>
  </si>
  <si>
    <t>(U(abs)*X)^2</t>
  </si>
  <si>
    <t>مقدار عدم قطعيت نسبي كل انتشارات    Nox     از منابع فلر</t>
  </si>
  <si>
    <t>مقدار عدم قطعيت نسبي كل انتشارات    CO    از منابع فلر</t>
  </si>
  <si>
    <t>مقدار عدم قطعيت نسبي كل انتشارات    PM    از منابع فلر</t>
  </si>
  <si>
    <r>
      <t xml:space="preserve">مقدار عدم قطعيت نسبي كل انتشارات    </t>
    </r>
    <r>
      <rPr>
        <b/>
        <sz val="12"/>
        <color theme="0"/>
        <rFont val="Times New Roman"/>
        <family val="1"/>
        <scheme val="major"/>
      </rPr>
      <t>SO</t>
    </r>
    <r>
      <rPr>
        <b/>
        <vertAlign val="subscript"/>
        <sz val="12"/>
        <color theme="0"/>
        <rFont val="Times New Roman"/>
        <family val="1"/>
        <scheme val="major"/>
      </rPr>
      <t>2</t>
    </r>
    <r>
      <rPr>
        <b/>
        <sz val="12"/>
        <color theme="0"/>
        <rFont val="B Titr"/>
        <charset val="178"/>
      </rPr>
      <t xml:space="preserve">    از منابع فلر</t>
    </r>
  </si>
  <si>
    <t>مقدار عدم قطعيت نسبي كل انتشارات    VOC    از منابع فلر</t>
  </si>
  <si>
    <t>راهنماي كلي بخش محاسبه عدم قطعيت انتشارات فلر</t>
  </si>
  <si>
    <t xml:space="preserve"> بخش محاسبه عدم قطعيت انتشارات فلر</t>
  </si>
  <si>
    <t>عدم قطعيت نسبي مقدارتناژ سالانه تولید گوگرد در واحد SRU   %()±</t>
  </si>
  <si>
    <t xml:space="preserve">مقدار عدم قطعيت نسبي كل انتشارات    Nox     از منابع پسماندسوز و اکسیدایزر </t>
  </si>
  <si>
    <t>انتشار اين آلاينده‌ها و عدم قطعيت آنها به روش (ب) برآورد نمي‌شود.</t>
  </si>
  <si>
    <t>عدم قطعيت نسبي مقدار انتشارات آلاينده‌هاي هوا از منابع پسماندسوز</t>
  </si>
  <si>
    <t>عدم قطعيت نسبي پارامترهای مورد استفاده در محاسبه عدم قطعيت نسبي مقدار انتشارات آلاينده‌هاي هوا از منابع پسماندسوز</t>
  </si>
  <si>
    <t>عدم قطعيت نسبي مقدارجرم هیدروکربن در سیال ورودی به چاله سوخت    %()±</t>
  </si>
  <si>
    <t>عدم قطعيت نسبي پارامترهای مورد استفاده در محاسبه عدم قطعيت نسبي مقدار انتشارات آلاينده‌هاي هوا از منابع چاله‌های سوخت</t>
  </si>
  <si>
    <t>عدم قطعيت نسبي مقدار انتشارات آلاينده‌هاي هوا از منابع چاله‌های سوخت</t>
  </si>
  <si>
    <t>انتشار اين آلاينده‌ و عدم قطعيت آن به روش (الف) برآورد نمي‌شود.</t>
  </si>
  <si>
    <t>عدم قطعيت نسبي ضرايب انتشار  %()±</t>
  </si>
  <si>
    <t>عدم قطعيت نسبي غلظت گوگرد (S) در سیال ورودی به چاله سوخت در اين دوره اندازه‌گيري    %()±</t>
  </si>
  <si>
    <t>عدم قطعيت نسبي مقدارجرم هیدروکربن در سیال ورودی به چاله سوخت در اين دوره اندازه‌گیری    %()±</t>
  </si>
  <si>
    <t xml:space="preserve">مقدار عدم قطعيت نسبي كل انتشارات    CO    از منابع  پسماندسوز و اکسیدایزر </t>
  </si>
  <si>
    <t xml:space="preserve">مقدار عدم قطعيت نسبي كل انتشارات    PM    از منابع  پسماندسوز و اکسیدایزر </t>
  </si>
  <si>
    <r>
      <t xml:space="preserve">مقدار عدم قطعيت نسبي كل انتشارات    </t>
    </r>
    <r>
      <rPr>
        <b/>
        <sz val="12"/>
        <color theme="0"/>
        <rFont val="Times New Roman"/>
        <family val="1"/>
        <scheme val="major"/>
      </rPr>
      <t>SO</t>
    </r>
    <r>
      <rPr>
        <b/>
        <vertAlign val="subscript"/>
        <sz val="12"/>
        <color theme="0"/>
        <rFont val="Times New Roman"/>
        <family val="1"/>
        <scheme val="major"/>
      </rPr>
      <t>2</t>
    </r>
    <r>
      <rPr>
        <b/>
        <sz val="12"/>
        <color theme="0"/>
        <rFont val="B Titr"/>
        <charset val="178"/>
      </rPr>
      <t xml:space="preserve">    از منابع  پسماندسوز و اکسیدایزر </t>
    </r>
  </si>
  <si>
    <t xml:space="preserve">مقدار عدم قطعيت نسبي كل انتشارات    VOC    از منابع  پسماندسوز و اکسیدایزر </t>
  </si>
  <si>
    <t xml:space="preserve"> ± و چاله سوخت</t>
  </si>
  <si>
    <t xml:space="preserve"> بخش محاسبه عدم قطعيت انتشارات پسماندسوز و اکسیدایزر و چاله سوخت
</t>
  </si>
  <si>
    <t>راهنماي كلي بخش محاسبه عدم قطعيت انتشارات پسماندسوز و اکسیدایزر و چاله سوخت</t>
  </si>
  <si>
    <t>عدم قطعيت نسبي مقدار دبی گاز ورودي به واحد نم‌زدایی  %()±</t>
  </si>
  <si>
    <t xml:space="preserve"> بخش محاسبه عدم قطعيت انتشارات ونت فرآيندي</t>
  </si>
  <si>
    <t>عدم قطعيت نسبي مقدار غلظت جرمی VOC در جریان گاز ورودی (مرطوب)    %()±</t>
  </si>
  <si>
    <t>عدم قطعيت نسبي مقدار غلظت جرمی VOC در جریان گاز خروجي (خشك)    %()±</t>
  </si>
  <si>
    <t>انتشار اين آلاينده ها و عدم قطعيت آنها در واحد نم زدايي مدنظر نيست.</t>
  </si>
  <si>
    <t>U(rel)(Cin-Cout)</t>
  </si>
  <si>
    <t>(U(rel)(Cin))^2</t>
  </si>
  <si>
    <t>(U(rel)(Cout))^2</t>
  </si>
  <si>
    <t>عدم قطعيت نسبي مقدارخوراک سالانه واحد شکست کاتالیستی بستر سیال    %()±</t>
  </si>
  <si>
    <t>عدم قطعيت نسبي پارامترهای مورد استفاده در محاسبه عدم قطعيت نسبي مقدار انتشارات آلاينده‌هاي هوا از منابع  ونت فرآيندي</t>
  </si>
  <si>
    <t>عدم قطعيت نسبي مقدار انتشارات آلاينده‌هاي هوا از منابع  ونت فرآيندي</t>
  </si>
  <si>
    <t>عدم قطعيت نسبي پارامترهای مورد استفاده در محاسبه عدم قطعيت نسبي مقدار انتشارات آلاينده‌هاي هوا ازمنابع ونت فرآيندي</t>
  </si>
  <si>
    <t>عدم قطعيت نسبي حجم سالانه خوراک واحد ریفورمینگ كاتاليستي  %()±</t>
  </si>
  <si>
    <t>عدم قطعيت نسبي مقدار سالانه قیر تولیدي  %()±</t>
  </si>
  <si>
    <t>عدم قطعيت نسبي بازده تجهیز کنترل انتشارات ونت در بخش هوادهی قیر  %()±</t>
  </si>
  <si>
    <t>U(rel)(control)</t>
  </si>
  <si>
    <t>عدم قطعيت نسبي حجم سالانه خوراک پالايشگاه    %()±</t>
  </si>
  <si>
    <t>عدم قطعيت نسبي بازده تجهیز کنترل انتشارات ونت  از کندانسور واحد خلاء  %()±</t>
  </si>
  <si>
    <t>عدم قطعيت نسبي حجم سالانه خوراک واحد تقطیر خلاء   %()±</t>
  </si>
  <si>
    <t>عدم قطعيت نسبي جرم سالانه پلی اتیلن سنگین تولیدی      %()±</t>
  </si>
  <si>
    <t>عدم قطعيت نسبي جرم سالانه اتیلن دی کلراید ناخالص ورودی به واحد خالص سازی اتیلن دی کلراید   %()±</t>
  </si>
  <si>
    <t>عدم قطعيت نسبي جرم سالانه پلی ونیل کلراید تولیدی  %()±</t>
  </si>
  <si>
    <t>عدم قطعيت نسبي جرم سالانه پلی پروپیلن تولیدی  %()±</t>
  </si>
  <si>
    <t>عدم قطعيت نسبي بازده حذف تجهیز کنترلی واحد  %()±</t>
  </si>
  <si>
    <t>عدم قطعيت نسبي  جرم سالانه پلی استایرن تولیدی  %()±</t>
  </si>
  <si>
    <t>عدم قطعيت نسبي جرم سالانه آمونیاک تولیدی  %()±</t>
  </si>
  <si>
    <t>عدم قطعيت نسبي بازده حذف تجهیز کنترلی در اين فرآيند  %()±</t>
  </si>
  <si>
    <t>عدم قطعيت نسبي جرم سالانه اسید نیتریک تولیدی  %()±</t>
  </si>
  <si>
    <t>عدم قطعيت نسبي درصد خلوص اسید نیتریک تولیدی  %()±</t>
  </si>
  <si>
    <t>بخش محاسبه عدم قطعيت انتشارات واحد کک‌سازی تاخیری</t>
  </si>
  <si>
    <t>مقدار عدم قطعيت نسبي كل انتشارات    Nox     از منابع ونت فرآيندي</t>
  </si>
  <si>
    <t>مقدار عدم قطعيت نسبي كل انتشارات    CO    از منابع ونت فرآيندي</t>
  </si>
  <si>
    <t>مقدار عدم قطعيت نسبي كل انتشارات    PM    از منابع ونت فرآيندي</t>
  </si>
  <si>
    <r>
      <t xml:space="preserve">مقدار عدم قطعيت نسبي كل انتشارات    </t>
    </r>
    <r>
      <rPr>
        <b/>
        <sz val="12"/>
        <color theme="0"/>
        <rFont val="Times New Roman"/>
        <family val="1"/>
        <scheme val="major"/>
      </rPr>
      <t>SO</t>
    </r>
    <r>
      <rPr>
        <b/>
        <vertAlign val="subscript"/>
        <sz val="12"/>
        <color theme="0"/>
        <rFont val="Times New Roman"/>
        <family val="1"/>
        <scheme val="major"/>
      </rPr>
      <t>2</t>
    </r>
    <r>
      <rPr>
        <b/>
        <sz val="12"/>
        <color theme="0"/>
        <rFont val="B Titr"/>
        <charset val="178"/>
      </rPr>
      <t xml:space="preserve">    از منابع ونت فرآيندي</t>
    </r>
  </si>
  <si>
    <t>مقدار عدم قطعيت نسبي كل انتشارات    VOC    از منابع ونت فرآيندي</t>
  </si>
  <si>
    <t>مقدار عدم قطعيت نسبي كل انتشارات    Nox     از منابع ونت مخازن</t>
  </si>
  <si>
    <t>عدم قطعيت نسبي حجم سیال هیدروکربنی ذخیره شده در یک سال    %()±</t>
  </si>
  <si>
    <t>مقدار عدم قطعيت نسبي كل انتشارات    CO    از منابع ونت مخازن</t>
  </si>
  <si>
    <t>مقدار عدم قطعيت نسبي كل انتشارات    PM    از منابع ونت مخازن</t>
  </si>
  <si>
    <r>
      <t xml:space="preserve">مقدار عدم قطعيت نسبي كل انتشارات    </t>
    </r>
    <r>
      <rPr>
        <b/>
        <sz val="12"/>
        <color theme="0"/>
        <rFont val="Times New Roman"/>
        <family val="1"/>
        <scheme val="major"/>
      </rPr>
      <t>SO</t>
    </r>
    <r>
      <rPr>
        <b/>
        <vertAlign val="subscript"/>
        <sz val="12"/>
        <color theme="0"/>
        <rFont val="Times New Roman"/>
        <family val="1"/>
        <scheme val="major"/>
      </rPr>
      <t>2</t>
    </r>
    <r>
      <rPr>
        <b/>
        <sz val="12"/>
        <color theme="0"/>
        <rFont val="B Titr"/>
        <charset val="178"/>
      </rPr>
      <t xml:space="preserve">    از منابع ونت مخازن</t>
    </r>
  </si>
  <si>
    <t>مقدار عدم قطعيت نسبي كل انتشارات    VOC    از منابع ونت مخازن</t>
  </si>
  <si>
    <t xml:space="preserve"> بخش محاسبه عدم قطعيت انتشارات ونت مخازن</t>
  </si>
  <si>
    <t>عدم قطعيت نسبي حجم سیال هیدروکربنی ذخیره شده در یک سال     %()±</t>
  </si>
  <si>
    <t>عدم قطعيت نسبي پارامترهای مورد استفاده در محاسبه عدم قطعيت نسبي مقدار انتشارات آلاينده‌هاي هوا ازمنابع ونت مخازن</t>
  </si>
  <si>
    <t>عدم قطعيت نسبي مقدار انتشارات آلاينده‌هاي هوا از منابع  ونت مخازن</t>
  </si>
  <si>
    <t>راهنماي كلي بخش محاسبه عدم قطعيت انتشارات منابع ونت مخازن</t>
  </si>
  <si>
    <t>عدم قطعيت نسبي حجم سالانه فرآورده بارگیری شده</t>
  </si>
  <si>
    <t xml:space="preserve">عدم قطعيت نسبي متوسط فشار بخار واقعی فراورده </t>
  </si>
  <si>
    <t>عدم قطعيت نسبي متوسط جرم مولی بخار تولید شده از فراورده</t>
  </si>
  <si>
    <t>عدم قطعيت نسبي متوسط دمای سیال بارگیری در تانكر</t>
  </si>
  <si>
    <t xml:space="preserve">عدم قطعيت نسبي درصد بازده كنترلي بازيابي بخارات جمع‌آوری شده  </t>
  </si>
  <si>
    <t>عدم قطعيت نسبي پارامترهای مورد استفاده در محاسبه عدم قطعيت نسبي مقدار انتشارات آلاينده‌هاي هوا از منابع  ونت بارگيري</t>
  </si>
  <si>
    <t>عدم قطعيت نسبي مقدار انتشارات آلاينده‌هاي هوا از منابع ونت بارگيري</t>
  </si>
  <si>
    <t>U(rel) Efvoc</t>
  </si>
  <si>
    <t>U(rel) (1-(CAP*EFFc/10000))</t>
  </si>
  <si>
    <t>عدم قطعيت نسبي  %()±</t>
  </si>
  <si>
    <t>عدم قطعيت نسبي دما در بالای محفظه کک سازی قبل از باز شدن ونت تخلیه بخار   %()±</t>
  </si>
  <si>
    <t>U(rel) Tover-100</t>
  </si>
  <si>
    <t>U(rel)(1-Flos)</t>
  </si>
  <si>
    <t>عدم قطعيت نسبي حجم سالانه بنزين بارگیری شده</t>
  </si>
  <si>
    <t>عدم قطعيت نسبي حجم سالانه نفت خام بارگیری شده</t>
  </si>
  <si>
    <t xml:space="preserve">عدم قطعيت نسبي متوسط فشار بخار واقعی نفت خام بارگيري شده  </t>
  </si>
  <si>
    <t xml:space="preserve">عدم قطعيت نسبي جرم مولی متوسط بخار نفت خام </t>
  </si>
  <si>
    <t>عدم قطعيت نسبي متوسط دمای بخار نفت خام</t>
  </si>
  <si>
    <t>U(rel) CG</t>
  </si>
  <si>
    <t>CG+CA</t>
  </si>
  <si>
    <t>U(rel) 6.47P-0.42</t>
  </si>
  <si>
    <t xml:space="preserve"> بخش محاسبه عدم قطعيت انتشارات ونت بارگيري</t>
  </si>
  <si>
    <t>راهنماي كلي بخش محاسبه عدم قطعيت انتشارات  ونت بارگيري</t>
  </si>
  <si>
    <t>بخش محاسبه عدم قطعيت انتشارات بارگيري نفت خام در دريا</t>
  </si>
  <si>
    <t>در خصوص بخش محاسبه انتشارات بارگيري نفت خام در دريا،  در صورت عدم دسترسي به جرم مولی بخار نفت خام و عدم قطعيت آن، مطابق با جداول 7-1-2 فصل هفتم راهنمای AP-42 جرم مولي بخار Midcontinent Crude Oil برابر با g/gmol 50  است. همچنين براي آن رتبه كيفي عدم قطعيت B و يا %(40)± پيشنهاد مي‌شود.</t>
  </si>
  <si>
    <t>عدم قطعيت نسبي تعداد شیرآلات گاز</t>
  </si>
  <si>
    <t>عدم قطعيت نسبي تعداد شیرآلات نفت سبک</t>
  </si>
  <si>
    <t>عدم قطعيت نسبي تعداد شیرآلات نفت سنگین</t>
  </si>
  <si>
    <r>
      <t>عدم قطعيت نسبي تعداد شیرآلات آب/نفت</t>
    </r>
    <r>
      <rPr>
        <b/>
        <vertAlign val="superscript"/>
        <sz val="12"/>
        <color theme="0"/>
        <rFont val="B Nazanin"/>
        <charset val="178"/>
      </rPr>
      <t xml:space="preserve"> </t>
    </r>
  </si>
  <si>
    <t>عدم قطعيت نسبي تعداد آب‌بندی پمپ گاز</t>
  </si>
  <si>
    <t>عدم قطعيت نسبي تعداد آب‌بندی پمپ نفت سبک</t>
  </si>
  <si>
    <t>عدم قطعيت نسبي تعداد آب‌بندی پمپ آب/نفت</t>
  </si>
  <si>
    <t>عدم قطعيت نسبي تعداد اتصالات گاز</t>
  </si>
  <si>
    <t>عدم قطعيت نسبي تعداد اتصالات نفت سبک</t>
  </si>
  <si>
    <t>عدم قطعيت نسبي تعداد اتصالات نفت سنگین</t>
  </si>
  <si>
    <t>عدم قطعيت نسبي تعداد اتصالات آب/نفت</t>
  </si>
  <si>
    <t>عدم قطعيت نسبي تعداد فلنج ها گاز</t>
  </si>
  <si>
    <t>عدم قطعيت نسبي تعداد فلنج ها نفت سبک</t>
  </si>
  <si>
    <t>عدم قطعيت نسبي تعداد فلنج ها نفت سنگین</t>
  </si>
  <si>
    <t>عدم قطعيت نسبي تعداد فلنج ها آب/نفت</t>
  </si>
  <si>
    <t>عدم قطعيت نسبي تعداد خطوط با انتهای باز گاز</t>
  </si>
  <si>
    <t>عدم قطعيت نسبي تعداد خطوط با انتهای باز نفت سبک</t>
  </si>
  <si>
    <t>عدم قطعيت نسبي تعداد خطوط با انتهای باز نفت سنگین</t>
  </si>
  <si>
    <t>عدم قطعيت نسبي تعداد خطوط با انتهای باز آب/نفت</t>
  </si>
  <si>
    <r>
      <t>عدم قطعيت نسبي تعداد سایر تجهیزات</t>
    </r>
    <r>
      <rPr>
        <b/>
        <vertAlign val="superscript"/>
        <sz val="12"/>
        <color theme="0"/>
        <rFont val="B Nazanin"/>
        <charset val="178"/>
      </rPr>
      <t xml:space="preserve"> </t>
    </r>
    <r>
      <rPr>
        <b/>
        <sz val="12"/>
        <color theme="0"/>
        <rFont val="B Nazanin"/>
        <charset val="178"/>
      </rPr>
      <t>گاز</t>
    </r>
  </si>
  <si>
    <r>
      <t>عدم قطعيت نسبي تعداد سایر تجهیزات</t>
    </r>
    <r>
      <rPr>
        <b/>
        <vertAlign val="superscript"/>
        <sz val="12"/>
        <color theme="0"/>
        <rFont val="B Nazanin"/>
        <charset val="178"/>
      </rPr>
      <t xml:space="preserve"> </t>
    </r>
    <r>
      <rPr>
        <b/>
        <sz val="12"/>
        <color theme="0"/>
        <rFont val="B Nazanin"/>
        <charset val="178"/>
      </rPr>
      <t>نفت سبک</t>
    </r>
  </si>
  <si>
    <r>
      <t>عدم قطعيت نسبي تعداد سایر تجهیزات</t>
    </r>
    <r>
      <rPr>
        <b/>
        <vertAlign val="superscript"/>
        <sz val="12"/>
        <color theme="0"/>
        <rFont val="B Nazanin"/>
        <charset val="178"/>
      </rPr>
      <t xml:space="preserve"> </t>
    </r>
    <r>
      <rPr>
        <b/>
        <sz val="12"/>
        <color theme="0"/>
        <rFont val="B Nazanin"/>
        <charset val="178"/>
      </rPr>
      <t>نفت سنگین</t>
    </r>
  </si>
  <si>
    <r>
      <t>عدم قطعيت نسبي تعداد سایر تجهیزات</t>
    </r>
    <r>
      <rPr>
        <b/>
        <vertAlign val="superscript"/>
        <sz val="12"/>
        <color theme="0"/>
        <rFont val="B Nazanin"/>
        <charset val="178"/>
      </rPr>
      <t xml:space="preserve"> </t>
    </r>
    <r>
      <rPr>
        <b/>
        <sz val="12"/>
        <color theme="0"/>
        <rFont val="B Nazanin"/>
        <charset val="178"/>
      </rPr>
      <t>آب/نفت</t>
    </r>
  </si>
  <si>
    <t>عدم قطعيت نسبي مقدار انتشارات آلاينده‌ VOC از منابع فرار نشتي تجهيزات</t>
  </si>
  <si>
    <t>عدم قطعيت نسبي نسبت درصد جرمي VOC به درصد جرمي TOC جريان</t>
  </si>
  <si>
    <t>U(rel)   (x1y1+x2y2+…+xnyn)</t>
  </si>
  <si>
    <t>U(abs)   (x1y1+x2y2+…+xnyn)</t>
  </si>
  <si>
    <t>مخرج</t>
  </si>
  <si>
    <t>U(rel)   (x1y1+x2y2+…+xnyn) *( VOC/TOC)</t>
  </si>
  <si>
    <t>U(abs) * X</t>
  </si>
  <si>
    <t>عدم قطعيت نسبي تعداد كل شیرآلات گاز</t>
  </si>
  <si>
    <t>عدم قطعيت نسبي تعداد كل شیرآلات مایعات سبک</t>
  </si>
  <si>
    <t>عدم قطعيت نسبي تعداد كل شیرآلات مایعات سنگین</t>
  </si>
  <si>
    <t xml:space="preserve">عدم قطعيت نسبي تعداد كل آب‌بندی پمپ مایعات سبک، همزن‌ها و مخلوط‌کن‌ها </t>
  </si>
  <si>
    <t>عدم قطعيت نسبي تعداد كل آب‌بندی پمپمایعات سنگین</t>
  </si>
  <si>
    <t>عدم قطعيت نسبي تعداد كل آب‌بندی کمپرسور گاز</t>
  </si>
  <si>
    <t>عدم قطعيت نسبي تعداد كل شیرهای اطمینان تخلیه فشار گاز</t>
  </si>
  <si>
    <t>عدم قطعيت نسبي تعداد كل اتصالات همه نوع سیال</t>
  </si>
  <si>
    <t>عدم قطعيت نسبي تعداد كل خطوط با انتهای باز همه نوع سیال</t>
  </si>
  <si>
    <t>عدم قطعيت نسبي تعداد كل اتصالات نمونه‌گیری همه نوع سیال</t>
  </si>
  <si>
    <t>عدم قطعيت نسبي تعداد شیرآلات مایعات سبک</t>
  </si>
  <si>
    <t>عدم قطعيت نسبي تعداد شیرآلات مایعات سنگین</t>
  </si>
  <si>
    <t>عدم قطعيت نسبي تعداد آب‌بندی پمپمایعات سنگین</t>
  </si>
  <si>
    <t>عدم قطعيت نسبي تعداد آب‌بندی کمپرسور گاز</t>
  </si>
  <si>
    <t>عدم قطعيت نسبي تعداد شیرهای اطمینان تخلیه فشار گاز</t>
  </si>
  <si>
    <t>عدم قطعيت نسبي تعداد اتصالات همه نوع سیال</t>
  </si>
  <si>
    <t>عدم قطعيت نسبي تعداد خطوط با انتهای باز همه نوع سیال</t>
  </si>
  <si>
    <t>عدم قطعيت نسبي تعداد اتصالات نمونه‌گیری همه نوع سیال</t>
  </si>
  <si>
    <t>عدم قطعيت نسبي تعداد آب‌بندی پمپ مایعات سبک</t>
  </si>
  <si>
    <t>عدم قطعيت نسبي تعداد سایر تجهیزات 2 گاز</t>
  </si>
  <si>
    <t>عدم قطعيت نسبي تعداد سایر تجهیزات2 مایعات سبک</t>
  </si>
  <si>
    <t>عدم قطعيت نسبي تعداد اتصالات و فلنج‌ها گاز</t>
  </si>
  <si>
    <t>عدم قطعيت نسبي تعداد اتصالات و فلنج‌ها مایعات سبک</t>
  </si>
  <si>
    <t xml:space="preserve"> بخش محاسبه عدم قطعيت  انتشارات فرار نشتي تجهيزات</t>
  </si>
  <si>
    <t>راهنماي كلي بخش محاسبه عدم قطعيت انتشارات فرار نشتي تجهيزات</t>
  </si>
  <si>
    <t>SO2</t>
  </si>
  <si>
    <t>عدم قطعيت نسبي تعداد مسیرهای اصلي جمع آوری فاضلاب %()±</t>
  </si>
  <si>
    <t>عدم قطعيت نسبي حجم سالانه فاضلاب تولید شده   %()±</t>
  </si>
  <si>
    <t>عدم قطعيت نسبي تعداد ساعت در سال که فاضلاب به سمت سیستم جمع آوری جریان دارد  %()±</t>
  </si>
  <si>
    <t xml:space="preserve">عدم قطعيت نسبي پارامترهای مورد استفاده در محاسبه عدم قطعيت نسبي مقدار انتشارات آلاينده‌هاي هوا از منابع فرار سيستم‌هاي تصفیه پساب </t>
  </si>
  <si>
    <t xml:space="preserve">عدم قطعيت نسبي مقدار انتشارات آلاينده‌هاي هوا از منابع فرار سيستم‌هاي تصفیه پساب </t>
  </si>
  <si>
    <t>U(rel)VOC</t>
  </si>
  <si>
    <t>U(abs)VOC</t>
  </si>
  <si>
    <t xml:space="preserve"> بخش محاسبه عدم قطعيت  انتشارات فرار سيستم‌هاي تصفیه پساب </t>
  </si>
  <si>
    <t xml:space="preserve">راهنماي كلي بخش محاسبه عدم قطعيت انتشارات فرار سيستم‌هاي تصفیه پساب </t>
  </si>
  <si>
    <r>
      <rPr>
        <b/>
        <sz val="12"/>
        <color theme="9" tint="-0.499984740745262"/>
        <rFont val="B Nazanin"/>
        <charset val="178"/>
      </rPr>
      <t xml:space="preserve">نكته 1: </t>
    </r>
    <r>
      <rPr>
        <sz val="12"/>
        <color theme="1"/>
        <rFont val="B Nazanin"/>
        <charset val="178"/>
      </rPr>
      <t>توجه شود كه اگر  مقادير  تعداد مسیرهای اصلي جمع آوری فاضلاب و تعداد ساعت  بر حسب تخمين باشد بايستي براي اين پارامترها بر اساس نظر كارشناس عدم قطعيتي ارائه شود. در صورتي كه اين مقادير بر اساس شمارش و پايش دقيق باشد و عدم قطعيت آن ها را بتوان صفر در نظر گرفت كارشناس بايد براي اين موارد  %(0)± را ارائه دهد.</t>
    </r>
  </si>
  <si>
    <t>عدم قطعيت نسبي دبی حجمي آب در گردش برج خنک کن %()±</t>
  </si>
  <si>
    <t>عدم قطعيت نسبي غلظت ذرات محلول در آب خنک کن در گردش (TDS)   %()±</t>
  </si>
  <si>
    <t>عدم قطعيت نسبي غلظت VOC در آب ورودی به برج خنک کن %()±</t>
  </si>
  <si>
    <t>عدم قطعيت نسبي غلظت VOC در آب خروجی به برج خنک کن   %()±</t>
  </si>
  <si>
    <t>U(abs)(Cin-Cout)</t>
  </si>
  <si>
    <t>(Cin-Cout)</t>
  </si>
  <si>
    <t xml:space="preserve"> بخش محاسبه عدم قطعيت  انتشارات فرار برج هاي خنك‌كن </t>
  </si>
  <si>
    <t>عدم قطعيت نسبي پارامترهای مورد استفاده در محاسبه عدم قطعيت نسبي مقدار انتشارات آلاينده‌هاي هوا از منابع فرار برج هاي خنك‌كن</t>
  </si>
  <si>
    <t xml:space="preserve">عدم قطعيت نسبي مقدار انتشارات آلاينده‌هاي هوا از منابع فرار برج هاي خنك‌كن </t>
  </si>
  <si>
    <t>عدم قطعيت نسبي پارامترهای مورد استفاده در محاسبه عدم قطعيت نسبي مقدار انتشارات آلاينده‌هاي هوا از  منابع فرار برج هاي خنك‌كن</t>
  </si>
  <si>
    <t>عدم قطعيت نسبي مقدار انتشارات آلاينده‌هاي هوا از  منابع فرار برج هاي خنك‌كن</t>
  </si>
  <si>
    <t xml:space="preserve">راهنماي كلي بخش محاسبه عدم قطعيت انتشارات فرار برج هاي خنك‌كن </t>
  </si>
  <si>
    <t xml:space="preserve">مقدار عدم قطعيت نسبي كل انتشارات    Nox     از منابع  فرار برج هاي خنك‌كن </t>
  </si>
  <si>
    <t>مقدار عدم قطعيت نسبي كل انتشارات    CO    از منابع فرار برج هاي خنك‌كن</t>
  </si>
  <si>
    <t>مقدار عدم قطعيت نسبي كل انتشارات    PM    از منابع فرار برج هاي خنك‌كن</t>
  </si>
  <si>
    <r>
      <t xml:space="preserve">مقدار عدم قطعيت نسبي كل انتشارات    </t>
    </r>
    <r>
      <rPr>
        <b/>
        <sz val="12"/>
        <color theme="0"/>
        <rFont val="Times New Roman"/>
        <family val="1"/>
        <scheme val="major"/>
      </rPr>
      <t>SO</t>
    </r>
    <r>
      <rPr>
        <b/>
        <vertAlign val="subscript"/>
        <sz val="12"/>
        <color theme="0"/>
        <rFont val="Times New Roman"/>
        <family val="1"/>
        <scheme val="major"/>
      </rPr>
      <t>2</t>
    </r>
    <r>
      <rPr>
        <b/>
        <sz val="12"/>
        <color theme="0"/>
        <rFont val="B Titr"/>
        <charset val="178"/>
      </rPr>
      <t xml:space="preserve">    از منابع فرار برج هاي خنك‌كن</t>
    </r>
  </si>
  <si>
    <t>مقدار عدم قطعيت نسبي كل انتشارات    VOC    از منابع فرار برج هاي خنك‌كن</t>
  </si>
  <si>
    <t>مقدار انتشار</t>
  </si>
  <si>
    <t>تعداد نمونه‌هاي وارد شده را انتخاب كنيد:</t>
  </si>
  <si>
    <t>t براي فاصله اطمينان 95%</t>
  </si>
  <si>
    <t>U(abs) Reproducibility</t>
  </si>
  <si>
    <t>U(abs) Variability</t>
  </si>
  <si>
    <t xml:space="preserve">U(abs) </t>
  </si>
  <si>
    <t xml:space="preserve">U(rel) </t>
  </si>
  <si>
    <t>(U(rel) *HHV*x/23.6)^2</t>
  </si>
  <si>
    <t>(U(rel) *LHV*x/23.6)^2</t>
  </si>
  <si>
    <t>U(abs) HHV</t>
  </si>
  <si>
    <t>U(abs) LHV</t>
  </si>
  <si>
    <t xml:space="preserve"> (abs)U- يك نمونه</t>
  </si>
  <si>
    <t>مقدار t براي فاصله اطمينان 95%</t>
  </si>
  <si>
    <t>حالت تك نمونه (ب)</t>
  </si>
  <si>
    <t>s (standard deviation)</t>
  </si>
  <si>
    <t>حالت چند نمونه (الف)</t>
  </si>
  <si>
    <t>U(abs)كسر مولي VOC</t>
  </si>
  <si>
    <t>U(rel)كسر مولي VOC</t>
  </si>
  <si>
    <t>U(rel) HHV</t>
  </si>
  <si>
    <t>U(rel) LHV</t>
  </si>
  <si>
    <t>U(abs)جرم مولي VOC</t>
  </si>
  <si>
    <t>U(rel)جرم مولي VOC</t>
  </si>
  <si>
    <t>(U(rel)x*ẍ *كسر گوگرد)2^</t>
  </si>
  <si>
    <t>تشخيص VOC
0 نيست- 1 است</t>
  </si>
  <si>
    <t>كسر تشخيص VOC</t>
  </si>
  <si>
    <t>(U(rel)x*ẍ *كسر تشخيص voc)2^</t>
  </si>
  <si>
    <t>جرم مولي جز</t>
  </si>
  <si>
    <t>(U(rel)x*ẍ *جرم مولي جز)2^</t>
  </si>
  <si>
    <t>U(abs)جرم مولي فلر</t>
  </si>
  <si>
    <t>U(rel)جرم مولي فلر</t>
  </si>
  <si>
    <t>U(abs)كسر مولي گوگرد</t>
  </si>
  <si>
    <t>U(rel)كسر مولي گوگرد</t>
  </si>
  <si>
    <t>U(abs)چگالي فلر</t>
  </si>
  <si>
    <t>U(rel)چگالي فلر=</t>
  </si>
  <si>
    <t>(U(rel)x^2+U(rel)كسرمولي^2)*(MWجز*x*كسرتشخيصVOC/كسرمولي)^2</t>
  </si>
  <si>
    <t>(الف) و (ب)</t>
  </si>
  <si>
    <t>عدم قطعيت نسبيارزش حرارتي خالص  (LHV)  %()±</t>
  </si>
  <si>
    <t>عدم قطعيت نسبي ارزش حرارتي ناخالص  (HHV)  %()±</t>
  </si>
  <si>
    <t>نوع داده:</t>
  </si>
  <si>
    <t>عدم قطعيت مطلق ارزش حرارتي ناخالص (HHV)    %()±</t>
  </si>
  <si>
    <t>عدم قطعيت مطلق ارزش حرارتي خالص (LHV)    %()±</t>
  </si>
  <si>
    <t>عدم قطعيت مطلق كسر مولي گوگرد    %()±</t>
  </si>
  <si>
    <t>عدم قطعيت مطلق كسر مولي VOC    %()±</t>
  </si>
  <si>
    <t>عدم قطعيت مطلق جرم مولي VOC    %()±</t>
  </si>
  <si>
    <t>عدم قطعيت مطلق چگالي فلر    %()±</t>
  </si>
  <si>
    <t>عدم قطعيت نسبي مقدار چگالي گاز ارسالي به فلر   %()±</t>
  </si>
  <si>
    <t>عدم قطعيت نسبي مقدارحجم ساليانه گاز ارسالي به فلر  %()±</t>
  </si>
  <si>
    <t>عدم قطعيت نسبي مقدار دبي (حجمي/جرمي وارد شده) ساليانه گاز ارسالی به فلر %()±</t>
  </si>
  <si>
    <t>عدم قطعيت نسبي مقدار دبي (حجمي/ جرمي وارد شده) ساليانه گاز ارسالي به فلر  %()±</t>
  </si>
  <si>
    <t>عدم قطعيت نسبي مقدارجرم ساليانه گاز ارسالي به فلر  %()±</t>
  </si>
  <si>
    <t>عدم قطعيت نسبي ارزش حرارتي ناخالص (HHV)   %()±</t>
  </si>
  <si>
    <t>عدم قطعيت نسبي ارزش حرارتي ناخالص  (HHV) %()±</t>
  </si>
  <si>
    <t>عدم قطعيت نسبي مقدار سوخت گازي مصرفي   %()±</t>
  </si>
  <si>
    <t>عدم قطعيت نسبي ارزش حرارتي ناخالص (HHV) واقعي  سوخت هاي مايع مصرفي   %()±</t>
  </si>
  <si>
    <t>نوع سوخت مايع</t>
  </si>
  <si>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و اطلاعات خواسته شده در صفحه ‌«Compositions»، مقدار عدم قطعيت هر رديف و همچنين عدم قطعيت كل در بالاي صفحه نمايش داده خواهد شد. مشخص است كه در صورت كامل نبودن اطلاعات هر رديف در «بخش عدم قطعيت» و صفحه ‌«Compositions»، مقدار عدم قطعيت كل محاسبه شده در بالاي صفحه صحيح نخواهد بود.  لازم به ذكر است كه بايستي در قسمت عدم قطعيت صفحه ‌«Compositions» در خصوص وارد كردن تعداد نمونه ها  دقت لازم به عمل آيد.</t>
    </r>
  </si>
  <si>
    <r>
      <rPr>
        <b/>
        <sz val="12"/>
        <color theme="9" tint="-0.499984740745262"/>
        <rFont val="B Nazanin"/>
        <charset val="178"/>
      </rPr>
      <t xml:space="preserve">1. </t>
    </r>
    <r>
      <rPr>
        <sz val="12"/>
        <color theme="1"/>
        <rFont val="B Nazanin"/>
        <charset val="178"/>
      </rPr>
      <t>توجه شود كه «بخش عدم قطعيت» الزاما در صورت تكميل كردن «بخش  محاسبه انتشارات» قابل كاربرد است در غير اين صورت مقادير نشان داده شده اعتباري نخواهند داشت. در صورت تكميل «بخش  محاسبه انتشارات»، بعد از پر كردن  اطلاعات خواسته شده در كادرهاي طوسي رنگِ «بخش عدم قطعيت» و اطلاعات خواسته شده در صفحه ‌«Compositions»، مقدار عدم قطعيت هر رديف و همچنين عدم قطعيت كل در بالاي صفحه نمايش داده خواهد شد. مشخص است كه در صورت كامل نبودن اطلاعات هر رديف در «بخش عدم قطعيت» و صفحه ‌«Compositions» مقدار عدم قطعيت كل محاسبه شده در بالاي صفحه صحيح نخواهد بود. لازم به ذكر است كه بايستي در قسمت عدم قطعيت صفحه ‌«Compositions» در خصوص وارد كردن تعداد نمونه ها  دقت لازم به عمل آيد.</t>
    </r>
  </si>
  <si>
    <t>حجم سیال هیدروکربنی ذخیره شده در یک سال</t>
  </si>
  <si>
    <t xml:space="preserve"> بخش محاسبه عدم قطعيت  مشخصات سوخت‌ها و گازهاي ارسالي به فلر</t>
  </si>
  <si>
    <r>
      <rPr>
        <b/>
        <sz val="12"/>
        <color theme="9" tint="-0.499984740745262"/>
        <rFont val="B Nazanin"/>
        <charset val="178"/>
      </rPr>
      <t xml:space="preserve">1. </t>
    </r>
    <r>
      <rPr>
        <sz val="12"/>
        <color theme="1"/>
        <rFont val="B Nazanin"/>
        <charset val="178"/>
      </rPr>
      <t xml:space="preserve"> توجه شود كه «بخش عدم قطعيت» اين صفحه الزاما در صورت تكميل كردن «بخش ورود مشخصات و تركيب درصدها» قابل كاربرد است در غير اين صورت مقادير نشان داده شده اعتباري نخواهند داشت. در صورت تكميل «بخش ورود مشخصات و تركيب درصدها» در همين صفحه، بعد از پر كردن  اطلاعات خواسته شده در كادرهاي طوسي رنگِ «بخش عدم قطعيت»،  مقدار عدم قطعيت آيتم هاي مورد نظر نمايش داده خواهد شد.لازم به ذكر است كه بايستي در «بخش عدم قطعيت» اين صفحه در خصوص وارد كردن تعداد نمونه ها دقت لازم به عمل آيد.</t>
    </r>
  </si>
  <si>
    <t>راهنماي كلي بخش محاسبه عدم قطعيت مشخصات سوخت ها و گاز ارسالي به فلر</t>
  </si>
  <si>
    <r>
      <rPr>
        <b/>
        <sz val="12"/>
        <color theme="9" tint="-0.499984740745262"/>
        <rFont val="B Nazanin"/>
        <charset val="178"/>
      </rPr>
      <t>گام دوم:</t>
    </r>
    <r>
      <rPr>
        <b/>
        <sz val="12"/>
        <color theme="1"/>
        <rFont val="B Nazanin"/>
        <charset val="178"/>
      </rPr>
      <t xml:space="preserve"> </t>
    </r>
    <r>
      <rPr>
        <sz val="12"/>
        <color theme="1"/>
        <rFont val="B Nazanin"/>
        <charset val="178"/>
      </rPr>
      <t>بعد از تكميل كادرهاي طوسي رنگ، ميزان انتشارات از بويلرهاي سازمان سطح 3 محاسبه و نمايش داده مي‌شود. نمايش "ND" در قسمت نتايج هر رديف علي رغم تكميل تمام كادرهاي طوسي رنگ آن رديف بدين معنا است كه براي شرايط تجهيز و سوخت سازمان شما ضرايبي در راهنما ارائه نشده است، در اين حالت در صورت امكان استفاده از موارد مشابه، اطلاعات كادرهاي طوسي رنگ را تغيير دهيد در غير اين صورت آلاينده موردنظر براي سازمان شما محاسبه نخواهد شد و اين مورد بايستي در كادر طوسي رنگ توضيحات شرح داده شود. همچنين در صورتي كه سازمان داراي منابع احتراقي با انتشار قابل توجه اي است كه محاسبات آن در اين برگه پوشش داده نشده است بايستي شرح لازم در خصوص آن منبع احتراقي تحت عنوان حذفيات در قسمت كادر طوسي رنگ "توضيحات" ارائه شود.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</si>
  <si>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 xml:space="preserve">اگرچه وارد كردن يك نمونه تركيب درصد براي هر سوخت گازي كافي است، ولي براي دقيق تر شدن نتايج بهتر است هر چهار نمونه وارد شوند. سعي شود تركيب درصدهاي ورودي در نمونه هاي 1 تا 4، با فاصله زماني تقريبا مساوي كل سال را پوشش دهند (مثلا يك نمونه براي هر فصل). </t>
    </r>
    <r>
      <rPr>
        <b/>
        <sz val="12"/>
        <color theme="9" tint="-0.499984740745262"/>
        <rFont val="B Nazanin"/>
        <charset val="178"/>
      </rPr>
      <t/>
    </r>
  </si>
  <si>
    <r>
      <rPr>
        <b/>
        <sz val="12"/>
        <color theme="9" tint="-0.499984740745262"/>
        <rFont val="B Nazanin"/>
        <charset val="178"/>
      </rPr>
      <t>نكته 3:</t>
    </r>
    <r>
      <rPr>
        <sz val="12"/>
        <color theme="9" tint="-0.499984740745262"/>
        <rFont val="B Nazanin"/>
        <charset val="178"/>
      </rPr>
      <t xml:space="preserve"> </t>
    </r>
    <r>
      <rPr>
        <sz val="12"/>
        <color theme="1"/>
        <rFont val="B Nazanin"/>
        <charset val="178"/>
      </rPr>
      <t>لازم به ذكر است كه ضرايب ارائه شده براي "صنايع پتروشيمي و پالايشگاهي" (پالايش نفت و گاز) بر مبناي ضرايب بين المللي است كه براي فلرهاي ساير بخش‌ها به جز شركت‌هاي تابعه شركت ملي نفت نيز كاربرد دارد. ضرايب براي "صنايع بالادستي نفت و گاز" در واقع مختص شركت هاي تابعه شركت ملي نفت است و بر مبناي ضرايب بومي است.</t>
    </r>
  </si>
  <si>
    <r>
      <rPr>
        <b/>
        <sz val="12"/>
        <color theme="9" tint="-0.499984740745262"/>
        <rFont val="B Nazanin"/>
        <charset val="178"/>
      </rPr>
      <t xml:space="preserve">نكته 2: </t>
    </r>
    <r>
      <rPr>
        <sz val="12"/>
        <color theme="1"/>
        <rFont val="B Nazanin"/>
        <charset val="178"/>
      </rPr>
      <t>در اينجا تنها چهار رديف  براي چهار دوره اندازه گيري در سال در نظر گرفته شده است. در صورتي كه سازمان دوره هاي اندازه گيري بيشتري دارد و تفاوت غلظت گوگرد در هر دوره تفاوت هاي شاياني دارد، سازمان بايستي جداگانه و خارج از اين قالب محاسبات را بر اساس سند راهنما انجام داده و نتايج و توضيحات لازم در كادر روبرو درج شود. همچنين جهت ويرايش و بهبود قالب اكسل حاضر مراتب را از طریق مدیریت HSE شرکت‌های اصلی به اداره کل HSE  وزارت نفت اعلام كنند.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</si>
  <si>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در صورتي كه سازمان، فلرهاي بيشتري دارد به طوري كه محاسبات در اين قالب قابل ارائه نيست، سازمان بايستي جداگانه محاسبات را بر اساس سند راهنما انجام داده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</si>
  <si>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در صورتي كه سازمان، فلرهاي بيشتري دارد و تفاوت كسر مولي گوگرد و كسر مولي  VOC در آنها شايان است به طوري كه محاسبات در اين قالب قابل ارائه نيست، سازمان بايستي جداگانه محاسبات را بر اساس سند راهنما انجام داده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</si>
  <si>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t>بخش محاسبه عدم قطعيت انتشارات ونت فرآيندي واحدهاي  پالایش گاز (واحد نم‌زدایی)</t>
  </si>
  <si>
    <t>بخش محاسبه عدم قطعيت انتشارات ونت فرآيندي واحدهاي پالایش نفت (واحد شکست کاتالیستی بستر سیال)</t>
  </si>
  <si>
    <t>بخش محاسبه عدم قطعيت انتشارات ونت فرآيندي واحدهاي پالایش نفت (واحد کک‌سازی تاخیری)</t>
  </si>
  <si>
    <t>بخش محاسبه عدم قطعيت انتشارات ونت فرآيندي واحدهاي پالایش نفت (واحد ریفورمینگ کاتالیستی)</t>
  </si>
  <si>
    <t>بخش محاسبه عدم قطعيت انتشارات ونت فرآيندي واحدهاي پالایش نفت (واحد آسفالت سازی)</t>
  </si>
  <si>
    <t>بخش محاسبه عدم قطعيت انتشارات ونت فرآيندي واحدهاي پالایش نفت (سیستم‌های Blowdown )</t>
  </si>
  <si>
    <t>بخش محاسبه عدم قطعيت انتشارات ونت فرآيندي واحدهاي پالایش نفت (واحد تقطیر خلاء)</t>
  </si>
  <si>
    <t>بخش محاسبه عدم قطعيت انتشارات ونت فرآيندي واحدهاي پتروشيمي (واحد پلی اتیلن سنگین)</t>
  </si>
  <si>
    <t>بخش محاسبه عدم قطعيت انتشارات ونت فرآيندي واحدهاي پتروشيمي (واحد ونیل کلراید مونومر)</t>
  </si>
  <si>
    <t>بخش محاسبه عدم قطعيت انتشارات ونت فرآیندهاي پتروشيمي (واحد پلی ونیل کلراید)</t>
  </si>
  <si>
    <t>بخش محاسبه عدم قطعيت انتشارات ونت فرآيندي واحدهاي پتروشيمي (واحد پلی پروپیلن)</t>
  </si>
  <si>
    <t>بخش محاسبه عدم قطعيت انتشارات ونت فرآيندي واحدهاي پتروشيمي (واحد پلی استایرن)</t>
  </si>
  <si>
    <t>بخش محاسبه عدم قطعيت انتشارات ونت فرآيندي واحدهاي پتروشيمي (واحد آمونياك)</t>
  </si>
  <si>
    <t>بخش محاسبه عدم قطعيت انتشارات ونت فرآيندي واحدهاي پتروشيمي (واحد اسید نیتریک)</t>
  </si>
  <si>
    <t xml:space="preserve">بخش محاسبه عدم قطعيت انتشارات  پسماندسوز و اکسیدایزر </t>
  </si>
  <si>
    <t>بخش محاسبه عدم قطعيت انتشارات چاله‌های سوخت</t>
  </si>
  <si>
    <t>بخش محاسبه عدم قطعيت انتشارات ونت مخازن نگهداري محصولات (صنایع بالادستي نفت و گاز)</t>
  </si>
  <si>
    <t>بخش محاسبه عدم قطعيت انتشارات ونت مخازن نگهداري محصولات (صنایع پالايشگاهي و پخش فرآورده هاي نفتي)</t>
  </si>
  <si>
    <t>بخش محاسبه عدم قطعيت انتشارات ونت مخازن نگهداري محصولات (صنایع پتروشيمي)</t>
  </si>
  <si>
    <t>بخش محاسبه عدم قطعيت انتشارات ونت بارگيري (بارگيري همه محصولات در خشكي و بارگيري همه محصولات به غير از بنزين و نفت خام در دريا)</t>
  </si>
  <si>
    <t xml:space="preserve">بخش محاسبه عدم قطعيت انتشارات ونت بارگيري (بارگيري نفت خام در دريا) </t>
  </si>
  <si>
    <t xml:space="preserve">بخش محاسبه عدم قطعيت انتشارات ونت بارگيري (بارگيري بنزين در دريا) </t>
  </si>
  <si>
    <t>بخش محاسبه عدم قطعيت انتشارات  فرار در صنایع بالادستی نفت و گاز (نشتي تجهيزات)</t>
  </si>
  <si>
    <t>بخش محاسبه عدم قطعيت انتشارات  فرار در صنایع پالايشگاهي (نشتي تجهيزات)</t>
  </si>
  <si>
    <t>بخش محاسبه عدم قطعيت انتشارات  فرار در صنایع  پتروشيمي (نشتي تجهيزات)</t>
  </si>
  <si>
    <t>بخش محاسبه عدم قطعيت انتشارات  فرار در ترمینال‌های فروش محصولات  (نشتي تجهيزات)</t>
  </si>
  <si>
    <r>
      <rPr>
        <b/>
        <sz val="12"/>
        <color theme="9" tint="-0.499984740745262"/>
        <rFont val="B Nazanin"/>
        <charset val="178"/>
      </rPr>
      <t>نكته 2:</t>
    </r>
    <r>
      <rPr>
        <sz val="12"/>
        <color theme="1"/>
        <rFont val="B Nazanin"/>
        <charset val="178"/>
      </rPr>
      <t xml:space="preserve"> اگر اطلاعات TDS آب خنک‌کننده در دسترس نباشد آن را می‌توان با اندازه‌گیری TDS آب جبرانی (make-up water) و ضرب آن در نسبت غلظت چرخشی به‌دست آورد. غلظت چرخشی از تقسیم يكي از مشخصات آب‌ در گردش كه اندازه‌گيري مي‌شود مانند رسانایی، غلظت کلسیم، کلراید يا فسفات در آب در گردش به مقادیر همان مشخصات در آب جبرانی به‌دست می‌آید. اگر هیچکدام از این موارد در دسترس نباشد، می‌توان TDS را برابر با رابطه‌ي                                       در نظر گرفت كه در آن conductivity رسانايي آب‌ در گردش است. به عنوان آخرین گزینه و عدم دسترسي به اطلاعات لازم، اگر منبع تامین آب سرویس دریا باشد TDS را برابر با 33000 ppmw، اگر آب با TDS بالا باشد برابر با 12000 و اگر دریاچه باشد TDS را برابر با 3000 ppmw در نظر بگيريد. (عدم قطعيت براي مقادير 33، 12 و 3 هزار برابر %(40)±  است.</t>
    </r>
  </si>
  <si>
    <t>نتايج مقدار انتشار آلاينده‌ها  از  هر يك از منابع و و عدم قطعيت آنها بر اساس مقادير وارد شده در صفحه مربوط به آن منابع است. در صورتي كه محاسبات بر اساس فرضياتي است كه در اين اكسل در نظر گرفته نشده است، كاربر بايستي توضيحات لازم را در بخش " فرضيات و توضيحات" شرح دهد. همچنين اگر به دلايلي انتشارات از منبعي محاسبه نشده است، كاربر در همين بخش، توضيحات لازم را بايستي درج كند.</t>
  </si>
  <si>
    <r>
      <rPr>
        <b/>
        <sz val="10"/>
        <color theme="1"/>
        <rFont val="Times New Roman"/>
        <family val="1"/>
      </rPr>
      <t xml:space="preserve">ẍ </t>
    </r>
    <r>
      <rPr>
        <b/>
        <sz val="9"/>
        <color theme="1"/>
        <rFont val="Times New Roman"/>
        <family val="1"/>
      </rPr>
      <t xml:space="preserve">
 (The mean )</t>
    </r>
  </si>
  <si>
    <r>
      <t>s*t/</t>
    </r>
    <r>
      <rPr>
        <b/>
        <sz val="12"/>
        <color theme="1"/>
        <rFont val="Times New Roman"/>
        <family val="1"/>
      </rPr>
      <t>√n=</t>
    </r>
  </si>
  <si>
    <t>عدم  قطعیت نسبي %()±</t>
  </si>
  <si>
    <t xml:space="preserve">درين‌ها يا جانكشن باكس‌ها  </t>
  </si>
  <si>
    <r>
      <t>تعداد درين‌ها يا جانكشن باكس‌ها  (</t>
    </r>
    <r>
      <rPr>
        <b/>
        <sz val="12"/>
        <color theme="0"/>
        <rFont val="Times New Roman"/>
        <family val="1"/>
        <scheme val="major"/>
      </rPr>
      <t>drains/Junction Boxes</t>
    </r>
    <r>
      <rPr>
        <b/>
        <sz val="12"/>
        <color theme="0"/>
        <rFont val="B Nazanin"/>
        <charset val="178"/>
      </rPr>
      <t>)</t>
    </r>
  </si>
  <si>
    <r>
      <rPr>
        <b/>
        <sz val="12"/>
        <color theme="9" tint="-0.499984740745262"/>
        <rFont val="B Nazanin"/>
        <charset val="178"/>
      </rPr>
      <t>توجه:</t>
    </r>
    <r>
      <rPr>
        <sz val="12"/>
        <color theme="1"/>
        <rFont val="B Nazanin"/>
        <charset val="178"/>
      </rPr>
      <t xml:space="preserve"> در صورت عدم دسترسي به تعداد درين‌ها يا جانكشن باكس‌ها  (drains/Junction Boxes)، تعداد drain ها مي‌تواند 2/6 (دو و شش دهم) برابر تعداد پمپ‌ها در نظر گرفته ‌شود. </t>
    </r>
  </si>
  <si>
    <t>مشخصات جريان ورودي به اكسيدايزر</t>
  </si>
  <si>
    <t>ضرايب انتشارات آلاينده هاي هوا از منابع پسماندسوز و اکسیدایزر</t>
  </si>
  <si>
    <t>روش (ج): استفاده از ضرایب انتشاربراي اكسيدايزر واحد بازیابی گوگرد (SRU)</t>
  </si>
  <si>
    <t>انتشار اين آلاينده‌ها به روش (ج) برآورد نمي‌شود.</t>
  </si>
  <si>
    <r>
      <t xml:space="preserve">مقداركل جريان ورودی به پسماندسوز و اکسیدایزر در سال      </t>
    </r>
    <r>
      <rPr>
        <b/>
        <sz val="16"/>
        <color theme="0"/>
        <rFont val="Times New Roman"/>
        <family val="1"/>
        <scheme val="major"/>
      </rPr>
      <t/>
    </r>
  </si>
  <si>
    <t xml:space="preserve">مقدار جريان ورودی به پسماندسوز و اکسیدایزر در اين دوره اندازه‌گیری </t>
  </si>
  <si>
    <r>
      <t xml:space="preserve">غلظت گوگرد (S) در جريان ورودی به پسماندسوز و اکسیدایزر در اين دوره اندازه‌گيري </t>
    </r>
    <r>
      <rPr>
        <b/>
        <sz val="12"/>
        <color theme="0"/>
        <rFont val="Times New Roman"/>
        <family val="1"/>
        <scheme val="major"/>
      </rPr>
      <t>mg/m</t>
    </r>
    <r>
      <rPr>
        <b/>
        <vertAlign val="superscript"/>
        <sz val="12"/>
        <color theme="0"/>
        <rFont val="Times New Roman"/>
        <family val="1"/>
        <scheme val="major"/>
      </rPr>
      <t>3</t>
    </r>
  </si>
  <si>
    <t>شماره پسماندسوز و اکسیدایزر</t>
  </si>
  <si>
    <t>عدم قطعيت نسبي مقدار جريان  ورودی به پسماندسوز و اکسیدایزر در اين دوره اندازه‌گیری    %()±</t>
  </si>
  <si>
    <t>عدم قطعيت نسبي غلظت گوگرد (S) در جريان ورودی به پسماندسوز و اکسیدایزر در اين دوره اندازه‌گيري    %()±</t>
  </si>
  <si>
    <r>
      <rPr>
        <b/>
        <sz val="12"/>
        <color theme="9" tint="-0.499984740745262"/>
        <rFont val="B Nazanin"/>
        <charset val="178"/>
      </rPr>
      <t xml:space="preserve">1. </t>
    </r>
    <r>
      <rPr>
        <sz val="12"/>
        <color theme="1"/>
        <rFont val="B Nazanin"/>
        <charset val="178"/>
      </rPr>
      <t xml:space="preserve">در اين صفحه مقدار انتشارات آلاينده ها به طور مجزا از دو بخش پسماندسوزها و اكسيدايزرها واحد SRU و بخش چاله سوخت محاسبه مي‌شود. در بخش چاله سوخت انتشار آلاينده </t>
    </r>
    <r>
      <rPr>
        <sz val="12"/>
        <color theme="1"/>
        <rFont val="Times New Roman"/>
        <family val="1"/>
        <scheme val="major"/>
      </rPr>
      <t>SO2</t>
    </r>
    <r>
      <rPr>
        <sz val="12"/>
        <color theme="1"/>
        <rFont val="B Nazanin"/>
        <charset val="178"/>
      </rPr>
      <t xml:space="preserve"> از روش (ب) و انتشار ساير آلاينده هاي از روش (الف) محاسبه مي‌شود، لذا در  بخش چاله سوخت انتشارات هر پنج آلاينده با استفاده از دو روش (الف) و (ب) محاسبه مي شوند.در خصوص بخش پسماندسوزها و اكسيدايزرها انتشار آلاينده هاي NOx، CO و VOC از روش (ج) و انتشار SO2 از روش  (ب) محاسبه مي شود.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t>
    </r>
  </si>
  <si>
    <r>
      <rPr>
        <b/>
        <sz val="12"/>
        <color theme="9" tint="-0.499984740745262"/>
        <rFont val="B Nazanin"/>
        <charset val="178"/>
      </rPr>
      <t>نكته 2:</t>
    </r>
    <r>
      <rPr>
        <sz val="12"/>
        <color theme="9" tint="-0.499984740745262"/>
        <rFont val="B Nazanin"/>
        <charset val="178"/>
      </rPr>
      <t xml:space="preserve"> </t>
    </r>
    <r>
      <rPr>
        <sz val="12"/>
        <color theme="1"/>
        <rFont val="B Nazanin"/>
        <charset val="178"/>
      </rPr>
      <t>ضرايب بين المللي روش (ج) براي پسماندسوزها و اكسيدايزرها، مختص واحدهايSRU است بنابراين براي ساير پسماندسوزها و اكسيدايزرها، سازمان بايستي مطابق با روش (الف) سند راهنما در فرمت فايل اكسلي جداگانه  مقدار انتشارات را محاسبه و به همراه گزارش اصلي به سازمان بالادستي خود ارائه دهد تا در سال‌هاي آتي بر مبناي فايل‌هاي اكسل پيشنهادي و ارسال شده، يك قالب يكپارچه براي تمامي سازمان‌ها ارائه شود. همچنين كارشناس مربوطه بايستي در كادر توضيحات روبرو، وجود پسماندسوز و اكسيدايزر در سازمان خود را اطلاع دهد و در صورت برآورد انتشارات آن به ورش (الف) در كادر توضيحات روبرو نتايج نهايي را درج كند.</t>
    </r>
  </si>
  <si>
    <r>
      <t>راهنماي روش (ج): استفاده از ضرایب انتشار براي اكسيدايزر واحد بازیابی گوگرد (</t>
    </r>
    <r>
      <rPr>
        <b/>
        <sz val="14"/>
        <color theme="9" tint="-0.499984740745262"/>
        <rFont val="Times New Roman"/>
        <family val="1"/>
        <scheme val="major"/>
      </rPr>
      <t>SRU</t>
    </r>
    <r>
      <rPr>
        <b/>
        <sz val="14"/>
        <color theme="9" tint="-0.499984740745262"/>
        <rFont val="B Nazanin"/>
        <charset val="178"/>
      </rPr>
      <t>)</t>
    </r>
  </si>
  <si>
    <r>
      <rPr>
        <b/>
        <sz val="12"/>
        <color theme="9" tint="-0.499984740745262"/>
        <rFont val="B Nazanin"/>
        <charset val="178"/>
      </rPr>
      <t>گام اول:</t>
    </r>
    <r>
      <rPr>
        <sz val="12"/>
        <color theme="1"/>
        <rFont val="B Nazanin"/>
        <charset val="178"/>
      </rPr>
      <t xml:space="preserve"> پنج رديف در ستون "شماره چاله سوخت" / "شماره پسماندسوز و اکسیدایزر" جهت ارائه اطلاعات پنج چاله سوخت/ پنج پسماندسوز و اکسیدایزر در نظر گرفته شده است. براي هر چاله سوخت/  پسماندسوز و اکسیدایزرحداكثر چهار دوره اندازه گيري و پايش جريان ورودي به چاله سوخت/ به  پسماندسوز و اکسیدایزر در نظر گرفته شده است. اطلاعات خواسته شده در نتيجه‌ي هر پايش را در كادرهاي طوسي رنگ مشخص‎شده، وارد كنيد.  </t>
    </r>
  </si>
  <si>
    <r>
      <rPr>
        <b/>
        <sz val="12"/>
        <color theme="9" tint="-0.499984740745262"/>
        <rFont val="B Nazanin"/>
        <charset val="178"/>
      </rPr>
      <t>نكته 1:</t>
    </r>
    <r>
      <rPr>
        <sz val="12"/>
        <color theme="9" tint="-0.499984740745262"/>
        <rFont val="B Nazanin"/>
        <charset val="178"/>
      </rPr>
      <t xml:space="preserve"> </t>
    </r>
    <r>
      <rPr>
        <sz val="12"/>
        <color theme="1"/>
        <rFont val="B Nazanin"/>
        <charset val="178"/>
      </rPr>
      <t>در صورتي كه تعداد چاله سوخت هاي سازمان/  پسماندسوز و اکسیدایزرهاي سازمان بيشتر از پنج باشد و يا هر چاله سوخت/  پسماندسوز و اکسیدایزر بيشتر از چهار مرتبه در سال پايش شود و  مقادير پارامترهاي اندازه‌گيري شده در هر دوره تفاوت قابل توجه نسبت به دوره‌هاي ديگر دارد بايستي محاسبات مربوطه مطابق با سند راهنما انجام و نتايج در كادر توضيحات روبرو درج شود. همچنين جهت ويرايش و بهبود قالب اكسل حاضر مراتب را از طریق مدیریت HSE شرکت‌های اصلی به اداره کل HSE وزارت نفت اعلام كنند.</t>
    </r>
  </si>
  <si>
    <t>روش (ب):  استفاده از موازنه جرم براي پسماندسوز و اکسیدایزر</t>
  </si>
  <si>
    <t>روش (ب):  استفاده از موازنه جرم براي چاله سوخت</t>
  </si>
  <si>
    <t>راهنماي روش (ب):  استفاده از موازنه جرم براي (SRU)/ روش (ب): استفاده از موازنه جرم براي چاله سوخت</t>
  </si>
  <si>
    <r>
      <t xml:space="preserve">توجه 1: </t>
    </r>
    <r>
      <rPr>
        <sz val="11"/>
        <rFont val="B Nazanin"/>
        <charset val="178"/>
      </rPr>
      <t>در صورتي كه سازماني امكانات و شرايط پايش گازهاي خروجي از دودكش و استفاده از روش (الف) و (ب) معرفي شده در راهنما را دارد، جهت هر چه بهتر شدن تهيه سياهه موجودي انتشار آلاينده‌هاي صنعت نفت پيشنهاد مي‌شود داد‌ه‌هاي پايش و محاسبات مربوطه را در فرمت فايل اكسلي جداگانه به كمك جداول (6-13) و (6-14) كتابچه محاسباتي تهيه و به همراه گزارش اصلي به سازمان بالادستي خود ارائه دهد تا در سال‌هاي آتي بر مبناي فايل‌هاي اكسل پيشنهادي و ارسال شده، يك قالب يكپارچه براي تمامي سازمان‌ها ارائه شود.</t>
    </r>
  </si>
  <si>
    <r>
      <t xml:space="preserve">توجه 3: </t>
    </r>
    <r>
      <rPr>
        <sz val="11"/>
        <rFont val="B Nazanin"/>
        <charset val="178"/>
      </rPr>
      <t>به طور كلي پيشنهاد مي شود كه كارشناس مربوطه قبل از تكميل اين برگه، بند (1) فصل (2) كتابچه محاسباتي با عنوان منابع احتراقي ثابت را مطالعه نمايد.</t>
    </r>
  </si>
  <si>
    <t>در خصوص بخش محاسبه انتشارات واحد کک‌سازی تاخیری،  از آنجايي كه مطابق با فصل (2) كتابچه محاسباتي، جرم کک تولیدی Mc و جرم آب مصرفی Mw بر حسب ابعاد محفظه ها برآورد مي شود، در صورتي كه ابعاد محفظه دقيق و مطابق با مدارك طراحي وارد شده باشد، عدم قطعيت نسبي                                                                        برابر با     %(0)± در نظر گرفته شود، در غير اين صورت مطابق با فصل (4) و (2) كتابچه محاسباتي عدم قطعيت نسبي اين عبارت محاسبه شود.</t>
  </si>
  <si>
    <r>
      <t xml:space="preserve">1. در اين صفحه، سازمان بايستي بعد از تعيين نوع تاسيسات (صنایع بالادستي نفت و گاز، صنایع پالايشگاهي و صنایع پتروشيمي) اطلاعات خواسته شده آن واحد را وارد كند. با ورود اطلاعات در كادرهاي طوسي رنگ، نتايج محاسبات در ستون و رديف‌هاي مشخص شده نمايش داده مي‌شود. لازم به ذكر است كه كادرها و مستطيل‌هاي زرد رنگ جهت راهنمايي و ارجاع هستند و همچنين </t>
    </r>
    <r>
      <rPr>
        <b/>
        <u/>
        <sz val="12"/>
        <color theme="1"/>
        <rFont val="B Nazanin"/>
        <charset val="178"/>
      </rPr>
      <t>در صورت عدم انتخاب تعيين نوع تاسيسات</t>
    </r>
    <r>
      <rPr>
        <sz val="12"/>
        <color theme="1"/>
        <rFont val="B Nazanin"/>
        <charset val="178"/>
      </rPr>
      <t xml:space="preserve"> (صنایع بالادستي نفت و گاز، صنایع پالايشگاهي و صنایع پتروشيمي) نتايج نهايي كل انتشارات ونت از مخازن </t>
    </r>
    <r>
      <rPr>
        <b/>
        <u/>
        <sz val="12"/>
        <color theme="1"/>
        <rFont val="B Nazanin"/>
        <charset val="178"/>
      </rPr>
      <t>نمايش داده نمي‌شود.</t>
    </r>
  </si>
  <si>
    <r>
      <rPr>
        <b/>
        <sz val="12"/>
        <color theme="9" tint="-0.499984740745262"/>
        <rFont val="B Nazanin"/>
        <charset val="178"/>
      </rPr>
      <t>توجه 2:</t>
    </r>
    <r>
      <rPr>
        <sz val="12"/>
        <color theme="1"/>
        <rFont val="B Nazanin"/>
        <charset val="178"/>
      </rPr>
      <t xml:space="preserve"> توجه شود كه در روش (د) و (ه) بايستي تعداد كل تجهيزات و نه فقط تجهيزات داراي نشتي نوشته شود. در روش ( د) تعداد دقيق تجهيزات شمارش‌شده و در روش (ه) تعداد پيش فرض بر اساس جدول (2-64) كتابچه محاسباتي نوشته مي شود. اگر سازماني مقدار متوسط تعداد تجهيزات خود را بر مقادير پيش فرض جداول سند ارجح مي‎داند ميتواند به شرط ذكر اين مورد و دليل ارجحيت اين مقادير در كادر طوسي رنگ توضيحات روبرو از تعداد فرضي و متوسط خود استفاده نمايد.</t>
    </r>
  </si>
  <si>
    <r>
      <rPr>
        <b/>
        <sz val="12"/>
        <color theme="9" tint="-0.499984740745262"/>
        <rFont val="B Nazanin"/>
        <charset val="178"/>
      </rPr>
      <t>توجه 1:</t>
    </r>
    <r>
      <rPr>
        <sz val="12"/>
        <color theme="9" tint="-0.499984740745262"/>
        <rFont val="B Nazanin"/>
        <charset val="178"/>
      </rPr>
      <t xml:space="preserve"> </t>
    </r>
    <r>
      <rPr>
        <sz val="12"/>
        <color theme="1"/>
        <rFont val="B Nazanin"/>
        <charset val="178"/>
      </rPr>
      <t>توجه شود كه در روش (د) و (ه) بايستي تعداد كل تجهيزات و نه فقط تجهيزات داراي نشتي نوشته شود. در روش ( د) تعداد دقيق تجهيزات شمارش‌شده و در روش (ه) تعداد پيش فرض  بر اساس جداول (2-61) و  (2-62) كتابچه محاسباتي نوشته مي شود. اگر سازماني مقدار متوسط تعداد تجهيزات خود را بر مقادير پيش فرض جداول سند ارجح مي‎داند ميتواند به شرط ذكر اين مورد و دليل ارجحيت اين مقادير در كادر طوسي رنگ توضيحات روبرو، از تعداد فرضي و متوسط خود استفاده نمايد.</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</si>
</sst>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ريال&quot;\ * #,##0.00_-;_-&quot;ريال&quot;\ * #,##0.00\-;_-&quot;ريال&quot;\ * &quot;-&quot;??_-;_-@_-"/>
    <numFmt numFmtId="164" formatCode="0.0"/>
    <numFmt numFmtId="165" formatCode="0.0000"/>
    <numFmt numFmtId="166" formatCode="0.000"/>
    <numFmt numFmtId="167" formatCode="#,##0.0"/>
    <numFmt numFmtId="168" formatCode="0.00000"/>
    <numFmt numFmtId="169" formatCode="#,##0.00000"/>
    <numFmt numFmtId="170" formatCode="#,##0.0000"/>
    <numFmt numFmtId="171" formatCode="#,##0.000"/>
    <numFmt numFmtId="172" formatCode="#,##0.000000"/>
  </numFmts>
  <fonts count="110">
    <font>
      <sz val="11"/>
      <color theme="1"/>
      <name val="Arial"/>
      <family val="2"/>
      <charset val="178"/>
      <scheme val="minor"/>
    </font>
    <font>
      <sz val="10"/>
      <color theme="1"/>
      <name val="Times New Roman"/>
      <family val="1"/>
    </font>
    <font>
      <b/>
      <sz val="10"/>
      <color theme="1"/>
      <name val="Times New Roman"/>
      <family val="1"/>
    </font>
    <font>
      <b/>
      <sz val="11"/>
      <color theme="1"/>
      <name val="B Nazanin"/>
      <charset val="178"/>
    </font>
    <font>
      <b/>
      <vertAlign val="superscript"/>
      <sz val="11"/>
      <color theme="1"/>
      <name val="B Nazanin"/>
      <charset val="178"/>
    </font>
    <font>
      <b/>
      <vertAlign val="superscript"/>
      <sz val="10"/>
      <color theme="1"/>
      <name val="Times New Roman"/>
      <family val="1"/>
    </font>
    <font>
      <sz val="11"/>
      <color theme="1"/>
      <name val="B Nazanin"/>
      <charset val="178"/>
    </font>
    <font>
      <sz val="11"/>
      <color rgb="FF000000"/>
      <name val="B Nazanin"/>
      <charset val="178"/>
    </font>
    <font>
      <b/>
      <sz val="10"/>
      <color theme="1"/>
      <name val="B Nazanin"/>
      <charset val="178"/>
    </font>
    <font>
      <sz val="10"/>
      <color theme="1"/>
      <name val="B Nazanin"/>
      <charset val="178"/>
    </font>
    <font>
      <sz val="12"/>
      <color theme="1"/>
      <name val="B Nazanin"/>
      <charset val="178"/>
    </font>
    <font>
      <vertAlign val="superscript"/>
      <sz val="10"/>
      <color theme="1"/>
      <name val="Times New Roman"/>
      <family val="1"/>
    </font>
    <font>
      <sz val="11"/>
      <color theme="1"/>
      <name val="Times New Roman"/>
      <family val="1"/>
      <scheme val="major"/>
    </font>
    <font>
      <b/>
      <sz val="12"/>
      <color theme="1"/>
      <name val="B Nazanin"/>
      <charset val="178"/>
    </font>
    <font>
      <b/>
      <vertAlign val="superscript"/>
      <sz val="10"/>
      <color theme="1"/>
      <name val="B Nazanin"/>
      <charset val="178"/>
    </font>
    <font>
      <b/>
      <sz val="11"/>
      <color theme="1"/>
      <name val="Times New Roman"/>
      <family val="1"/>
    </font>
    <font>
      <vertAlign val="superscript"/>
      <sz val="10"/>
      <color theme="1"/>
      <name val="B Nazanin"/>
      <charset val="178"/>
    </font>
    <font>
      <vertAlign val="subscript"/>
      <sz val="10"/>
      <color theme="1"/>
      <name val="Times New Roman"/>
      <family val="1"/>
    </font>
    <font>
      <b/>
      <sz val="11"/>
      <color rgb="FF000000"/>
      <name val="B Nazanin"/>
      <charset val="178"/>
    </font>
    <font>
      <b/>
      <sz val="11"/>
      <color rgb="FF000000"/>
      <name val="Times New Roman"/>
      <family val="1"/>
    </font>
    <font>
      <b/>
      <sz val="10"/>
      <color rgb="FF000000"/>
      <name val="B Nazanin"/>
      <charset val="178"/>
    </font>
    <font>
      <b/>
      <sz val="10"/>
      <color rgb="FF000000"/>
      <name val="Times New Roman"/>
      <family val="1"/>
    </font>
    <font>
      <sz val="10"/>
      <color rgb="FF000000"/>
      <name val="Times New Roman"/>
      <family val="1"/>
    </font>
    <font>
      <sz val="11"/>
      <color rgb="FF000000"/>
      <name val="Arial"/>
      <family val="2"/>
    </font>
    <font>
      <b/>
      <vertAlign val="subscript"/>
      <sz val="10"/>
      <color theme="1"/>
      <name val="Times New Roman"/>
      <family val="1"/>
    </font>
    <font>
      <sz val="14"/>
      <color theme="1"/>
      <name val="B Nazanin"/>
      <charset val="178"/>
    </font>
    <font>
      <sz val="48"/>
      <color theme="1"/>
      <name val="B Titr"/>
      <charset val="178"/>
    </font>
    <font>
      <sz val="48"/>
      <color theme="1"/>
      <name val="Times New Roman"/>
      <family val="1"/>
      <scheme val="major"/>
    </font>
    <font>
      <sz val="150"/>
      <color theme="1"/>
      <name val="B Titr"/>
      <charset val="178"/>
    </font>
    <font>
      <b/>
      <sz val="12"/>
      <color theme="1"/>
      <name val="B Titr"/>
      <charset val="178"/>
    </font>
    <font>
      <sz val="10"/>
      <color theme="1"/>
      <name val="Times New Roman"/>
      <family val="1"/>
      <scheme val="major"/>
    </font>
    <font>
      <sz val="8"/>
      <color theme="1"/>
      <name val="Arial"/>
      <family val="2"/>
      <charset val="178"/>
      <scheme val="minor"/>
    </font>
    <font>
      <b/>
      <sz val="12"/>
      <color theme="0"/>
      <name val="Times New Roman"/>
      <family val="1"/>
    </font>
    <font>
      <b/>
      <vertAlign val="subscript"/>
      <sz val="12"/>
      <color theme="0"/>
      <name val="Times New Roman"/>
      <family val="1"/>
    </font>
    <font>
      <b/>
      <sz val="16"/>
      <color theme="1"/>
      <name val="B Nazanin"/>
      <charset val="178"/>
    </font>
    <font>
      <b/>
      <sz val="12"/>
      <color theme="0"/>
      <name val="B Nazanin"/>
      <charset val="178"/>
    </font>
    <font>
      <b/>
      <sz val="12"/>
      <color theme="0"/>
      <name val="Times New Roman"/>
      <family val="1"/>
      <scheme val="major"/>
    </font>
    <font>
      <sz val="36"/>
      <color theme="1"/>
      <name val="B Titr"/>
      <charset val="178"/>
    </font>
    <font>
      <b/>
      <sz val="16"/>
      <color theme="1"/>
      <name val="B Titr"/>
      <charset val="178"/>
    </font>
    <font>
      <sz val="12"/>
      <color theme="1"/>
      <name val="Times New Roman"/>
      <family val="1"/>
    </font>
    <font>
      <vertAlign val="superscript"/>
      <sz val="12"/>
      <color theme="1"/>
      <name val="Times New Roman"/>
      <family val="1"/>
    </font>
    <font>
      <sz val="12"/>
      <color theme="1"/>
      <name val="Arial"/>
      <family val="2"/>
      <charset val="178"/>
      <scheme val="minor"/>
    </font>
    <font>
      <sz val="14"/>
      <color theme="1"/>
      <name val="Times New Roman"/>
      <family val="1"/>
      <scheme val="major"/>
    </font>
    <font>
      <vertAlign val="superscript"/>
      <sz val="14"/>
      <color theme="1"/>
      <name val="Times New Roman"/>
      <family val="1"/>
      <scheme val="major"/>
    </font>
    <font>
      <sz val="10.5"/>
      <color rgb="FFFF0000"/>
      <name val="Times New Roman"/>
      <family val="1"/>
    </font>
    <font>
      <sz val="11"/>
      <name val="Arial"/>
      <family val="2"/>
      <charset val="178"/>
      <scheme val="minor"/>
    </font>
    <font>
      <vertAlign val="subscript"/>
      <sz val="11"/>
      <color theme="1"/>
      <name val="Arial"/>
      <family val="2"/>
      <scheme val="minor"/>
    </font>
    <font>
      <b/>
      <vertAlign val="superscript"/>
      <sz val="12"/>
      <color theme="0"/>
      <name val="Times New Roman"/>
      <family val="1"/>
      <scheme val="major"/>
    </font>
    <font>
      <b/>
      <vertAlign val="superscript"/>
      <sz val="12"/>
      <color theme="0"/>
      <name val="Times New Roman"/>
      <family val="1"/>
    </font>
    <font>
      <sz val="14"/>
      <color theme="1"/>
      <name val="Arial"/>
      <family val="2"/>
      <charset val="178"/>
      <scheme val="minor"/>
    </font>
    <font>
      <sz val="14"/>
      <color theme="1"/>
      <name val="Times New Roman"/>
      <family val="1"/>
    </font>
    <font>
      <b/>
      <sz val="12"/>
      <color theme="0"/>
      <name val="B Titr"/>
      <charset val="178"/>
    </font>
    <font>
      <sz val="11"/>
      <color theme="1"/>
      <name val="Times New Roman"/>
      <family val="1"/>
    </font>
    <font>
      <sz val="24"/>
      <color theme="1"/>
      <name val="Arial"/>
      <family val="2"/>
      <charset val="178"/>
      <scheme val="minor"/>
    </font>
    <font>
      <b/>
      <sz val="28"/>
      <color theme="0"/>
      <name val="B Titr"/>
      <charset val="178"/>
    </font>
    <font>
      <sz val="28"/>
      <color theme="1"/>
      <name val="Arial"/>
      <family val="2"/>
      <charset val="178"/>
      <scheme val="minor"/>
    </font>
    <font>
      <b/>
      <sz val="16"/>
      <color theme="0"/>
      <name val="Times New Roman"/>
      <family val="1"/>
      <scheme val="major"/>
    </font>
    <font>
      <b/>
      <sz val="16"/>
      <color theme="0"/>
      <name val="B Titr"/>
      <charset val="178"/>
    </font>
    <font>
      <sz val="11"/>
      <color theme="1"/>
      <name val="Arial"/>
      <family val="2"/>
      <charset val="178"/>
      <scheme val="minor"/>
    </font>
    <font>
      <sz val="10"/>
      <color rgb="FFFF0000"/>
      <name val="Times New Roman"/>
      <family val="1"/>
      <scheme val="major"/>
    </font>
    <font>
      <b/>
      <sz val="14"/>
      <color theme="9" tint="-0.499984740745262"/>
      <name val="B Nazanin"/>
      <charset val="178"/>
    </font>
    <font>
      <sz val="14"/>
      <color theme="9" tint="-0.499984740745262"/>
      <name val="B Nazanin"/>
      <charset val="178"/>
    </font>
    <font>
      <sz val="12"/>
      <name val="B Nazanin"/>
      <charset val="178"/>
    </font>
    <font>
      <sz val="12"/>
      <color theme="1"/>
      <name val="Times New Roman"/>
      <family val="1"/>
      <scheme val="major"/>
    </font>
    <font>
      <sz val="12"/>
      <name val="Times New Roman"/>
      <family val="1"/>
      <scheme val="major"/>
    </font>
    <font>
      <b/>
      <sz val="12"/>
      <name val="B Nazanin"/>
      <charset val="178"/>
    </font>
    <font>
      <b/>
      <sz val="12"/>
      <color theme="9" tint="-0.499984740745262"/>
      <name val="B Nazanin"/>
      <charset val="178"/>
    </font>
    <font>
      <sz val="12"/>
      <color theme="9" tint="-0.499984740745262"/>
      <name val="B Nazanin"/>
      <charset val="178"/>
    </font>
    <font>
      <vertAlign val="superscript"/>
      <sz val="12"/>
      <color theme="1"/>
      <name val="B Nazanin"/>
      <charset val="178"/>
    </font>
    <font>
      <b/>
      <sz val="11"/>
      <color theme="1"/>
      <name val="B Titr"/>
      <charset val="178"/>
    </font>
    <font>
      <sz val="11"/>
      <name val="B Nazanin"/>
      <charset val="178"/>
    </font>
    <font>
      <u/>
      <sz val="12"/>
      <color theme="1"/>
      <name val="B Nazanin"/>
      <charset val="178"/>
    </font>
    <font>
      <b/>
      <u/>
      <sz val="12"/>
      <color theme="1"/>
      <name val="B Nazanin"/>
      <charset val="178"/>
    </font>
    <font>
      <b/>
      <sz val="12"/>
      <name val="B Titr"/>
      <charset val="178"/>
    </font>
    <font>
      <b/>
      <vertAlign val="subscript"/>
      <sz val="12"/>
      <color theme="0"/>
      <name val="B Nazanin"/>
      <charset val="178"/>
    </font>
    <font>
      <b/>
      <sz val="14"/>
      <color theme="9" tint="-0.499984740745262"/>
      <name val="Times New Roman"/>
      <family val="1"/>
      <scheme val="major"/>
    </font>
    <font>
      <b/>
      <vertAlign val="subscript"/>
      <sz val="12"/>
      <color theme="0"/>
      <name val="Times New Roman"/>
      <family val="1"/>
      <scheme val="major"/>
    </font>
    <font>
      <sz val="12"/>
      <color theme="1"/>
      <name val="B Nazaz"/>
      <charset val="178"/>
    </font>
    <font>
      <b/>
      <sz val="11"/>
      <color theme="1"/>
      <name val="Times New Roman"/>
      <family val="1"/>
      <scheme val="major"/>
    </font>
    <font>
      <b/>
      <sz val="16"/>
      <name val="B Titr"/>
      <charset val="178"/>
    </font>
    <font>
      <sz val="12"/>
      <color rgb="FFFF0000"/>
      <name val="Arial"/>
      <family val="2"/>
      <charset val="178"/>
      <scheme val="minor"/>
    </font>
    <font>
      <sz val="11"/>
      <color theme="1"/>
      <name val="B Titr"/>
      <charset val="178"/>
    </font>
    <font>
      <b/>
      <sz val="12"/>
      <color theme="1"/>
      <name val="Times New Roman"/>
      <family val="1"/>
      <scheme val="major"/>
    </font>
    <font>
      <b/>
      <vertAlign val="superscript"/>
      <sz val="12"/>
      <color theme="0"/>
      <name val="B Nazanin"/>
      <charset val="178"/>
    </font>
    <font>
      <vertAlign val="superscript"/>
      <sz val="12"/>
      <color theme="1"/>
      <name val="Times New Roman"/>
      <family val="1"/>
      <scheme val="major"/>
    </font>
    <font>
      <b/>
      <sz val="12"/>
      <color theme="1"/>
      <name val="Times New Roman"/>
      <family val="1"/>
    </font>
    <font>
      <b/>
      <sz val="12"/>
      <color theme="1"/>
      <name val="Arial"/>
      <family val="2"/>
      <scheme val="minor"/>
    </font>
    <font>
      <b/>
      <sz val="16"/>
      <color theme="1"/>
      <name val="Times New Roman"/>
      <family val="1"/>
      <scheme val="major"/>
    </font>
    <font>
      <b/>
      <sz val="14"/>
      <color theme="1"/>
      <name val="B Nazanin"/>
      <charset val="178"/>
    </font>
    <font>
      <b/>
      <sz val="14"/>
      <color theme="0"/>
      <name val="B Nazanin"/>
      <charset val="178"/>
    </font>
    <font>
      <sz val="12"/>
      <color theme="0"/>
      <name val="Arial"/>
      <family val="2"/>
      <charset val="178"/>
      <scheme val="minor"/>
    </font>
    <font>
      <sz val="12"/>
      <color rgb="FF002060"/>
      <name val="B Titr"/>
      <charset val="178"/>
    </font>
    <font>
      <b/>
      <sz val="12"/>
      <color rgb="FF002060"/>
      <name val="Times New Roman"/>
      <family val="1"/>
      <scheme val="major"/>
    </font>
    <font>
      <sz val="12"/>
      <color rgb="FF002060"/>
      <name val="Times New Roman"/>
      <family val="1"/>
      <scheme val="major"/>
    </font>
    <font>
      <b/>
      <sz val="14"/>
      <name val="B Nazanin"/>
      <charset val="178"/>
    </font>
    <font>
      <vertAlign val="superscript"/>
      <sz val="14"/>
      <color theme="1"/>
      <name val="B Nazanin"/>
      <charset val="178"/>
    </font>
    <font>
      <sz val="14"/>
      <color theme="1"/>
      <name val="B Lotus"/>
      <charset val="178"/>
    </font>
    <font>
      <vertAlign val="subscript"/>
      <sz val="12"/>
      <color theme="1"/>
      <name val="B Nazanin"/>
      <charset val="178"/>
    </font>
    <font>
      <sz val="28"/>
      <color theme="0"/>
      <name val="B Titr"/>
      <charset val="178"/>
    </font>
    <font>
      <sz val="16"/>
      <color theme="1"/>
      <name val="B Nazanin"/>
      <charset val="178"/>
    </font>
    <font>
      <sz val="16"/>
      <color theme="1"/>
      <name val="Times New Roman"/>
      <family val="1"/>
      <scheme val="major"/>
    </font>
    <font>
      <vertAlign val="subscript"/>
      <sz val="16"/>
      <color theme="1"/>
      <name val="Times New Roman"/>
      <family val="1"/>
      <scheme val="major"/>
    </font>
    <font>
      <b/>
      <sz val="14"/>
      <color theme="0"/>
      <name val="Times New Roman"/>
      <family val="1"/>
      <scheme val="major"/>
    </font>
    <font>
      <sz val="12"/>
      <name val="Arial"/>
      <family val="2"/>
      <charset val="178"/>
      <scheme val="minor"/>
    </font>
    <font>
      <b/>
      <sz val="14"/>
      <color theme="1"/>
      <name val="Times New Roman"/>
      <family val="1"/>
      <scheme val="major"/>
    </font>
    <font>
      <sz val="16"/>
      <color theme="0"/>
      <name val="B Titr"/>
      <charset val="178"/>
    </font>
    <font>
      <sz val="18"/>
      <color theme="0"/>
      <name val="B Titr"/>
      <charset val="178"/>
    </font>
    <font>
      <b/>
      <sz val="28"/>
      <color theme="1"/>
      <name val="B Titr"/>
      <charset val="178"/>
    </font>
    <font>
      <b/>
      <sz val="9"/>
      <color theme="1"/>
      <name val="Times New Roman"/>
      <family val="1"/>
    </font>
    <font>
      <b/>
      <sz val="9"/>
      <color theme="1"/>
      <name val="Times New Roman"/>
      <family val="1"/>
      <scheme val="major"/>
    </font>
  </fonts>
  <fills count="29">
    <fill>
      <patternFill patternType="none"/>
    </fill>
    <fill>
      <patternFill patternType="gray125"/>
    </fill>
    <fill>
      <patternFill patternType="solid">
        <fgColor rgb="FFFFFFFF"/>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499984740745262"/>
        <bgColor indexed="64"/>
      </patternFill>
    </fill>
    <fill>
      <patternFill patternType="solid">
        <fgColor rgb="FF00B0F0"/>
        <bgColor indexed="64"/>
      </patternFill>
    </fill>
    <fill>
      <patternFill patternType="solid">
        <fgColor theme="2"/>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206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EEF381"/>
        <bgColor indexed="64"/>
      </patternFill>
    </fill>
    <fill>
      <patternFill patternType="solid">
        <fgColor theme="0" tint="-0.249977111117893"/>
        <bgColor indexed="64"/>
      </patternFill>
    </fill>
    <fill>
      <patternFill patternType="solid">
        <fgColor rgb="FFFFFF00"/>
        <bgColor indexed="64"/>
      </patternFill>
    </fill>
    <fill>
      <patternFill patternType="solid">
        <fgColor rgb="FF5B0505"/>
        <bgColor indexed="64"/>
      </patternFill>
    </fill>
    <fill>
      <patternFill patternType="solid">
        <fgColor theme="5" tint="0.59999389629810485"/>
        <bgColor indexed="64"/>
      </patternFill>
    </fill>
    <fill>
      <patternFill patternType="solid">
        <fgColor theme="2" tint="-0.499984740745262"/>
        <bgColor indexed="64"/>
      </patternFill>
    </fill>
    <fill>
      <patternFill patternType="solid">
        <fgColor theme="0" tint="-0.34998626667073579"/>
        <bgColor indexed="64"/>
      </patternFill>
    </fill>
  </fills>
  <borders count="290">
    <border>
      <left/>
      <right/>
      <top/>
      <bottom/>
      <diagonal/>
    </border>
    <border>
      <left style="medium">
        <color indexed="64"/>
      </left>
      <right/>
      <top/>
      <bottom/>
      <diagonal/>
    </border>
    <border>
      <left style="double">
        <color indexed="64"/>
      </left>
      <right/>
      <top/>
      <bottom/>
      <diagonal/>
    </border>
    <border>
      <left/>
      <right/>
      <top/>
      <bottom style="medium">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style="medium">
        <color indexed="64"/>
      </right>
      <top/>
      <bottom style="thin">
        <color theme="0"/>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theme="0"/>
      </right>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style="thin">
        <color theme="0"/>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right style="thin">
        <color theme="0"/>
      </right>
      <top/>
      <bottom style="medium">
        <color indexed="64"/>
      </bottom>
      <diagonal/>
    </border>
    <border>
      <left style="thin">
        <color theme="0"/>
      </left>
      <right/>
      <top/>
      <bottom style="medium">
        <color indexed="64"/>
      </bottom>
      <diagonal/>
    </border>
    <border>
      <left/>
      <right style="thin">
        <color theme="0"/>
      </right>
      <top style="medium">
        <color indexed="64"/>
      </top>
      <bottom/>
      <diagonal/>
    </border>
    <border>
      <left style="thin">
        <color theme="0"/>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theme="0"/>
      </left>
      <right/>
      <top/>
      <bottom/>
      <diagonal/>
    </border>
    <border>
      <left/>
      <right style="thin">
        <color theme="0"/>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theme="0"/>
      </left>
      <right/>
      <top/>
      <bottom style="thin">
        <color theme="0"/>
      </bottom>
      <diagonal/>
    </border>
    <border>
      <left style="thin">
        <color theme="0"/>
      </left>
      <right/>
      <top style="thin">
        <color theme="0"/>
      </top>
      <bottom style="medium">
        <color indexed="64"/>
      </bottom>
      <diagonal/>
    </border>
    <border>
      <left style="thin">
        <color indexed="64"/>
      </left>
      <right/>
      <top/>
      <bottom style="medium">
        <color indexed="64"/>
      </bottom>
      <diagonal/>
    </border>
    <border>
      <left style="thin">
        <color theme="0"/>
      </left>
      <right/>
      <top style="medium">
        <color indexed="64"/>
      </top>
      <bottom style="thin">
        <color theme="0"/>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style="medium">
        <color indexed="64"/>
      </top>
      <bottom/>
      <diagonal/>
    </border>
    <border>
      <left style="thin">
        <color theme="0"/>
      </left>
      <right style="thin">
        <color theme="0"/>
      </right>
      <top/>
      <bottom style="thin">
        <color indexed="64"/>
      </bottom>
      <diagonal/>
    </border>
    <border>
      <left/>
      <right style="thin">
        <color theme="0"/>
      </right>
      <top/>
      <bottom style="thin">
        <color indexed="64"/>
      </bottom>
      <diagonal/>
    </border>
    <border>
      <left style="thin">
        <color theme="0" tint="-4.9989318521683403E-2"/>
      </left>
      <right/>
      <top style="medium">
        <color indexed="64"/>
      </top>
      <bottom/>
      <diagonal/>
    </border>
    <border>
      <left style="thin">
        <color theme="0"/>
      </left>
      <right style="medium">
        <color indexed="64"/>
      </right>
      <top style="medium">
        <color indexed="64"/>
      </top>
      <bottom/>
      <diagonal/>
    </border>
    <border>
      <left style="medium">
        <color indexed="64"/>
      </left>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medium">
        <color indexed="64"/>
      </right>
      <top style="thin">
        <color theme="0"/>
      </top>
      <bottom style="thin">
        <color theme="0"/>
      </bottom>
      <diagonal/>
    </border>
    <border>
      <left style="thin">
        <color indexed="64"/>
      </left>
      <right style="medium">
        <color indexed="64"/>
      </right>
      <top/>
      <bottom/>
      <diagonal/>
    </border>
    <border>
      <left style="thin">
        <color theme="0"/>
      </left>
      <right style="medium">
        <color indexed="64"/>
      </right>
      <top/>
      <bottom/>
      <diagonal/>
    </border>
    <border>
      <left style="medium">
        <color indexed="64"/>
      </left>
      <right style="thin">
        <color theme="0"/>
      </right>
      <top/>
      <bottom/>
      <diagonal/>
    </border>
    <border>
      <left style="medium">
        <color indexed="64"/>
      </left>
      <right/>
      <top style="thin">
        <color theme="0"/>
      </top>
      <bottom style="medium">
        <color indexed="64"/>
      </bottom>
      <diagonal/>
    </border>
    <border>
      <left style="thin">
        <color theme="0"/>
      </left>
      <right style="medium">
        <color indexed="64"/>
      </right>
      <top/>
      <bottom style="medium">
        <color indexed="64"/>
      </bottom>
      <diagonal/>
    </border>
    <border>
      <left style="medium">
        <color indexed="64"/>
      </left>
      <right style="thin">
        <color theme="0"/>
      </right>
      <top style="medium">
        <color indexed="64"/>
      </top>
      <bottom/>
      <diagonal/>
    </border>
    <border>
      <left style="medium">
        <color indexed="64"/>
      </left>
      <right style="thin">
        <color theme="0"/>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theme="0"/>
      </right>
      <top style="thin">
        <color theme="0"/>
      </top>
      <bottom style="medium">
        <color indexed="64"/>
      </bottom>
      <diagonal/>
    </border>
    <border>
      <left/>
      <right style="thin">
        <color theme="0"/>
      </right>
      <top style="medium">
        <color indexed="64"/>
      </top>
      <bottom style="thin">
        <color theme="0"/>
      </bottom>
      <diagonal/>
    </border>
    <border>
      <left/>
      <right style="thin">
        <color indexed="64"/>
      </right>
      <top style="medium">
        <color indexed="64"/>
      </top>
      <bottom style="medium">
        <color indexed="64"/>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theme="0"/>
      </bottom>
      <diagonal/>
    </border>
    <border>
      <left style="thin">
        <color indexed="64"/>
      </left>
      <right/>
      <top style="medium">
        <color indexed="64"/>
      </top>
      <bottom style="medium">
        <color indexed="64"/>
      </bottom>
      <diagonal/>
    </border>
    <border>
      <left style="medium">
        <color indexed="64"/>
      </left>
      <right style="thin">
        <color theme="0"/>
      </right>
      <top/>
      <bottom style="medium">
        <color indexed="64"/>
      </bottom>
      <diagonal/>
    </border>
    <border>
      <left style="medium">
        <color indexed="64"/>
      </left>
      <right style="thin">
        <color indexed="64"/>
      </right>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double">
        <color indexed="64"/>
      </right>
      <top style="double">
        <color indexed="64"/>
      </top>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style="medium">
        <color indexed="64"/>
      </left>
      <right/>
      <top style="thin">
        <color theme="0"/>
      </top>
      <bottom style="thin">
        <color indexed="64"/>
      </bottom>
      <diagonal/>
    </border>
    <border>
      <left/>
      <right style="medium">
        <color indexed="64"/>
      </right>
      <top style="thin">
        <color theme="0"/>
      </top>
      <bottom style="thin">
        <color indexed="64"/>
      </bottom>
      <diagonal/>
    </border>
    <border>
      <left style="medium">
        <color indexed="64"/>
      </left>
      <right style="double">
        <color indexed="64"/>
      </right>
      <top/>
      <bottom style="double">
        <color indexed="64"/>
      </bottom>
      <diagonal/>
    </border>
    <border>
      <left style="double">
        <color indexed="64"/>
      </left>
      <right/>
      <top style="double">
        <color indexed="64"/>
      </top>
      <bottom/>
      <diagonal/>
    </border>
    <border>
      <left/>
      <right style="medium">
        <color indexed="64"/>
      </right>
      <top style="thin">
        <color indexed="64"/>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n">
        <color theme="0" tint="-4.9989318521683403E-2"/>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top style="thin">
        <color theme="0"/>
      </top>
      <bottom/>
      <diagonal/>
    </border>
    <border>
      <left/>
      <right style="thin">
        <color indexed="64"/>
      </right>
      <top style="thin">
        <color theme="0"/>
      </top>
      <bottom/>
      <diagonal/>
    </border>
    <border>
      <left style="medium">
        <color theme="0"/>
      </left>
      <right style="medium">
        <color theme="0"/>
      </right>
      <top style="medium">
        <color theme="0"/>
      </top>
      <bottom style="medium">
        <color theme="0"/>
      </bottom>
      <diagonal/>
    </border>
    <border>
      <left style="thin">
        <color indexed="64"/>
      </left>
      <right/>
      <top style="thin">
        <color theme="0"/>
      </top>
      <bottom style="medium">
        <color indexed="64"/>
      </bottom>
      <diagonal/>
    </border>
    <border>
      <left/>
      <right style="thin">
        <color indexed="64"/>
      </right>
      <top style="thin">
        <color theme="0"/>
      </top>
      <bottom style="medium">
        <color indexed="64"/>
      </bottom>
      <diagonal/>
    </border>
    <border>
      <left style="medium">
        <color indexed="64"/>
      </left>
      <right/>
      <top style="thin">
        <color theme="0"/>
      </top>
      <bottom/>
      <diagonal/>
    </border>
    <border>
      <left/>
      <right style="medium">
        <color indexed="64"/>
      </right>
      <top style="thin">
        <color theme="0"/>
      </top>
      <bottom/>
      <diagonal/>
    </border>
    <border>
      <left style="medium">
        <color indexed="64"/>
      </left>
      <right/>
      <top style="medium">
        <color theme="0"/>
      </top>
      <bottom style="medium">
        <color theme="0"/>
      </bottom>
      <diagonal/>
    </border>
    <border>
      <left style="medium">
        <color indexed="64"/>
      </left>
      <right/>
      <top style="medium">
        <color theme="0"/>
      </top>
      <bottom/>
      <diagonal/>
    </border>
    <border>
      <left style="medium">
        <color indexed="64"/>
      </left>
      <right/>
      <top/>
      <bottom style="medium">
        <color theme="0"/>
      </bottom>
      <diagonal/>
    </border>
    <border>
      <left style="medium">
        <color indexed="64"/>
      </left>
      <right style="thin">
        <color indexed="64"/>
      </right>
      <top style="medium">
        <color indexed="64"/>
      </top>
      <bottom style="medium">
        <color indexed="64"/>
      </bottom>
      <diagonal/>
    </border>
    <border>
      <left style="medium">
        <color indexed="64"/>
      </left>
      <right style="thin">
        <color theme="0"/>
      </right>
      <top style="thin">
        <color theme="0"/>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right style="thin">
        <color theme="0"/>
      </right>
      <top style="thin">
        <color theme="0"/>
      </top>
      <bottom/>
      <diagonal/>
    </border>
    <border>
      <left style="thin">
        <color theme="0"/>
      </left>
      <right style="thin">
        <color theme="0" tint="-4.9989318521683403E-2"/>
      </right>
      <top style="medium">
        <color indexed="64"/>
      </top>
      <bottom/>
      <diagonal/>
    </border>
    <border>
      <left style="thin">
        <color theme="0"/>
      </left>
      <right style="thin">
        <color theme="0" tint="-4.9989318521683403E-2"/>
      </right>
      <top/>
      <bottom style="medium">
        <color indexed="64"/>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style="medium">
        <color theme="0"/>
      </left>
      <right/>
      <top/>
      <bottom/>
      <diagonal/>
    </border>
    <border>
      <left/>
      <right style="medium">
        <color theme="0"/>
      </right>
      <top/>
      <bottom/>
      <diagonal/>
    </border>
    <border>
      <left style="thin">
        <color theme="1"/>
      </left>
      <right style="thin">
        <color theme="1"/>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thin">
        <color theme="1"/>
      </left>
      <right style="thin">
        <color theme="1"/>
      </right>
      <top/>
      <bottom style="thin">
        <color theme="1"/>
      </bottom>
      <diagonal/>
    </border>
    <border>
      <left style="medium">
        <color theme="1"/>
      </left>
      <right style="thin">
        <color theme="0"/>
      </right>
      <top style="medium">
        <color theme="1"/>
      </top>
      <bottom style="thin">
        <color theme="0"/>
      </bottom>
      <diagonal/>
    </border>
    <border>
      <left style="thin">
        <color theme="0"/>
      </left>
      <right style="thin">
        <color theme="0"/>
      </right>
      <top style="medium">
        <color theme="1"/>
      </top>
      <bottom style="thin">
        <color theme="0"/>
      </bottom>
      <diagonal/>
    </border>
    <border>
      <left style="medium">
        <color theme="1"/>
      </left>
      <right style="thin">
        <color theme="0"/>
      </right>
      <top style="thin">
        <color theme="0"/>
      </top>
      <bottom style="medium">
        <color theme="1"/>
      </bottom>
      <diagonal/>
    </border>
    <border>
      <left style="thin">
        <color theme="0"/>
      </left>
      <right style="thin">
        <color theme="0"/>
      </right>
      <top style="thin">
        <color theme="0"/>
      </top>
      <bottom style="medium">
        <color theme="1"/>
      </bottom>
      <diagonal/>
    </border>
    <border>
      <left style="thin">
        <color theme="0"/>
      </left>
      <right style="medium">
        <color theme="1"/>
      </right>
      <top style="thin">
        <color theme="0"/>
      </top>
      <bottom style="medium">
        <color theme="1"/>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right style="thin">
        <color theme="1"/>
      </right>
      <top style="thin">
        <color theme="1"/>
      </top>
      <bottom/>
      <diagonal/>
    </border>
    <border>
      <left style="thin">
        <color theme="0"/>
      </left>
      <right style="medium">
        <color theme="1"/>
      </right>
      <top style="medium">
        <color theme="1"/>
      </top>
      <bottom style="thin">
        <color theme="0"/>
      </bottom>
      <diagonal/>
    </border>
    <border>
      <left style="medium">
        <color theme="1"/>
      </left>
      <right/>
      <top/>
      <bottom style="thin">
        <color indexed="64"/>
      </bottom>
      <diagonal/>
    </border>
    <border>
      <left style="thin">
        <color theme="1"/>
      </left>
      <right style="medium">
        <color theme="1"/>
      </right>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medium">
        <color theme="1"/>
      </bottom>
      <diagonal/>
    </border>
    <border>
      <left/>
      <right style="thin">
        <color theme="1"/>
      </right>
      <top/>
      <bottom style="thin">
        <color theme="1"/>
      </bottom>
      <diagonal/>
    </border>
    <border>
      <left style="medium">
        <color theme="1"/>
      </left>
      <right style="thin">
        <color theme="0"/>
      </right>
      <top style="medium">
        <color theme="1"/>
      </top>
      <bottom/>
      <diagonal/>
    </border>
    <border>
      <left style="thin">
        <color theme="0"/>
      </left>
      <right style="thin">
        <color theme="0"/>
      </right>
      <top style="medium">
        <color theme="1"/>
      </top>
      <bottom/>
      <diagonal/>
    </border>
    <border>
      <left style="thin">
        <color theme="0"/>
      </left>
      <right style="medium">
        <color theme="1"/>
      </right>
      <top style="medium">
        <color theme="1"/>
      </top>
      <bottom/>
      <diagonal/>
    </border>
    <border>
      <left/>
      <right style="thin">
        <color theme="1"/>
      </right>
      <top style="medium">
        <color theme="1"/>
      </top>
      <bottom/>
      <diagonal/>
    </border>
    <border>
      <left/>
      <right style="thin">
        <color theme="1"/>
      </right>
      <top/>
      <bottom/>
      <diagonal/>
    </border>
    <border>
      <left/>
      <right/>
      <top/>
      <bottom style="thin">
        <color theme="1"/>
      </bottom>
      <diagonal/>
    </border>
    <border>
      <left style="thin">
        <color theme="1"/>
      </left>
      <right/>
      <top style="medium">
        <color theme="1"/>
      </top>
      <bottom/>
      <diagonal/>
    </border>
    <border>
      <left style="thin">
        <color theme="1"/>
      </left>
      <right/>
      <top/>
      <bottom/>
      <diagonal/>
    </border>
    <border>
      <left style="thin">
        <color theme="1"/>
      </left>
      <right/>
      <top/>
      <bottom style="medium">
        <color theme="1"/>
      </bottom>
      <diagonal/>
    </border>
    <border>
      <left/>
      <right style="thin">
        <color theme="1"/>
      </right>
      <top/>
      <bottom style="medium">
        <color theme="1"/>
      </bottom>
      <diagonal/>
    </border>
    <border>
      <left style="thin">
        <color theme="0"/>
      </left>
      <right/>
      <top style="medium">
        <color theme="1"/>
      </top>
      <bottom/>
      <diagonal/>
    </border>
    <border>
      <left style="thin">
        <color theme="0"/>
      </left>
      <right/>
      <top style="thin">
        <color theme="0"/>
      </top>
      <bottom style="medium">
        <color theme="1"/>
      </bottom>
      <diagonal/>
    </border>
    <border>
      <left style="thin">
        <color theme="1"/>
      </left>
      <right style="medium">
        <color theme="1"/>
      </right>
      <top style="medium">
        <color theme="1"/>
      </top>
      <bottom/>
      <diagonal/>
    </border>
    <border>
      <left style="thin">
        <color theme="1"/>
      </left>
      <right style="medium">
        <color theme="1"/>
      </right>
      <top/>
      <bottom/>
      <diagonal/>
    </border>
    <border>
      <left style="thin">
        <color theme="1"/>
      </left>
      <right style="medium">
        <color theme="1"/>
      </right>
      <top/>
      <bottom style="medium">
        <color theme="1"/>
      </bottom>
      <diagonal/>
    </border>
    <border>
      <left style="thin">
        <color theme="1"/>
      </left>
      <right/>
      <top style="thin">
        <color theme="1"/>
      </top>
      <bottom/>
      <diagonal/>
    </border>
    <border>
      <left/>
      <right/>
      <top style="thin">
        <color theme="1"/>
      </top>
      <bottom/>
      <diagonal/>
    </border>
    <border>
      <left style="thin">
        <color theme="1"/>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0"/>
      </right>
      <top style="medium">
        <color theme="1"/>
      </top>
      <bottom/>
      <diagonal/>
    </border>
    <border>
      <left/>
      <right style="medium">
        <color theme="1"/>
      </right>
      <top style="medium">
        <color indexed="64"/>
      </top>
      <bottom/>
      <diagonal/>
    </border>
    <border>
      <left style="medium">
        <color theme="1"/>
      </left>
      <right/>
      <top style="medium">
        <color indexed="64"/>
      </top>
      <bottom/>
      <diagonal/>
    </border>
    <border>
      <left style="medium">
        <color theme="1"/>
      </left>
      <right style="medium">
        <color indexed="64"/>
      </right>
      <top style="medium">
        <color indexed="64"/>
      </top>
      <bottom/>
      <diagonal/>
    </border>
    <border>
      <left/>
      <right style="medium">
        <color theme="1"/>
      </right>
      <top/>
      <bottom style="medium">
        <color indexed="64"/>
      </bottom>
      <diagonal/>
    </border>
    <border>
      <left style="medium">
        <color theme="1"/>
      </left>
      <right/>
      <top/>
      <bottom style="medium">
        <color indexed="64"/>
      </bottom>
      <diagonal/>
    </border>
    <border>
      <left style="medium">
        <color theme="1"/>
      </left>
      <right style="medium">
        <color indexed="64"/>
      </right>
      <top/>
      <bottom style="medium">
        <color indexed="64"/>
      </bottom>
      <diagonal/>
    </border>
    <border>
      <left style="thin">
        <color theme="0"/>
      </left>
      <right style="medium">
        <color theme="1"/>
      </right>
      <top style="thin">
        <color theme="0"/>
      </top>
      <bottom/>
      <diagonal/>
    </border>
    <border>
      <left style="thin">
        <color theme="0"/>
      </left>
      <right/>
      <top style="medium">
        <color theme="1"/>
      </top>
      <bottom style="thin">
        <color theme="0"/>
      </bottom>
      <diagonal/>
    </border>
    <border>
      <left/>
      <right/>
      <top style="thin">
        <color theme="1"/>
      </top>
      <bottom style="medium">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style="medium">
        <color indexed="64"/>
      </bottom>
      <diagonal/>
    </border>
    <border>
      <left style="medium">
        <color indexed="64"/>
      </left>
      <right style="thin">
        <color theme="1"/>
      </right>
      <top style="thin">
        <color theme="1"/>
      </top>
      <bottom style="thin">
        <color theme="1"/>
      </bottom>
      <diagonal/>
    </border>
    <border>
      <left/>
      <right style="medium">
        <color indexed="64"/>
      </right>
      <top style="medium">
        <color theme="1"/>
      </top>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style="medium">
        <color indexed="64"/>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style="medium">
        <color theme="1"/>
      </left>
      <right/>
      <top style="medium">
        <color indexed="64"/>
      </top>
      <bottom style="medium">
        <color indexed="64"/>
      </bottom>
      <diagonal/>
    </border>
    <border>
      <left/>
      <right/>
      <top style="thin">
        <color theme="0"/>
      </top>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style="medium">
        <color theme="1"/>
      </left>
      <right style="medium">
        <color indexed="64"/>
      </right>
      <top/>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style="thin">
        <color theme="0"/>
      </top>
      <bottom/>
      <diagonal/>
    </border>
    <border>
      <left style="medium">
        <color indexed="64"/>
      </left>
      <right style="medium">
        <color indexed="64"/>
      </right>
      <top/>
      <bottom style="thin">
        <color theme="0"/>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0"/>
      </left>
      <right/>
      <top style="medium">
        <color indexed="64"/>
      </top>
      <bottom style="medium">
        <color indexed="64"/>
      </bottom>
      <diagonal/>
    </border>
    <border>
      <left style="thin">
        <color theme="0"/>
      </left>
      <right/>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theme="1"/>
      </bottom>
      <diagonal/>
    </border>
    <border>
      <left/>
      <right style="thin">
        <color theme="0"/>
      </right>
      <top style="medium">
        <color indexed="64"/>
      </top>
      <bottom style="medium">
        <color indexed="64"/>
      </bottom>
      <diagonal/>
    </border>
  </borders>
  <cellStyleXfs count="2">
    <xf numFmtId="0" fontId="0" fillId="0" borderId="0"/>
    <xf numFmtId="44" fontId="58" fillId="0" borderId="0" applyFont="0" applyFill="0" applyBorder="0" applyAlignment="0" applyProtection="0"/>
  </cellStyleXfs>
  <cellXfs count="2721">
    <xf numFmtId="0" fontId="0" fillId="0" borderId="0" xfId="0"/>
    <xf numFmtId="0" fontId="32" fillId="14" borderId="95" xfId="0" applyFont="1" applyFill="1" applyBorder="1" applyAlignment="1" applyProtection="1">
      <alignment horizontal="center" vertical="center" readingOrder="2"/>
      <protection hidden="1"/>
    </xf>
    <xf numFmtId="0" fontId="29" fillId="0" borderId="113" xfId="0" applyFont="1" applyFill="1" applyBorder="1" applyAlignment="1" applyProtection="1">
      <alignment vertical="center"/>
      <protection hidden="1"/>
    </xf>
    <xf numFmtId="0" fontId="32" fillId="14" borderId="94" xfId="0" applyFont="1" applyFill="1" applyBorder="1" applyAlignment="1" applyProtection="1">
      <alignment horizontal="center" vertical="center" readingOrder="2"/>
      <protection hidden="1"/>
    </xf>
    <xf numFmtId="0" fontId="32" fillId="14" borderId="96" xfId="0" applyFont="1" applyFill="1" applyBorder="1" applyAlignment="1" applyProtection="1">
      <alignment horizontal="center" vertical="center" readingOrder="2"/>
      <protection hidden="1"/>
    </xf>
    <xf numFmtId="0" fontId="32" fillId="14" borderId="72" xfId="0" applyFont="1" applyFill="1" applyBorder="1" applyAlignment="1" applyProtection="1">
      <alignment horizontal="center" vertical="center" readingOrder="1"/>
      <protection hidden="1"/>
    </xf>
    <xf numFmtId="0" fontId="0" fillId="0" borderId="0" xfId="0" applyProtection="1">
      <protection hidden="1"/>
    </xf>
    <xf numFmtId="0" fontId="32" fillId="14" borderId="71" xfId="0" applyFont="1" applyFill="1" applyBorder="1" applyAlignment="1" applyProtection="1">
      <alignment horizontal="center" vertical="center" readingOrder="1"/>
      <protection hidden="1"/>
    </xf>
    <xf numFmtId="0" fontId="32" fillId="14" borderId="73" xfId="0" applyFont="1" applyFill="1" applyBorder="1" applyAlignment="1" applyProtection="1">
      <alignment horizontal="center" vertical="center" readingOrder="1"/>
      <protection hidden="1"/>
    </xf>
    <xf numFmtId="0" fontId="32" fillId="14" borderId="105" xfId="0" applyFont="1" applyFill="1" applyBorder="1" applyAlignment="1" applyProtection="1">
      <alignment horizontal="center" vertical="center" readingOrder="2"/>
      <protection hidden="1"/>
    </xf>
    <xf numFmtId="0" fontId="32" fillId="14" borderId="106" xfId="0" applyFont="1" applyFill="1" applyBorder="1" applyAlignment="1" applyProtection="1">
      <alignment horizontal="center" vertical="center" readingOrder="2"/>
      <protection hidden="1"/>
    </xf>
    <xf numFmtId="0" fontId="0" fillId="0" borderId="0" xfId="0" applyAlignment="1" applyProtection="1">
      <alignment horizontal="center" vertical="center"/>
      <protection hidden="1"/>
    </xf>
    <xf numFmtId="0" fontId="36" fillId="14" borderId="87" xfId="0" applyFont="1" applyFill="1" applyBorder="1" applyAlignment="1" applyProtection="1">
      <alignment horizontal="center" vertical="center" wrapText="1" readingOrder="2"/>
      <protection hidden="1"/>
    </xf>
    <xf numFmtId="0" fontId="0" fillId="0" borderId="0" xfId="0" applyBorder="1" applyAlignment="1" applyProtection="1">
      <alignment horizontal="center" vertical="center"/>
      <protection hidden="1"/>
    </xf>
    <xf numFmtId="0" fontId="49" fillId="0" borderId="0" xfId="0" applyFont="1" applyProtection="1">
      <protection hidden="1"/>
    </xf>
    <xf numFmtId="0" fontId="3" fillId="2" borderId="8" xfId="0" applyFont="1" applyFill="1" applyBorder="1" applyAlignment="1" applyProtection="1">
      <alignment horizontal="center" vertical="center" wrapText="1" readingOrder="2"/>
      <protection hidden="1"/>
    </xf>
    <xf numFmtId="0" fontId="2" fillId="2" borderId="8" xfId="0" applyFont="1" applyFill="1" applyBorder="1" applyAlignment="1" applyProtection="1">
      <alignment horizontal="center" vertical="center" wrapText="1" readingOrder="2"/>
      <protection hidden="1"/>
    </xf>
    <xf numFmtId="166" fontId="0" fillId="0" borderId="0" xfId="0" applyNumberFormat="1" applyAlignment="1" applyProtection="1">
      <alignment horizontal="center" vertical="center"/>
      <protection hidden="1"/>
    </xf>
    <xf numFmtId="0" fontId="30" fillId="0" borderId="8" xfId="0" applyFont="1" applyBorder="1" applyAlignment="1" applyProtection="1">
      <alignment horizontal="center" readingOrder="1"/>
      <protection hidden="1"/>
    </xf>
    <xf numFmtId="0" fontId="1" fillId="2" borderId="8" xfId="0" applyFont="1" applyFill="1" applyBorder="1" applyAlignment="1" applyProtection="1">
      <alignment horizontal="center" vertical="center" wrapText="1" readingOrder="2"/>
      <protection hidden="1"/>
    </xf>
    <xf numFmtId="0" fontId="12" fillId="0" borderId="8" xfId="0" applyFont="1" applyBorder="1" applyAlignment="1" applyProtection="1">
      <alignment horizontal="center" vertical="center"/>
      <protection hidden="1"/>
    </xf>
    <xf numFmtId="0" fontId="13" fillId="0" borderId="0" xfId="0" applyFont="1" applyBorder="1" applyAlignment="1" applyProtection="1">
      <alignment horizontal="center" vertical="center"/>
      <protection hidden="1"/>
    </xf>
    <xf numFmtId="0" fontId="3" fillId="4" borderId="8" xfId="0" applyFont="1" applyFill="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2" fontId="0" fillId="4" borderId="8" xfId="0" applyNumberFormat="1" applyFill="1" applyBorder="1" applyAlignment="1" applyProtection="1">
      <alignment horizontal="center" vertical="center"/>
      <protection hidden="1"/>
    </xf>
    <xf numFmtId="2" fontId="0" fillId="0" borderId="8" xfId="0" applyNumberFormat="1" applyBorder="1" applyAlignment="1" applyProtection="1">
      <alignment horizontal="center" vertical="center"/>
      <protection hidden="1"/>
    </xf>
    <xf numFmtId="164" fontId="30" fillId="4" borderId="8" xfId="0" applyNumberFormat="1" applyFont="1" applyFill="1" applyBorder="1" applyAlignment="1" applyProtection="1">
      <alignment horizontal="center" vertical="center"/>
      <protection hidden="1"/>
    </xf>
    <xf numFmtId="166" fontId="30" fillId="4" borderId="8" xfId="0" applyNumberFormat="1" applyFont="1" applyFill="1" applyBorder="1" applyAlignment="1" applyProtection="1">
      <alignment horizontal="center" vertical="center"/>
      <protection hidden="1"/>
    </xf>
    <xf numFmtId="164" fontId="30" fillId="0" borderId="8" xfId="0" applyNumberFormat="1" applyFont="1" applyFill="1" applyBorder="1" applyAlignment="1" applyProtection="1">
      <alignment horizontal="center" vertical="center"/>
      <protection hidden="1"/>
    </xf>
    <xf numFmtId="166" fontId="30" fillId="9" borderId="8" xfId="0" applyNumberFormat="1" applyFont="1" applyFill="1" applyBorder="1" applyAlignment="1" applyProtection="1">
      <alignment horizontal="center" vertical="center"/>
      <protection hidden="1"/>
    </xf>
    <xf numFmtId="166" fontId="30" fillId="9" borderId="0" xfId="0" applyNumberFormat="1" applyFont="1" applyFill="1" applyBorder="1" applyAlignment="1" applyProtection="1">
      <alignment horizontal="center" vertical="center"/>
      <protection hidden="1"/>
    </xf>
    <xf numFmtId="0" fontId="0" fillId="9" borderId="13" xfId="0" applyFill="1" applyBorder="1" applyProtection="1">
      <protection hidden="1"/>
    </xf>
    <xf numFmtId="0" fontId="0" fillId="9" borderId="14" xfId="0" applyFill="1" applyBorder="1" applyProtection="1">
      <protection hidden="1"/>
    </xf>
    <xf numFmtId="0" fontId="0" fillId="9" borderId="14" xfId="0" applyFill="1" applyBorder="1" applyAlignment="1" applyProtection="1">
      <alignment horizontal="center" vertical="center"/>
      <protection hidden="1"/>
    </xf>
    <xf numFmtId="0" fontId="0" fillId="9" borderId="15" xfId="0" applyFill="1" applyBorder="1" applyProtection="1">
      <protection hidden="1"/>
    </xf>
    <xf numFmtId="0" fontId="44" fillId="0" borderId="8" xfId="0" applyFont="1" applyBorder="1" applyProtection="1">
      <protection hidden="1"/>
    </xf>
    <xf numFmtId="0" fontId="0" fillId="0" borderId="8" xfId="0" applyFill="1" applyBorder="1" applyAlignment="1" applyProtection="1">
      <alignment horizontal="center" vertical="center"/>
      <protection hidden="1"/>
    </xf>
    <xf numFmtId="165" fontId="0" fillId="0" borderId="0" xfId="0" applyNumberFormat="1" applyProtection="1">
      <protection hidden="1"/>
    </xf>
    <xf numFmtId="0" fontId="37" fillId="0" borderId="0" xfId="0" applyFont="1" applyAlignment="1" applyProtection="1">
      <alignment vertical="center"/>
      <protection hidden="1"/>
    </xf>
    <xf numFmtId="0" fontId="6" fillId="4" borderId="42" xfId="0" applyFont="1" applyFill="1" applyBorder="1" applyAlignment="1" applyProtection="1">
      <alignment horizontal="center" vertical="center"/>
      <protection hidden="1"/>
    </xf>
    <xf numFmtId="0" fontId="30" fillId="4" borderId="8" xfId="0" applyFont="1" applyFill="1" applyBorder="1" applyAlignment="1" applyProtection="1">
      <alignment horizontal="center" vertical="center" readingOrder="1"/>
      <protection hidden="1"/>
    </xf>
    <xf numFmtId="0" fontId="1" fillId="4" borderId="44" xfId="0" applyFont="1" applyFill="1" applyBorder="1" applyAlignment="1" applyProtection="1">
      <alignment horizontal="center" vertical="center" readingOrder="2"/>
      <protection hidden="1"/>
    </xf>
    <xf numFmtId="0" fontId="6" fillId="4" borderId="49" xfId="0" applyFont="1" applyFill="1" applyBorder="1" applyAlignment="1" applyProtection="1">
      <alignment horizontal="center" vertical="center"/>
      <protection hidden="1"/>
    </xf>
    <xf numFmtId="0" fontId="30" fillId="4" borderId="9" xfId="0" applyFont="1" applyFill="1" applyBorder="1" applyAlignment="1" applyProtection="1">
      <alignment horizontal="center" vertical="center" readingOrder="1"/>
      <protection hidden="1"/>
    </xf>
    <xf numFmtId="0" fontId="0" fillId="4" borderId="0" xfId="0" applyFill="1" applyBorder="1" applyProtection="1">
      <protection hidden="1"/>
    </xf>
    <xf numFmtId="0" fontId="0" fillId="4" borderId="63" xfId="0" applyFill="1" applyBorder="1" applyProtection="1">
      <protection hidden="1"/>
    </xf>
    <xf numFmtId="0" fontId="6" fillId="4" borderId="8"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0" fillId="4" borderId="1" xfId="0" applyFill="1" applyBorder="1" applyProtection="1">
      <protection hidden="1"/>
    </xf>
    <xf numFmtId="0" fontId="30" fillId="4" borderId="42" xfId="0" applyFont="1" applyFill="1" applyBorder="1" applyAlignment="1" applyProtection="1">
      <alignment horizontal="center" vertical="center" readingOrder="1"/>
      <protection hidden="1"/>
    </xf>
    <xf numFmtId="0" fontId="1" fillId="4" borderId="8" xfId="0" applyFont="1" applyFill="1" applyBorder="1" applyAlignment="1" applyProtection="1">
      <alignment horizontal="center" vertical="center"/>
      <protection hidden="1"/>
    </xf>
    <xf numFmtId="0" fontId="1" fillId="4" borderId="8" xfId="0" applyFont="1" applyFill="1" applyBorder="1" applyAlignment="1" applyProtection="1">
      <alignment horizontal="center" vertical="center" readingOrder="2"/>
      <protection hidden="1"/>
    </xf>
    <xf numFmtId="0" fontId="30" fillId="4" borderId="43" xfId="0" applyFont="1" applyFill="1" applyBorder="1" applyAlignment="1" applyProtection="1">
      <alignment horizontal="center" vertical="center" readingOrder="2"/>
      <protection hidden="1"/>
    </xf>
    <xf numFmtId="0" fontId="1" fillId="4" borderId="41" xfId="0" applyFont="1" applyFill="1" applyBorder="1" applyAlignment="1" applyProtection="1">
      <alignment horizontal="center" vertical="center"/>
      <protection hidden="1"/>
    </xf>
    <xf numFmtId="0" fontId="1" fillId="4" borderId="41" xfId="0" applyFont="1" applyFill="1" applyBorder="1" applyAlignment="1" applyProtection="1">
      <alignment horizontal="center" vertical="center" readingOrder="2"/>
      <protection hidden="1"/>
    </xf>
    <xf numFmtId="0" fontId="0" fillId="4" borderId="3" xfId="0" applyFill="1" applyBorder="1" applyProtection="1">
      <protection hidden="1"/>
    </xf>
    <xf numFmtId="0" fontId="0" fillId="4" borderId="55" xfId="0" applyFill="1" applyBorder="1" applyProtection="1">
      <protection hidden="1"/>
    </xf>
    <xf numFmtId="0" fontId="0" fillId="7" borderId="61" xfId="0" applyFill="1" applyBorder="1" applyProtection="1">
      <protection hidden="1"/>
    </xf>
    <xf numFmtId="0" fontId="0" fillId="7" borderId="62" xfId="0" applyFill="1" applyBorder="1" applyProtection="1">
      <protection hidden="1"/>
    </xf>
    <xf numFmtId="0" fontId="6" fillId="7" borderId="42" xfId="0" applyFont="1" applyFill="1" applyBorder="1" applyAlignment="1" applyProtection="1">
      <alignment horizontal="center" vertical="center"/>
      <protection hidden="1"/>
    </xf>
    <xf numFmtId="0" fontId="6" fillId="7" borderId="8" xfId="0" applyFont="1" applyFill="1" applyBorder="1" applyAlignment="1" applyProtection="1">
      <alignment horizontal="center" vertical="center"/>
      <protection hidden="1"/>
    </xf>
    <xf numFmtId="0" fontId="0" fillId="7" borderId="0" xfId="0" applyFill="1" applyBorder="1" applyProtection="1">
      <protection hidden="1"/>
    </xf>
    <xf numFmtId="0" fontId="0" fillId="7" borderId="63" xfId="0" applyFill="1" applyBorder="1" applyProtection="1">
      <protection hidden="1"/>
    </xf>
    <xf numFmtId="0" fontId="6" fillId="7" borderId="50" xfId="0" applyFont="1" applyFill="1" applyBorder="1" applyAlignment="1" applyProtection="1">
      <alignment horizontal="center" vertical="center"/>
      <protection hidden="1"/>
    </xf>
    <xf numFmtId="0" fontId="30" fillId="7" borderId="11" xfId="0" applyFont="1" applyFill="1" applyBorder="1" applyAlignment="1" applyProtection="1">
      <alignment horizontal="center" vertical="center" readingOrder="1"/>
      <protection hidden="1"/>
    </xf>
    <xf numFmtId="0" fontId="30" fillId="7" borderId="8" xfId="0" applyFont="1" applyFill="1" applyBorder="1" applyAlignment="1" applyProtection="1">
      <alignment horizontal="center" vertical="center" readingOrder="1"/>
      <protection hidden="1"/>
    </xf>
    <xf numFmtId="0" fontId="30" fillId="7" borderId="44" xfId="0" applyFont="1" applyFill="1" applyBorder="1" applyAlignment="1" applyProtection="1">
      <alignment horizontal="center" vertical="center" readingOrder="1"/>
      <protection hidden="1"/>
    </xf>
    <xf numFmtId="0" fontId="30" fillId="7" borderId="42" xfId="0" applyFont="1" applyFill="1" applyBorder="1" applyAlignment="1" applyProtection="1">
      <alignment horizontal="center" vertical="center" readingOrder="1"/>
      <protection hidden="1"/>
    </xf>
    <xf numFmtId="0" fontId="1" fillId="7" borderId="11" xfId="0" applyFont="1" applyFill="1" applyBorder="1" applyAlignment="1" applyProtection="1">
      <alignment horizontal="center" vertical="center"/>
      <protection hidden="1"/>
    </xf>
    <xf numFmtId="0" fontId="1" fillId="7" borderId="11" xfId="0" applyFont="1" applyFill="1" applyBorder="1" applyAlignment="1" applyProtection="1">
      <alignment horizontal="center" vertical="center" readingOrder="2"/>
      <protection hidden="1"/>
    </xf>
    <xf numFmtId="0" fontId="30" fillId="7" borderId="43" xfId="0" applyFont="1" applyFill="1" applyBorder="1" applyAlignment="1" applyProtection="1">
      <alignment horizontal="center" vertical="center" readingOrder="1"/>
      <protection hidden="1"/>
    </xf>
    <xf numFmtId="0" fontId="1" fillId="7" borderId="59" xfId="0" applyFont="1" applyFill="1" applyBorder="1" applyAlignment="1" applyProtection="1">
      <alignment horizontal="center" vertical="center"/>
      <protection hidden="1"/>
    </xf>
    <xf numFmtId="0" fontId="1" fillId="7" borderId="59" xfId="0" applyFont="1" applyFill="1" applyBorder="1" applyAlignment="1" applyProtection="1">
      <alignment horizontal="center" vertical="center" readingOrder="2"/>
      <protection hidden="1"/>
    </xf>
    <xf numFmtId="0" fontId="0" fillId="7" borderId="3" xfId="0" applyFill="1" applyBorder="1" applyProtection="1">
      <protection hidden="1"/>
    </xf>
    <xf numFmtId="0" fontId="0" fillId="7" borderId="55" xfId="0" applyFill="1" applyBorder="1" applyProtection="1">
      <protection hidden="1"/>
    </xf>
    <xf numFmtId="0" fontId="1" fillId="10" borderId="0" xfId="0" applyFont="1" applyFill="1" applyBorder="1" applyAlignment="1" applyProtection="1">
      <alignment horizontal="center" vertical="center" readingOrder="1"/>
      <protection hidden="1"/>
    </xf>
    <xf numFmtId="0" fontId="30" fillId="12" borderId="43" xfId="0" applyFont="1" applyFill="1" applyBorder="1" applyAlignment="1" applyProtection="1">
      <alignment horizontal="center" vertical="center" readingOrder="1"/>
      <protection hidden="1"/>
    </xf>
    <xf numFmtId="0" fontId="3" fillId="0" borderId="8" xfId="0" applyFont="1" applyBorder="1" applyAlignment="1" applyProtection="1">
      <alignment horizontal="center" vertical="center" readingOrder="2"/>
      <protection hidden="1"/>
    </xf>
    <xf numFmtId="0" fontId="2" fillId="0" borderId="8" xfId="0" applyFont="1" applyBorder="1" applyAlignment="1" applyProtection="1">
      <alignment horizontal="center" vertical="center" readingOrder="2"/>
      <protection hidden="1"/>
    </xf>
    <xf numFmtId="0" fontId="6" fillId="7" borderId="13" xfId="0" applyFont="1" applyFill="1" applyBorder="1" applyAlignment="1" applyProtection="1">
      <alignment horizontal="center" vertical="center" readingOrder="2"/>
      <protection hidden="1"/>
    </xf>
    <xf numFmtId="0" fontId="30" fillId="0" borderId="8" xfId="0" applyFont="1" applyFill="1" applyBorder="1" applyAlignment="1" applyProtection="1">
      <alignment horizontal="center" vertical="center" readingOrder="1"/>
      <protection hidden="1"/>
    </xf>
    <xf numFmtId="0" fontId="22" fillId="0" borderId="8" xfId="0" applyFont="1" applyBorder="1" applyAlignment="1" applyProtection="1">
      <alignment horizontal="center" vertical="center" readingOrder="1"/>
      <protection hidden="1"/>
    </xf>
    <xf numFmtId="0" fontId="12" fillId="0" borderId="8" xfId="0" applyFont="1" applyBorder="1" applyAlignment="1" applyProtection="1">
      <alignment horizontal="center"/>
      <protection hidden="1"/>
    </xf>
    <xf numFmtId="0" fontId="6" fillId="0" borderId="8" xfId="0" applyFont="1" applyBorder="1" applyAlignment="1" applyProtection="1">
      <alignment horizontal="center" vertical="center" readingOrder="2"/>
      <protection hidden="1"/>
    </xf>
    <xf numFmtId="0" fontId="6" fillId="0" borderId="8" xfId="0" applyFont="1" applyBorder="1" applyAlignment="1" applyProtection="1">
      <alignment horizontal="center" vertical="center" readingOrder="1"/>
      <protection hidden="1"/>
    </xf>
    <xf numFmtId="164" fontId="22" fillId="0" borderId="8" xfId="0" applyNumberFormat="1" applyFont="1" applyBorder="1" applyAlignment="1" applyProtection="1">
      <alignment horizontal="center" vertical="center" readingOrder="1"/>
      <protection hidden="1"/>
    </xf>
    <xf numFmtId="0" fontId="6" fillId="0" borderId="13" xfId="0" applyFont="1" applyBorder="1" applyAlignment="1" applyProtection="1">
      <alignment horizontal="center" vertical="center" readingOrder="2"/>
      <protection hidden="1"/>
    </xf>
    <xf numFmtId="0" fontId="6" fillId="14" borderId="8" xfId="0" applyFont="1" applyFill="1" applyBorder="1" applyAlignment="1" applyProtection="1">
      <alignment horizontal="center" vertical="center"/>
      <protection hidden="1"/>
    </xf>
    <xf numFmtId="0" fontId="12" fillId="14" borderId="8" xfId="0" applyFont="1" applyFill="1" applyBorder="1" applyAlignment="1" applyProtection="1">
      <alignment horizontal="center" vertical="center"/>
      <protection hidden="1"/>
    </xf>
    <xf numFmtId="0" fontId="6" fillId="14" borderId="42" xfId="0" applyFont="1" applyFill="1" applyBorder="1" applyAlignment="1" applyProtection="1">
      <alignment horizontal="center" vertical="center"/>
      <protection hidden="1"/>
    </xf>
    <xf numFmtId="0" fontId="39" fillId="14" borderId="11" xfId="0" applyFont="1" applyFill="1" applyBorder="1" applyAlignment="1" applyProtection="1">
      <alignment horizontal="center" vertical="center"/>
      <protection hidden="1"/>
    </xf>
    <xf numFmtId="0" fontId="39" fillId="14" borderId="10" xfId="0" applyFont="1" applyFill="1" applyBorder="1" applyAlignment="1" applyProtection="1">
      <alignment horizontal="center" vertical="center"/>
      <protection hidden="1"/>
    </xf>
    <xf numFmtId="0" fontId="12" fillId="14" borderId="13" xfId="0" applyFont="1" applyFill="1" applyBorder="1" applyAlignment="1" applyProtection="1">
      <alignment horizontal="center" vertical="center"/>
      <protection hidden="1"/>
    </xf>
    <xf numFmtId="0" fontId="39" fillId="14" borderId="8" xfId="0" applyFont="1" applyFill="1" applyBorder="1" applyAlignment="1" applyProtection="1">
      <alignment horizontal="center" vertical="center"/>
      <protection hidden="1"/>
    </xf>
    <xf numFmtId="0" fontId="6" fillId="14" borderId="13" xfId="0" applyFont="1" applyFill="1" applyBorder="1" applyAlignment="1" applyProtection="1">
      <alignment horizontal="center" vertical="center"/>
      <protection hidden="1"/>
    </xf>
    <xf numFmtId="0" fontId="41" fillId="0" borderId="0" xfId="0" applyFont="1" applyProtection="1">
      <protection hidden="1"/>
    </xf>
    <xf numFmtId="0" fontId="25" fillId="15" borderId="8" xfId="0" applyFont="1" applyFill="1" applyBorder="1" applyAlignment="1" applyProtection="1">
      <alignment horizontal="center" vertical="center"/>
      <protection hidden="1"/>
    </xf>
    <xf numFmtId="0" fontId="6" fillId="15" borderId="8" xfId="0" applyFont="1" applyFill="1" applyBorder="1" applyAlignment="1" applyProtection="1">
      <alignment horizontal="center" vertical="center"/>
      <protection hidden="1"/>
    </xf>
    <xf numFmtId="0" fontId="50" fillId="15" borderId="8" xfId="0" applyFont="1" applyFill="1" applyBorder="1" applyAlignment="1" applyProtection="1">
      <alignment horizontal="center" vertical="center"/>
      <protection hidden="1"/>
    </xf>
    <xf numFmtId="0" fontId="49" fillId="16" borderId="9" xfId="0" applyFont="1" applyFill="1" applyBorder="1" applyAlignment="1" applyProtection="1">
      <alignment readingOrder="2"/>
      <protection hidden="1"/>
    </xf>
    <xf numFmtId="0" fontId="49" fillId="16" borderId="8" xfId="0" applyFont="1" applyFill="1" applyBorder="1" applyProtection="1">
      <protection hidden="1"/>
    </xf>
    <xf numFmtId="0" fontId="0" fillId="16" borderId="8" xfId="0" applyFill="1" applyBorder="1" applyProtection="1">
      <protection hidden="1"/>
    </xf>
    <xf numFmtId="0" fontId="49" fillId="16" borderId="0" xfId="0" applyFont="1" applyFill="1" applyBorder="1" applyProtection="1">
      <protection hidden="1"/>
    </xf>
    <xf numFmtId="0" fontId="49" fillId="16" borderId="10" xfId="0" applyFont="1" applyFill="1" applyBorder="1" applyProtection="1">
      <protection hidden="1"/>
    </xf>
    <xf numFmtId="0" fontId="49" fillId="17" borderId="8" xfId="0" applyFont="1" applyFill="1" applyBorder="1" applyAlignment="1" applyProtection="1">
      <alignment vertical="center"/>
      <protection hidden="1"/>
    </xf>
    <xf numFmtId="0" fontId="49" fillId="8" borderId="8" xfId="0" applyFont="1" applyFill="1" applyBorder="1" applyAlignment="1" applyProtection="1">
      <alignment vertical="center"/>
      <protection hidden="1"/>
    </xf>
    <xf numFmtId="0" fontId="49" fillId="14" borderId="8" xfId="0" applyFont="1" applyFill="1" applyBorder="1" applyAlignment="1" applyProtection="1">
      <alignment vertical="center"/>
      <protection hidden="1"/>
    </xf>
    <xf numFmtId="0" fontId="49" fillId="14" borderId="8" xfId="0" applyFont="1" applyFill="1" applyBorder="1" applyAlignment="1" applyProtection="1">
      <alignment horizontal="right" vertical="center" readingOrder="2"/>
      <protection hidden="1"/>
    </xf>
    <xf numFmtId="0" fontId="49" fillId="18" borderId="8" xfId="0" applyFont="1" applyFill="1" applyBorder="1" applyAlignment="1" applyProtection="1">
      <alignment horizontal="right" vertical="center" readingOrder="2"/>
      <protection hidden="1"/>
    </xf>
    <xf numFmtId="0" fontId="49" fillId="18" borderId="8" xfId="0" applyFont="1" applyFill="1" applyBorder="1" applyAlignment="1" applyProtection="1">
      <alignment vertical="center"/>
      <protection hidden="1"/>
    </xf>
    <xf numFmtId="0" fontId="49" fillId="0" borderId="0" xfId="0" applyFont="1" applyFill="1" applyBorder="1" applyAlignment="1" applyProtection="1">
      <alignment horizontal="right" vertical="center" readingOrder="2"/>
      <protection hidden="1"/>
    </xf>
    <xf numFmtId="0" fontId="3" fillId="0" borderId="144" xfId="0" applyFont="1" applyBorder="1" applyAlignment="1" applyProtection="1">
      <alignment horizontal="center" vertical="center" wrapText="1" readingOrder="2"/>
      <protection hidden="1"/>
    </xf>
    <xf numFmtId="0" fontId="3" fillId="0" borderId="146" xfId="0" applyFont="1" applyBorder="1" applyAlignment="1" applyProtection="1">
      <alignment horizontal="center" vertical="center" wrapText="1" readingOrder="2"/>
      <protection hidden="1"/>
    </xf>
    <xf numFmtId="0" fontId="6" fillId="18" borderId="8" xfId="0" applyFont="1" applyFill="1" applyBorder="1" applyAlignment="1" applyProtection="1">
      <alignment horizontal="right" vertical="center" wrapText="1"/>
      <protection hidden="1"/>
    </xf>
    <xf numFmtId="0" fontId="3" fillId="0" borderId="8" xfId="0" applyFont="1" applyBorder="1" applyAlignment="1" applyProtection="1">
      <alignment horizontal="center" vertical="center" wrapText="1" readingOrder="2"/>
      <protection hidden="1"/>
    </xf>
    <xf numFmtId="0" fontId="6" fillId="18" borderId="8" xfId="0" applyFont="1" applyFill="1" applyBorder="1" applyAlignment="1" applyProtection="1">
      <alignment horizontal="center" vertical="center" wrapText="1" readingOrder="2"/>
      <protection hidden="1"/>
    </xf>
    <xf numFmtId="0" fontId="49" fillId="18" borderId="8" xfId="0" applyFont="1" applyFill="1" applyBorder="1" applyAlignment="1" applyProtection="1">
      <alignment horizontal="center" vertical="center"/>
      <protection hidden="1"/>
    </xf>
    <xf numFmtId="0" fontId="3" fillId="0" borderId="143" xfId="0" applyFont="1" applyBorder="1" applyAlignment="1" applyProtection="1">
      <alignment horizontal="center" vertical="center" wrapText="1" readingOrder="2"/>
      <protection hidden="1"/>
    </xf>
    <xf numFmtId="0" fontId="3" fillId="0" borderId="145" xfId="0" applyFont="1" applyBorder="1" applyAlignment="1" applyProtection="1">
      <alignment horizontal="center" vertical="center" wrapText="1" readingOrder="2"/>
      <protection hidden="1"/>
    </xf>
    <xf numFmtId="0" fontId="6" fillId="18" borderId="0" xfId="0" applyFont="1" applyFill="1" applyBorder="1" applyAlignment="1" applyProtection="1">
      <alignment horizontal="center" vertical="center" wrapText="1" readingOrder="2"/>
      <protection hidden="1"/>
    </xf>
    <xf numFmtId="0" fontId="3" fillId="0" borderId="148" xfId="0" applyFont="1" applyBorder="1" applyAlignment="1" applyProtection="1">
      <alignment horizontal="center" vertical="center" wrapText="1" readingOrder="2"/>
      <protection hidden="1"/>
    </xf>
    <xf numFmtId="0" fontId="3" fillId="0" borderId="149" xfId="0" applyFont="1" applyBorder="1" applyAlignment="1" applyProtection="1">
      <alignment horizontal="center" vertical="center" wrapText="1" readingOrder="2"/>
      <protection hidden="1"/>
    </xf>
    <xf numFmtId="0" fontId="6" fillId="18" borderId="98" xfId="0" applyFont="1" applyFill="1" applyBorder="1" applyAlignment="1" applyProtection="1">
      <alignment horizontal="center" vertical="center"/>
      <protection hidden="1"/>
    </xf>
    <xf numFmtId="0" fontId="3" fillId="0" borderId="155" xfId="0" applyFont="1" applyBorder="1" applyAlignment="1" applyProtection="1">
      <alignment horizontal="center" vertical="center" wrapText="1" readingOrder="2"/>
      <protection hidden="1"/>
    </xf>
    <xf numFmtId="0" fontId="2" fillId="0" borderId="4" xfId="0" applyFont="1" applyBorder="1" applyAlignment="1" applyProtection="1">
      <alignment horizontal="center" vertical="center" wrapText="1" readingOrder="2"/>
      <protection hidden="1"/>
    </xf>
    <xf numFmtId="0" fontId="6" fillId="18" borderId="0" xfId="0" applyFont="1" applyFill="1" applyBorder="1" applyAlignment="1" applyProtection="1">
      <alignment horizontal="center" vertical="center"/>
      <protection hidden="1"/>
    </xf>
    <xf numFmtId="0" fontId="0" fillId="0" borderId="0" xfId="0" applyAlignment="1" applyProtection="1">
      <alignment readingOrder="2"/>
      <protection hidden="1"/>
    </xf>
    <xf numFmtId="0" fontId="53" fillId="0" borderId="0" xfId="0" applyFont="1" applyAlignment="1" applyProtection="1">
      <alignment readingOrder="2"/>
      <protection hidden="1"/>
    </xf>
    <xf numFmtId="0" fontId="55" fillId="0" borderId="0" xfId="0" applyFont="1" applyAlignment="1" applyProtection="1">
      <alignment readingOrder="2"/>
      <protection hidden="1"/>
    </xf>
    <xf numFmtId="0" fontId="3" fillId="2" borderId="32" xfId="0" applyFont="1" applyFill="1" applyBorder="1" applyAlignment="1" applyProtection="1">
      <alignment horizontal="center" vertical="center" wrapText="1" readingOrder="2"/>
      <protection hidden="1"/>
    </xf>
    <xf numFmtId="0" fontId="0" fillId="2" borderId="32" xfId="0" applyFill="1" applyBorder="1" applyAlignment="1" applyProtection="1">
      <alignment vertical="center" wrapText="1"/>
      <protection hidden="1"/>
    </xf>
    <xf numFmtId="0" fontId="3" fillId="2" borderId="8" xfId="0" applyFont="1" applyFill="1" applyBorder="1" applyAlignment="1" applyProtection="1">
      <alignment horizontal="center" vertical="center" wrapText="1" readingOrder="1"/>
      <protection hidden="1"/>
    </xf>
    <xf numFmtId="0" fontId="6" fillId="2" borderId="32" xfId="0" applyFont="1" applyFill="1" applyBorder="1" applyAlignment="1" applyProtection="1">
      <alignment horizontal="right" vertical="center" wrapText="1" readingOrder="2"/>
      <protection hidden="1"/>
    </xf>
    <xf numFmtId="0" fontId="7" fillId="2" borderId="32" xfId="0" applyFont="1" applyFill="1" applyBorder="1" applyAlignment="1" applyProtection="1">
      <alignment horizontal="right" vertical="center" wrapText="1" readingOrder="2"/>
      <protection hidden="1"/>
    </xf>
    <xf numFmtId="0" fontId="6" fillId="0" borderId="0" xfId="0" applyFont="1" applyProtection="1">
      <protection hidden="1"/>
    </xf>
    <xf numFmtId="0" fontId="1" fillId="0" borderId="8" xfId="0" applyFont="1" applyBorder="1" applyAlignment="1" applyProtection="1">
      <alignment horizontal="center" vertical="center" wrapText="1" readingOrder="2"/>
      <protection hidden="1"/>
    </xf>
    <xf numFmtId="0" fontId="0" fillId="5" borderId="2" xfId="0" applyFill="1" applyBorder="1" applyProtection="1">
      <protection hidden="1"/>
    </xf>
    <xf numFmtId="0" fontId="0" fillId="5" borderId="0" xfId="0" applyFill="1" applyBorder="1" applyProtection="1">
      <protection hidden="1"/>
    </xf>
    <xf numFmtId="0" fontId="18" fillId="2" borderId="8" xfId="0" applyFont="1" applyFill="1" applyBorder="1" applyAlignment="1" applyProtection="1">
      <alignment horizontal="center" vertical="center" wrapText="1" readingOrder="2"/>
      <protection hidden="1"/>
    </xf>
    <xf numFmtId="0" fontId="19" fillId="0" borderId="8" xfId="0" applyFont="1" applyBorder="1" applyAlignment="1" applyProtection="1">
      <alignment horizontal="center" vertical="center" wrapText="1" readingOrder="2"/>
      <protection hidden="1"/>
    </xf>
    <xf numFmtId="0" fontId="20" fillId="2" borderId="8" xfId="0" applyFont="1" applyFill="1" applyBorder="1" applyAlignment="1" applyProtection="1">
      <alignment horizontal="center" vertical="center" wrapText="1" readingOrder="2"/>
      <protection hidden="1"/>
    </xf>
    <xf numFmtId="0" fontId="21" fillId="0" borderId="8" xfId="0" applyFont="1" applyBorder="1" applyAlignment="1" applyProtection="1">
      <alignment horizontal="center" vertical="center" readingOrder="1"/>
      <protection hidden="1"/>
    </xf>
    <xf numFmtId="0" fontId="20" fillId="2" borderId="8" xfId="0" applyFont="1" applyFill="1" applyBorder="1" applyAlignment="1" applyProtection="1">
      <alignment horizontal="right" vertical="center" wrapText="1" readingOrder="2"/>
      <protection hidden="1"/>
    </xf>
    <xf numFmtId="0" fontId="19" fillId="0" borderId="13" xfId="0" applyFont="1" applyBorder="1" applyAlignment="1" applyProtection="1">
      <alignment horizontal="center" vertical="center" readingOrder="1"/>
      <protection hidden="1"/>
    </xf>
    <xf numFmtId="0" fontId="21" fillId="0" borderId="13" xfId="0" applyFont="1" applyBorder="1" applyAlignment="1" applyProtection="1">
      <alignment horizontal="center" vertical="center" readingOrder="1"/>
      <protection hidden="1"/>
    </xf>
    <xf numFmtId="0" fontId="22" fillId="0" borderId="13" xfId="0" applyFont="1" applyBorder="1" applyAlignment="1" applyProtection="1">
      <alignment horizontal="center" vertical="center" readingOrder="1"/>
      <protection hidden="1"/>
    </xf>
    <xf numFmtId="0" fontId="18" fillId="2" borderId="8" xfId="0" applyFont="1" applyFill="1" applyBorder="1" applyAlignment="1" applyProtection="1">
      <alignment horizontal="right" vertical="center" wrapText="1" readingOrder="2"/>
      <protection hidden="1"/>
    </xf>
    <xf numFmtId="0" fontId="21" fillId="0" borderId="8" xfId="0" applyFont="1" applyBorder="1" applyAlignment="1" applyProtection="1">
      <alignment horizontal="center" vertical="center" wrapText="1" readingOrder="2"/>
      <protection hidden="1"/>
    </xf>
    <xf numFmtId="0" fontId="21" fillId="0" borderId="13" xfId="0" applyFont="1" applyBorder="1" applyAlignment="1" applyProtection="1">
      <alignment horizontal="center" vertical="center" wrapText="1" readingOrder="2"/>
      <protection hidden="1"/>
    </xf>
    <xf numFmtId="0" fontId="8" fillId="13" borderId="8" xfId="0" applyFont="1" applyFill="1" applyBorder="1" applyAlignment="1" applyProtection="1">
      <alignment horizontal="center" vertical="center" wrapText="1" readingOrder="1"/>
      <protection hidden="1"/>
    </xf>
    <xf numFmtId="0" fontId="8" fillId="13" borderId="8" xfId="0" applyFont="1" applyFill="1" applyBorder="1" applyAlignment="1" applyProtection="1">
      <alignment horizontal="center" vertical="center" wrapText="1" readingOrder="2"/>
      <protection hidden="1"/>
    </xf>
    <xf numFmtId="0" fontId="8" fillId="0" borderId="8" xfId="0" applyFont="1" applyBorder="1" applyAlignment="1" applyProtection="1">
      <alignment horizontal="center" vertical="center" wrapText="1" readingOrder="2"/>
      <protection hidden="1"/>
    </xf>
    <xf numFmtId="0" fontId="8" fillId="0" borderId="9" xfId="0" applyFont="1" applyBorder="1" applyAlignment="1" applyProtection="1">
      <alignment horizontal="center" vertical="center" wrapText="1" readingOrder="2"/>
      <protection hidden="1"/>
    </xf>
    <xf numFmtId="0" fontId="1" fillId="0" borderId="9" xfId="0" applyFont="1" applyBorder="1" applyAlignment="1" applyProtection="1">
      <alignment horizontal="center" vertical="center" wrapText="1" readingOrder="2"/>
      <protection hidden="1"/>
    </xf>
    <xf numFmtId="0" fontId="0" fillId="6" borderId="0" xfId="0" applyFill="1" applyBorder="1" applyProtection="1">
      <protection hidden="1"/>
    </xf>
    <xf numFmtId="0" fontId="8" fillId="0" borderId="8" xfId="0" applyFont="1" applyBorder="1" applyAlignment="1" applyProtection="1">
      <alignment horizontal="center" vertical="center" wrapText="1" readingOrder="1"/>
      <protection hidden="1"/>
    </xf>
    <xf numFmtId="0" fontId="2" fillId="0" borderId="8" xfId="0" applyFont="1" applyBorder="1" applyAlignment="1" applyProtection="1">
      <alignment horizontal="center" vertical="center" wrapText="1" readingOrder="2"/>
      <protection hidden="1"/>
    </xf>
    <xf numFmtId="0" fontId="1" fillId="0" borderId="37" xfId="0" applyFont="1" applyBorder="1" applyAlignment="1" applyProtection="1">
      <alignment horizontal="center" vertical="center" wrapText="1" readingOrder="2"/>
      <protection hidden="1"/>
    </xf>
    <xf numFmtId="0" fontId="2" fillId="0" borderId="9" xfId="0" applyFont="1" applyBorder="1" applyAlignment="1" applyProtection="1">
      <alignment horizontal="center" vertical="center" wrapText="1" readingOrder="2"/>
      <protection hidden="1"/>
    </xf>
    <xf numFmtId="0" fontId="22" fillId="0" borderId="9" xfId="0" applyFont="1" applyBorder="1" applyAlignment="1" applyProtection="1">
      <alignment horizontal="center" vertical="center" readingOrder="1"/>
      <protection hidden="1"/>
    </xf>
    <xf numFmtId="0" fontId="1" fillId="0" borderId="38" xfId="0" applyFont="1" applyBorder="1" applyAlignment="1" applyProtection="1">
      <alignment horizontal="center" vertical="center" wrapText="1" readingOrder="2"/>
      <protection hidden="1"/>
    </xf>
    <xf numFmtId="0" fontId="25" fillId="0" borderId="0" xfId="0" applyFont="1" applyAlignment="1" applyProtection="1">
      <alignment horizontal="justify" vertical="center" readingOrder="2"/>
      <protection hidden="1"/>
    </xf>
    <xf numFmtId="0" fontId="0" fillId="0" borderId="0" xfId="0" applyFont="1" applyAlignment="1" applyProtection="1">
      <alignment vertical="center"/>
      <protection hidden="1"/>
    </xf>
    <xf numFmtId="0" fontId="0" fillId="4" borderId="8" xfId="0" applyFill="1" applyBorder="1" applyAlignment="1" applyProtection="1">
      <alignment horizontal="center" vertical="center"/>
      <protection hidden="1"/>
    </xf>
    <xf numFmtId="0" fontId="3" fillId="4" borderId="8"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30" fillId="24" borderId="8" xfId="0" applyFont="1" applyFill="1" applyBorder="1" applyAlignment="1" applyProtection="1">
      <alignment horizontal="center" readingOrder="1"/>
      <protection hidden="1"/>
    </xf>
    <xf numFmtId="0" fontId="1" fillId="24" borderId="8" xfId="0" applyFont="1" applyFill="1" applyBorder="1" applyAlignment="1" applyProtection="1">
      <alignment horizontal="center" vertical="center" wrapText="1" readingOrder="2"/>
      <protection hidden="1"/>
    </xf>
    <xf numFmtId="0" fontId="59" fillId="0" borderId="8" xfId="0" applyFont="1" applyBorder="1" applyAlignment="1" applyProtection="1">
      <alignment horizontal="center" readingOrder="1"/>
      <protection hidden="1"/>
    </xf>
    <xf numFmtId="0" fontId="0" fillId="4" borderId="8" xfId="0" applyFill="1" applyBorder="1" applyAlignment="1" applyProtection="1">
      <alignment horizontal="center" vertical="center"/>
      <protection hidden="1"/>
    </xf>
    <xf numFmtId="0" fontId="3" fillId="4" borderId="8"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8" xfId="0" applyBorder="1" applyAlignment="1" applyProtection="1">
      <alignment horizontal="center" vertical="center"/>
      <protection hidden="1"/>
    </xf>
    <xf numFmtId="0" fontId="3" fillId="4" borderId="8" xfId="0" applyFont="1" applyFill="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4" borderId="1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3" fillId="4" borderId="181" xfId="0" applyFont="1" applyFill="1" applyBorder="1" applyAlignment="1" applyProtection="1">
      <alignment horizontal="center" vertical="center"/>
      <protection hidden="1"/>
    </xf>
    <xf numFmtId="166" fontId="45" fillId="4" borderId="57" xfId="0" applyNumberFormat="1" applyFont="1" applyFill="1" applyBorder="1" applyAlignment="1" applyProtection="1">
      <alignment horizontal="center" vertical="center"/>
      <protection hidden="1"/>
    </xf>
    <xf numFmtId="0" fontId="45" fillId="4" borderId="58" xfId="0" applyFont="1" applyFill="1" applyBorder="1" applyAlignment="1" applyProtection="1">
      <alignment horizontal="center" vertical="center"/>
      <protection hidden="1"/>
    </xf>
    <xf numFmtId="0" fontId="45" fillId="4" borderId="142" xfId="0" applyFont="1" applyFill="1" applyBorder="1" applyAlignment="1" applyProtection="1">
      <alignment horizontal="center" vertical="center"/>
      <protection hidden="1"/>
    </xf>
    <xf numFmtId="0" fontId="3" fillId="4" borderId="142" xfId="0" applyFont="1" applyFill="1" applyBorder="1" applyAlignment="1" applyProtection="1">
      <alignment horizontal="center" vertical="center"/>
      <protection hidden="1"/>
    </xf>
    <xf numFmtId="2" fontId="0" fillId="4" borderId="11" xfId="0" applyNumberFormat="1" applyFill="1" applyBorder="1" applyAlignment="1" applyProtection="1">
      <alignment horizontal="center" vertical="center"/>
      <protection hidden="1"/>
    </xf>
    <xf numFmtId="0" fontId="45" fillId="4" borderId="54" xfId="0" applyFont="1" applyFill="1" applyBorder="1" applyAlignment="1" applyProtection="1">
      <alignment horizontal="center" vertical="center"/>
      <protection hidden="1"/>
    </xf>
    <xf numFmtId="0" fontId="45" fillId="4" borderId="169" xfId="0" applyFont="1" applyFill="1" applyBorder="1" applyAlignment="1" applyProtection="1">
      <alignment horizontal="center" vertical="center"/>
      <protection hidden="1"/>
    </xf>
    <xf numFmtId="0" fontId="3" fillId="0" borderId="181" xfId="0" applyFont="1" applyFill="1" applyBorder="1" applyAlignment="1" applyProtection="1">
      <alignment horizontal="center" vertical="center"/>
      <protection hidden="1"/>
    </xf>
    <xf numFmtId="166" fontId="45" fillId="0" borderId="57" xfId="0" applyNumberFormat="1" applyFont="1" applyFill="1" applyBorder="1" applyAlignment="1" applyProtection="1">
      <alignment horizontal="center" vertical="center"/>
      <protection hidden="1"/>
    </xf>
    <xf numFmtId="0" fontId="45" fillId="0" borderId="58" xfId="0" applyFont="1" applyFill="1" applyBorder="1" applyAlignment="1" applyProtection="1">
      <alignment horizontal="center" vertical="center"/>
      <protection hidden="1"/>
    </xf>
    <xf numFmtId="0" fontId="45" fillId="0" borderId="142" xfId="0" applyFont="1" applyFill="1" applyBorder="1" applyAlignment="1" applyProtection="1">
      <alignment horizontal="center" vertical="center"/>
      <protection hidden="1"/>
    </xf>
    <xf numFmtId="0" fontId="45" fillId="0" borderId="54" xfId="0" applyFont="1" applyFill="1" applyBorder="1" applyAlignment="1" applyProtection="1">
      <alignment horizontal="center" vertical="center"/>
      <protection hidden="1"/>
    </xf>
    <xf numFmtId="0" fontId="45" fillId="0" borderId="169" xfId="0" applyFont="1" applyFill="1" applyBorder="1" applyAlignment="1" applyProtection="1">
      <alignment horizontal="center" vertical="center"/>
      <protection hidden="1"/>
    </xf>
    <xf numFmtId="0" fontId="3" fillId="0" borderId="142" xfId="0" applyFont="1"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3" fillId="4" borderId="8" xfId="0" applyFont="1"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166" fontId="30" fillId="0" borderId="8" xfId="0" applyNumberFormat="1" applyFont="1" applyFill="1" applyBorder="1" applyAlignment="1" applyProtection="1">
      <alignment horizontal="center" vertical="center"/>
      <protection hidden="1"/>
    </xf>
    <xf numFmtId="2" fontId="0" fillId="0" borderId="8" xfId="0" applyNumberFormat="1"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41" fillId="0" borderId="0" xfId="0" applyFont="1" applyAlignment="1" applyProtection="1">
      <alignment vertical="center"/>
      <protection hidden="1"/>
    </xf>
    <xf numFmtId="0" fontId="32" fillId="19" borderId="158" xfId="0" applyFont="1" applyFill="1" applyBorder="1" applyAlignment="1" applyProtection="1">
      <alignment horizontal="center" vertical="center" readingOrder="2"/>
      <protection hidden="1"/>
    </xf>
    <xf numFmtId="0" fontId="51" fillId="19" borderId="0" xfId="0" applyFont="1" applyFill="1" applyBorder="1" applyAlignment="1" applyProtection="1">
      <alignment vertical="center"/>
      <protection hidden="1"/>
    </xf>
    <xf numFmtId="0" fontId="41" fillId="20" borderId="48" xfId="0" applyFont="1" applyFill="1" applyBorder="1" applyAlignment="1" applyProtection="1">
      <alignment vertical="center"/>
      <protection hidden="1"/>
    </xf>
    <xf numFmtId="0" fontId="41" fillId="0" borderId="0" xfId="0" applyFont="1" applyFill="1" applyAlignment="1" applyProtection="1">
      <alignment vertical="center"/>
      <protection hidden="1"/>
    </xf>
    <xf numFmtId="0" fontId="62" fillId="0" borderId="78" xfId="0" applyFont="1" applyFill="1" applyBorder="1" applyAlignment="1" applyProtection="1">
      <alignment horizontal="center" vertical="center"/>
      <protection hidden="1"/>
    </xf>
    <xf numFmtId="0" fontId="10" fillId="23" borderId="79" xfId="0" applyFont="1" applyFill="1" applyBorder="1" applyAlignment="1" applyProtection="1">
      <alignment horizontal="center" vertical="center"/>
      <protection locked="0"/>
    </xf>
    <xf numFmtId="0" fontId="63" fillId="23" borderId="78" xfId="0" applyFont="1" applyFill="1" applyBorder="1" applyAlignment="1" applyProtection="1">
      <alignment horizontal="center" vertical="center"/>
      <protection locked="0"/>
    </xf>
    <xf numFmtId="2" fontId="63" fillId="23" borderId="90" xfId="0" applyNumberFormat="1" applyFont="1" applyFill="1" applyBorder="1" applyAlignment="1" applyProtection="1">
      <alignment horizontal="center" vertical="center"/>
      <protection locked="0"/>
    </xf>
    <xf numFmtId="166" fontId="64" fillId="0" borderId="79" xfId="0" applyNumberFormat="1" applyFont="1" applyFill="1" applyBorder="1" applyAlignment="1" applyProtection="1">
      <alignment horizontal="center" vertical="center"/>
      <protection hidden="1"/>
    </xf>
    <xf numFmtId="0" fontId="39" fillId="0" borderId="80" xfId="0" applyFont="1" applyFill="1" applyBorder="1" applyAlignment="1" applyProtection="1">
      <alignment horizontal="center" vertical="center" readingOrder="2"/>
      <protection hidden="1"/>
    </xf>
    <xf numFmtId="170" fontId="63" fillId="0" borderId="50" xfId="0" applyNumberFormat="1" applyFont="1" applyFill="1" applyBorder="1" applyAlignment="1" applyProtection="1">
      <alignment horizontal="center" vertical="center"/>
      <protection hidden="1"/>
    </xf>
    <xf numFmtId="170" fontId="64" fillId="0" borderId="11" xfId="0" applyNumberFormat="1" applyFont="1" applyFill="1" applyBorder="1" applyAlignment="1" applyProtection="1">
      <alignment horizontal="center" vertical="center"/>
      <protection hidden="1"/>
    </xf>
    <xf numFmtId="170" fontId="63" fillId="0" borderId="16" xfId="0" applyNumberFormat="1" applyFont="1" applyFill="1" applyBorder="1" applyAlignment="1" applyProtection="1">
      <alignment horizontal="center" vertical="center"/>
      <protection hidden="1"/>
    </xf>
    <xf numFmtId="0" fontId="62" fillId="0" borderId="42" xfId="0" applyFont="1" applyFill="1" applyBorder="1" applyAlignment="1" applyProtection="1">
      <alignment horizontal="center" vertical="center"/>
      <protection hidden="1"/>
    </xf>
    <xf numFmtId="3" fontId="64" fillId="23" borderId="11" xfId="0" applyNumberFormat="1" applyFont="1" applyFill="1" applyBorder="1" applyAlignment="1" applyProtection="1">
      <alignment horizontal="center" vertical="center"/>
      <protection locked="0"/>
    </xf>
    <xf numFmtId="2" fontId="64" fillId="23" borderId="15" xfId="0" applyNumberFormat="1" applyFont="1" applyFill="1" applyBorder="1" applyAlignment="1" applyProtection="1">
      <alignment horizontal="center" vertical="center"/>
      <protection locked="0"/>
    </xf>
    <xf numFmtId="166" fontId="64" fillId="0" borderId="11" xfId="0" applyNumberFormat="1" applyFont="1" applyFill="1" applyBorder="1" applyAlignment="1" applyProtection="1">
      <alignment horizontal="center" vertical="center"/>
      <protection hidden="1"/>
    </xf>
    <xf numFmtId="0" fontId="39" fillId="0" borderId="44" xfId="0" applyFont="1" applyFill="1" applyBorder="1" applyAlignment="1" applyProtection="1">
      <alignment horizontal="center" vertical="center" readingOrder="2"/>
      <protection hidden="1"/>
    </xf>
    <xf numFmtId="0" fontId="64" fillId="0" borderId="16" xfId="0" applyFont="1" applyFill="1" applyBorder="1" applyAlignment="1" applyProtection="1">
      <alignment horizontal="center" vertical="center"/>
      <protection hidden="1"/>
    </xf>
    <xf numFmtId="3" fontId="63" fillId="23" borderId="11" xfId="0" applyNumberFormat="1" applyFont="1" applyFill="1" applyBorder="1" applyAlignment="1" applyProtection="1">
      <alignment horizontal="center" vertical="center"/>
      <protection locked="0"/>
    </xf>
    <xf numFmtId="2" fontId="63" fillId="23" borderId="15" xfId="0" applyNumberFormat="1" applyFont="1" applyFill="1" applyBorder="1" applyAlignment="1" applyProtection="1">
      <alignment horizontal="center" vertical="center"/>
      <protection locked="0"/>
    </xf>
    <xf numFmtId="2" fontId="64" fillId="23" borderId="17" xfId="0" applyNumberFormat="1" applyFont="1" applyFill="1" applyBorder="1" applyAlignment="1" applyProtection="1">
      <alignment horizontal="center" vertical="center"/>
      <protection locked="0"/>
    </xf>
    <xf numFmtId="2" fontId="63" fillId="23" borderId="17" xfId="0" applyNumberFormat="1" applyFont="1" applyFill="1" applyBorder="1" applyAlignment="1" applyProtection="1">
      <alignment horizontal="center" vertical="center"/>
      <protection locked="0"/>
    </xf>
    <xf numFmtId="0" fontId="10" fillId="0" borderId="104" xfId="0" applyFont="1" applyFill="1" applyBorder="1" applyAlignment="1" applyProtection="1">
      <alignment horizontal="center" vertical="center"/>
      <protection hidden="1"/>
    </xf>
    <xf numFmtId="2" fontId="64" fillId="23" borderId="91" xfId="0" applyNumberFormat="1" applyFont="1" applyFill="1" applyBorder="1" applyAlignment="1" applyProtection="1">
      <alignment horizontal="center" vertical="center"/>
      <protection locked="0"/>
    </xf>
    <xf numFmtId="166" fontId="64" fillId="0" borderId="59" xfId="0" applyNumberFormat="1" applyFont="1" applyFill="1" applyBorder="1" applyAlignment="1" applyProtection="1">
      <alignment horizontal="center" vertical="center"/>
      <protection hidden="1"/>
    </xf>
    <xf numFmtId="0" fontId="64" fillId="0" borderId="24" xfId="0" applyFont="1" applyFill="1" applyBorder="1" applyAlignment="1" applyProtection="1">
      <alignment horizontal="center" vertical="center"/>
      <protection hidden="1"/>
    </xf>
    <xf numFmtId="0" fontId="41" fillId="20" borderId="82" xfId="0" applyFont="1" applyFill="1" applyBorder="1" applyAlignment="1" applyProtection="1">
      <alignment vertical="center"/>
      <protection hidden="1"/>
    </xf>
    <xf numFmtId="0" fontId="63" fillId="0" borderId="97" xfId="0" applyFont="1" applyFill="1" applyBorder="1" applyAlignment="1" applyProtection="1">
      <alignment horizontal="center" vertical="center"/>
      <protection hidden="1"/>
    </xf>
    <xf numFmtId="0" fontId="63" fillId="0" borderId="100" xfId="0" applyFont="1" applyFill="1" applyBorder="1" applyAlignment="1" applyProtection="1">
      <alignment horizontal="center" vertical="center"/>
      <protection hidden="1"/>
    </xf>
    <xf numFmtId="170" fontId="63" fillId="0" borderId="78" xfId="0" applyNumberFormat="1" applyFont="1" applyFill="1" applyBorder="1" applyAlignment="1" applyProtection="1">
      <alignment horizontal="center" vertical="center"/>
      <protection hidden="1"/>
    </xf>
    <xf numFmtId="170" fontId="63" fillId="0" borderId="79" xfId="0" applyNumberFormat="1" applyFont="1" applyFill="1" applyBorder="1" applyAlignment="1" applyProtection="1">
      <alignment horizontal="center" vertical="center"/>
      <protection hidden="1"/>
    </xf>
    <xf numFmtId="170" fontId="63" fillId="0" borderId="80" xfId="0" applyNumberFormat="1" applyFont="1" applyFill="1" applyBorder="1" applyAlignment="1" applyProtection="1">
      <alignment horizontal="center" vertical="center"/>
      <protection hidden="1"/>
    </xf>
    <xf numFmtId="0" fontId="41" fillId="20" borderId="63" xfId="0" applyFont="1" applyFill="1" applyBorder="1" applyAlignment="1" applyProtection="1">
      <alignment vertical="center"/>
      <protection hidden="1"/>
    </xf>
    <xf numFmtId="0" fontId="10" fillId="23" borderId="11" xfId="0" applyFont="1" applyFill="1" applyBorder="1" applyAlignment="1" applyProtection="1">
      <alignment horizontal="center" vertical="center"/>
      <protection locked="0"/>
    </xf>
    <xf numFmtId="0" fontId="39" fillId="0" borderId="46" xfId="0" applyFont="1" applyFill="1" applyBorder="1" applyAlignment="1" applyProtection="1">
      <alignment horizontal="center" vertical="center" readingOrder="2"/>
      <protection hidden="1"/>
    </xf>
    <xf numFmtId="170" fontId="63" fillId="0" borderId="42" xfId="0" applyNumberFormat="1" applyFont="1" applyFill="1" applyBorder="1" applyAlignment="1" applyProtection="1">
      <alignment horizontal="center" vertical="center"/>
      <protection hidden="1"/>
    </xf>
    <xf numFmtId="170" fontId="63" fillId="0" borderId="8" xfId="0" applyNumberFormat="1" applyFont="1" applyFill="1" applyBorder="1" applyAlignment="1" applyProtection="1">
      <alignment horizontal="center" vertical="center"/>
      <protection hidden="1"/>
    </xf>
    <xf numFmtId="170" fontId="63" fillId="0" borderId="44" xfId="0" applyNumberFormat="1" applyFont="1" applyFill="1" applyBorder="1" applyAlignment="1" applyProtection="1">
      <alignment horizontal="center" vertical="center"/>
      <protection hidden="1"/>
    </xf>
    <xf numFmtId="0" fontId="63" fillId="23" borderId="139" xfId="0" applyFont="1" applyFill="1" applyBorder="1" applyAlignment="1" applyProtection="1">
      <alignment horizontal="center" vertical="center"/>
      <protection locked="0"/>
    </xf>
    <xf numFmtId="0" fontId="10" fillId="23" borderId="10" xfId="0" applyFont="1" applyFill="1" applyBorder="1" applyAlignment="1" applyProtection="1">
      <alignment horizontal="center" vertical="center"/>
      <protection locked="0"/>
    </xf>
    <xf numFmtId="0" fontId="63" fillId="0" borderId="9" xfId="0" applyFont="1" applyFill="1" applyBorder="1" applyAlignment="1" applyProtection="1">
      <alignment horizontal="center" vertical="center"/>
      <protection hidden="1"/>
    </xf>
    <xf numFmtId="0" fontId="39" fillId="0" borderId="119" xfId="0" applyFont="1" applyFill="1" applyBorder="1" applyAlignment="1" applyProtection="1">
      <alignment horizontal="center" vertical="center" readingOrder="2"/>
      <protection hidden="1"/>
    </xf>
    <xf numFmtId="0" fontId="63" fillId="0" borderId="10" xfId="0" applyFont="1" applyFill="1" applyBorder="1" applyAlignment="1" applyProtection="1">
      <alignment horizontal="center" vertical="center"/>
      <protection hidden="1"/>
    </xf>
    <xf numFmtId="0" fontId="10" fillId="0" borderId="10" xfId="0" applyFont="1" applyFill="1" applyBorder="1" applyAlignment="1" applyProtection="1">
      <alignment horizontal="center" vertical="center"/>
      <protection hidden="1"/>
    </xf>
    <xf numFmtId="0" fontId="63" fillId="0" borderId="24" xfId="0" applyFont="1" applyFill="1" applyBorder="1" applyAlignment="1" applyProtection="1">
      <alignment horizontal="center" vertical="center"/>
      <protection hidden="1"/>
    </xf>
    <xf numFmtId="170" fontId="63" fillId="0" borderId="43" xfId="0" applyNumberFormat="1" applyFont="1" applyFill="1" applyBorder="1" applyAlignment="1" applyProtection="1">
      <alignment horizontal="center" vertical="center"/>
      <protection hidden="1"/>
    </xf>
    <xf numFmtId="170" fontId="63" fillId="0" borderId="41" xfId="0" applyNumberFormat="1" applyFont="1" applyFill="1" applyBorder="1" applyAlignment="1" applyProtection="1">
      <alignment horizontal="center" vertical="center"/>
      <protection hidden="1"/>
    </xf>
    <xf numFmtId="170" fontId="63" fillId="0" borderId="47" xfId="0" applyNumberFormat="1" applyFont="1" applyFill="1" applyBorder="1" applyAlignment="1" applyProtection="1">
      <alignment horizontal="center" vertical="center"/>
      <protection hidden="1"/>
    </xf>
    <xf numFmtId="0" fontId="41" fillId="20" borderId="55" xfId="0" applyFont="1" applyFill="1" applyBorder="1" applyAlignment="1" applyProtection="1">
      <alignment vertical="center"/>
      <protection hidden="1"/>
    </xf>
    <xf numFmtId="0" fontId="62" fillId="0" borderId="142" xfId="0" applyFont="1" applyFill="1" applyBorder="1" applyAlignment="1" applyProtection="1">
      <alignment horizontal="center" vertical="center"/>
      <protection hidden="1"/>
    </xf>
    <xf numFmtId="0" fontId="63" fillId="23" borderId="15" xfId="0" applyFont="1" applyFill="1" applyBorder="1" applyAlignment="1" applyProtection="1">
      <alignment horizontal="center" vertical="center"/>
      <protection locked="0"/>
    </xf>
    <xf numFmtId="170" fontId="63" fillId="0" borderId="11" xfId="0" applyNumberFormat="1" applyFont="1" applyFill="1" applyBorder="1" applyAlignment="1" applyProtection="1">
      <alignment horizontal="center" vertical="center"/>
      <protection hidden="1"/>
    </xf>
    <xf numFmtId="170" fontId="63" fillId="0" borderId="46" xfId="0" applyNumberFormat="1" applyFont="1" applyFill="1" applyBorder="1" applyAlignment="1" applyProtection="1">
      <alignment horizontal="center" vertical="center"/>
      <protection hidden="1"/>
    </xf>
    <xf numFmtId="0" fontId="62" fillId="0" borderId="134" xfId="0" applyFont="1" applyFill="1" applyBorder="1" applyAlignment="1" applyProtection="1">
      <alignment horizontal="center" vertical="center"/>
      <protection hidden="1"/>
    </xf>
    <xf numFmtId="0" fontId="62" fillId="0" borderId="135" xfId="0" applyFont="1" applyFill="1" applyBorder="1" applyAlignment="1" applyProtection="1">
      <alignment horizontal="center" vertical="center"/>
      <protection hidden="1"/>
    </xf>
    <xf numFmtId="0" fontId="63" fillId="23" borderId="64" xfId="0" applyFont="1" applyFill="1" applyBorder="1" applyAlignment="1" applyProtection="1">
      <alignment horizontal="center" vertical="center"/>
      <protection locked="0"/>
    </xf>
    <xf numFmtId="0" fontId="35" fillId="14" borderId="74" xfId="0" applyFont="1" applyFill="1" applyBorder="1" applyAlignment="1" applyProtection="1">
      <alignment horizontal="center" wrapText="1"/>
      <protection hidden="1"/>
    </xf>
    <xf numFmtId="0" fontId="13" fillId="0" borderId="79" xfId="0" applyFont="1" applyFill="1" applyBorder="1" applyAlignment="1" applyProtection="1">
      <alignment horizontal="center" vertical="center"/>
      <protection hidden="1"/>
    </xf>
    <xf numFmtId="167" fontId="63" fillId="23" borderId="79" xfId="0" applyNumberFormat="1"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protection hidden="1"/>
    </xf>
    <xf numFmtId="0" fontId="13" fillId="0" borderId="41" xfId="0" applyFont="1" applyFill="1" applyBorder="1" applyAlignment="1" applyProtection="1">
      <alignment horizontal="center" vertical="center"/>
      <protection hidden="1"/>
    </xf>
    <xf numFmtId="167" fontId="63" fillId="23" borderId="41" xfId="0" applyNumberFormat="1"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hidden="1"/>
    </xf>
    <xf numFmtId="0" fontId="69" fillId="0" borderId="20" xfId="0" applyFont="1" applyFill="1" applyBorder="1" applyAlignment="1" applyProtection="1">
      <alignment horizontal="center" vertical="center"/>
      <protection hidden="1"/>
    </xf>
    <xf numFmtId="166" fontId="0" fillId="0" borderId="8" xfId="0" applyNumberFormat="1" applyBorder="1" applyAlignment="1" applyProtection="1">
      <alignment horizontal="center" vertical="center"/>
      <protection hidden="1"/>
    </xf>
    <xf numFmtId="0" fontId="39" fillId="0" borderId="97" xfId="0" applyFont="1" applyFill="1" applyBorder="1" applyAlignment="1" applyProtection="1">
      <alignment horizontal="center" vertical="center"/>
      <protection hidden="1"/>
    </xf>
    <xf numFmtId="0" fontId="39" fillId="0" borderId="8" xfId="0" applyFont="1" applyFill="1" applyBorder="1" applyAlignment="1" applyProtection="1">
      <alignment horizontal="center" vertical="center"/>
      <protection hidden="1"/>
    </xf>
    <xf numFmtId="0" fontId="63" fillId="0" borderId="17" xfId="0" applyFont="1" applyFill="1" applyBorder="1" applyAlignment="1" applyProtection="1">
      <alignment horizontal="center" vertical="center"/>
      <protection hidden="1"/>
    </xf>
    <xf numFmtId="0" fontId="63" fillId="23" borderId="17" xfId="0" applyFont="1" applyFill="1" applyBorder="1" applyAlignment="1" applyProtection="1">
      <alignment horizontal="center" vertical="center"/>
      <protection locked="0"/>
    </xf>
    <xf numFmtId="0" fontId="32" fillId="14" borderId="107" xfId="0" applyFont="1" applyFill="1" applyBorder="1" applyAlignment="1" applyProtection="1">
      <alignment horizontal="center" vertical="center" readingOrder="2"/>
      <protection hidden="1"/>
    </xf>
    <xf numFmtId="0" fontId="39" fillId="0" borderId="41" xfId="0" applyFont="1" applyFill="1" applyBorder="1" applyAlignment="1" applyProtection="1">
      <alignment horizontal="center" vertical="center"/>
      <protection hidden="1"/>
    </xf>
    <xf numFmtId="0" fontId="39" fillId="0" borderId="56" xfId="0" applyFont="1" applyFill="1" applyBorder="1" applyAlignment="1" applyProtection="1">
      <alignment horizontal="center" vertical="center" readingOrder="2"/>
      <protection hidden="1"/>
    </xf>
    <xf numFmtId="3" fontId="63" fillId="23" borderId="59" xfId="0" applyNumberFormat="1" applyFont="1" applyFill="1" applyBorder="1" applyAlignment="1" applyProtection="1">
      <alignment horizontal="center" vertical="center"/>
      <protection locked="0"/>
    </xf>
    <xf numFmtId="4" fontId="63" fillId="23" borderId="50" xfId="0" applyNumberFormat="1" applyFont="1" applyFill="1" applyBorder="1" applyAlignment="1" applyProtection="1">
      <alignment horizontal="center" vertical="center"/>
      <protection locked="0"/>
    </xf>
    <xf numFmtId="4" fontId="63" fillId="23" borderId="42" xfId="0" applyNumberFormat="1" applyFont="1" applyFill="1" applyBorder="1" applyAlignment="1" applyProtection="1">
      <alignment horizontal="center" vertical="center"/>
      <protection locked="0"/>
    </xf>
    <xf numFmtId="4" fontId="63" fillId="23" borderId="43" xfId="0" applyNumberFormat="1" applyFont="1" applyFill="1" applyBorder="1" applyAlignment="1" applyProtection="1">
      <alignment horizontal="center" vertical="center"/>
      <protection locked="0"/>
    </xf>
    <xf numFmtId="3" fontId="63" fillId="23" borderId="41" xfId="0" applyNumberFormat="1" applyFont="1" applyFill="1" applyBorder="1" applyAlignment="1" applyProtection="1">
      <alignment horizontal="center" vertical="center"/>
      <protection locked="0"/>
    </xf>
    <xf numFmtId="0" fontId="32" fillId="14" borderId="72" xfId="0" applyFont="1" applyFill="1" applyBorder="1" applyAlignment="1" applyProtection="1">
      <alignment horizontal="center" vertical="center" wrapText="1" readingOrder="1"/>
      <protection hidden="1"/>
    </xf>
    <xf numFmtId="168" fontId="63" fillId="0" borderId="142" xfId="0" applyNumberFormat="1" applyFont="1" applyFill="1" applyBorder="1" applyAlignment="1" applyProtection="1">
      <alignment horizontal="center" vertical="center"/>
      <protection hidden="1"/>
    </xf>
    <xf numFmtId="168" fontId="63" fillId="0" borderId="160" xfId="0" applyNumberFormat="1" applyFont="1"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32" fillId="19" borderId="166" xfId="0" applyFont="1" applyFill="1" applyBorder="1" applyAlignment="1" applyProtection="1">
      <alignment horizontal="center" vertical="center" readingOrder="2"/>
      <protection hidden="1"/>
    </xf>
    <xf numFmtId="0" fontId="51" fillId="19" borderId="167" xfId="0" applyFont="1" applyFill="1" applyBorder="1" applyAlignment="1" applyProtection="1">
      <alignment horizontal="center" vertical="center"/>
      <protection hidden="1"/>
    </xf>
    <xf numFmtId="0" fontId="32" fillId="19" borderId="163" xfId="0" applyFont="1" applyFill="1" applyBorder="1" applyAlignment="1" applyProtection="1">
      <alignment horizontal="center" vertical="center" readingOrder="2"/>
      <protection hidden="1"/>
    </xf>
    <xf numFmtId="0" fontId="51" fillId="19" borderId="164" xfId="0" applyFont="1" applyFill="1" applyBorder="1" applyAlignment="1" applyProtection="1">
      <alignment horizontal="center" vertical="center"/>
      <protection hidden="1"/>
    </xf>
    <xf numFmtId="0" fontId="36" fillId="19" borderId="0" xfId="0" applyFont="1" applyFill="1" applyBorder="1" applyAlignment="1" applyProtection="1">
      <alignment horizontal="center" vertical="center"/>
      <protection hidden="1"/>
    </xf>
    <xf numFmtId="0" fontId="41" fillId="0" borderId="0" xfId="0" applyFont="1" applyBorder="1" applyAlignment="1" applyProtection="1">
      <alignment vertical="center"/>
      <protection hidden="1"/>
    </xf>
    <xf numFmtId="2" fontId="10" fillId="23" borderId="16" xfId="0" applyNumberFormat="1" applyFont="1" applyFill="1" applyBorder="1" applyAlignment="1" applyProtection="1">
      <alignment horizontal="center" vertical="center" wrapText="1"/>
      <protection locked="0"/>
    </xf>
    <xf numFmtId="0" fontId="10" fillId="23" borderId="46" xfId="0" applyFont="1" applyFill="1" applyBorder="1" applyAlignment="1" applyProtection="1">
      <alignment horizontal="center" vertical="center"/>
      <protection locked="0"/>
    </xf>
    <xf numFmtId="2" fontId="63" fillId="0" borderId="17" xfId="0" applyNumberFormat="1" applyFont="1" applyFill="1" applyBorder="1" applyAlignment="1" applyProtection="1">
      <alignment horizontal="center" vertical="center" wrapText="1"/>
      <protection hidden="1"/>
    </xf>
    <xf numFmtId="2" fontId="63" fillId="0" borderId="12" xfId="0" applyNumberFormat="1" applyFont="1" applyFill="1" applyBorder="1" applyAlignment="1" applyProtection="1">
      <alignment horizontal="center" vertical="center" wrapText="1"/>
      <protection hidden="1"/>
    </xf>
    <xf numFmtId="165" fontId="63" fillId="0" borderId="50" xfId="0" applyNumberFormat="1" applyFont="1" applyFill="1" applyBorder="1" applyAlignment="1" applyProtection="1">
      <alignment horizontal="center" vertical="center" wrapText="1"/>
      <protection hidden="1"/>
    </xf>
    <xf numFmtId="165" fontId="63" fillId="0" borderId="11" xfId="0" applyNumberFormat="1" applyFont="1" applyFill="1" applyBorder="1" applyAlignment="1" applyProtection="1">
      <alignment horizontal="center" vertical="center" wrapText="1"/>
      <protection hidden="1"/>
    </xf>
    <xf numFmtId="2" fontId="63" fillId="0" borderId="50" xfId="0" applyNumberFormat="1" applyFont="1" applyFill="1" applyBorder="1" applyAlignment="1" applyProtection="1">
      <alignment horizontal="center" vertical="center" wrapText="1"/>
      <protection hidden="1"/>
    </xf>
    <xf numFmtId="2" fontId="63" fillId="0" borderId="15" xfId="0" applyNumberFormat="1" applyFont="1" applyFill="1" applyBorder="1" applyAlignment="1" applyProtection="1">
      <alignment horizontal="center" vertical="center" wrapText="1"/>
      <protection hidden="1"/>
    </xf>
    <xf numFmtId="2" fontId="63" fillId="0" borderId="14" xfId="0" applyNumberFormat="1" applyFont="1" applyFill="1" applyBorder="1" applyAlignment="1" applyProtection="1">
      <alignment horizontal="center" vertical="center" wrapText="1"/>
      <protection hidden="1"/>
    </xf>
    <xf numFmtId="165" fontId="63" fillId="0" borderId="42" xfId="0" applyNumberFormat="1" applyFont="1" applyFill="1" applyBorder="1" applyAlignment="1" applyProtection="1">
      <alignment horizontal="center" vertical="center" wrapText="1"/>
      <protection hidden="1"/>
    </xf>
    <xf numFmtId="165" fontId="63" fillId="0" borderId="8" xfId="0" applyNumberFormat="1" applyFont="1" applyFill="1" applyBorder="1" applyAlignment="1" applyProtection="1">
      <alignment horizontal="center" vertical="center" wrapText="1"/>
      <protection hidden="1"/>
    </xf>
    <xf numFmtId="2" fontId="63" fillId="0" borderId="42" xfId="0" applyNumberFormat="1" applyFont="1" applyFill="1" applyBorder="1" applyAlignment="1" applyProtection="1">
      <alignment horizontal="center" vertical="center" wrapText="1"/>
      <protection hidden="1"/>
    </xf>
    <xf numFmtId="4" fontId="63" fillId="0" borderId="11" xfId="0" applyNumberFormat="1" applyFont="1" applyFill="1" applyBorder="1" applyAlignment="1" applyProtection="1">
      <alignment horizontal="center" vertical="center" wrapText="1"/>
      <protection hidden="1"/>
    </xf>
    <xf numFmtId="4" fontId="63" fillId="0" borderId="8" xfId="0" applyNumberFormat="1" applyFont="1" applyFill="1" applyBorder="1" applyAlignment="1" applyProtection="1">
      <alignment horizontal="center" vertical="center" wrapText="1"/>
      <protection hidden="1"/>
    </xf>
    <xf numFmtId="171" fontId="63" fillId="0" borderId="11" xfId="0" applyNumberFormat="1" applyFont="1" applyFill="1" applyBorder="1" applyAlignment="1" applyProtection="1">
      <alignment horizontal="center" vertical="center"/>
      <protection hidden="1"/>
    </xf>
    <xf numFmtId="171" fontId="63" fillId="0" borderId="46" xfId="0" applyNumberFormat="1" applyFont="1" applyFill="1" applyBorder="1" applyAlignment="1" applyProtection="1">
      <alignment horizontal="center" vertical="center"/>
      <protection hidden="1"/>
    </xf>
    <xf numFmtId="171" fontId="63" fillId="0" borderId="8" xfId="0" applyNumberFormat="1" applyFont="1" applyFill="1" applyBorder="1" applyAlignment="1" applyProtection="1">
      <alignment horizontal="center" vertical="center"/>
      <protection hidden="1"/>
    </xf>
    <xf numFmtId="171" fontId="63" fillId="0" borderId="44" xfId="0" applyNumberFormat="1" applyFont="1" applyFill="1" applyBorder="1" applyAlignment="1" applyProtection="1">
      <alignment horizontal="center" vertical="center"/>
      <protection hidden="1"/>
    </xf>
    <xf numFmtId="0" fontId="10" fillId="9" borderId="15" xfId="0" applyFont="1" applyFill="1" applyBorder="1" applyAlignment="1" applyProtection="1">
      <alignment horizontal="center" vertical="center"/>
      <protection hidden="1"/>
    </xf>
    <xf numFmtId="0" fontId="10" fillId="9" borderId="23" xfId="0" applyFont="1" applyFill="1" applyBorder="1" applyAlignment="1" applyProtection="1">
      <alignment horizontal="center" vertical="center"/>
      <protection hidden="1"/>
    </xf>
    <xf numFmtId="2" fontId="63" fillId="0" borderId="52" xfId="0" applyNumberFormat="1" applyFont="1" applyFill="1" applyBorder="1" applyAlignment="1" applyProtection="1">
      <alignment horizontal="center" vertical="center" wrapText="1"/>
      <protection hidden="1"/>
    </xf>
    <xf numFmtId="166" fontId="63" fillId="0" borderId="50" xfId="0" applyNumberFormat="1" applyFont="1" applyFill="1" applyBorder="1" applyAlignment="1" applyProtection="1">
      <alignment horizontal="center" vertical="center" wrapText="1"/>
      <protection hidden="1"/>
    </xf>
    <xf numFmtId="166" fontId="63" fillId="0" borderId="17" xfId="0" applyNumberFormat="1" applyFont="1" applyFill="1" applyBorder="1" applyAlignment="1" applyProtection="1">
      <alignment horizontal="center" vertical="center" wrapText="1"/>
      <protection hidden="1"/>
    </xf>
    <xf numFmtId="166" fontId="63" fillId="0" borderId="52" xfId="0" applyNumberFormat="1" applyFont="1" applyFill="1" applyBorder="1" applyAlignment="1" applyProtection="1">
      <alignment horizontal="center" vertical="center" wrapText="1"/>
      <protection hidden="1"/>
    </xf>
    <xf numFmtId="2" fontId="63" fillId="0" borderId="53" xfId="0" applyNumberFormat="1" applyFont="1" applyFill="1" applyBorder="1" applyAlignment="1" applyProtection="1">
      <alignment horizontal="center" vertical="center" wrapText="1"/>
      <protection hidden="1"/>
    </xf>
    <xf numFmtId="2" fontId="63" fillId="0" borderId="60" xfId="0" applyNumberFormat="1" applyFont="1" applyFill="1" applyBorder="1" applyAlignment="1" applyProtection="1">
      <alignment horizontal="center" vertical="center" wrapText="1"/>
      <protection hidden="1"/>
    </xf>
    <xf numFmtId="2" fontId="63" fillId="0" borderId="91" xfId="0" applyNumberFormat="1" applyFont="1" applyFill="1" applyBorder="1" applyAlignment="1" applyProtection="1">
      <alignment horizontal="center" vertical="center" wrapText="1"/>
      <protection hidden="1"/>
    </xf>
    <xf numFmtId="2" fontId="63" fillId="0" borderId="55" xfId="0" applyNumberFormat="1" applyFont="1" applyFill="1" applyBorder="1" applyAlignment="1" applyProtection="1">
      <alignment horizontal="center" vertical="center" wrapText="1"/>
      <protection hidden="1"/>
    </xf>
    <xf numFmtId="166" fontId="63" fillId="0" borderId="60" xfId="0" applyNumberFormat="1" applyFont="1" applyFill="1" applyBorder="1" applyAlignment="1" applyProtection="1">
      <alignment horizontal="center" vertical="center" wrapText="1"/>
      <protection hidden="1"/>
    </xf>
    <xf numFmtId="166" fontId="63" fillId="0" borderId="91" xfId="0" applyNumberFormat="1" applyFont="1" applyFill="1" applyBorder="1" applyAlignment="1" applyProtection="1">
      <alignment horizontal="center" vertical="center" wrapText="1"/>
      <protection hidden="1"/>
    </xf>
    <xf numFmtId="166" fontId="63" fillId="0" borderId="55" xfId="0" applyNumberFormat="1" applyFont="1" applyFill="1" applyBorder="1" applyAlignment="1" applyProtection="1">
      <alignment horizontal="center" vertical="center" wrapText="1"/>
      <protection hidden="1"/>
    </xf>
    <xf numFmtId="166" fontId="63" fillId="0" borderId="11" xfId="0" applyNumberFormat="1" applyFont="1" applyFill="1" applyBorder="1" applyAlignment="1" applyProtection="1">
      <alignment horizontal="center" vertical="center" wrapText="1"/>
      <protection hidden="1"/>
    </xf>
    <xf numFmtId="0" fontId="41" fillId="0" borderId="0" xfId="0" applyFont="1" applyAlignment="1" applyProtection="1">
      <alignment vertical="top"/>
      <protection hidden="1"/>
    </xf>
    <xf numFmtId="166" fontId="63" fillId="0" borderId="8" xfId="0" applyNumberFormat="1" applyFont="1" applyFill="1" applyBorder="1" applyAlignment="1" applyProtection="1">
      <alignment horizontal="center" vertical="center" wrapText="1"/>
      <protection hidden="1"/>
    </xf>
    <xf numFmtId="168" fontId="63" fillId="0" borderId="8" xfId="0" applyNumberFormat="1" applyFont="1" applyFill="1" applyBorder="1" applyAlignment="1" applyProtection="1">
      <alignment horizontal="center" vertical="center" wrapText="1"/>
      <protection hidden="1"/>
    </xf>
    <xf numFmtId="168" fontId="63" fillId="0" borderId="11" xfId="0" applyNumberFormat="1" applyFont="1" applyFill="1" applyBorder="1" applyAlignment="1" applyProtection="1">
      <alignment horizontal="center" vertical="center" wrapText="1"/>
      <protection hidden="1"/>
    </xf>
    <xf numFmtId="166" fontId="63" fillId="0" borderId="46" xfId="0" applyNumberFormat="1" applyFont="1" applyFill="1" applyBorder="1" applyAlignment="1" applyProtection="1">
      <alignment horizontal="center" vertical="center" wrapText="1"/>
      <protection hidden="1"/>
    </xf>
    <xf numFmtId="166" fontId="63" fillId="0" borderId="44" xfId="0" applyNumberFormat="1" applyFont="1" applyFill="1" applyBorder="1" applyAlignment="1" applyProtection="1">
      <alignment horizontal="center" vertical="center" wrapText="1"/>
      <protection hidden="1"/>
    </xf>
    <xf numFmtId="165" fontId="63" fillId="0" borderId="43" xfId="0" applyNumberFormat="1" applyFont="1" applyFill="1" applyBorder="1" applyAlignment="1" applyProtection="1">
      <alignment horizontal="center" vertical="center" wrapText="1"/>
      <protection hidden="1"/>
    </xf>
    <xf numFmtId="166" fontId="63" fillId="0" borderId="41" xfId="0" applyNumberFormat="1" applyFont="1" applyFill="1" applyBorder="1" applyAlignment="1" applyProtection="1">
      <alignment horizontal="center" vertical="center" wrapText="1"/>
      <protection hidden="1"/>
    </xf>
    <xf numFmtId="168" fontId="63" fillId="0" borderId="41" xfId="0" applyNumberFormat="1" applyFont="1" applyFill="1" applyBorder="1" applyAlignment="1" applyProtection="1">
      <alignment horizontal="center" vertical="center" wrapText="1"/>
      <protection hidden="1"/>
    </xf>
    <xf numFmtId="166" fontId="63" fillId="0" borderId="47" xfId="0" applyNumberFormat="1" applyFont="1" applyFill="1" applyBorder="1" applyAlignment="1" applyProtection="1">
      <alignment horizontal="center" vertical="center" wrapText="1"/>
      <protection hidden="1"/>
    </xf>
    <xf numFmtId="3" fontId="10" fillId="23" borderId="46" xfId="0" applyNumberFormat="1" applyFont="1" applyFill="1" applyBorder="1" applyAlignment="1" applyProtection="1">
      <alignment horizontal="center" vertical="center" wrapText="1" readingOrder="2"/>
      <protection locked="0"/>
    </xf>
    <xf numFmtId="3" fontId="10" fillId="23" borderId="44" xfId="0" applyNumberFormat="1" applyFont="1" applyFill="1" applyBorder="1" applyAlignment="1" applyProtection="1">
      <alignment horizontal="center" vertical="center" wrapText="1" readingOrder="2"/>
      <protection locked="0"/>
    </xf>
    <xf numFmtId="3" fontId="10" fillId="23" borderId="47" xfId="0" applyNumberFormat="1" applyFont="1" applyFill="1" applyBorder="1" applyAlignment="1" applyProtection="1">
      <alignment horizontal="center" vertical="center" wrapText="1" readingOrder="2"/>
      <protection locked="0"/>
    </xf>
    <xf numFmtId="3" fontId="10" fillId="23" borderId="80" xfId="0" applyNumberFormat="1" applyFont="1" applyFill="1" applyBorder="1" applyAlignment="1" applyProtection="1">
      <alignment horizontal="center" vertical="center" wrapText="1" readingOrder="2"/>
      <protection locked="0"/>
    </xf>
    <xf numFmtId="168" fontId="63" fillId="0" borderId="77" xfId="0" applyNumberFormat="1" applyFont="1" applyFill="1" applyBorder="1" applyAlignment="1" applyProtection="1">
      <alignment horizontal="center" vertical="center" wrapText="1"/>
      <protection hidden="1"/>
    </xf>
    <xf numFmtId="168" fontId="63" fillId="0" borderId="52" xfId="0" applyNumberFormat="1" applyFont="1" applyFill="1" applyBorder="1" applyAlignment="1" applyProtection="1">
      <alignment horizontal="center" vertical="center" wrapText="1"/>
      <protection hidden="1"/>
    </xf>
    <xf numFmtId="168" fontId="63" fillId="0" borderId="55" xfId="0" applyNumberFormat="1" applyFont="1" applyFill="1" applyBorder="1" applyAlignment="1" applyProtection="1">
      <alignment horizontal="center" vertical="center" wrapText="1"/>
      <protection hidden="1"/>
    </xf>
    <xf numFmtId="0" fontId="51" fillId="19" borderId="157" xfId="0" applyFont="1" applyFill="1" applyBorder="1" applyAlignment="1" applyProtection="1">
      <alignment horizontal="right" vertical="center" wrapText="1"/>
      <protection hidden="1"/>
    </xf>
    <xf numFmtId="0" fontId="51" fillId="19" borderId="157" xfId="0" applyFont="1" applyFill="1" applyBorder="1" applyAlignment="1" applyProtection="1">
      <alignment vertical="center" wrapText="1"/>
      <protection hidden="1"/>
    </xf>
    <xf numFmtId="4" fontId="36" fillId="19" borderId="0" xfId="0" applyNumberFormat="1" applyFont="1" applyFill="1" applyBorder="1" applyAlignment="1" applyProtection="1">
      <alignment horizontal="center" vertical="center"/>
      <protection hidden="1"/>
    </xf>
    <xf numFmtId="0" fontId="63" fillId="0" borderId="119" xfId="0" applyFont="1" applyBorder="1" applyAlignment="1" applyProtection="1">
      <alignment horizontal="center" vertical="center"/>
      <protection hidden="1"/>
    </xf>
    <xf numFmtId="0" fontId="63" fillId="0" borderId="139" xfId="0" applyFont="1" applyBorder="1" applyAlignment="1" applyProtection="1">
      <alignment horizontal="center" vertical="center"/>
      <protection hidden="1"/>
    </xf>
    <xf numFmtId="0" fontId="63" fillId="0" borderId="10" xfId="0" applyFont="1" applyBorder="1" applyAlignment="1" applyProtection="1">
      <alignment horizontal="center" vertical="center"/>
      <protection hidden="1"/>
    </xf>
    <xf numFmtId="0" fontId="36" fillId="14" borderId="74" xfId="0" applyFont="1" applyFill="1" applyBorder="1" applyAlignment="1" applyProtection="1">
      <alignment horizontal="center" vertical="center"/>
      <protection hidden="1"/>
    </xf>
    <xf numFmtId="0" fontId="36" fillId="14" borderId="123" xfId="0" applyFont="1" applyFill="1" applyBorder="1" applyAlignment="1" applyProtection="1">
      <alignment horizontal="center" vertical="center"/>
      <protection hidden="1"/>
    </xf>
    <xf numFmtId="0" fontId="10" fillId="14" borderId="55" xfId="0" applyFont="1" applyFill="1" applyBorder="1" applyAlignment="1" applyProtection="1">
      <alignment horizontal="center" vertical="center"/>
      <protection hidden="1"/>
    </xf>
    <xf numFmtId="3" fontId="63" fillId="23" borderId="16" xfId="0" applyNumberFormat="1" applyFont="1" applyFill="1" applyBorder="1" applyAlignment="1" applyProtection="1">
      <alignment horizontal="center" vertical="center"/>
      <protection locked="0"/>
    </xf>
    <xf numFmtId="0" fontId="63" fillId="0" borderId="46" xfId="0" applyFont="1" applyBorder="1" applyAlignment="1" applyProtection="1">
      <alignment horizontal="center" vertical="center"/>
      <protection hidden="1"/>
    </xf>
    <xf numFmtId="169" fontId="63" fillId="0" borderId="46" xfId="0" applyNumberFormat="1" applyFont="1" applyBorder="1" applyAlignment="1" applyProtection="1">
      <alignment horizontal="center" vertical="center"/>
      <protection hidden="1"/>
    </xf>
    <xf numFmtId="0" fontId="10" fillId="14" borderId="51" xfId="0" applyFont="1" applyFill="1" applyBorder="1" applyAlignment="1" applyProtection="1">
      <alignment horizontal="center" vertical="center"/>
      <protection hidden="1"/>
    </xf>
    <xf numFmtId="3" fontId="63" fillId="23" borderId="132" xfId="0" applyNumberFormat="1" applyFont="1" applyFill="1" applyBorder="1" applyAlignment="1" applyProtection="1">
      <alignment horizontal="center" vertical="center"/>
      <protection locked="0"/>
    </xf>
    <xf numFmtId="0" fontId="63" fillId="0" borderId="44" xfId="0" applyFont="1" applyBorder="1" applyAlignment="1" applyProtection="1">
      <alignment horizontal="center" vertical="center"/>
      <protection hidden="1"/>
    </xf>
    <xf numFmtId="0" fontId="10" fillId="14" borderId="62" xfId="0" applyFont="1" applyFill="1" applyBorder="1" applyAlignment="1" applyProtection="1">
      <alignment horizontal="center" vertical="center"/>
      <protection hidden="1"/>
    </xf>
    <xf numFmtId="4" fontId="63" fillId="23" borderId="139" xfId="0" applyNumberFormat="1" applyFont="1" applyFill="1" applyBorder="1" applyAlignment="1" applyProtection="1">
      <alignment horizontal="center" vertical="center"/>
      <protection locked="0"/>
    </xf>
    <xf numFmtId="4" fontId="63" fillId="23" borderId="10" xfId="0" applyNumberFormat="1" applyFont="1" applyFill="1" applyBorder="1" applyAlignment="1" applyProtection="1">
      <alignment horizontal="center" vertical="center"/>
      <protection locked="0"/>
    </xf>
    <xf numFmtId="3" fontId="63" fillId="23" borderId="171" xfId="0" applyNumberFormat="1" applyFont="1" applyFill="1" applyBorder="1" applyAlignment="1" applyProtection="1">
      <alignment horizontal="center" vertical="center"/>
      <protection locked="0"/>
    </xf>
    <xf numFmtId="0" fontId="63" fillId="0" borderId="45" xfId="0" applyFont="1" applyBorder="1" applyAlignment="1" applyProtection="1">
      <alignment horizontal="center" vertical="center"/>
      <protection hidden="1"/>
    </xf>
    <xf numFmtId="169" fontId="63" fillId="0" borderId="45" xfId="0" applyNumberFormat="1" applyFont="1" applyBorder="1" applyAlignment="1" applyProtection="1">
      <alignment horizontal="center" vertical="center"/>
      <protection hidden="1"/>
    </xf>
    <xf numFmtId="0" fontId="63" fillId="0" borderId="47" xfId="0" applyFont="1" applyBorder="1" applyAlignment="1" applyProtection="1">
      <alignment horizontal="center" vertical="center"/>
      <protection hidden="1"/>
    </xf>
    <xf numFmtId="169" fontId="63" fillId="0" borderId="47" xfId="0" applyNumberFormat="1" applyFont="1" applyBorder="1" applyAlignment="1" applyProtection="1">
      <alignment horizontal="center" vertical="center"/>
      <protection hidden="1"/>
    </xf>
    <xf numFmtId="0" fontId="63" fillId="0" borderId="97" xfId="0" applyFont="1" applyBorder="1" applyAlignment="1" applyProtection="1">
      <alignment horizontal="center" vertical="center"/>
      <protection hidden="1"/>
    </xf>
    <xf numFmtId="0" fontId="63" fillId="0" borderId="169" xfId="0" applyFont="1" applyBorder="1" applyAlignment="1" applyProtection="1">
      <alignment horizontal="center" vertical="center"/>
      <protection hidden="1"/>
    </xf>
    <xf numFmtId="169" fontId="63" fillId="0" borderId="169" xfId="0" applyNumberFormat="1" applyFont="1" applyBorder="1" applyAlignment="1" applyProtection="1">
      <alignment horizontal="center" vertical="center"/>
      <protection hidden="1"/>
    </xf>
    <xf numFmtId="0" fontId="41" fillId="0" borderId="169" xfId="0" applyFont="1" applyBorder="1" applyAlignment="1" applyProtection="1">
      <alignment horizontal="center" vertical="center"/>
      <protection hidden="1"/>
    </xf>
    <xf numFmtId="169" fontId="41" fillId="0" borderId="169" xfId="0" applyNumberFormat="1" applyFont="1" applyBorder="1" applyAlignment="1" applyProtection="1">
      <alignment horizontal="center" vertical="center"/>
      <protection hidden="1"/>
    </xf>
    <xf numFmtId="0" fontId="10" fillId="23" borderId="51" xfId="0" applyFont="1" applyFill="1" applyBorder="1" applyAlignment="1" applyProtection="1">
      <alignment horizontal="center" vertical="center"/>
      <protection locked="0"/>
    </xf>
    <xf numFmtId="0" fontId="63" fillId="0" borderId="8" xfId="0" applyFont="1" applyBorder="1" applyAlignment="1" applyProtection="1">
      <alignment horizontal="center" vertical="center" wrapText="1"/>
      <protection hidden="1"/>
    </xf>
    <xf numFmtId="0" fontId="10" fillId="23" borderId="62" xfId="0" applyFont="1" applyFill="1" applyBorder="1" applyAlignment="1" applyProtection="1">
      <alignment horizontal="center" vertical="center"/>
      <protection locked="0"/>
    </xf>
    <xf numFmtId="0" fontId="63" fillId="0" borderId="9" xfId="0" applyFont="1" applyBorder="1" applyAlignment="1" applyProtection="1">
      <alignment horizontal="center" vertical="center" wrapText="1"/>
      <protection hidden="1"/>
    </xf>
    <xf numFmtId="0" fontId="63" fillId="0" borderId="50" xfId="0" applyFont="1" applyBorder="1" applyAlignment="1" applyProtection="1">
      <alignment horizontal="center" vertical="center" wrapText="1"/>
      <protection hidden="1"/>
    </xf>
    <xf numFmtId="0" fontId="63" fillId="0" borderId="49" xfId="0" applyFont="1" applyBorder="1" applyAlignment="1" applyProtection="1">
      <alignment horizontal="center" vertical="center" wrapText="1"/>
      <protection hidden="1"/>
    </xf>
    <xf numFmtId="0" fontId="63" fillId="0" borderId="139" xfId="0" applyFont="1" applyBorder="1" applyAlignment="1" applyProtection="1">
      <alignment horizontal="center" vertical="center" wrapText="1"/>
      <protection hidden="1"/>
    </xf>
    <xf numFmtId="4" fontId="36" fillId="19" borderId="3" xfId="0" applyNumberFormat="1" applyFont="1" applyFill="1" applyBorder="1" applyAlignment="1" applyProtection="1">
      <alignment horizontal="center" vertical="center"/>
      <protection hidden="1"/>
    </xf>
    <xf numFmtId="0" fontId="69" fillId="0" borderId="48" xfId="0" applyFont="1" applyFill="1" applyBorder="1" applyAlignment="1" applyProtection="1">
      <alignment horizontal="center" vertical="center"/>
      <protection hidden="1"/>
    </xf>
    <xf numFmtId="3" fontId="63" fillId="0" borderId="9" xfId="0" applyNumberFormat="1" applyFont="1" applyBorder="1" applyAlignment="1" applyProtection="1">
      <alignment horizontal="center" vertical="center" wrapText="1"/>
      <protection hidden="1"/>
    </xf>
    <xf numFmtId="0" fontId="3" fillId="0" borderId="97" xfId="0" applyFont="1" applyBorder="1" applyAlignment="1" applyProtection="1">
      <alignment horizontal="center" vertical="center" wrapText="1"/>
      <protection hidden="1"/>
    </xf>
    <xf numFmtId="0" fontId="63" fillId="0" borderId="57" xfId="0" applyFont="1" applyBorder="1" applyAlignment="1" applyProtection="1">
      <alignment horizontal="center" vertical="center" wrapText="1"/>
      <protection hidden="1"/>
    </xf>
    <xf numFmtId="169" fontId="63" fillId="0" borderId="58" xfId="0" applyNumberFormat="1" applyFont="1" applyBorder="1" applyAlignment="1" applyProtection="1">
      <alignment horizontal="center" vertical="center"/>
      <protection hidden="1"/>
    </xf>
    <xf numFmtId="0" fontId="63" fillId="0" borderId="58" xfId="0" applyFont="1" applyBorder="1" applyAlignment="1" applyProtection="1">
      <alignment horizontal="center" vertical="center"/>
      <protection hidden="1"/>
    </xf>
    <xf numFmtId="0" fontId="63" fillId="0" borderId="41" xfId="0" applyFont="1" applyBorder="1" applyAlignment="1" applyProtection="1">
      <alignment horizontal="center" vertical="center" wrapText="1"/>
      <protection hidden="1"/>
    </xf>
    <xf numFmtId="0" fontId="10" fillId="14" borderId="77" xfId="0" applyFont="1" applyFill="1" applyBorder="1" applyAlignment="1" applyProtection="1">
      <alignment horizontal="center" vertical="center"/>
      <protection hidden="1"/>
    </xf>
    <xf numFmtId="3" fontId="63" fillId="0" borderId="16" xfId="0" applyNumberFormat="1" applyFont="1" applyBorder="1" applyAlignment="1" applyProtection="1">
      <alignment horizontal="center" vertical="center"/>
      <protection hidden="1"/>
    </xf>
    <xf numFmtId="0" fontId="10" fillId="14" borderId="53" xfId="0" applyFont="1" applyFill="1" applyBorder="1" applyAlignment="1" applyProtection="1">
      <alignment horizontal="center" vertical="center"/>
      <protection hidden="1"/>
    </xf>
    <xf numFmtId="3" fontId="63" fillId="0" borderId="13" xfId="0" applyNumberFormat="1" applyFont="1" applyBorder="1" applyAlignment="1" applyProtection="1">
      <alignment horizontal="center" vertical="center"/>
      <protection hidden="1"/>
    </xf>
    <xf numFmtId="0" fontId="10" fillId="14" borderId="156" xfId="0" applyFont="1" applyFill="1" applyBorder="1" applyAlignment="1" applyProtection="1">
      <alignment horizontal="center" vertical="center"/>
      <protection hidden="1"/>
    </xf>
    <xf numFmtId="3" fontId="63" fillId="0" borderId="24" xfId="0" applyNumberFormat="1" applyFont="1" applyBorder="1" applyAlignment="1" applyProtection="1">
      <alignment horizontal="center" vertical="center"/>
      <protection hidden="1"/>
    </xf>
    <xf numFmtId="171" fontId="63" fillId="0" borderId="46" xfId="0" applyNumberFormat="1" applyFont="1" applyBorder="1" applyAlignment="1" applyProtection="1">
      <alignment horizontal="center" vertical="center"/>
      <protection hidden="1"/>
    </xf>
    <xf numFmtId="171" fontId="63" fillId="0" borderId="16" xfId="0" applyNumberFormat="1" applyFont="1" applyBorder="1" applyAlignment="1" applyProtection="1">
      <alignment horizontal="center" vertical="center"/>
      <protection hidden="1"/>
    </xf>
    <xf numFmtId="171" fontId="63" fillId="0" borderId="44" xfId="0" applyNumberFormat="1" applyFont="1" applyBorder="1" applyAlignment="1" applyProtection="1">
      <alignment horizontal="center" vertical="center"/>
      <protection hidden="1"/>
    </xf>
    <xf numFmtId="171" fontId="63" fillId="0" borderId="13" xfId="0" applyNumberFormat="1" applyFont="1" applyBorder="1" applyAlignment="1" applyProtection="1">
      <alignment horizontal="center" vertical="center"/>
      <protection hidden="1"/>
    </xf>
    <xf numFmtId="171" fontId="63" fillId="0" borderId="45" xfId="0" applyNumberFormat="1" applyFont="1" applyBorder="1" applyAlignment="1" applyProtection="1">
      <alignment horizontal="center" vertical="center"/>
      <protection hidden="1"/>
    </xf>
    <xf numFmtId="171" fontId="63" fillId="0" borderId="21" xfId="0" applyNumberFormat="1" applyFont="1" applyBorder="1" applyAlignment="1" applyProtection="1">
      <alignment horizontal="center" vertical="center"/>
      <protection hidden="1"/>
    </xf>
    <xf numFmtId="0" fontId="41" fillId="0" borderId="0" xfId="0" applyFont="1" applyAlignment="1" applyProtection="1">
      <alignment wrapText="1"/>
      <protection hidden="1"/>
    </xf>
    <xf numFmtId="0" fontId="41" fillId="0" borderId="173" xfId="0" applyFont="1" applyBorder="1" applyProtection="1">
      <protection hidden="1"/>
    </xf>
    <xf numFmtId="0" fontId="51" fillId="19" borderId="158" xfId="0" applyFont="1" applyFill="1" applyBorder="1" applyAlignment="1" applyProtection="1">
      <alignment vertical="center"/>
      <protection hidden="1"/>
    </xf>
    <xf numFmtId="4" fontId="36" fillId="19" borderId="158" xfId="0" applyNumberFormat="1" applyFont="1" applyFill="1" applyBorder="1" applyAlignment="1" applyProtection="1">
      <alignment horizontal="left" vertical="center"/>
      <protection hidden="1"/>
    </xf>
    <xf numFmtId="0" fontId="32" fillId="19" borderId="158" xfId="0" applyFont="1" applyFill="1" applyBorder="1" applyAlignment="1" applyProtection="1">
      <alignment horizontal="left" vertical="center" readingOrder="2"/>
      <protection hidden="1"/>
    </xf>
    <xf numFmtId="0" fontId="36" fillId="14" borderId="72" xfId="0" applyFont="1" applyFill="1" applyBorder="1" applyAlignment="1" applyProtection="1">
      <alignment horizontal="center" vertical="center" wrapText="1"/>
      <protection hidden="1"/>
    </xf>
    <xf numFmtId="0" fontId="10" fillId="14" borderId="75" xfId="0" applyFont="1" applyFill="1" applyBorder="1" applyAlignment="1" applyProtection="1">
      <alignment horizontal="center" vertical="center" textRotation="90"/>
      <protection hidden="1"/>
    </xf>
    <xf numFmtId="0" fontId="13" fillId="23" borderId="50" xfId="0" applyFont="1" applyFill="1" applyBorder="1" applyAlignment="1" applyProtection="1">
      <alignment vertical="center" wrapText="1"/>
      <protection locked="0"/>
    </xf>
    <xf numFmtId="0" fontId="13" fillId="23" borderId="11" xfId="0" applyFont="1" applyFill="1" applyBorder="1" applyAlignment="1" applyProtection="1">
      <alignment vertical="center" wrapText="1"/>
      <protection locked="0"/>
    </xf>
    <xf numFmtId="0" fontId="63" fillId="0" borderId="46" xfId="0" applyFont="1" applyFill="1" applyBorder="1" applyAlignment="1" applyProtection="1">
      <alignment vertical="center"/>
      <protection hidden="1"/>
    </xf>
    <xf numFmtId="0" fontId="10" fillId="14" borderId="98" xfId="0" applyFont="1" applyFill="1" applyBorder="1" applyAlignment="1" applyProtection="1">
      <alignment horizontal="center" vertical="center" textRotation="90"/>
      <protection hidden="1"/>
    </xf>
    <xf numFmtId="0" fontId="10" fillId="14" borderId="99" xfId="0" applyFont="1" applyFill="1" applyBorder="1" applyAlignment="1" applyProtection="1">
      <alignment horizontal="center" vertical="center" textRotation="90"/>
      <protection hidden="1"/>
    </xf>
    <xf numFmtId="0" fontId="10" fillId="14" borderId="98" xfId="0" applyFont="1" applyFill="1" applyBorder="1" applyAlignment="1" applyProtection="1">
      <alignment horizontal="center" vertical="center"/>
      <protection hidden="1"/>
    </xf>
    <xf numFmtId="0" fontId="63" fillId="0" borderId="46" xfId="0" applyFont="1" applyFill="1" applyBorder="1" applyAlignment="1" applyProtection="1">
      <alignment horizontal="center" vertical="center" wrapText="1"/>
      <protection hidden="1"/>
    </xf>
    <xf numFmtId="4" fontId="63" fillId="23" borderId="91" xfId="0" applyNumberFormat="1" applyFont="1" applyFill="1" applyBorder="1" applyAlignment="1" applyProtection="1">
      <alignment horizontal="center" vertical="center"/>
      <protection locked="0"/>
    </xf>
    <xf numFmtId="0" fontId="36" fillId="14" borderId="103" xfId="0" applyFont="1" applyFill="1" applyBorder="1" applyAlignment="1" applyProtection="1">
      <alignment horizontal="center" vertical="center" wrapText="1"/>
      <protection hidden="1"/>
    </xf>
    <xf numFmtId="0" fontId="36" fillId="14" borderId="73" xfId="0" applyFont="1" applyFill="1" applyBorder="1" applyAlignment="1" applyProtection="1">
      <alignment horizontal="center" vertical="center" wrapText="1"/>
      <protection hidden="1"/>
    </xf>
    <xf numFmtId="0" fontId="41" fillId="23" borderId="78" xfId="0" applyFont="1" applyFill="1" applyBorder="1" applyAlignment="1" applyProtection="1">
      <alignment wrapText="1"/>
      <protection locked="0"/>
    </xf>
    <xf numFmtId="4" fontId="63" fillId="23" borderId="90" xfId="0" applyNumberFormat="1" applyFont="1" applyFill="1" applyBorder="1" applyAlignment="1" applyProtection="1">
      <alignment horizontal="center" vertical="center"/>
      <protection locked="0"/>
    </xf>
    <xf numFmtId="0" fontId="13" fillId="23" borderId="97" xfId="0" applyFont="1" applyFill="1" applyBorder="1" applyAlignment="1" applyProtection="1">
      <alignment vertical="center" wrapText="1"/>
      <protection locked="0"/>
    </xf>
    <xf numFmtId="4" fontId="63" fillId="0" borderId="80" xfId="0" applyNumberFormat="1" applyFont="1" applyFill="1" applyBorder="1" applyAlignment="1" applyProtection="1">
      <alignment horizontal="center" vertical="center"/>
      <protection hidden="1"/>
    </xf>
    <xf numFmtId="4" fontId="63" fillId="0" borderId="46" xfId="0" applyNumberFormat="1" applyFont="1" applyFill="1" applyBorder="1" applyAlignment="1" applyProtection="1">
      <alignment horizontal="center" vertical="center"/>
      <protection hidden="1"/>
    </xf>
    <xf numFmtId="0" fontId="41" fillId="23" borderId="42" xfId="0" applyFont="1" applyFill="1" applyBorder="1" applyAlignment="1" applyProtection="1">
      <alignment wrapText="1"/>
      <protection locked="0"/>
    </xf>
    <xf numFmtId="4" fontId="63" fillId="23" borderId="15" xfId="0" applyNumberFormat="1" applyFont="1" applyFill="1" applyBorder="1" applyAlignment="1" applyProtection="1">
      <alignment horizontal="center" vertical="center"/>
      <protection locked="0"/>
    </xf>
    <xf numFmtId="0" fontId="13" fillId="23" borderId="8" xfId="0" applyFont="1" applyFill="1" applyBorder="1" applyAlignment="1" applyProtection="1">
      <alignment vertical="center" wrapText="1"/>
      <protection locked="0"/>
    </xf>
    <xf numFmtId="0" fontId="41" fillId="23" borderId="43" xfId="0" applyFont="1" applyFill="1" applyBorder="1" applyAlignment="1" applyProtection="1">
      <alignment wrapText="1"/>
      <protection locked="0"/>
    </xf>
    <xf numFmtId="0" fontId="13" fillId="23" borderId="41" xfId="0" applyFont="1" applyFill="1" applyBorder="1" applyAlignment="1" applyProtection="1">
      <alignment vertical="center" wrapText="1"/>
      <protection locked="0"/>
    </xf>
    <xf numFmtId="4" fontId="63" fillId="0" borderId="56" xfId="0" applyNumberFormat="1" applyFont="1" applyFill="1" applyBorder="1" applyAlignment="1" applyProtection="1">
      <alignment horizontal="center" vertical="center"/>
      <protection hidden="1"/>
    </xf>
    <xf numFmtId="0" fontId="13" fillId="23" borderId="60" xfId="0" applyFont="1" applyFill="1" applyBorder="1" applyAlignment="1" applyProtection="1">
      <alignment vertical="center" wrapText="1"/>
      <protection locked="0"/>
    </xf>
    <xf numFmtId="0" fontId="41" fillId="0" borderId="0" xfId="0" applyFont="1" applyAlignment="1" applyProtection="1">
      <alignment horizontal="center" vertical="center"/>
      <protection hidden="1"/>
    </xf>
    <xf numFmtId="0" fontId="13" fillId="23" borderId="46" xfId="0" applyFont="1" applyFill="1" applyBorder="1" applyAlignment="1" applyProtection="1">
      <alignment horizontal="center" vertical="center" wrapText="1"/>
      <protection locked="0"/>
    </xf>
    <xf numFmtId="0" fontId="13" fillId="23" borderId="78" xfId="0" applyFont="1" applyFill="1" applyBorder="1" applyAlignment="1" applyProtection="1">
      <alignment vertical="center" wrapText="1"/>
      <protection locked="0"/>
    </xf>
    <xf numFmtId="0" fontId="35" fillId="14" borderId="89" xfId="0" applyFont="1" applyFill="1" applyBorder="1" applyAlignment="1" applyProtection="1">
      <alignment horizontal="center" vertical="center" wrapText="1" readingOrder="2"/>
      <protection hidden="1"/>
    </xf>
    <xf numFmtId="0" fontId="63" fillId="0" borderId="91" xfId="0" applyFont="1" applyBorder="1" applyAlignment="1" applyProtection="1">
      <alignment horizontal="center" vertical="center"/>
      <protection hidden="1"/>
    </xf>
    <xf numFmtId="0" fontId="63" fillId="0" borderId="59" xfId="0" applyFont="1" applyBorder="1" applyAlignment="1" applyProtection="1">
      <alignment horizontal="center" vertical="center"/>
      <protection hidden="1"/>
    </xf>
    <xf numFmtId="0" fontId="63" fillId="0" borderId="104" xfId="0" applyFont="1" applyBorder="1" applyAlignment="1" applyProtection="1">
      <alignment horizontal="center" vertical="center"/>
      <protection hidden="1"/>
    </xf>
    <xf numFmtId="0" fontId="63" fillId="23" borderId="17" xfId="0" applyFont="1" applyFill="1" applyBorder="1" applyProtection="1">
      <protection locked="0"/>
    </xf>
    <xf numFmtId="168" fontId="63" fillId="23" borderId="11" xfId="0" applyNumberFormat="1" applyFont="1" applyFill="1" applyBorder="1" applyProtection="1">
      <protection locked="0"/>
    </xf>
    <xf numFmtId="0" fontId="63" fillId="23" borderId="15" xfId="0" applyFont="1" applyFill="1" applyBorder="1" applyProtection="1">
      <protection locked="0"/>
    </xf>
    <xf numFmtId="168" fontId="63" fillId="23" borderId="8" xfId="0" applyNumberFormat="1" applyFont="1" applyFill="1" applyBorder="1" applyProtection="1">
      <protection locked="0"/>
    </xf>
    <xf numFmtId="0" fontId="41" fillId="0" borderId="0" xfId="0" applyFont="1" applyBorder="1" applyProtection="1">
      <protection hidden="1"/>
    </xf>
    <xf numFmtId="0" fontId="63" fillId="0" borderId="57" xfId="0" applyFont="1" applyBorder="1" applyAlignment="1" applyProtection="1">
      <alignment horizontal="center" vertical="center"/>
      <protection hidden="1"/>
    </xf>
    <xf numFmtId="3" fontId="41" fillId="23" borderId="57" xfId="0" applyNumberFormat="1" applyFont="1" applyFill="1" applyBorder="1" applyAlignment="1" applyProtection="1">
      <alignment horizontal="center" vertical="center"/>
      <protection locked="0"/>
    </xf>
    <xf numFmtId="3" fontId="41" fillId="23" borderId="58" xfId="0" applyNumberFormat="1" applyFont="1" applyFill="1" applyBorder="1" applyAlignment="1" applyProtection="1">
      <alignment horizontal="center" vertical="center"/>
      <protection locked="0"/>
    </xf>
    <xf numFmtId="0" fontId="41" fillId="0" borderId="16" xfId="0" applyFont="1" applyBorder="1" applyAlignment="1" applyProtection="1">
      <alignment horizontal="center" vertical="center"/>
      <protection hidden="1"/>
    </xf>
    <xf numFmtId="172" fontId="63" fillId="23" borderId="8" xfId="0" applyNumberFormat="1" applyFont="1" applyFill="1" applyBorder="1" applyProtection="1">
      <protection locked="0"/>
    </xf>
    <xf numFmtId="3" fontId="63" fillId="23" borderId="17" xfId="0" applyNumberFormat="1" applyFont="1" applyFill="1" applyBorder="1" applyProtection="1">
      <protection locked="0"/>
    </xf>
    <xf numFmtId="172" fontId="63" fillId="23" borderId="11" xfId="0" applyNumberFormat="1" applyFont="1" applyFill="1" applyBorder="1" applyProtection="1">
      <protection locked="0"/>
    </xf>
    <xf numFmtId="3" fontId="63" fillId="23" borderId="15" xfId="0" applyNumberFormat="1" applyFont="1" applyFill="1" applyBorder="1" applyProtection="1">
      <protection locked="0"/>
    </xf>
    <xf numFmtId="0" fontId="41" fillId="9" borderId="0" xfId="0" applyFont="1" applyFill="1" applyProtection="1">
      <protection hidden="1"/>
    </xf>
    <xf numFmtId="0" fontId="41" fillId="0" borderId="0" xfId="0" applyFont="1" applyFill="1" applyAlignment="1" applyProtection="1">
      <alignment horizontal="center" vertical="center"/>
      <protection hidden="1"/>
    </xf>
    <xf numFmtId="0" fontId="13" fillId="14" borderId="98" xfId="0" applyFont="1" applyFill="1" applyBorder="1" applyAlignment="1" applyProtection="1">
      <alignment horizontal="center" vertical="center" wrapText="1"/>
      <protection hidden="1"/>
    </xf>
    <xf numFmtId="0" fontId="63" fillId="0" borderId="11" xfId="0" applyFont="1" applyBorder="1" applyAlignment="1" applyProtection="1">
      <alignment horizontal="center" vertical="center"/>
      <protection hidden="1"/>
    </xf>
    <xf numFmtId="0" fontId="13" fillId="14" borderId="126" xfId="0" applyFont="1" applyFill="1" applyBorder="1" applyAlignment="1" applyProtection="1">
      <alignment horizontal="center" vertical="center" wrapText="1"/>
      <protection hidden="1"/>
    </xf>
    <xf numFmtId="0" fontId="63" fillId="0" borderId="9" xfId="0" applyFont="1" applyBorder="1" applyAlignment="1" applyProtection="1">
      <alignment horizontal="center" vertical="center"/>
      <protection hidden="1"/>
    </xf>
    <xf numFmtId="0" fontId="86" fillId="0" borderId="0" xfId="0" applyFont="1" applyProtection="1">
      <protection hidden="1"/>
    </xf>
    <xf numFmtId="0" fontId="41" fillId="0" borderId="61" xfId="0" applyFont="1" applyBorder="1" applyProtection="1">
      <protection hidden="1"/>
    </xf>
    <xf numFmtId="170" fontId="63" fillId="0" borderId="56" xfId="0" applyNumberFormat="1" applyFont="1" applyFill="1" applyBorder="1" applyAlignment="1" applyProtection="1">
      <alignment horizontal="center" vertical="center"/>
      <protection hidden="1"/>
    </xf>
    <xf numFmtId="0" fontId="10" fillId="0" borderId="56" xfId="0" applyFont="1" applyBorder="1" applyAlignment="1" applyProtection="1">
      <alignment horizontal="center" vertical="center" wrapText="1"/>
      <protection hidden="1"/>
    </xf>
    <xf numFmtId="0" fontId="63" fillId="0" borderId="56" xfId="0" applyFont="1" applyBorder="1" applyAlignment="1" applyProtection="1">
      <alignment horizontal="center" vertical="center" wrapText="1"/>
      <protection hidden="1"/>
    </xf>
    <xf numFmtId="168" fontId="63" fillId="0" borderId="59" xfId="0" applyNumberFormat="1" applyFont="1" applyBorder="1" applyAlignment="1" applyProtection="1">
      <alignment horizontal="center" vertical="center" wrapText="1"/>
      <protection hidden="1"/>
    </xf>
    <xf numFmtId="0" fontId="13" fillId="23" borderId="54" xfId="0" applyFont="1" applyFill="1" applyBorder="1" applyAlignment="1" applyProtection="1">
      <alignment vertical="center"/>
      <protection hidden="1"/>
    </xf>
    <xf numFmtId="0" fontId="13" fillId="23" borderId="61" xfId="0" applyFont="1" applyFill="1" applyBorder="1" applyAlignment="1" applyProtection="1">
      <alignment vertical="center"/>
      <protection hidden="1"/>
    </xf>
    <xf numFmtId="0" fontId="13" fillId="23" borderId="62" xfId="0" applyFont="1" applyFill="1" applyBorder="1" applyAlignment="1" applyProtection="1">
      <alignment vertical="center"/>
      <protection hidden="1"/>
    </xf>
    <xf numFmtId="4" fontId="63" fillId="0" borderId="104"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protection hidden="1"/>
    </xf>
    <xf numFmtId="0" fontId="49" fillId="9" borderId="0" xfId="0" applyFont="1" applyFill="1" applyProtection="1">
      <protection hidden="1"/>
    </xf>
    <xf numFmtId="0" fontId="41" fillId="9" borderId="1" xfId="0" applyFont="1" applyFill="1" applyBorder="1" applyAlignment="1" applyProtection="1">
      <alignment vertical="top"/>
      <protection hidden="1"/>
    </xf>
    <xf numFmtId="0" fontId="41" fillId="9" borderId="113" xfId="0" applyFont="1" applyFill="1" applyBorder="1" applyAlignment="1" applyProtection="1">
      <alignment vertical="top"/>
      <protection hidden="1"/>
    </xf>
    <xf numFmtId="0" fontId="41" fillId="9" borderId="0" xfId="0" applyFont="1" applyFill="1" applyAlignment="1" applyProtection="1">
      <alignment vertical="center"/>
      <protection hidden="1"/>
    </xf>
    <xf numFmtId="0" fontId="41" fillId="21" borderId="42" xfId="0" applyFont="1" applyFill="1" applyBorder="1" applyAlignment="1" applyProtection="1">
      <alignment vertical="center"/>
      <protection hidden="1"/>
    </xf>
    <xf numFmtId="0" fontId="41" fillId="22" borderId="42" xfId="0" applyFont="1" applyFill="1" applyBorder="1" applyAlignment="1" applyProtection="1">
      <alignment vertical="center"/>
      <protection hidden="1"/>
    </xf>
    <xf numFmtId="0" fontId="13" fillId="9" borderId="49" xfId="0" applyFont="1" applyFill="1" applyBorder="1" applyAlignment="1" applyProtection="1">
      <alignment horizontal="center" vertical="center"/>
      <protection hidden="1"/>
    </xf>
    <xf numFmtId="0" fontId="41" fillId="9" borderId="1" xfId="0" applyFont="1" applyFill="1" applyBorder="1" applyAlignment="1" applyProtection="1">
      <alignment vertical="center"/>
      <protection hidden="1"/>
    </xf>
    <xf numFmtId="0" fontId="41" fillId="9" borderId="113" xfId="0" applyFont="1" applyFill="1" applyBorder="1" applyAlignment="1" applyProtection="1">
      <alignment vertical="center"/>
      <protection hidden="1"/>
    </xf>
    <xf numFmtId="0" fontId="88" fillId="9" borderId="75" xfId="0" applyFont="1" applyFill="1" applyBorder="1" applyAlignment="1" applyProtection="1">
      <alignment horizontal="justify" vertical="center" wrapText="1" readingOrder="2"/>
      <protection hidden="1"/>
    </xf>
    <xf numFmtId="0" fontId="88" fillId="23" borderId="90" xfId="0" applyFont="1" applyFill="1" applyBorder="1" applyAlignment="1" applyProtection="1">
      <alignment horizontal="justify" vertical="center" wrapText="1" readingOrder="2"/>
      <protection locked="0"/>
    </xf>
    <xf numFmtId="0" fontId="88" fillId="9" borderId="76" xfId="0" applyFont="1" applyFill="1" applyBorder="1" applyAlignment="1" applyProtection="1">
      <alignment vertical="center" wrapText="1" readingOrder="2"/>
      <protection hidden="1"/>
    </xf>
    <xf numFmtId="0" fontId="88" fillId="23" borderId="77" xfId="0" applyFont="1" applyFill="1" applyBorder="1" applyAlignment="1" applyProtection="1">
      <alignment vertical="center" wrapText="1" readingOrder="2"/>
      <protection locked="0"/>
    </xf>
    <xf numFmtId="0" fontId="88" fillId="9" borderId="98" xfId="0" applyFont="1" applyFill="1" applyBorder="1" applyAlignment="1" applyProtection="1">
      <alignment vertical="center" wrapText="1" readingOrder="2"/>
      <protection hidden="1"/>
    </xf>
    <xf numFmtId="0" fontId="49" fillId="9" borderId="0" xfId="0" applyFont="1" applyFill="1" applyAlignment="1" applyProtection="1">
      <alignment horizontal="center"/>
      <protection hidden="1"/>
    </xf>
    <xf numFmtId="0" fontId="88" fillId="20" borderId="8" xfId="0" applyFont="1" applyFill="1" applyBorder="1" applyAlignment="1" applyProtection="1">
      <alignment horizontal="center" vertical="center" wrapText="1" readingOrder="2"/>
      <protection hidden="1"/>
    </xf>
    <xf numFmtId="0" fontId="25" fillId="9" borderId="8" xfId="0" applyFont="1" applyFill="1" applyBorder="1" applyAlignment="1" applyProtection="1">
      <alignment horizontal="center" vertical="center" wrapText="1" readingOrder="2"/>
      <protection hidden="1"/>
    </xf>
    <xf numFmtId="0" fontId="88" fillId="9" borderId="22" xfId="0" applyFont="1" applyFill="1" applyBorder="1" applyAlignment="1" applyProtection="1">
      <alignment horizontal="center" vertical="center" wrapText="1" readingOrder="2"/>
      <protection hidden="1"/>
    </xf>
    <xf numFmtId="0" fontId="88" fillId="23" borderId="156" xfId="0" applyFont="1" applyFill="1" applyBorder="1" applyAlignment="1" applyProtection="1">
      <alignment horizontal="center" vertical="center" wrapText="1" readingOrder="2"/>
      <protection locked="0"/>
    </xf>
    <xf numFmtId="0" fontId="88" fillId="9" borderId="126" xfId="0" applyFont="1" applyFill="1" applyBorder="1" applyAlignment="1" applyProtection="1">
      <alignment vertical="center" wrapText="1" readingOrder="2"/>
      <protection hidden="1"/>
    </xf>
    <xf numFmtId="0" fontId="88" fillId="23" borderId="22" xfId="0" applyFont="1" applyFill="1" applyBorder="1" applyAlignment="1" applyProtection="1">
      <alignment horizontal="center" vertical="center" wrapText="1" readingOrder="2"/>
      <protection locked="0"/>
    </xf>
    <xf numFmtId="0" fontId="88" fillId="20" borderId="44" xfId="0" applyFont="1" applyFill="1" applyBorder="1" applyAlignment="1" applyProtection="1">
      <alignment horizontal="center" vertical="center" wrapText="1" readingOrder="2"/>
      <protection hidden="1"/>
    </xf>
    <xf numFmtId="0" fontId="25" fillId="9" borderId="41" xfId="0" applyFont="1" applyFill="1" applyBorder="1" applyAlignment="1" applyProtection="1">
      <alignment horizontal="center" vertical="center" wrapText="1" readingOrder="2"/>
      <protection hidden="1"/>
    </xf>
    <xf numFmtId="0" fontId="35" fillId="11" borderId="78" xfId="0" applyFont="1" applyFill="1" applyBorder="1" applyAlignment="1" applyProtection="1">
      <alignment horizontal="center" vertical="center"/>
      <protection hidden="1"/>
    </xf>
    <xf numFmtId="0" fontId="10" fillId="4" borderId="42" xfId="0" applyFont="1" applyFill="1" applyBorder="1" applyAlignment="1" applyProtection="1">
      <alignment horizontal="center" vertical="center"/>
      <protection hidden="1"/>
    </xf>
    <xf numFmtId="166" fontId="41" fillId="0" borderId="8" xfId="0" applyNumberFormat="1" applyFont="1" applyFill="1" applyBorder="1" applyAlignment="1" applyProtection="1">
      <alignment horizontal="center" vertical="center"/>
      <protection hidden="1"/>
    </xf>
    <xf numFmtId="166" fontId="41" fillId="0" borderId="44" xfId="0" applyNumberFormat="1" applyFont="1" applyFill="1" applyBorder="1" applyAlignment="1" applyProtection="1">
      <alignment horizontal="center" vertical="center"/>
      <protection hidden="1"/>
    </xf>
    <xf numFmtId="164" fontId="63" fillId="23" borderId="8" xfId="0" applyNumberFormat="1" applyFont="1" applyFill="1" applyBorder="1" applyAlignment="1" applyProtection="1">
      <alignment horizontal="center" vertical="center"/>
      <protection locked="0"/>
    </xf>
    <xf numFmtId="164" fontId="36" fillId="11" borderId="8" xfId="0" applyNumberFormat="1" applyFont="1" applyFill="1" applyBorder="1" applyAlignment="1" applyProtection="1">
      <alignment horizontal="center" vertical="center"/>
      <protection hidden="1"/>
    </xf>
    <xf numFmtId="164" fontId="36" fillId="11" borderId="44" xfId="0" applyNumberFormat="1" applyFont="1" applyFill="1" applyBorder="1" applyAlignment="1" applyProtection="1">
      <alignment horizontal="center" vertical="center"/>
      <protection hidden="1"/>
    </xf>
    <xf numFmtId="0" fontId="13" fillId="0" borderId="0" xfId="0" applyFont="1" applyFill="1" applyAlignment="1" applyProtection="1">
      <alignment vertical="center" textRotation="90"/>
      <protection hidden="1"/>
    </xf>
    <xf numFmtId="0" fontId="36" fillId="11" borderId="44" xfId="0" applyFont="1" applyFill="1" applyBorder="1" applyAlignment="1" applyProtection="1">
      <alignment horizontal="center" vertical="center" wrapText="1"/>
      <protection hidden="1"/>
    </xf>
    <xf numFmtId="0" fontId="63" fillId="4" borderId="42" xfId="0" applyFont="1" applyFill="1" applyBorder="1" applyAlignment="1" applyProtection="1">
      <alignment horizontal="center" vertical="center"/>
      <protection hidden="1"/>
    </xf>
    <xf numFmtId="0" fontId="63" fillId="4" borderId="43" xfId="0" applyFont="1" applyFill="1" applyBorder="1" applyAlignment="1" applyProtection="1">
      <alignment horizontal="center" vertical="center"/>
      <protection hidden="1"/>
    </xf>
    <xf numFmtId="0" fontId="41" fillId="0" borderId="0" xfId="0" applyFont="1" applyAlignment="1" applyProtection="1">
      <alignment horizontal="center" vertical="top"/>
      <protection hidden="1"/>
    </xf>
    <xf numFmtId="0" fontId="63" fillId="9" borderId="0" xfId="0" applyFont="1" applyFill="1" applyBorder="1" applyAlignment="1" applyProtection="1">
      <alignment horizontal="center" vertical="center"/>
      <protection hidden="1"/>
    </xf>
    <xf numFmtId="0" fontId="41" fillId="9" borderId="0" xfId="0" applyFont="1" applyFill="1" applyBorder="1" applyAlignment="1" applyProtection="1">
      <alignment horizontal="center" vertical="center"/>
      <protection hidden="1"/>
    </xf>
    <xf numFmtId="0" fontId="13" fillId="9" borderId="0" xfId="0" applyFont="1" applyFill="1" applyAlignment="1" applyProtection="1">
      <alignment vertical="center" textRotation="90"/>
      <protection hidden="1"/>
    </xf>
    <xf numFmtId="0" fontId="41" fillId="9" borderId="3" xfId="0" applyFont="1" applyFill="1" applyBorder="1" applyAlignment="1" applyProtection="1">
      <alignment horizontal="center" vertical="center"/>
      <protection hidden="1"/>
    </xf>
    <xf numFmtId="0" fontId="41" fillId="9" borderId="0" xfId="0" applyFont="1" applyFill="1" applyAlignment="1" applyProtection="1">
      <alignment horizontal="center" vertical="top"/>
      <protection hidden="1"/>
    </xf>
    <xf numFmtId="0" fontId="63" fillId="9" borderId="0" xfId="0" applyFont="1" applyFill="1" applyBorder="1" applyAlignment="1" applyProtection="1">
      <alignment horizontal="center" vertical="top"/>
      <protection hidden="1"/>
    </xf>
    <xf numFmtId="0" fontId="63" fillId="0" borderId="193" xfId="0" applyFont="1" applyBorder="1" applyAlignment="1" applyProtection="1">
      <alignment horizontal="center" vertical="center"/>
      <protection hidden="1"/>
    </xf>
    <xf numFmtId="0" fontId="41" fillId="26" borderId="198" xfId="0" applyFont="1" applyFill="1" applyBorder="1" applyAlignment="1" applyProtection="1">
      <alignment vertical="center"/>
      <protection hidden="1"/>
    </xf>
    <xf numFmtId="0" fontId="63" fillId="0" borderId="203" xfId="0" applyFont="1" applyBorder="1" applyAlignment="1" applyProtection="1">
      <alignment horizontal="center" vertical="center"/>
      <protection hidden="1"/>
    </xf>
    <xf numFmtId="0" fontId="32" fillId="27" borderId="207" xfId="0" applyFont="1" applyFill="1" applyBorder="1" applyAlignment="1" applyProtection="1">
      <alignment horizontal="center" vertical="center" readingOrder="2"/>
      <protection hidden="1"/>
    </xf>
    <xf numFmtId="0" fontId="32" fillId="27" borderId="208" xfId="0" applyFont="1" applyFill="1" applyBorder="1" applyAlignment="1" applyProtection="1">
      <alignment horizontal="center" vertical="center" readingOrder="2"/>
      <protection hidden="1"/>
    </xf>
    <xf numFmtId="0" fontId="63" fillId="0" borderId="193" xfId="0" applyFont="1" applyBorder="1" applyAlignment="1" applyProtection="1">
      <alignment vertical="center"/>
      <protection hidden="1"/>
    </xf>
    <xf numFmtId="3" fontId="64" fillId="23" borderId="218" xfId="0" applyNumberFormat="1" applyFont="1" applyFill="1" applyBorder="1" applyAlignment="1" applyProtection="1">
      <alignment horizontal="center" vertical="center"/>
      <protection locked="0"/>
    </xf>
    <xf numFmtId="0" fontId="63" fillId="0" borderId="219" xfId="0" applyFont="1" applyBorder="1" applyAlignment="1" applyProtection="1">
      <alignment horizontal="center" vertical="center"/>
      <protection hidden="1"/>
    </xf>
    <xf numFmtId="0" fontId="63" fillId="0" borderId="220" xfId="0" applyFont="1" applyBorder="1" applyAlignment="1" applyProtection="1">
      <alignment horizontal="center" vertical="center"/>
      <protection hidden="1"/>
    </xf>
    <xf numFmtId="3" fontId="64" fillId="23" borderId="211" xfId="0" applyNumberFormat="1" applyFont="1" applyFill="1" applyBorder="1" applyAlignment="1" applyProtection="1">
      <alignment horizontal="center" vertical="center"/>
      <protection locked="0"/>
    </xf>
    <xf numFmtId="0" fontId="63" fillId="0" borderId="221" xfId="0" applyFont="1" applyBorder="1" applyAlignment="1" applyProtection="1">
      <alignment horizontal="center" vertical="center"/>
      <protection hidden="1"/>
    </xf>
    <xf numFmtId="0" fontId="63" fillId="0" borderId="222" xfId="0" applyFont="1" applyBorder="1" applyAlignment="1" applyProtection="1">
      <alignment horizontal="center" vertical="center"/>
      <protection hidden="1"/>
    </xf>
    <xf numFmtId="165" fontId="63" fillId="0" borderId="226" xfId="0" applyNumberFormat="1" applyFont="1" applyBorder="1" applyAlignment="1" applyProtection="1">
      <alignment horizontal="center" vertical="center"/>
      <protection hidden="1"/>
    </xf>
    <xf numFmtId="0" fontId="32" fillId="27" borderId="227" xfId="0" applyFont="1" applyFill="1" applyBorder="1" applyAlignment="1" applyProtection="1">
      <alignment horizontal="center" vertical="center" readingOrder="2"/>
      <protection hidden="1"/>
    </xf>
    <xf numFmtId="0" fontId="32" fillId="27" borderId="228" xfId="0" applyFont="1" applyFill="1" applyBorder="1" applyAlignment="1" applyProtection="1">
      <alignment horizontal="center" vertical="center" readingOrder="2"/>
      <protection hidden="1"/>
    </xf>
    <xf numFmtId="0" fontId="32" fillId="27" borderId="229" xfId="0" applyFont="1" applyFill="1" applyBorder="1" applyAlignment="1" applyProtection="1">
      <alignment horizontal="center" vertical="center" readingOrder="2"/>
      <protection hidden="1"/>
    </xf>
    <xf numFmtId="0" fontId="36" fillId="27" borderId="206" xfId="0" applyFont="1" applyFill="1" applyBorder="1" applyAlignment="1" applyProtection="1">
      <alignment horizontal="center" vertical="center" readingOrder="2"/>
      <protection hidden="1"/>
    </xf>
    <xf numFmtId="3" fontId="64" fillId="23" borderId="209" xfId="0" applyNumberFormat="1" applyFont="1" applyFill="1" applyBorder="1" applyAlignment="1" applyProtection="1">
      <alignment horizontal="center" vertical="center"/>
      <protection locked="0"/>
    </xf>
    <xf numFmtId="0" fontId="32" fillId="14" borderId="129" xfId="0" applyFont="1" applyFill="1" applyBorder="1" applyAlignment="1" applyProtection="1">
      <alignment horizontal="center" vertical="center" wrapText="1" readingOrder="2"/>
      <protection hidden="1"/>
    </xf>
    <xf numFmtId="0" fontId="32" fillId="14" borderId="72" xfId="0" applyFont="1" applyFill="1" applyBorder="1" applyAlignment="1" applyProtection="1">
      <alignment horizontal="center" vertical="center" wrapText="1" readingOrder="2"/>
      <protection hidden="1"/>
    </xf>
    <xf numFmtId="165" fontId="63" fillId="0" borderId="231" xfId="0" applyNumberFormat="1" applyFont="1" applyBorder="1" applyAlignment="1" applyProtection="1">
      <alignment horizontal="center" vertical="center"/>
      <protection hidden="1"/>
    </xf>
    <xf numFmtId="0" fontId="32" fillId="27" borderId="237" xfId="0" applyFont="1" applyFill="1" applyBorder="1" applyAlignment="1" applyProtection="1">
      <alignment horizontal="center" vertical="center" readingOrder="2"/>
      <protection hidden="1"/>
    </xf>
    <xf numFmtId="0" fontId="32" fillId="27" borderId="238" xfId="0" applyFont="1" applyFill="1" applyBorder="1" applyAlignment="1" applyProtection="1">
      <alignment horizontal="center" vertical="center" readingOrder="2"/>
      <protection hidden="1"/>
    </xf>
    <xf numFmtId="0" fontId="98" fillId="25" borderId="209" xfId="0" applyFont="1" applyFill="1" applyBorder="1" applyAlignment="1" applyProtection="1">
      <alignment vertical="top"/>
      <protection hidden="1"/>
    </xf>
    <xf numFmtId="0" fontId="98" fillId="25" borderId="0" xfId="0" applyFont="1" applyFill="1" applyBorder="1" applyAlignment="1" applyProtection="1">
      <alignment vertical="top"/>
      <protection hidden="1"/>
    </xf>
    <xf numFmtId="0" fontId="98" fillId="25" borderId="210" xfId="0" applyFont="1" applyFill="1" applyBorder="1" applyAlignment="1" applyProtection="1">
      <alignment vertical="top"/>
      <protection hidden="1"/>
    </xf>
    <xf numFmtId="0" fontId="98" fillId="25" borderId="211" xfId="0" applyFont="1" applyFill="1" applyBorder="1" applyAlignment="1" applyProtection="1">
      <alignment vertical="top"/>
      <protection hidden="1"/>
    </xf>
    <xf numFmtId="0" fontId="98" fillId="25" borderId="212" xfId="0" applyFont="1" applyFill="1" applyBorder="1" applyAlignment="1" applyProtection="1">
      <alignment vertical="top"/>
      <protection hidden="1"/>
    </xf>
    <xf numFmtId="0" fontId="98" fillId="25" borderId="213" xfId="0" applyFont="1" applyFill="1" applyBorder="1" applyAlignment="1" applyProtection="1">
      <alignment vertical="top"/>
      <protection hidden="1"/>
    </xf>
    <xf numFmtId="0" fontId="51" fillId="25" borderId="0" xfId="0" applyFont="1" applyFill="1" applyBorder="1" applyAlignment="1" applyProtection="1">
      <alignment vertical="center"/>
      <protection hidden="1"/>
    </xf>
    <xf numFmtId="0" fontId="57" fillId="25" borderId="0" xfId="0" applyFont="1" applyFill="1" applyBorder="1" applyAlignment="1" applyProtection="1">
      <alignment horizontal="right" vertical="center"/>
      <protection hidden="1"/>
    </xf>
    <xf numFmtId="2" fontId="63" fillId="0" borderId="0" xfId="0" applyNumberFormat="1" applyFont="1" applyBorder="1" applyAlignment="1" applyProtection="1">
      <alignment vertical="center"/>
      <protection hidden="1"/>
    </xf>
    <xf numFmtId="0" fontId="41" fillId="26" borderId="209" xfId="0" applyFont="1" applyFill="1" applyBorder="1" applyAlignment="1" applyProtection="1">
      <alignment vertical="center"/>
      <protection hidden="1"/>
    </xf>
    <xf numFmtId="0" fontId="32" fillId="27" borderId="247" xfId="0" applyFont="1" applyFill="1" applyBorder="1" applyAlignment="1" applyProtection="1">
      <alignment horizontal="center" vertical="center" readingOrder="2"/>
      <protection hidden="1"/>
    </xf>
    <xf numFmtId="0" fontId="63" fillId="22" borderId="16" xfId="0" applyFont="1" applyFill="1" applyBorder="1" applyAlignment="1" applyProtection="1">
      <alignment horizontal="center" vertical="center"/>
      <protection hidden="1"/>
    </xf>
    <xf numFmtId="0" fontId="63" fillId="22" borderId="13" xfId="0" applyFont="1" applyFill="1" applyBorder="1" applyAlignment="1" applyProtection="1">
      <alignment horizontal="center" vertical="center"/>
      <protection hidden="1"/>
    </xf>
    <xf numFmtId="0" fontId="36" fillId="27" borderId="186" xfId="0" applyFont="1" applyFill="1" applyBorder="1" applyAlignment="1" applyProtection="1">
      <alignment horizontal="center" vertical="center" readingOrder="2"/>
      <protection hidden="1"/>
    </xf>
    <xf numFmtId="0" fontId="32" fillId="27" borderId="254" xfId="0" applyFont="1" applyFill="1" applyBorder="1" applyAlignment="1" applyProtection="1">
      <alignment horizontal="center" vertical="center" readingOrder="2"/>
      <protection hidden="1"/>
    </xf>
    <xf numFmtId="0" fontId="32" fillId="27" borderId="8" xfId="0" applyFont="1" applyFill="1" applyBorder="1" applyAlignment="1" applyProtection="1">
      <alignment horizontal="center" vertical="center" readingOrder="2"/>
      <protection hidden="1"/>
    </xf>
    <xf numFmtId="0" fontId="41" fillId="26" borderId="201" xfId="0" applyFont="1" applyFill="1" applyBorder="1" applyAlignment="1" applyProtection="1">
      <alignment vertical="center"/>
      <protection hidden="1"/>
    </xf>
    <xf numFmtId="0" fontId="32" fillId="27" borderId="124" xfId="0" applyFont="1" applyFill="1" applyBorder="1" applyAlignment="1" applyProtection="1">
      <alignment horizontal="center" vertical="center" readingOrder="2"/>
      <protection hidden="1"/>
    </xf>
    <xf numFmtId="0" fontId="32" fillId="27" borderId="108" xfId="0" applyFont="1" applyFill="1" applyBorder="1" applyAlignment="1" applyProtection="1">
      <alignment horizontal="center" vertical="center" readingOrder="2"/>
      <protection hidden="1"/>
    </xf>
    <xf numFmtId="0" fontId="32" fillId="27" borderId="112" xfId="0" applyFont="1" applyFill="1" applyBorder="1" applyAlignment="1" applyProtection="1">
      <alignment horizontal="center" vertical="center" readingOrder="2"/>
      <protection hidden="1"/>
    </xf>
    <xf numFmtId="3" fontId="64" fillId="23" borderId="75" xfId="0" applyNumberFormat="1" applyFont="1" applyFill="1" applyBorder="1" applyAlignment="1" applyProtection="1">
      <alignment horizontal="center" vertical="center"/>
      <protection locked="0"/>
    </xf>
    <xf numFmtId="0" fontId="98" fillId="25" borderId="209" xfId="0" applyFont="1" applyFill="1" applyBorder="1" applyAlignment="1" applyProtection="1">
      <alignment vertical="center"/>
      <protection hidden="1"/>
    </xf>
    <xf numFmtId="2" fontId="63" fillId="0" borderId="203" xfId="0" applyNumberFormat="1" applyFont="1" applyBorder="1" applyAlignment="1" applyProtection="1">
      <alignment horizontal="center" vertical="center"/>
      <protection hidden="1"/>
    </xf>
    <xf numFmtId="0" fontId="41" fillId="26" borderId="113" xfId="0" applyFont="1" applyFill="1" applyBorder="1" applyAlignment="1" applyProtection="1">
      <alignment vertical="center"/>
      <protection hidden="1"/>
    </xf>
    <xf numFmtId="0" fontId="41" fillId="26" borderId="55" xfId="0" applyFont="1" applyFill="1" applyBorder="1" applyAlignment="1" applyProtection="1">
      <alignment vertical="center"/>
      <protection hidden="1"/>
    </xf>
    <xf numFmtId="2" fontId="63" fillId="0" borderId="139" xfId="0" applyNumberFormat="1" applyFont="1" applyFill="1" applyBorder="1" applyAlignment="1" applyProtection="1">
      <alignment horizontal="center" vertical="center" wrapText="1"/>
      <protection hidden="1"/>
    </xf>
    <xf numFmtId="2" fontId="63" fillId="0" borderId="25" xfId="0" applyNumberFormat="1" applyFont="1" applyFill="1" applyBorder="1" applyAlignment="1" applyProtection="1">
      <alignment horizontal="center" vertical="center" wrapText="1"/>
      <protection hidden="1"/>
    </xf>
    <xf numFmtId="2" fontId="63" fillId="0" borderId="63" xfId="0" applyNumberFormat="1" applyFont="1" applyFill="1" applyBorder="1" applyAlignment="1" applyProtection="1">
      <alignment horizontal="center" vertical="center" wrapText="1"/>
      <protection hidden="1"/>
    </xf>
    <xf numFmtId="0" fontId="36" fillId="27" borderId="71" xfId="0" applyFont="1" applyFill="1" applyBorder="1" applyAlignment="1" applyProtection="1">
      <alignment horizontal="center" vertical="center" readingOrder="2"/>
      <protection hidden="1"/>
    </xf>
    <xf numFmtId="0" fontId="41" fillId="26" borderId="82" xfId="0" applyFont="1" applyFill="1" applyBorder="1" applyAlignment="1" applyProtection="1">
      <alignment vertical="center"/>
      <protection hidden="1"/>
    </xf>
    <xf numFmtId="0" fontId="41" fillId="26" borderId="48" xfId="0" applyFont="1" applyFill="1" applyBorder="1" applyAlignment="1" applyProtection="1">
      <alignment vertical="center"/>
      <protection hidden="1"/>
    </xf>
    <xf numFmtId="2" fontId="63" fillId="0" borderId="90" xfId="0" applyNumberFormat="1" applyFont="1" applyFill="1" applyBorder="1" applyAlignment="1" applyProtection="1">
      <alignment horizontal="center" vertical="center" wrapText="1"/>
      <protection hidden="1"/>
    </xf>
    <xf numFmtId="0" fontId="41" fillId="26" borderId="1" xfId="0" applyFont="1" applyFill="1" applyBorder="1" applyAlignment="1" applyProtection="1">
      <alignment vertical="center"/>
      <protection hidden="1"/>
    </xf>
    <xf numFmtId="2" fontId="63" fillId="0" borderId="79" xfId="0" applyNumberFormat="1" applyFont="1" applyFill="1" applyBorder="1" applyAlignment="1" applyProtection="1">
      <alignment horizontal="center" vertical="center" wrapText="1"/>
      <protection hidden="1"/>
    </xf>
    <xf numFmtId="2" fontId="63" fillId="0" borderId="41" xfId="0" applyNumberFormat="1" applyFont="1" applyFill="1" applyBorder="1" applyAlignment="1" applyProtection="1">
      <alignment horizontal="center" vertical="center" wrapText="1"/>
      <protection hidden="1"/>
    </xf>
    <xf numFmtId="2" fontId="63" fillId="0" borderId="3" xfId="0" applyNumberFormat="1" applyFont="1" applyFill="1" applyBorder="1" applyAlignment="1" applyProtection="1">
      <alignment horizontal="center" vertical="center" wrapText="1"/>
      <protection hidden="1"/>
    </xf>
    <xf numFmtId="0" fontId="41" fillId="26" borderId="63" xfId="0" applyFont="1" applyFill="1" applyBorder="1" applyAlignment="1" applyProtection="1">
      <alignment vertical="center"/>
      <protection hidden="1"/>
    </xf>
    <xf numFmtId="2" fontId="63" fillId="0" borderId="13" xfId="0" applyNumberFormat="1" applyFont="1" applyBorder="1" applyAlignment="1" applyProtection="1">
      <alignment horizontal="center" vertical="center"/>
      <protection hidden="1"/>
    </xf>
    <xf numFmtId="2" fontId="63" fillId="0" borderId="15" xfId="0" applyNumberFormat="1" applyFont="1" applyBorder="1" applyAlignment="1" applyProtection="1">
      <alignment horizontal="center" vertical="center"/>
      <protection hidden="1"/>
    </xf>
    <xf numFmtId="168" fontId="63" fillId="0" borderId="142" xfId="0" applyNumberFormat="1" applyFont="1" applyFill="1" applyBorder="1" applyAlignment="1" applyProtection="1">
      <alignment horizontal="center" vertical="center" wrapText="1"/>
      <protection hidden="1"/>
    </xf>
    <xf numFmtId="168" fontId="63" fillId="0" borderId="134" xfId="0" applyNumberFormat="1" applyFont="1" applyFill="1" applyBorder="1" applyAlignment="1" applyProtection="1">
      <alignment horizontal="center" vertical="center" wrapText="1"/>
      <protection hidden="1"/>
    </xf>
    <xf numFmtId="168" fontId="63" fillId="0" borderId="135" xfId="0" applyNumberFormat="1" applyFont="1" applyFill="1" applyBorder="1" applyAlignment="1" applyProtection="1">
      <alignment horizontal="center" vertical="center" wrapText="1"/>
      <protection hidden="1"/>
    </xf>
    <xf numFmtId="0" fontId="51" fillId="25" borderId="0" xfId="0" applyFont="1" applyFill="1" applyBorder="1" applyAlignment="1" applyProtection="1">
      <alignment vertical="center" readingOrder="2"/>
      <protection hidden="1"/>
    </xf>
    <xf numFmtId="0" fontId="98" fillId="25" borderId="1" xfId="0" applyFont="1" applyFill="1" applyBorder="1" applyAlignment="1" applyProtection="1">
      <alignment vertical="center"/>
      <protection hidden="1"/>
    </xf>
    <xf numFmtId="0" fontId="98" fillId="25" borderId="63" xfId="0" applyFont="1" applyFill="1" applyBorder="1" applyAlignment="1" applyProtection="1">
      <alignment vertical="top"/>
      <protection hidden="1"/>
    </xf>
    <xf numFmtId="0" fontId="51" fillId="25" borderId="63" xfId="0" applyFont="1" applyFill="1" applyBorder="1" applyAlignment="1" applyProtection="1">
      <alignment vertical="center"/>
      <protection hidden="1"/>
    </xf>
    <xf numFmtId="0" fontId="98" fillId="25" borderId="1" xfId="0" applyFont="1" applyFill="1" applyBorder="1" applyAlignment="1" applyProtection="1">
      <alignment vertical="top"/>
      <protection hidden="1"/>
    </xf>
    <xf numFmtId="0" fontId="41" fillId="9" borderId="0" xfId="0" applyFont="1" applyFill="1" applyAlignment="1" applyProtection="1">
      <alignment vertical="top"/>
      <protection hidden="1"/>
    </xf>
    <xf numFmtId="165" fontId="10" fillId="0" borderId="1" xfId="0" applyNumberFormat="1" applyFont="1" applyBorder="1" applyAlignment="1" applyProtection="1">
      <alignment vertical="center" textRotation="90"/>
      <protection hidden="1"/>
    </xf>
    <xf numFmtId="165" fontId="10" fillId="0" borderId="0" xfId="0" applyNumberFormat="1" applyFont="1" applyBorder="1" applyAlignment="1" applyProtection="1">
      <alignment vertical="center" textRotation="90"/>
      <protection hidden="1"/>
    </xf>
    <xf numFmtId="165" fontId="10" fillId="0" borderId="25" xfId="0" applyNumberFormat="1" applyFont="1" applyBorder="1" applyAlignment="1" applyProtection="1">
      <alignment vertical="center" textRotation="90"/>
      <protection hidden="1"/>
    </xf>
    <xf numFmtId="0" fontId="41" fillId="26" borderId="210" xfId="0" applyFont="1" applyFill="1" applyBorder="1" applyAlignment="1" applyProtection="1">
      <alignment vertical="center"/>
      <protection hidden="1"/>
    </xf>
    <xf numFmtId="2" fontId="63" fillId="0" borderId="263" xfId="0" applyNumberFormat="1" applyFont="1" applyBorder="1" applyAlignment="1" applyProtection="1">
      <alignment horizontal="center" vertical="center"/>
      <protection hidden="1"/>
    </xf>
    <xf numFmtId="0" fontId="41" fillId="0" borderId="8" xfId="0" applyFont="1" applyBorder="1" applyProtection="1">
      <protection hidden="1"/>
    </xf>
    <xf numFmtId="0" fontId="41" fillId="0" borderId="8" xfId="0" applyFont="1" applyBorder="1" applyAlignment="1" applyProtection="1">
      <alignment vertical="center"/>
      <protection hidden="1"/>
    </xf>
    <xf numFmtId="0" fontId="36" fillId="27" borderId="94" xfId="0" applyFont="1" applyFill="1" applyBorder="1" applyAlignment="1" applyProtection="1">
      <alignment horizontal="center" vertical="center" readingOrder="2"/>
      <protection hidden="1"/>
    </xf>
    <xf numFmtId="2" fontId="63" fillId="0" borderId="13" xfId="0" applyNumberFormat="1" applyFont="1" applyFill="1" applyBorder="1" applyAlignment="1" applyProtection="1">
      <alignment horizontal="center" vertical="center" wrapText="1"/>
      <protection hidden="1"/>
    </xf>
    <xf numFmtId="2" fontId="63" fillId="0" borderId="16" xfId="0" applyNumberFormat="1" applyFont="1" applyFill="1" applyBorder="1" applyAlignment="1" applyProtection="1">
      <alignment horizontal="center" vertical="center" wrapText="1"/>
      <protection hidden="1"/>
    </xf>
    <xf numFmtId="2" fontId="63" fillId="0" borderId="262" xfId="0" applyNumberFormat="1" applyFont="1" applyBorder="1" applyAlignment="1" applyProtection="1">
      <alignment horizontal="center" vertical="center"/>
      <protection hidden="1"/>
    </xf>
    <xf numFmtId="2" fontId="63" fillId="0" borderId="51" xfId="0" applyNumberFormat="1" applyFont="1" applyFill="1" applyBorder="1" applyAlignment="1" applyProtection="1">
      <alignment horizontal="center" vertical="center" wrapText="1"/>
      <protection hidden="1"/>
    </xf>
    <xf numFmtId="3" fontId="64" fillId="23" borderId="8" xfId="0" applyNumberFormat="1" applyFont="1" applyFill="1" applyBorder="1" applyAlignment="1" applyProtection="1">
      <alignment vertical="center"/>
      <protection locked="0"/>
    </xf>
    <xf numFmtId="165" fontId="63" fillId="0" borderId="8" xfId="0" applyNumberFormat="1" applyFont="1" applyBorder="1" applyAlignment="1" applyProtection="1">
      <alignment vertical="center"/>
      <protection hidden="1"/>
    </xf>
    <xf numFmtId="0" fontId="32" fillId="27" borderId="96" xfId="0" applyFont="1" applyFill="1" applyBorder="1" applyAlignment="1" applyProtection="1">
      <alignment horizontal="center" vertical="center" readingOrder="2"/>
      <protection hidden="1"/>
    </xf>
    <xf numFmtId="2" fontId="63" fillId="0" borderId="57" xfId="0" applyNumberFormat="1" applyFont="1" applyFill="1" applyBorder="1" applyAlignment="1" applyProtection="1">
      <alignment vertical="center" wrapText="1"/>
      <protection hidden="1"/>
    </xf>
    <xf numFmtId="165" fontId="63" fillId="0" borderId="57" xfId="0" applyNumberFormat="1" applyFont="1" applyBorder="1" applyAlignment="1" applyProtection="1">
      <alignment vertical="center"/>
      <protection hidden="1"/>
    </xf>
    <xf numFmtId="2" fontId="63" fillId="0" borderId="79" xfId="0" applyNumberFormat="1" applyFont="1" applyFill="1" applyBorder="1" applyAlignment="1" applyProtection="1">
      <alignment vertical="center" wrapText="1"/>
      <protection hidden="1"/>
    </xf>
    <xf numFmtId="165" fontId="63" fillId="0" borderId="79" xfId="0" applyNumberFormat="1" applyFont="1" applyBorder="1" applyAlignment="1" applyProtection="1">
      <alignment vertical="center"/>
      <protection hidden="1"/>
    </xf>
    <xf numFmtId="2" fontId="63" fillId="0" borderId="41" xfId="0" applyNumberFormat="1" applyFont="1" applyFill="1" applyBorder="1" applyAlignment="1" applyProtection="1">
      <alignment vertical="center" wrapText="1"/>
      <protection hidden="1"/>
    </xf>
    <xf numFmtId="165" fontId="63" fillId="0" borderId="41" xfId="0" applyNumberFormat="1" applyFont="1" applyBorder="1" applyAlignment="1" applyProtection="1">
      <alignment vertical="center"/>
      <protection hidden="1"/>
    </xf>
    <xf numFmtId="165" fontId="63" fillId="0" borderId="90" xfId="0" applyNumberFormat="1" applyFont="1" applyBorder="1" applyAlignment="1" applyProtection="1">
      <alignment vertical="center"/>
      <protection hidden="1"/>
    </xf>
    <xf numFmtId="165" fontId="63" fillId="0" borderId="64" xfId="0" applyNumberFormat="1" applyFont="1" applyBorder="1" applyAlignment="1" applyProtection="1">
      <alignment vertical="center"/>
      <protection hidden="1"/>
    </xf>
    <xf numFmtId="2" fontId="63" fillId="0" borderId="80" xfId="0" applyNumberFormat="1" applyFont="1" applyFill="1" applyBorder="1" applyAlignment="1" applyProtection="1">
      <alignment horizontal="center" vertical="center" wrapText="1"/>
      <protection hidden="1"/>
    </xf>
    <xf numFmtId="2" fontId="63" fillId="0" borderId="47" xfId="0" applyNumberFormat="1" applyFont="1" applyFill="1" applyBorder="1" applyAlignment="1" applyProtection="1">
      <alignment horizontal="center" vertical="center" wrapText="1"/>
      <protection hidden="1"/>
    </xf>
    <xf numFmtId="0" fontId="98" fillId="25" borderId="113" xfId="0" applyFont="1" applyFill="1" applyBorder="1" applyAlignment="1" applyProtection="1">
      <alignment vertical="top"/>
      <protection hidden="1"/>
    </xf>
    <xf numFmtId="0" fontId="98" fillId="25" borderId="3" xfId="0" applyFont="1" applyFill="1" applyBorder="1" applyAlignment="1" applyProtection="1">
      <alignment vertical="top"/>
      <protection hidden="1"/>
    </xf>
    <xf numFmtId="0" fontId="98" fillId="25" borderId="55" xfId="0" applyFont="1" applyFill="1" applyBorder="1" applyAlignment="1" applyProtection="1">
      <alignment vertical="top"/>
      <protection hidden="1"/>
    </xf>
    <xf numFmtId="3" fontId="64" fillId="23" borderId="11" xfId="0" applyNumberFormat="1" applyFont="1" applyFill="1" applyBorder="1" applyAlignment="1" applyProtection="1">
      <alignment vertical="center"/>
      <protection locked="0"/>
    </xf>
    <xf numFmtId="0" fontId="36" fillId="27" borderId="129" xfId="0" applyFont="1" applyFill="1" applyBorder="1" applyAlignment="1" applyProtection="1">
      <alignment horizontal="center" vertical="center" readingOrder="2"/>
      <protection hidden="1"/>
    </xf>
    <xf numFmtId="3" fontId="63" fillId="23" borderId="13" xfId="0" applyNumberFormat="1" applyFont="1" applyFill="1" applyBorder="1" applyAlignment="1" applyProtection="1">
      <alignment horizontal="center" vertical="center"/>
      <protection locked="0"/>
    </xf>
    <xf numFmtId="3" fontId="63" fillId="28" borderId="17" xfId="0" applyNumberFormat="1" applyFont="1" applyFill="1" applyBorder="1" applyAlignment="1" applyProtection="1">
      <alignment horizontal="center" vertical="center"/>
      <protection locked="0"/>
    </xf>
    <xf numFmtId="3" fontId="63" fillId="28" borderId="11" xfId="0" applyNumberFormat="1" applyFont="1" applyFill="1" applyBorder="1" applyAlignment="1" applyProtection="1">
      <alignment horizontal="center" vertical="center"/>
      <protection locked="0"/>
    </xf>
    <xf numFmtId="3" fontId="63" fillId="28" borderId="8" xfId="0" applyNumberFormat="1" applyFont="1" applyFill="1" applyBorder="1" applyAlignment="1" applyProtection="1">
      <alignment horizontal="center" vertical="center"/>
      <protection locked="0"/>
    </xf>
    <xf numFmtId="3" fontId="63" fillId="28" borderId="13" xfId="0" applyNumberFormat="1" applyFont="1" applyFill="1" applyBorder="1" applyAlignment="1" applyProtection="1">
      <alignment horizontal="center" vertical="center"/>
      <protection locked="0"/>
    </xf>
    <xf numFmtId="0" fontId="63" fillId="28" borderId="15" xfId="0" applyFont="1" applyFill="1" applyBorder="1" applyProtection="1">
      <protection locked="0"/>
    </xf>
    <xf numFmtId="168" fontId="63" fillId="28" borderId="8" xfId="0" applyNumberFormat="1" applyFont="1" applyFill="1" applyBorder="1" applyProtection="1">
      <protection locked="0"/>
    </xf>
    <xf numFmtId="3" fontId="41" fillId="23" borderId="97" xfId="0" applyNumberFormat="1" applyFont="1" applyFill="1" applyBorder="1" applyAlignment="1" applyProtection="1">
      <alignment horizontal="center" vertical="center"/>
      <protection locked="0"/>
    </xf>
    <xf numFmtId="3" fontId="41" fillId="23" borderId="169" xfId="0" applyNumberFormat="1" applyFont="1" applyFill="1" applyBorder="1" applyAlignment="1" applyProtection="1">
      <alignment horizontal="center" vertical="center"/>
      <protection locked="0"/>
    </xf>
    <xf numFmtId="0" fontId="63" fillId="0" borderId="13" xfId="0" applyFont="1" applyBorder="1" applyProtection="1">
      <protection hidden="1"/>
    </xf>
    <xf numFmtId="0" fontId="32" fillId="27" borderId="94" xfId="0" applyFont="1" applyFill="1" applyBorder="1" applyAlignment="1" applyProtection="1">
      <alignment horizontal="center" vertical="center" readingOrder="2"/>
      <protection hidden="1"/>
    </xf>
    <xf numFmtId="0" fontId="32" fillId="27" borderId="83" xfId="0" applyFont="1" applyFill="1" applyBorder="1" applyAlignment="1" applyProtection="1">
      <alignment horizontal="center" vertical="center" readingOrder="2"/>
      <protection hidden="1"/>
    </xf>
    <xf numFmtId="0" fontId="32" fillId="27" borderId="71" xfId="0" applyFont="1" applyFill="1" applyBorder="1" applyAlignment="1" applyProtection="1">
      <alignment horizontal="center" vertical="center" readingOrder="2"/>
      <protection hidden="1"/>
    </xf>
    <xf numFmtId="0" fontId="0" fillId="0" borderId="0" xfId="0" applyAlignment="1">
      <alignment readingOrder="2"/>
    </xf>
    <xf numFmtId="0" fontId="0" fillId="0" borderId="8" xfId="0" applyBorder="1"/>
    <xf numFmtId="0" fontId="104" fillId="9" borderId="98" xfId="0" applyFont="1" applyFill="1" applyBorder="1" applyAlignment="1" applyProtection="1">
      <alignment vertical="center"/>
      <protection hidden="1"/>
    </xf>
    <xf numFmtId="0" fontId="104" fillId="9" borderId="14" xfId="0" applyFont="1" applyFill="1" applyBorder="1" applyAlignment="1" applyProtection="1">
      <alignment vertical="center"/>
      <protection hidden="1"/>
    </xf>
    <xf numFmtId="0" fontId="0" fillId="0" borderId="0" xfId="0" applyAlignment="1" applyProtection="1">
      <alignment horizontal="center" vertical="center"/>
      <protection hidden="1"/>
    </xf>
    <xf numFmtId="0" fontId="41" fillId="9" borderId="8" xfId="0" applyFont="1" applyFill="1" applyBorder="1" applyAlignment="1" applyProtection="1">
      <alignment horizontal="center" vertical="center"/>
      <protection hidden="1"/>
    </xf>
    <xf numFmtId="0" fontId="41" fillId="9" borderId="11" xfId="0" applyFont="1" applyFill="1" applyBorder="1" applyAlignment="1" applyProtection="1">
      <alignment horizontal="center" vertical="center"/>
      <protection hidden="1"/>
    </xf>
    <xf numFmtId="0" fontId="41" fillId="9" borderId="78" xfId="0" applyFont="1" applyFill="1" applyBorder="1" applyAlignment="1" applyProtection="1">
      <alignment horizontal="center" vertical="center"/>
      <protection hidden="1"/>
    </xf>
    <xf numFmtId="0" fontId="41" fillId="9" borderId="80" xfId="0" applyFont="1" applyFill="1" applyBorder="1" applyAlignment="1" applyProtection="1">
      <alignment horizontal="center" vertical="center"/>
      <protection hidden="1"/>
    </xf>
    <xf numFmtId="0" fontId="41" fillId="9" borderId="50" xfId="0" applyFont="1" applyFill="1" applyBorder="1" applyAlignment="1" applyProtection="1">
      <alignment horizontal="center" vertical="center"/>
      <protection hidden="1"/>
    </xf>
    <xf numFmtId="0" fontId="41" fillId="9" borderId="44" xfId="0" applyFont="1" applyFill="1" applyBorder="1" applyAlignment="1" applyProtection="1">
      <alignment horizontal="center" vertical="center"/>
      <protection hidden="1"/>
    </xf>
    <xf numFmtId="0" fontId="41" fillId="9" borderId="60" xfId="0" applyFont="1" applyFill="1" applyBorder="1" applyAlignment="1" applyProtection="1">
      <alignment horizontal="center" vertical="center"/>
      <protection hidden="1"/>
    </xf>
    <xf numFmtId="0" fontId="41" fillId="9" borderId="59" xfId="0" applyFont="1" applyFill="1" applyBorder="1" applyAlignment="1" applyProtection="1">
      <alignment horizontal="center" vertical="center"/>
      <protection hidden="1"/>
    </xf>
    <xf numFmtId="0" fontId="41" fillId="9" borderId="42" xfId="0" applyFont="1" applyFill="1" applyBorder="1" applyAlignment="1" applyProtection="1">
      <alignment horizontal="center" vertical="center"/>
      <protection hidden="1"/>
    </xf>
    <xf numFmtId="0" fontId="41" fillId="9" borderId="43" xfId="0" applyFont="1" applyFill="1" applyBorder="1" applyAlignment="1" applyProtection="1">
      <alignment horizontal="center" vertical="center"/>
      <protection hidden="1"/>
    </xf>
    <xf numFmtId="0" fontId="41" fillId="0" borderId="0" xfId="0" applyFont="1" applyAlignment="1" applyProtection="1">
      <alignment vertical="center" wrapText="1"/>
      <protection hidden="1"/>
    </xf>
    <xf numFmtId="0" fontId="41" fillId="0" borderId="8" xfId="0" applyFont="1" applyBorder="1" applyAlignment="1" applyProtection="1">
      <alignment vertical="center" wrapText="1"/>
      <protection hidden="1"/>
    </xf>
    <xf numFmtId="3" fontId="64" fillId="23" borderId="113" xfId="0" applyNumberFormat="1" applyFont="1" applyFill="1" applyBorder="1" applyAlignment="1" applyProtection="1">
      <alignment horizontal="center" vertical="center"/>
      <protection locked="0"/>
    </xf>
    <xf numFmtId="2" fontId="36" fillId="11" borderId="8" xfId="0" applyNumberFormat="1" applyFont="1" applyFill="1" applyBorder="1" applyAlignment="1" applyProtection="1">
      <alignment horizontal="center" vertical="center"/>
      <protection hidden="1"/>
    </xf>
    <xf numFmtId="2" fontId="36" fillId="11" borderId="44" xfId="0" applyNumberFormat="1" applyFont="1" applyFill="1" applyBorder="1" applyAlignment="1" applyProtection="1">
      <alignment horizontal="center" vertical="center"/>
      <protection hidden="1"/>
    </xf>
    <xf numFmtId="165" fontId="63" fillId="0" borderId="226" xfId="0" applyNumberFormat="1" applyFont="1" applyFill="1" applyBorder="1" applyAlignment="1" applyProtection="1">
      <alignment horizontal="center" vertical="center"/>
      <protection hidden="1"/>
    </xf>
    <xf numFmtId="0" fontId="63" fillId="0" borderId="288" xfId="0" applyFont="1" applyFill="1" applyBorder="1" applyAlignment="1" applyProtection="1">
      <alignment vertical="center"/>
      <protection hidden="1"/>
    </xf>
    <xf numFmtId="0" fontId="63" fillId="0" borderId="246" xfId="0" applyFont="1" applyFill="1" applyBorder="1" applyAlignment="1" applyProtection="1">
      <alignment vertical="center"/>
      <protection hidden="1"/>
    </xf>
    <xf numFmtId="0" fontId="63" fillId="0" borderId="256" xfId="0" applyFont="1" applyFill="1" applyBorder="1" applyAlignment="1" applyProtection="1">
      <alignment vertical="center"/>
      <protection hidden="1"/>
    </xf>
    <xf numFmtId="0" fontId="63" fillId="0" borderId="15" xfId="0" applyFont="1" applyBorder="1" applyAlignment="1" applyProtection="1">
      <alignment horizontal="center" vertical="center"/>
      <protection hidden="1"/>
    </xf>
    <xf numFmtId="0" fontId="63" fillId="23" borderId="17" xfId="0" applyFont="1" applyFill="1" applyBorder="1" applyAlignment="1" applyProtection="1">
      <alignment horizontal="center"/>
      <protection locked="0"/>
    </xf>
    <xf numFmtId="0" fontId="63" fillId="23" borderId="15" xfId="0" applyFont="1" applyFill="1" applyBorder="1" applyAlignment="1" applyProtection="1">
      <alignment horizontal="center"/>
      <protection locked="0"/>
    </xf>
    <xf numFmtId="3" fontId="64" fillId="23" borderId="15" xfId="0" applyNumberFormat="1" applyFont="1" applyFill="1" applyBorder="1" applyAlignment="1" applyProtection="1">
      <alignment vertical="center"/>
      <protection locked="0"/>
    </xf>
    <xf numFmtId="0" fontId="54" fillId="19" borderId="0" xfId="0" applyFont="1" applyFill="1" applyBorder="1" applyAlignment="1" applyProtection="1">
      <alignment vertical="top"/>
      <protection hidden="1"/>
    </xf>
    <xf numFmtId="0" fontId="54" fillId="25" borderId="0" xfId="0" applyFont="1" applyFill="1" applyBorder="1" applyAlignment="1" applyProtection="1">
      <alignment vertical="top"/>
      <protection hidden="1"/>
    </xf>
    <xf numFmtId="0" fontId="35" fillId="25" borderId="81" xfId="0" applyFont="1" applyFill="1" applyBorder="1" applyAlignment="1" applyProtection="1">
      <alignment vertical="center"/>
      <protection hidden="1"/>
    </xf>
    <xf numFmtId="0" fontId="63" fillId="26" borderId="98" xfId="0" applyFont="1" applyFill="1" applyBorder="1" applyAlignment="1" applyProtection="1">
      <alignment horizontal="center" vertical="center"/>
      <protection hidden="1"/>
    </xf>
    <xf numFmtId="0" fontId="63" fillId="26" borderId="99" xfId="0" applyFont="1" applyFill="1" applyBorder="1" applyAlignment="1" applyProtection="1">
      <alignment horizontal="center" vertical="center"/>
      <protection hidden="1"/>
    </xf>
    <xf numFmtId="2" fontId="63" fillId="23" borderId="8" xfId="0" applyNumberFormat="1" applyFont="1" applyFill="1" applyBorder="1" applyAlignment="1" applyProtection="1">
      <alignment horizontal="center" vertical="center"/>
      <protection locked="0"/>
    </xf>
    <xf numFmtId="0" fontId="10" fillId="0" borderId="16" xfId="0" applyFont="1" applyFill="1" applyBorder="1" applyAlignment="1" applyProtection="1">
      <alignment horizontal="center" vertical="center"/>
      <protection hidden="1"/>
    </xf>
    <xf numFmtId="0" fontId="35" fillId="14" borderId="105" xfId="0" applyFont="1" applyFill="1" applyBorder="1" applyAlignment="1" applyProtection="1">
      <alignment horizontal="center" vertical="center" wrapText="1"/>
      <protection hidden="1"/>
    </xf>
    <xf numFmtId="0" fontId="35" fillId="14" borderId="61" xfId="0" applyFont="1" applyFill="1" applyBorder="1" applyAlignment="1" applyProtection="1">
      <alignment horizontal="center" vertical="center"/>
      <protection hidden="1"/>
    </xf>
    <xf numFmtId="0" fontId="35" fillId="14" borderId="62" xfId="0" applyFont="1" applyFill="1" applyBorder="1" applyAlignment="1" applyProtection="1">
      <alignment horizontal="center" vertical="center"/>
      <protection hidden="1"/>
    </xf>
    <xf numFmtId="0" fontId="63" fillId="23" borderId="42" xfId="0" applyFont="1" applyFill="1" applyBorder="1" applyAlignment="1" applyProtection="1">
      <alignment horizontal="center" vertical="center"/>
      <protection locked="0"/>
    </xf>
    <xf numFmtId="0" fontId="63" fillId="23" borderId="8" xfId="0" applyFont="1" applyFill="1" applyBorder="1" applyAlignment="1" applyProtection="1">
      <alignment horizontal="center" vertical="center"/>
      <protection locked="0"/>
    </xf>
    <xf numFmtId="0" fontId="63" fillId="23" borderId="44" xfId="0" applyFont="1" applyFill="1" applyBorder="1" applyAlignment="1" applyProtection="1">
      <alignment horizontal="center" vertical="center"/>
      <protection locked="0"/>
    </xf>
    <xf numFmtId="0" fontId="63" fillId="23" borderId="43" xfId="0" applyFont="1" applyFill="1" applyBorder="1" applyAlignment="1" applyProtection="1">
      <alignment horizontal="center" vertical="center"/>
      <protection locked="0"/>
    </xf>
    <xf numFmtId="0" fontId="63" fillId="23" borderId="41" xfId="0" applyFont="1" applyFill="1" applyBorder="1" applyAlignment="1" applyProtection="1">
      <alignment horizontal="center" vertical="center"/>
      <protection locked="0"/>
    </xf>
    <xf numFmtId="0" fontId="63" fillId="23" borderId="47" xfId="0" applyFont="1" applyFill="1" applyBorder="1" applyAlignment="1" applyProtection="1">
      <alignment horizontal="center" vertical="center"/>
      <protection locked="0"/>
    </xf>
    <xf numFmtId="0" fontId="32" fillId="14" borderId="108" xfId="0" applyFont="1" applyFill="1" applyBorder="1" applyAlignment="1" applyProtection="1">
      <alignment horizontal="center" vertical="center" readingOrder="2"/>
      <protection hidden="1"/>
    </xf>
    <xf numFmtId="0" fontId="32" fillId="14" borderId="74" xfId="0" applyFont="1" applyFill="1" applyBorder="1" applyAlignment="1" applyProtection="1">
      <alignment horizontal="center" vertical="center" readingOrder="2"/>
      <protection hidden="1"/>
    </xf>
    <xf numFmtId="0" fontId="35" fillId="14" borderId="54" xfId="0" applyFont="1" applyFill="1" applyBorder="1" applyAlignment="1" applyProtection="1">
      <alignment horizontal="center" vertical="center"/>
      <protection hidden="1"/>
    </xf>
    <xf numFmtId="0" fontId="35" fillId="14" borderId="113" xfId="0" applyFont="1" applyFill="1" applyBorder="1" applyAlignment="1" applyProtection="1">
      <alignment horizontal="center" vertical="center"/>
      <protection hidden="1"/>
    </xf>
    <xf numFmtId="0" fontId="63" fillId="23" borderId="50" xfId="0" applyFont="1" applyFill="1" applyBorder="1" applyAlignment="1" applyProtection="1">
      <alignment horizontal="center" vertical="center"/>
      <protection locked="0"/>
    </xf>
    <xf numFmtId="0" fontId="63" fillId="23" borderId="11" xfId="0" applyFont="1" applyFill="1" applyBorder="1" applyAlignment="1" applyProtection="1">
      <alignment horizontal="center" vertical="center"/>
      <protection locked="0"/>
    </xf>
    <xf numFmtId="0" fontId="63" fillId="23" borderId="46" xfId="0" applyFont="1" applyFill="1" applyBorder="1" applyAlignment="1" applyProtection="1">
      <alignment horizontal="center" vertical="center"/>
      <protection locked="0"/>
    </xf>
    <xf numFmtId="0" fontId="35" fillId="14" borderId="72" xfId="0" applyFont="1" applyFill="1" applyBorder="1" applyAlignment="1" applyProtection="1">
      <alignment horizontal="center" vertical="center"/>
      <protection hidden="1"/>
    </xf>
    <xf numFmtId="0" fontId="35" fillId="14" borderId="108" xfId="0" applyFont="1" applyFill="1" applyBorder="1" applyAlignment="1" applyProtection="1">
      <alignment horizontal="center" vertical="center" wrapText="1"/>
      <protection hidden="1"/>
    </xf>
    <xf numFmtId="0" fontId="35" fillId="14" borderId="73" xfId="0" applyFont="1" applyFill="1" applyBorder="1" applyAlignment="1" applyProtection="1">
      <alignment horizontal="center" vertical="center"/>
      <protection hidden="1"/>
    </xf>
    <xf numFmtId="3" fontId="63" fillId="23" borderId="8" xfId="0" applyNumberFormat="1" applyFont="1" applyFill="1" applyBorder="1" applyAlignment="1" applyProtection="1">
      <alignment horizontal="center" vertical="center"/>
      <protection locked="0"/>
    </xf>
    <xf numFmtId="3" fontId="63" fillId="23" borderId="79" xfId="0" applyNumberFormat="1"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protection hidden="1"/>
    </xf>
    <xf numFmtId="0" fontId="10" fillId="0" borderId="100" xfId="0" applyFont="1" applyFill="1" applyBorder="1" applyAlignment="1" applyProtection="1">
      <alignment horizontal="center" vertical="center"/>
      <protection hidden="1"/>
    </xf>
    <xf numFmtId="0" fontId="35" fillId="14" borderId="84" xfId="0" applyFont="1" applyFill="1" applyBorder="1" applyAlignment="1" applyProtection="1">
      <alignment horizontal="center" vertical="center" wrapText="1"/>
      <protection hidden="1"/>
    </xf>
    <xf numFmtId="168" fontId="63" fillId="0" borderId="20" xfId="0" applyNumberFormat="1" applyFont="1" applyFill="1" applyBorder="1" applyAlignment="1" applyProtection="1">
      <alignment horizontal="center" vertical="center"/>
      <protection hidden="1"/>
    </xf>
    <xf numFmtId="0" fontId="35" fillId="14" borderId="3" xfId="0" applyFont="1" applyFill="1" applyBorder="1" applyAlignment="1" applyProtection="1">
      <alignment horizontal="center" vertical="center"/>
      <protection hidden="1"/>
    </xf>
    <xf numFmtId="0" fontId="35" fillId="14" borderId="55" xfId="0" applyFont="1" applyFill="1" applyBorder="1" applyAlignment="1" applyProtection="1">
      <alignment horizontal="center" vertical="center"/>
      <protection hidden="1"/>
    </xf>
    <xf numFmtId="0" fontId="63" fillId="0" borderId="41" xfId="0" applyFont="1" applyFill="1" applyBorder="1" applyAlignment="1" applyProtection="1">
      <alignment horizontal="center" vertical="center"/>
      <protection hidden="1"/>
    </xf>
    <xf numFmtId="0" fontId="63" fillId="0" borderId="8" xfId="0" applyFont="1" applyFill="1" applyBorder="1" applyAlignment="1" applyProtection="1">
      <alignment horizontal="center" vertical="center"/>
      <protection hidden="1"/>
    </xf>
    <xf numFmtId="0" fontId="63" fillId="0" borderId="11" xfId="0" applyFont="1" applyFill="1" applyBorder="1" applyAlignment="1" applyProtection="1">
      <alignment horizontal="center" vertical="center"/>
      <protection hidden="1"/>
    </xf>
    <xf numFmtId="0" fontId="63" fillId="0" borderId="46" xfId="0" applyFont="1" applyFill="1" applyBorder="1" applyAlignment="1" applyProtection="1">
      <alignment horizontal="center" vertical="center"/>
      <protection hidden="1"/>
    </xf>
    <xf numFmtId="0" fontId="32" fillId="14" borderId="84" xfId="0" applyFont="1" applyFill="1" applyBorder="1" applyAlignment="1" applyProtection="1">
      <alignment horizontal="center" vertical="center" readingOrder="2"/>
      <protection hidden="1"/>
    </xf>
    <xf numFmtId="0" fontId="32" fillId="14" borderId="72" xfId="0" applyFont="1" applyFill="1" applyBorder="1" applyAlignment="1" applyProtection="1">
      <alignment horizontal="center" vertical="center" readingOrder="2"/>
      <protection hidden="1"/>
    </xf>
    <xf numFmtId="0" fontId="63" fillId="0" borderId="79" xfId="0" applyFont="1" applyFill="1" applyBorder="1" applyAlignment="1" applyProtection="1">
      <alignment horizontal="center" vertical="center"/>
      <protection hidden="1"/>
    </xf>
    <xf numFmtId="0" fontId="51" fillId="19" borderId="0" xfId="0" applyFont="1" applyFill="1" applyBorder="1" applyAlignment="1" applyProtection="1">
      <alignment horizontal="center" vertical="center"/>
      <protection hidden="1"/>
    </xf>
    <xf numFmtId="0" fontId="51" fillId="19" borderId="63" xfId="0" applyFont="1" applyFill="1" applyBorder="1" applyAlignment="1" applyProtection="1">
      <alignment horizontal="center" vertical="center"/>
      <protection hidden="1"/>
    </xf>
    <xf numFmtId="0" fontId="51" fillId="19" borderId="158" xfId="0" applyFont="1" applyFill="1" applyBorder="1" applyAlignment="1" applyProtection="1">
      <alignment horizontal="center" vertical="center"/>
      <protection hidden="1"/>
    </xf>
    <xf numFmtId="4" fontId="36" fillId="19" borderId="158" xfId="0" applyNumberFormat="1" applyFont="1" applyFill="1" applyBorder="1" applyAlignment="1" applyProtection="1">
      <alignment horizontal="center" vertical="center"/>
      <protection hidden="1"/>
    </xf>
    <xf numFmtId="0" fontId="41" fillId="20" borderId="63" xfId="0" applyFont="1" applyFill="1" applyBorder="1" applyAlignment="1" applyProtection="1">
      <alignment horizontal="center" vertical="center"/>
      <protection hidden="1"/>
    </xf>
    <xf numFmtId="0" fontId="63" fillId="23" borderId="79" xfId="0" applyFont="1" applyFill="1" applyBorder="1" applyAlignment="1" applyProtection="1">
      <alignment horizontal="center" vertical="center"/>
      <protection locked="0"/>
    </xf>
    <xf numFmtId="0" fontId="10" fillId="0" borderId="79" xfId="0" applyFont="1" applyFill="1" applyBorder="1" applyAlignment="1" applyProtection="1">
      <alignment horizontal="center" vertical="center"/>
      <protection hidden="1"/>
    </xf>
    <xf numFmtId="0" fontId="10" fillId="0" borderId="11" xfId="0" applyFont="1" applyFill="1" applyBorder="1" applyAlignment="1" applyProtection="1">
      <alignment horizontal="center" vertical="center"/>
      <protection hidden="1"/>
    </xf>
    <xf numFmtId="0" fontId="35" fillId="14" borderId="95" xfId="0" applyFont="1" applyFill="1" applyBorder="1" applyAlignment="1" applyProtection="1">
      <alignment horizontal="center" vertical="center"/>
      <protection hidden="1"/>
    </xf>
    <xf numFmtId="0" fontId="63" fillId="0" borderId="13" xfId="0" applyFont="1" applyFill="1" applyBorder="1" applyAlignment="1" applyProtection="1">
      <alignment horizontal="center" vertical="center"/>
      <protection hidden="1"/>
    </xf>
    <xf numFmtId="0" fontId="63" fillId="0" borderId="16" xfId="0" applyFont="1" applyFill="1" applyBorder="1" applyAlignment="1" applyProtection="1">
      <alignment horizontal="center" vertical="center"/>
      <protection hidden="1"/>
    </xf>
    <xf numFmtId="0" fontId="35" fillId="14" borderId="96" xfId="0" applyFont="1" applyFill="1" applyBorder="1" applyAlignment="1" applyProtection="1">
      <alignment horizontal="center" vertical="center"/>
      <protection hidden="1"/>
    </xf>
    <xf numFmtId="0" fontId="32" fillId="14" borderId="130" xfId="0" applyFont="1" applyFill="1" applyBorder="1" applyAlignment="1" applyProtection="1">
      <alignment horizontal="center" vertical="center" readingOrder="2"/>
      <protection hidden="1"/>
    </xf>
    <xf numFmtId="0" fontId="32" fillId="14" borderId="129" xfId="0" applyFont="1" applyFill="1" applyBorder="1" applyAlignment="1" applyProtection="1">
      <alignment horizontal="center" vertical="center" readingOrder="2"/>
      <protection hidden="1"/>
    </xf>
    <xf numFmtId="0" fontId="32" fillId="14" borderId="85" xfId="0" applyFont="1" applyFill="1" applyBorder="1" applyAlignment="1" applyProtection="1">
      <alignment horizontal="center" vertical="center" readingOrder="2"/>
      <protection hidden="1"/>
    </xf>
    <xf numFmtId="0" fontId="32" fillId="14" borderId="73" xfId="0" applyFont="1" applyFill="1" applyBorder="1" applyAlignment="1" applyProtection="1">
      <alignment horizontal="center" vertical="center" readingOrder="2"/>
      <protection hidden="1"/>
    </xf>
    <xf numFmtId="0" fontId="41" fillId="26" borderId="194" xfId="0" applyFont="1" applyFill="1" applyBorder="1" applyAlignment="1" applyProtection="1">
      <alignment horizontal="center" vertical="center"/>
      <protection hidden="1"/>
    </xf>
    <xf numFmtId="0" fontId="41" fillId="26" borderId="195" xfId="0" applyFont="1" applyFill="1" applyBorder="1" applyAlignment="1" applyProtection="1">
      <alignment horizontal="center" vertical="center"/>
      <protection hidden="1"/>
    </xf>
    <xf numFmtId="0" fontId="41" fillId="26" borderId="196" xfId="0" applyFont="1" applyFill="1" applyBorder="1" applyAlignment="1" applyProtection="1">
      <alignment horizontal="center" vertical="center"/>
      <protection hidden="1"/>
    </xf>
    <xf numFmtId="0" fontId="41" fillId="0" borderId="193" xfId="0" applyFont="1" applyBorder="1" applyAlignment="1" applyProtection="1">
      <alignment horizontal="center" vertical="center"/>
      <protection hidden="1"/>
    </xf>
    <xf numFmtId="2" fontId="63" fillId="0" borderId="193" xfId="0" applyNumberFormat="1" applyFont="1" applyBorder="1" applyAlignment="1" applyProtection="1">
      <alignment horizontal="center" vertical="center"/>
      <protection hidden="1"/>
    </xf>
    <xf numFmtId="0" fontId="32" fillId="14" borderId="65" xfId="0" applyFont="1" applyFill="1" applyBorder="1" applyAlignment="1" applyProtection="1">
      <alignment horizontal="center" vertical="center" readingOrder="2"/>
      <protection hidden="1"/>
    </xf>
    <xf numFmtId="0" fontId="32" fillId="14" borderId="70" xfId="0" applyFont="1" applyFill="1" applyBorder="1" applyAlignment="1" applyProtection="1">
      <alignment horizontal="center" vertical="center" readingOrder="2"/>
      <protection hidden="1"/>
    </xf>
    <xf numFmtId="0" fontId="41" fillId="0" borderId="8" xfId="0" applyFont="1" applyBorder="1" applyAlignment="1" applyProtection="1">
      <alignment horizontal="center" vertical="center"/>
      <protection hidden="1"/>
    </xf>
    <xf numFmtId="0" fontId="32" fillId="27" borderId="72" xfId="0" applyFont="1" applyFill="1" applyBorder="1" applyAlignment="1" applyProtection="1">
      <alignment horizontal="center" vertical="center" readingOrder="2"/>
      <protection hidden="1"/>
    </xf>
    <xf numFmtId="0" fontId="32" fillId="27" borderId="73" xfId="0" applyFont="1" applyFill="1" applyBorder="1" applyAlignment="1" applyProtection="1">
      <alignment horizontal="center" vertical="center" readingOrder="2"/>
      <protection hidden="1"/>
    </xf>
    <xf numFmtId="0" fontId="51" fillId="19" borderId="157" xfId="0" applyFont="1" applyFill="1" applyBorder="1" applyAlignment="1" applyProtection="1">
      <alignment horizontal="center" vertical="center"/>
      <protection hidden="1"/>
    </xf>
    <xf numFmtId="0" fontId="35" fillId="14" borderId="54" xfId="0" applyFont="1" applyFill="1" applyBorder="1" applyAlignment="1" applyProtection="1">
      <alignment horizontal="center" vertical="center" wrapText="1"/>
      <protection hidden="1"/>
    </xf>
    <xf numFmtId="0" fontId="32" fillId="14" borderId="102" xfId="0" applyFont="1" applyFill="1" applyBorder="1" applyAlignment="1" applyProtection="1">
      <alignment horizontal="center" vertical="center" readingOrder="2"/>
      <protection hidden="1"/>
    </xf>
    <xf numFmtId="2" fontId="63" fillId="0" borderId="8" xfId="0" applyNumberFormat="1" applyFont="1" applyFill="1" applyBorder="1" applyAlignment="1" applyProtection="1">
      <alignment horizontal="center" vertical="center" wrapText="1"/>
      <protection hidden="1"/>
    </xf>
    <xf numFmtId="2" fontId="63" fillId="0" borderId="44" xfId="0" applyNumberFormat="1" applyFont="1" applyFill="1" applyBorder="1" applyAlignment="1" applyProtection="1">
      <alignment horizontal="center" vertical="center" wrapText="1"/>
      <protection hidden="1"/>
    </xf>
    <xf numFmtId="2" fontId="63" fillId="0" borderId="11" xfId="0" applyNumberFormat="1" applyFont="1" applyFill="1" applyBorder="1" applyAlignment="1" applyProtection="1">
      <alignment horizontal="center" vertical="center" wrapText="1"/>
      <protection hidden="1"/>
    </xf>
    <xf numFmtId="0" fontId="35" fillId="14" borderId="112" xfId="0" applyFont="1" applyFill="1" applyBorder="1" applyAlignment="1" applyProtection="1">
      <alignment horizontal="center" vertical="center" wrapText="1"/>
      <protection hidden="1"/>
    </xf>
    <xf numFmtId="0" fontId="35" fillId="14" borderId="123" xfId="0" applyFont="1" applyFill="1" applyBorder="1" applyAlignment="1" applyProtection="1">
      <alignment horizontal="center" vertical="center" wrapText="1"/>
      <protection hidden="1"/>
    </xf>
    <xf numFmtId="0" fontId="36" fillId="14" borderId="72" xfId="0" applyFont="1" applyFill="1" applyBorder="1" applyAlignment="1" applyProtection="1">
      <alignment horizontal="center" vertical="center"/>
      <protection hidden="1"/>
    </xf>
    <xf numFmtId="0" fontId="98" fillId="25" borderId="0" xfId="0" applyFont="1" applyFill="1" applyBorder="1" applyAlignment="1" applyProtection="1">
      <alignment horizontal="right" vertical="top"/>
      <protection hidden="1"/>
    </xf>
    <xf numFmtId="0" fontId="63" fillId="0" borderId="203" xfId="0" applyFont="1" applyFill="1" applyBorder="1" applyAlignment="1" applyProtection="1">
      <alignment horizontal="center" vertical="center"/>
      <protection hidden="1"/>
    </xf>
    <xf numFmtId="0" fontId="41" fillId="26" borderId="19" xfId="0" applyFont="1" applyFill="1" applyBorder="1" applyAlignment="1" applyProtection="1">
      <alignment horizontal="center" vertical="center"/>
      <protection hidden="1"/>
    </xf>
    <xf numFmtId="0" fontId="41" fillId="26" borderId="3" xfId="0" applyFont="1" applyFill="1" applyBorder="1" applyAlignment="1" applyProtection="1">
      <alignment horizontal="center" vertical="center"/>
      <protection hidden="1"/>
    </xf>
    <xf numFmtId="0" fontId="41" fillId="26" borderId="51" xfId="0" applyFont="1" applyFill="1" applyBorder="1" applyAlignment="1" applyProtection="1">
      <alignment horizontal="center" vertical="center"/>
      <protection hidden="1"/>
    </xf>
    <xf numFmtId="0" fontId="32" fillId="27" borderId="95" xfId="0" applyFont="1" applyFill="1" applyBorder="1" applyAlignment="1" applyProtection="1">
      <alignment horizontal="center" vertical="center" readingOrder="2"/>
      <protection hidden="1"/>
    </xf>
    <xf numFmtId="3" fontId="64" fillId="23" borderId="42" xfId="0" applyNumberFormat="1" applyFont="1" applyFill="1" applyBorder="1" applyAlignment="1" applyProtection="1">
      <alignment horizontal="center" vertical="center"/>
      <protection locked="0"/>
    </xf>
    <xf numFmtId="3" fontId="64" fillId="23" borderId="8" xfId="0" applyNumberFormat="1" applyFont="1" applyFill="1" applyBorder="1" applyAlignment="1" applyProtection="1">
      <alignment horizontal="center" vertical="center"/>
      <protection locked="0"/>
    </xf>
    <xf numFmtId="3" fontId="64" fillId="23" borderId="43" xfId="0" applyNumberFormat="1" applyFont="1" applyFill="1" applyBorder="1" applyAlignment="1" applyProtection="1">
      <alignment horizontal="center" vertical="center"/>
      <protection locked="0"/>
    </xf>
    <xf numFmtId="3" fontId="64" fillId="23" borderId="41" xfId="0" applyNumberFormat="1" applyFont="1" applyFill="1" applyBorder="1" applyAlignment="1" applyProtection="1">
      <alignment horizontal="center" vertical="center"/>
      <protection locked="0"/>
    </xf>
    <xf numFmtId="3" fontId="64" fillId="23" borderId="78" xfId="0" applyNumberFormat="1" applyFont="1" applyFill="1" applyBorder="1" applyAlignment="1" applyProtection="1">
      <alignment horizontal="center" vertical="center"/>
      <protection locked="0"/>
    </xf>
    <xf numFmtId="3" fontId="64" fillId="23" borderId="79" xfId="0" applyNumberFormat="1" applyFont="1" applyFill="1" applyBorder="1" applyAlignment="1" applyProtection="1">
      <alignment horizontal="center" vertical="center"/>
      <protection locked="0"/>
    </xf>
    <xf numFmtId="165" fontId="63" fillId="0" borderId="127" xfId="0" applyNumberFormat="1" applyFont="1" applyBorder="1" applyAlignment="1" applyProtection="1">
      <alignment horizontal="center" vertical="center"/>
      <protection hidden="1"/>
    </xf>
    <xf numFmtId="0" fontId="32" fillId="27" borderId="89" xfId="0" applyFont="1" applyFill="1" applyBorder="1" applyAlignment="1" applyProtection="1">
      <alignment horizontal="center" vertical="center" readingOrder="2"/>
      <protection hidden="1"/>
    </xf>
    <xf numFmtId="0" fontId="32" fillId="27" borderId="88" xfId="0" applyFont="1" applyFill="1" applyBorder="1" applyAlignment="1" applyProtection="1">
      <alignment horizontal="center" vertical="center" readingOrder="2"/>
      <protection hidden="1"/>
    </xf>
    <xf numFmtId="0" fontId="32" fillId="27" borderId="103" xfId="0" applyFont="1" applyFill="1" applyBorder="1" applyAlignment="1" applyProtection="1">
      <alignment horizontal="center" vertical="center" readingOrder="2"/>
      <protection hidden="1"/>
    </xf>
    <xf numFmtId="0" fontId="32" fillId="27" borderId="84" xfId="0" applyFont="1" applyFill="1" applyBorder="1" applyAlignment="1" applyProtection="1">
      <alignment horizontal="center" vertical="center" readingOrder="2"/>
      <protection hidden="1"/>
    </xf>
    <xf numFmtId="2" fontId="63" fillId="0" borderId="8" xfId="0" applyNumberFormat="1" applyFont="1" applyBorder="1" applyAlignment="1" applyProtection="1">
      <alignment horizontal="center" vertical="center"/>
      <protection hidden="1"/>
    </xf>
    <xf numFmtId="165" fontId="63" fillId="0" borderId="79" xfId="0" applyNumberFormat="1" applyFont="1" applyBorder="1" applyAlignment="1" applyProtection="1">
      <alignment horizontal="center" vertical="center"/>
      <protection hidden="1"/>
    </xf>
    <xf numFmtId="165" fontId="63" fillId="0" borderId="80" xfId="0" applyNumberFormat="1" applyFont="1" applyBorder="1" applyAlignment="1" applyProtection="1">
      <alignment horizontal="center" vertical="center"/>
      <protection hidden="1"/>
    </xf>
    <xf numFmtId="165" fontId="63" fillId="0" borderId="8" xfId="0" applyNumberFormat="1" applyFont="1" applyBorder="1" applyAlignment="1" applyProtection="1">
      <alignment horizontal="center" vertical="center"/>
      <protection hidden="1"/>
    </xf>
    <xf numFmtId="165" fontId="63" fillId="0" borderId="44" xfId="0" applyNumberFormat="1" applyFont="1" applyBorder="1" applyAlignment="1" applyProtection="1">
      <alignment horizontal="center" vertical="center"/>
      <protection hidden="1"/>
    </xf>
    <xf numFmtId="165" fontId="63" fillId="0" borderId="41" xfId="0" applyNumberFormat="1" applyFont="1" applyBorder="1" applyAlignment="1" applyProtection="1">
      <alignment horizontal="center" vertical="center"/>
      <protection hidden="1"/>
    </xf>
    <xf numFmtId="165" fontId="63" fillId="0" borderId="47" xfId="0" applyNumberFormat="1" applyFont="1" applyBorder="1" applyAlignment="1" applyProtection="1">
      <alignment horizontal="center" vertical="center"/>
      <protection hidden="1"/>
    </xf>
    <xf numFmtId="0" fontId="41" fillId="9" borderId="0" xfId="0" applyFont="1" applyFill="1" applyAlignment="1" applyProtection="1">
      <alignment horizontal="center" vertical="center"/>
      <protection hidden="1"/>
    </xf>
    <xf numFmtId="0" fontId="41" fillId="0" borderId="0" xfId="0" applyFont="1" applyBorder="1" applyAlignment="1" applyProtection="1">
      <alignment horizontal="center" vertical="center"/>
      <protection hidden="1"/>
    </xf>
    <xf numFmtId="165" fontId="63" fillId="0" borderId="11" xfId="0" applyNumberFormat="1" applyFont="1" applyBorder="1" applyAlignment="1" applyProtection="1">
      <alignment horizontal="center" vertical="center"/>
      <protection hidden="1"/>
    </xf>
    <xf numFmtId="165" fontId="63" fillId="0" borderId="13" xfId="0" applyNumberFormat="1" applyFont="1" applyBorder="1" applyAlignment="1" applyProtection="1">
      <alignment horizontal="center" vertical="center"/>
      <protection hidden="1"/>
    </xf>
    <xf numFmtId="165" fontId="63" fillId="0" borderId="9" xfId="0" applyNumberFormat="1" applyFont="1" applyBorder="1" applyAlignment="1" applyProtection="1">
      <alignment horizontal="center" vertical="center"/>
      <protection hidden="1"/>
    </xf>
    <xf numFmtId="0" fontId="10" fillId="23" borderId="8" xfId="0" applyFont="1" applyFill="1" applyBorder="1" applyAlignment="1" applyProtection="1">
      <alignment horizontal="center" vertical="center"/>
      <protection locked="0"/>
    </xf>
    <xf numFmtId="0" fontId="10" fillId="23" borderId="41" xfId="0" applyFont="1" applyFill="1" applyBorder="1" applyAlignment="1" applyProtection="1">
      <alignment horizontal="center" vertical="center"/>
      <protection locked="0"/>
    </xf>
    <xf numFmtId="0" fontId="10" fillId="14" borderId="134" xfId="0" applyFont="1" applyFill="1" applyBorder="1" applyAlignment="1" applyProtection="1">
      <alignment horizontal="center" vertical="center"/>
      <protection hidden="1"/>
    </xf>
    <xf numFmtId="0" fontId="10" fillId="23" borderId="17" xfId="0" applyFont="1" applyFill="1" applyBorder="1" applyAlignment="1" applyProtection="1">
      <alignment horizontal="center" vertical="center"/>
      <protection locked="0"/>
    </xf>
    <xf numFmtId="0" fontId="36" fillId="14" borderId="113" xfId="0" applyFont="1" applyFill="1" applyBorder="1" applyAlignment="1" applyProtection="1">
      <alignment horizontal="center" vertical="center"/>
      <protection hidden="1"/>
    </xf>
    <xf numFmtId="0" fontId="10" fillId="14" borderId="142" xfId="0" applyFont="1" applyFill="1" applyBorder="1" applyAlignment="1" applyProtection="1">
      <alignment horizontal="center" vertical="center"/>
      <protection hidden="1"/>
    </xf>
    <xf numFmtId="0" fontId="10" fillId="14" borderId="135" xfId="0" applyFont="1" applyFill="1" applyBorder="1" applyAlignment="1" applyProtection="1">
      <alignment horizontal="center" vertical="center"/>
      <protection hidden="1"/>
    </xf>
    <xf numFmtId="0" fontId="51" fillId="19" borderId="1" xfId="0" applyFont="1" applyFill="1" applyBorder="1" applyAlignment="1" applyProtection="1">
      <alignment horizontal="center" vertical="center"/>
      <protection hidden="1"/>
    </xf>
    <xf numFmtId="0" fontId="32" fillId="14" borderId="112" xfId="0" applyFont="1" applyFill="1" applyBorder="1" applyAlignment="1" applyProtection="1">
      <alignment horizontal="center" vertical="center" readingOrder="2"/>
      <protection hidden="1"/>
    </xf>
    <xf numFmtId="0" fontId="32" fillId="14" borderId="123" xfId="0" applyFont="1" applyFill="1" applyBorder="1" applyAlignment="1" applyProtection="1">
      <alignment horizontal="center" vertical="center" readingOrder="2"/>
      <protection hidden="1"/>
    </xf>
    <xf numFmtId="2" fontId="63" fillId="0" borderId="76" xfId="0" applyNumberFormat="1" applyFont="1" applyFill="1" applyBorder="1" applyAlignment="1" applyProtection="1">
      <alignment horizontal="center" vertical="center" wrapText="1"/>
      <protection hidden="1"/>
    </xf>
    <xf numFmtId="0" fontId="32" fillId="27" borderId="105" xfId="0" applyFont="1" applyFill="1" applyBorder="1" applyAlignment="1" applyProtection="1">
      <alignment horizontal="center" vertical="center" readingOrder="2"/>
      <protection hidden="1"/>
    </xf>
    <xf numFmtId="0" fontId="32" fillId="27" borderId="106" xfId="0" applyFont="1" applyFill="1" applyBorder="1" applyAlignment="1" applyProtection="1">
      <alignment horizontal="center" vertical="center" readingOrder="2"/>
      <protection hidden="1"/>
    </xf>
    <xf numFmtId="2" fontId="63" fillId="0" borderId="59" xfId="0" applyNumberFormat="1" applyFont="1" applyFill="1" applyBorder="1" applyAlignment="1" applyProtection="1">
      <alignment horizontal="center" vertical="center" wrapText="1"/>
      <protection hidden="1"/>
    </xf>
    <xf numFmtId="2" fontId="63" fillId="0" borderId="57" xfId="0" applyNumberFormat="1" applyFont="1" applyFill="1" applyBorder="1" applyAlignment="1" applyProtection="1">
      <alignment horizontal="center" vertical="center" wrapText="1"/>
      <protection hidden="1"/>
    </xf>
    <xf numFmtId="2" fontId="63" fillId="0" borderId="245" xfId="0" applyNumberFormat="1" applyFont="1" applyBorder="1" applyAlignment="1" applyProtection="1">
      <alignment horizontal="center" vertical="center"/>
      <protection hidden="1"/>
    </xf>
    <xf numFmtId="2" fontId="63" fillId="0" borderId="215" xfId="0" applyNumberFormat="1" applyFont="1" applyBorder="1" applyAlignment="1" applyProtection="1">
      <alignment horizontal="center" vertical="center"/>
      <protection hidden="1"/>
    </xf>
    <xf numFmtId="3" fontId="64" fillId="23" borderId="181" xfId="0" applyNumberFormat="1" applyFont="1" applyFill="1" applyBorder="1" applyAlignment="1" applyProtection="1">
      <alignment horizontal="center" vertical="center"/>
      <protection locked="0"/>
    </xf>
    <xf numFmtId="3" fontId="64" fillId="23" borderId="57" xfId="0" applyNumberFormat="1" applyFont="1" applyFill="1" applyBorder="1" applyAlignment="1" applyProtection="1">
      <alignment horizontal="center" vertical="center"/>
      <protection locked="0"/>
    </xf>
    <xf numFmtId="165" fontId="63" fillId="0" borderId="42" xfId="0" applyNumberFormat="1" applyFont="1" applyBorder="1" applyAlignment="1" applyProtection="1">
      <alignment horizontal="center" vertical="center"/>
      <protection hidden="1"/>
    </xf>
    <xf numFmtId="165" fontId="63" fillId="0" borderId="46" xfId="0" applyNumberFormat="1" applyFont="1" applyBorder="1" applyAlignment="1" applyProtection="1">
      <alignment horizontal="center" vertical="center"/>
      <protection hidden="1"/>
    </xf>
    <xf numFmtId="165" fontId="63" fillId="0" borderId="43" xfId="0" applyNumberFormat="1" applyFont="1" applyBorder="1" applyAlignment="1" applyProtection="1">
      <alignment horizontal="center" vertical="center"/>
      <protection hidden="1"/>
    </xf>
    <xf numFmtId="0" fontId="51" fillId="19" borderId="3" xfId="0" applyFont="1" applyFill="1" applyBorder="1" applyAlignment="1" applyProtection="1">
      <alignment horizontal="center" vertical="center"/>
      <protection hidden="1"/>
    </xf>
    <xf numFmtId="0" fontId="51" fillId="19" borderId="55" xfId="0" applyFont="1" applyFill="1" applyBorder="1" applyAlignment="1" applyProtection="1">
      <alignment horizontal="center" vertical="center"/>
      <protection hidden="1"/>
    </xf>
    <xf numFmtId="0" fontId="51" fillId="19" borderId="113" xfId="0" applyFont="1" applyFill="1" applyBorder="1" applyAlignment="1" applyProtection="1">
      <alignment horizontal="center" vertical="center"/>
      <protection hidden="1"/>
    </xf>
    <xf numFmtId="0" fontId="13" fillId="0" borderId="57" xfId="0" applyFont="1" applyBorder="1" applyAlignment="1" applyProtection="1">
      <alignment horizontal="center" vertical="center" wrapText="1"/>
      <protection hidden="1"/>
    </xf>
    <xf numFmtId="0" fontId="13" fillId="0" borderId="41" xfId="0" applyFont="1" applyBorder="1" applyAlignment="1" applyProtection="1">
      <alignment horizontal="center" vertical="center" wrapText="1"/>
      <protection hidden="1"/>
    </xf>
    <xf numFmtId="0" fontId="69" fillId="0" borderId="0" xfId="0" applyFont="1" applyFill="1" applyBorder="1" applyAlignment="1" applyProtection="1">
      <alignment horizontal="center" vertical="center"/>
      <protection hidden="1"/>
    </xf>
    <xf numFmtId="0" fontId="69" fillId="0" borderId="1" xfId="0" applyFont="1" applyFill="1" applyBorder="1" applyAlignment="1" applyProtection="1">
      <alignment horizontal="center" vertical="center"/>
      <protection hidden="1"/>
    </xf>
    <xf numFmtId="0" fontId="51" fillId="19" borderId="157" xfId="0" applyFont="1" applyFill="1" applyBorder="1" applyAlignment="1" applyProtection="1">
      <alignment horizontal="center" vertical="center" wrapText="1"/>
      <protection hidden="1"/>
    </xf>
    <xf numFmtId="4" fontId="63" fillId="23" borderId="17" xfId="0" applyNumberFormat="1" applyFont="1" applyFill="1" applyBorder="1" applyAlignment="1" applyProtection="1">
      <alignment horizontal="center" vertical="center"/>
      <protection locked="0"/>
    </xf>
    <xf numFmtId="0" fontId="13" fillId="0" borderId="97" xfId="0" applyFont="1" applyBorder="1" applyAlignment="1" applyProtection="1">
      <alignment horizontal="center" vertical="center" wrapText="1"/>
      <protection hidden="1"/>
    </xf>
    <xf numFmtId="167" fontId="63" fillId="23" borderId="8" xfId="0" applyNumberFormat="1" applyFont="1" applyFill="1" applyBorder="1" applyAlignment="1" applyProtection="1">
      <alignment horizontal="center" vertical="center"/>
      <protection locked="0"/>
    </xf>
    <xf numFmtId="0" fontId="51" fillId="19" borderId="159" xfId="0" applyFont="1" applyFill="1" applyBorder="1" applyAlignment="1" applyProtection="1">
      <alignment horizontal="center" vertical="center"/>
      <protection hidden="1"/>
    </xf>
    <xf numFmtId="167" fontId="63" fillId="23" borderId="11" xfId="0" applyNumberFormat="1" applyFont="1" applyFill="1" applyBorder="1" applyAlignment="1" applyProtection="1">
      <alignment horizontal="center" vertical="center"/>
      <protection locked="0"/>
    </xf>
    <xf numFmtId="0" fontId="35" fillId="14" borderId="85" xfId="0" applyFont="1" applyFill="1" applyBorder="1" applyAlignment="1" applyProtection="1">
      <alignment horizontal="center" vertical="center" wrapText="1"/>
      <protection hidden="1"/>
    </xf>
    <xf numFmtId="0" fontId="35" fillId="14" borderId="72" xfId="0" applyFont="1" applyFill="1" applyBorder="1" applyAlignment="1" applyProtection="1">
      <alignment horizontal="center" vertical="center" wrapText="1"/>
      <protection hidden="1"/>
    </xf>
    <xf numFmtId="3" fontId="64" fillId="23" borderId="81" xfId="0" applyNumberFormat="1" applyFont="1" applyFill="1" applyBorder="1" applyAlignment="1" applyProtection="1">
      <alignment horizontal="center" vertical="center"/>
      <protection locked="0"/>
    </xf>
    <xf numFmtId="3" fontId="64" fillId="23" borderId="17" xfId="0" applyNumberFormat="1" applyFont="1" applyFill="1" applyBorder="1" applyAlignment="1" applyProtection="1">
      <alignment horizontal="center" vertical="center"/>
      <protection locked="0"/>
    </xf>
    <xf numFmtId="4" fontId="63" fillId="23" borderId="11" xfId="0" applyNumberFormat="1" applyFont="1" applyFill="1" applyBorder="1" applyAlignment="1" applyProtection="1">
      <alignment horizontal="center" vertical="center"/>
      <protection locked="0"/>
    </xf>
    <xf numFmtId="4" fontId="63" fillId="23" borderId="8" xfId="0" applyNumberFormat="1" applyFont="1" applyFill="1" applyBorder="1" applyAlignment="1" applyProtection="1">
      <alignment horizontal="center" vertical="center"/>
      <protection locked="0"/>
    </xf>
    <xf numFmtId="4" fontId="63" fillId="0" borderId="8" xfId="0" applyNumberFormat="1" applyFont="1" applyFill="1" applyBorder="1" applyAlignment="1" applyProtection="1">
      <alignment horizontal="center" vertical="center"/>
      <protection hidden="1"/>
    </xf>
    <xf numFmtId="4" fontId="63" fillId="0" borderId="41" xfId="0" applyNumberFormat="1" applyFont="1" applyFill="1" applyBorder="1" applyAlignment="1" applyProtection="1">
      <alignment horizontal="center" vertical="center"/>
      <protection hidden="1"/>
    </xf>
    <xf numFmtId="4" fontId="63" fillId="23" borderId="41" xfId="0" applyNumberFormat="1" applyFont="1" applyFill="1" applyBorder="1" applyAlignment="1" applyProtection="1">
      <alignment horizontal="center" vertical="center"/>
      <protection locked="0"/>
    </xf>
    <xf numFmtId="4" fontId="63" fillId="0" borderId="79" xfId="0" applyNumberFormat="1" applyFont="1" applyFill="1" applyBorder="1" applyAlignment="1" applyProtection="1">
      <alignment horizontal="center" vertical="center"/>
      <protection hidden="1"/>
    </xf>
    <xf numFmtId="4" fontId="63" fillId="23" borderId="79" xfId="0" applyNumberFormat="1" applyFont="1" applyFill="1" applyBorder="1" applyAlignment="1" applyProtection="1">
      <alignment horizontal="center" vertical="center"/>
      <protection locked="0"/>
    </xf>
    <xf numFmtId="0" fontId="35" fillId="14" borderId="74" xfId="0" applyFont="1" applyFill="1" applyBorder="1" applyAlignment="1" applyProtection="1">
      <alignment horizontal="center" vertical="center" wrapText="1" readingOrder="2"/>
      <protection hidden="1"/>
    </xf>
    <xf numFmtId="0" fontId="35" fillId="14" borderId="66" xfId="0" applyFont="1" applyFill="1" applyBorder="1" applyAlignment="1" applyProtection="1">
      <alignment horizontal="center" vertical="center" wrapText="1" readingOrder="2"/>
      <protection hidden="1"/>
    </xf>
    <xf numFmtId="0" fontId="13" fillId="0" borderId="0" xfId="0" applyFont="1" applyBorder="1" applyAlignment="1" applyProtection="1">
      <alignment horizontal="center" vertical="center" textRotation="90" wrapText="1"/>
      <protection hidden="1"/>
    </xf>
    <xf numFmtId="0" fontId="32" fillId="14" borderId="103" xfId="0" applyFont="1" applyFill="1" applyBorder="1" applyAlignment="1" applyProtection="1">
      <alignment horizontal="center" vertical="center" readingOrder="2"/>
      <protection hidden="1"/>
    </xf>
    <xf numFmtId="3" fontId="63" fillId="23" borderId="17" xfId="0" applyNumberFormat="1" applyFont="1" applyFill="1" applyBorder="1" applyAlignment="1" applyProtection="1">
      <alignment horizontal="center" vertical="center"/>
      <protection locked="0"/>
    </xf>
    <xf numFmtId="0" fontId="63" fillId="0" borderId="13" xfId="0" applyFont="1" applyBorder="1" applyAlignment="1" applyProtection="1">
      <alignment horizontal="center" vertical="center"/>
      <protection hidden="1"/>
    </xf>
    <xf numFmtId="0" fontId="63" fillId="0" borderId="79" xfId="0" applyFont="1" applyBorder="1" applyAlignment="1" applyProtection="1">
      <alignment horizontal="center" vertical="center"/>
      <protection hidden="1"/>
    </xf>
    <xf numFmtId="0" fontId="63" fillId="0" borderId="8" xfId="0" applyFont="1" applyBorder="1" applyAlignment="1" applyProtection="1">
      <alignment horizontal="center" vertical="center"/>
      <protection hidden="1"/>
    </xf>
    <xf numFmtId="0" fontId="63" fillId="0" borderId="41" xfId="0" applyFont="1" applyBorder="1" applyAlignment="1" applyProtection="1">
      <alignment horizontal="center" vertical="center"/>
      <protection hidden="1"/>
    </xf>
    <xf numFmtId="165" fontId="63" fillId="0" borderId="78" xfId="0" applyNumberFormat="1" applyFont="1" applyBorder="1" applyAlignment="1" applyProtection="1">
      <alignment horizontal="center" vertical="center"/>
      <protection hidden="1"/>
    </xf>
    <xf numFmtId="0" fontId="10" fillId="0" borderId="59" xfId="0" applyFont="1" applyBorder="1" applyAlignment="1" applyProtection="1">
      <alignment horizontal="center" vertical="center" wrapText="1"/>
      <protection hidden="1"/>
    </xf>
    <xf numFmtId="0" fontId="36" fillId="14" borderId="140" xfId="0" applyFont="1" applyFill="1" applyBorder="1" applyAlignment="1" applyProtection="1">
      <alignment horizontal="center" vertical="center"/>
      <protection hidden="1"/>
    </xf>
    <xf numFmtId="0" fontId="32" fillId="14" borderId="83" xfId="0" applyFont="1" applyFill="1" applyBorder="1" applyAlignment="1" applyProtection="1">
      <alignment horizontal="center" vertical="center" readingOrder="2"/>
      <protection hidden="1"/>
    </xf>
    <xf numFmtId="0" fontId="32" fillId="14" borderId="71" xfId="0" applyFont="1" applyFill="1" applyBorder="1" applyAlignment="1" applyProtection="1">
      <alignment horizontal="center" vertical="center" readingOrder="2"/>
      <protection hidden="1"/>
    </xf>
    <xf numFmtId="0" fontId="63" fillId="0" borderId="21" xfId="0" applyFont="1" applyBorder="1" applyAlignment="1" applyProtection="1">
      <alignment horizontal="center" vertical="center"/>
      <protection hidden="1"/>
    </xf>
    <xf numFmtId="0" fontId="63" fillId="0" borderId="16" xfId="0" applyFont="1" applyBorder="1" applyAlignment="1" applyProtection="1">
      <alignment horizontal="center" vertical="center"/>
      <protection hidden="1"/>
    </xf>
    <xf numFmtId="0" fontId="63" fillId="0" borderId="17" xfId="0" applyFont="1" applyBorder="1" applyAlignment="1" applyProtection="1">
      <alignment horizontal="center" vertical="center"/>
      <protection hidden="1"/>
    </xf>
    <xf numFmtId="0" fontId="35" fillId="19" borderId="118" xfId="0" applyFont="1" applyFill="1" applyBorder="1" applyAlignment="1" applyProtection="1">
      <alignment horizontal="center" vertical="center" wrapText="1" readingOrder="2"/>
      <protection hidden="1"/>
    </xf>
    <xf numFmtId="0" fontId="35" fillId="19" borderId="85" xfId="0" applyFont="1" applyFill="1" applyBorder="1" applyAlignment="1" applyProtection="1">
      <alignment horizontal="center" vertical="center" wrapText="1" readingOrder="2"/>
      <protection hidden="1"/>
    </xf>
    <xf numFmtId="0" fontId="41" fillId="0" borderId="8" xfId="0" applyFont="1" applyBorder="1" applyAlignment="1" applyProtection="1">
      <alignment horizontal="center" vertical="center" wrapText="1"/>
      <protection hidden="1"/>
    </xf>
    <xf numFmtId="0" fontId="98" fillId="25" borderId="63" xfId="0" applyFont="1" applyFill="1" applyBorder="1" applyAlignment="1" applyProtection="1">
      <alignment horizontal="right" vertical="top"/>
      <protection hidden="1"/>
    </xf>
    <xf numFmtId="4" fontId="87" fillId="23" borderId="44" xfId="0" applyNumberFormat="1" applyFont="1" applyFill="1" applyBorder="1" applyAlignment="1" applyProtection="1">
      <alignment horizontal="center" vertical="center"/>
      <protection locked="0"/>
    </xf>
    <xf numFmtId="4" fontId="87" fillId="23" borderId="47" xfId="0" applyNumberFormat="1" applyFont="1" applyFill="1" applyBorder="1" applyAlignment="1" applyProtection="1">
      <alignment horizontal="center" vertical="center"/>
      <protection locked="0"/>
    </xf>
    <xf numFmtId="0" fontId="63" fillId="0" borderId="104" xfId="0" applyFont="1" applyFill="1" applyBorder="1" applyAlignment="1" applyProtection="1">
      <alignment horizontal="center" vertical="center"/>
      <protection hidden="1"/>
    </xf>
    <xf numFmtId="0" fontId="63" fillId="23" borderId="203" xfId="0" applyFont="1" applyFill="1" applyBorder="1" applyAlignment="1" applyProtection="1">
      <alignment horizontal="center" vertical="center"/>
      <protection locked="0"/>
    </xf>
    <xf numFmtId="0" fontId="63" fillId="23" borderId="193" xfId="0" applyFont="1" applyFill="1" applyBorder="1" applyAlignment="1" applyProtection="1">
      <alignment horizontal="center" vertical="center"/>
      <protection locked="0"/>
    </xf>
    <xf numFmtId="165" fontId="63" fillId="0" borderId="17" xfId="0" applyNumberFormat="1" applyFont="1" applyFill="1" applyBorder="1" applyAlignment="1" applyProtection="1">
      <alignment horizontal="center" vertical="center" wrapText="1"/>
      <protection hidden="1"/>
    </xf>
    <xf numFmtId="165" fontId="63" fillId="0" borderId="15" xfId="0" applyNumberFormat="1" applyFont="1" applyFill="1" applyBorder="1" applyAlignment="1" applyProtection="1">
      <alignment horizontal="center" vertical="center" wrapText="1"/>
      <protection hidden="1"/>
    </xf>
    <xf numFmtId="4" fontId="63" fillId="0" borderId="17" xfId="0" applyNumberFormat="1" applyFont="1" applyFill="1" applyBorder="1" applyAlignment="1" applyProtection="1">
      <alignment horizontal="center" vertical="center" wrapText="1"/>
      <protection hidden="1"/>
    </xf>
    <xf numFmtId="4" fontId="63" fillId="0" borderId="25" xfId="0" applyNumberFormat="1" applyFont="1" applyFill="1" applyBorder="1" applyAlignment="1" applyProtection="1">
      <alignment horizontal="center" vertical="center" wrapText="1"/>
      <protection hidden="1"/>
    </xf>
    <xf numFmtId="0" fontId="41" fillId="9" borderId="0" xfId="0" applyFont="1" applyFill="1" applyBorder="1" applyAlignment="1" applyProtection="1">
      <alignment vertical="center"/>
      <protection hidden="1"/>
    </xf>
    <xf numFmtId="3" fontId="63" fillId="9" borderId="134" xfId="0" applyNumberFormat="1" applyFont="1" applyFill="1" applyBorder="1" applyAlignment="1" applyProtection="1">
      <alignment horizontal="center" vertical="center"/>
      <protection hidden="1"/>
    </xf>
    <xf numFmtId="3" fontId="63" fillId="9" borderId="170" xfId="0" applyNumberFormat="1" applyFont="1" applyFill="1" applyBorder="1" applyAlignment="1" applyProtection="1">
      <alignment horizontal="center" vertical="center"/>
      <protection hidden="1"/>
    </xf>
    <xf numFmtId="3" fontId="63" fillId="9" borderId="11" xfId="0" applyNumberFormat="1" applyFont="1" applyFill="1" applyBorder="1" applyAlignment="1" applyProtection="1">
      <alignment horizontal="center" vertical="center"/>
      <protection hidden="1"/>
    </xf>
    <xf numFmtId="0" fontId="51" fillId="9" borderId="0" xfId="0" applyFont="1" applyFill="1" applyBorder="1" applyAlignment="1" applyProtection="1">
      <alignment horizontal="center" vertical="center"/>
      <protection hidden="1"/>
    </xf>
    <xf numFmtId="0" fontId="13" fillId="9" borderId="0" xfId="0" applyFont="1" applyFill="1" applyBorder="1" applyAlignment="1" applyProtection="1">
      <alignment vertical="center"/>
      <protection hidden="1"/>
    </xf>
    <xf numFmtId="0" fontId="103" fillId="9" borderId="8" xfId="0" applyFont="1" applyFill="1" applyBorder="1" applyAlignment="1" applyProtection="1">
      <alignment horizontal="center" vertical="center"/>
      <protection hidden="1"/>
    </xf>
    <xf numFmtId="4" fontId="39" fillId="9" borderId="90" xfId="0" applyNumberFormat="1" applyFont="1" applyFill="1" applyBorder="1" applyAlignment="1" applyProtection="1">
      <alignment horizontal="center" vertical="center" wrapText="1" readingOrder="1"/>
      <protection hidden="1"/>
    </xf>
    <xf numFmtId="4" fontId="39" fillId="9" borderId="100" xfId="0" applyNumberFormat="1" applyFont="1" applyFill="1" applyBorder="1" applyAlignment="1" applyProtection="1">
      <alignment horizontal="center" vertical="center" wrapText="1" readingOrder="1"/>
      <protection hidden="1"/>
    </xf>
    <xf numFmtId="4" fontId="39" fillId="9" borderId="78" xfId="0" applyNumberFormat="1" applyFont="1" applyFill="1" applyBorder="1" applyAlignment="1" applyProtection="1">
      <alignment horizontal="center" vertical="center" wrapText="1" readingOrder="1"/>
      <protection hidden="1"/>
    </xf>
    <xf numFmtId="4" fontId="39" fillId="9" borderId="80" xfId="0" applyNumberFormat="1" applyFont="1" applyFill="1" applyBorder="1" applyAlignment="1" applyProtection="1">
      <alignment horizontal="center" vertical="center" wrapText="1" readingOrder="1"/>
      <protection hidden="1"/>
    </xf>
    <xf numFmtId="170" fontId="39" fillId="9" borderId="78" xfId="0" applyNumberFormat="1" applyFont="1" applyFill="1" applyBorder="1" applyAlignment="1" applyProtection="1">
      <alignment horizontal="center" vertical="center" wrapText="1" readingOrder="1"/>
      <protection hidden="1"/>
    </xf>
    <xf numFmtId="4" fontId="39" fillId="9" borderId="15" xfId="0" applyNumberFormat="1" applyFont="1" applyFill="1" applyBorder="1" applyAlignment="1" applyProtection="1">
      <alignment horizontal="center" vertical="center" wrapText="1" readingOrder="1"/>
      <protection hidden="1"/>
    </xf>
    <xf numFmtId="4" fontId="39" fillId="9" borderId="13" xfId="0" applyNumberFormat="1" applyFont="1" applyFill="1" applyBorder="1" applyAlignment="1" applyProtection="1">
      <alignment horizontal="center" vertical="center" wrapText="1" readingOrder="1"/>
      <protection hidden="1"/>
    </xf>
    <xf numFmtId="4" fontId="39" fillId="9" borderId="42" xfId="0" applyNumberFormat="1" applyFont="1" applyFill="1" applyBorder="1" applyAlignment="1" applyProtection="1">
      <alignment horizontal="center" vertical="center" wrapText="1" readingOrder="1"/>
      <protection hidden="1"/>
    </xf>
    <xf numFmtId="170" fontId="39" fillId="9" borderId="42" xfId="0" applyNumberFormat="1" applyFont="1" applyFill="1" applyBorder="1" applyAlignment="1" applyProtection="1">
      <alignment horizontal="center" vertical="center" wrapText="1" readingOrder="1"/>
      <protection hidden="1"/>
    </xf>
    <xf numFmtId="4" fontId="39" fillId="9" borderId="44" xfId="0" applyNumberFormat="1" applyFont="1" applyFill="1" applyBorder="1" applyAlignment="1" applyProtection="1">
      <alignment horizontal="center" vertical="center" wrapText="1" readingOrder="1"/>
      <protection hidden="1"/>
    </xf>
    <xf numFmtId="4" fontId="39" fillId="9" borderId="64" xfId="0" applyNumberFormat="1" applyFont="1" applyFill="1" applyBorder="1" applyAlignment="1" applyProtection="1">
      <alignment horizontal="center" vertical="center" wrapText="1" readingOrder="1"/>
      <protection hidden="1"/>
    </xf>
    <xf numFmtId="4" fontId="39" fillId="9" borderId="101" xfId="0" applyNumberFormat="1" applyFont="1" applyFill="1" applyBorder="1" applyAlignment="1" applyProtection="1">
      <alignment horizontal="center" vertical="center" wrapText="1" readingOrder="1"/>
      <protection hidden="1"/>
    </xf>
    <xf numFmtId="4" fontId="39" fillId="9" borderId="43" xfId="0" applyNumberFormat="1" applyFont="1" applyFill="1" applyBorder="1" applyAlignment="1" applyProtection="1">
      <alignment horizontal="center" vertical="center" wrapText="1" readingOrder="1"/>
      <protection hidden="1"/>
    </xf>
    <xf numFmtId="4" fontId="39" fillId="9" borderId="47" xfId="0" applyNumberFormat="1" applyFont="1" applyFill="1" applyBorder="1" applyAlignment="1" applyProtection="1">
      <alignment horizontal="center" vertical="center" wrapText="1" readingOrder="1"/>
      <protection hidden="1"/>
    </xf>
    <xf numFmtId="170" fontId="39" fillId="9" borderId="43" xfId="0" applyNumberFormat="1" applyFont="1" applyFill="1" applyBorder="1" applyAlignment="1" applyProtection="1">
      <alignment horizontal="center" vertical="center" wrapText="1" readingOrder="1"/>
      <protection hidden="1"/>
    </xf>
    <xf numFmtId="4" fontId="39" fillId="9" borderId="161" xfId="0" applyNumberFormat="1" applyFont="1" applyFill="1" applyBorder="1" applyAlignment="1" applyProtection="1">
      <alignment horizontal="center" vertical="center" wrapText="1" readingOrder="1"/>
      <protection hidden="1"/>
    </xf>
    <xf numFmtId="4" fontId="39" fillId="9" borderId="62" xfId="0" applyNumberFormat="1" applyFont="1" applyFill="1" applyBorder="1" applyAlignment="1" applyProtection="1">
      <alignment horizontal="center" vertical="center" wrapText="1" readingOrder="1"/>
      <protection hidden="1"/>
    </xf>
    <xf numFmtId="170" fontId="39" fillId="9" borderId="161" xfId="0" applyNumberFormat="1" applyFont="1" applyFill="1" applyBorder="1" applyAlignment="1" applyProtection="1">
      <alignment horizontal="center" vertical="center" wrapText="1" readingOrder="1"/>
      <protection hidden="1"/>
    </xf>
    <xf numFmtId="0" fontId="63" fillId="23" borderId="42" xfId="0" applyFont="1" applyFill="1" applyBorder="1" applyAlignment="1" applyProtection="1">
      <alignment horizontal="center" vertical="center"/>
      <protection locked="0"/>
    </xf>
    <xf numFmtId="0" fontId="41" fillId="9" borderId="0" xfId="0" applyFont="1" applyFill="1" applyAlignment="1" applyProtection="1">
      <alignment horizontal="center" vertical="center"/>
      <protection hidden="1"/>
    </xf>
    <xf numFmtId="0" fontId="35" fillId="11" borderId="8" xfId="0" applyFont="1" applyFill="1" applyBorder="1" applyAlignment="1" applyProtection="1">
      <alignment horizontal="center" vertical="center"/>
      <protection hidden="1"/>
    </xf>
    <xf numFmtId="0" fontId="35" fillId="11" borderId="42" xfId="0" applyFont="1" applyFill="1" applyBorder="1" applyAlignment="1" applyProtection="1">
      <alignment horizontal="center" vertical="center"/>
      <protection hidden="1"/>
    </xf>
    <xf numFmtId="0" fontId="35" fillId="11" borderId="44" xfId="0" applyFont="1" applyFill="1" applyBorder="1" applyAlignment="1" applyProtection="1">
      <alignment horizontal="center" vertical="center"/>
      <protection hidden="1"/>
    </xf>
    <xf numFmtId="0" fontId="36" fillId="11" borderId="8" xfId="0" applyFont="1" applyFill="1" applyBorder="1" applyAlignment="1" applyProtection="1">
      <alignment horizontal="center" vertical="center"/>
      <protection hidden="1"/>
    </xf>
    <xf numFmtId="164" fontId="64" fillId="23" borderId="8" xfId="0" applyNumberFormat="1" applyFont="1" applyFill="1" applyBorder="1" applyAlignment="1" applyProtection="1">
      <alignment horizontal="center" vertical="center"/>
      <protection locked="0"/>
    </xf>
    <xf numFmtId="164" fontId="64" fillId="23" borderId="44" xfId="0" applyNumberFormat="1" applyFont="1" applyFill="1" applyBorder="1" applyAlignment="1" applyProtection="1">
      <alignment horizontal="center" vertical="center"/>
      <protection locked="0"/>
    </xf>
    <xf numFmtId="164" fontId="64" fillId="23" borderId="41" xfId="0" applyNumberFormat="1" applyFont="1" applyFill="1" applyBorder="1" applyAlignment="1" applyProtection="1">
      <alignment horizontal="center" vertical="center"/>
      <protection locked="0"/>
    </xf>
    <xf numFmtId="164" fontId="64" fillId="23" borderId="47" xfId="0" applyNumberFormat="1" applyFont="1" applyFill="1" applyBorder="1" applyAlignment="1" applyProtection="1">
      <alignment horizontal="center" vertical="center"/>
      <protection locked="0"/>
    </xf>
    <xf numFmtId="0" fontId="41" fillId="9" borderId="0" xfId="0" applyFont="1" applyFill="1" applyAlignment="1" applyProtection="1">
      <alignment horizontal="center" vertical="center"/>
      <protection hidden="1"/>
    </xf>
    <xf numFmtId="0" fontId="41" fillId="9" borderId="79" xfId="0" applyFont="1" applyFill="1" applyBorder="1" applyAlignment="1" applyProtection="1">
      <alignment horizontal="center" vertical="center"/>
      <protection hidden="1"/>
    </xf>
    <xf numFmtId="0" fontId="41" fillId="9" borderId="9" xfId="0" applyFont="1" applyFill="1" applyBorder="1" applyAlignment="1" applyProtection="1">
      <alignment horizontal="center" vertical="center"/>
      <protection hidden="1"/>
    </xf>
    <xf numFmtId="0" fontId="41" fillId="9" borderId="7" xfId="0" applyFont="1" applyFill="1" applyBorder="1" applyAlignment="1" applyProtection="1">
      <alignment horizontal="center" vertical="center"/>
      <protection hidden="1"/>
    </xf>
    <xf numFmtId="0" fontId="41" fillId="9" borderId="51" xfId="0" applyFont="1" applyFill="1" applyBorder="1" applyAlignment="1" applyProtection="1">
      <alignment horizontal="center" vertical="center"/>
      <protection hidden="1"/>
    </xf>
    <xf numFmtId="0" fontId="41" fillId="9" borderId="41" xfId="0" applyFont="1" applyFill="1" applyBorder="1" applyAlignment="1" applyProtection="1">
      <alignment horizontal="center" vertical="center"/>
      <protection hidden="1"/>
    </xf>
    <xf numFmtId="0" fontId="34" fillId="9" borderId="126" xfId="0" applyFont="1" applyFill="1" applyBorder="1" applyAlignment="1" applyProtection="1">
      <alignment vertical="center"/>
      <protection hidden="1"/>
    </xf>
    <xf numFmtId="0" fontId="34" fillId="9" borderId="22" xfId="0" applyFont="1" applyFill="1" applyBorder="1" applyAlignment="1" applyProtection="1">
      <alignment vertical="center"/>
      <protection hidden="1"/>
    </xf>
    <xf numFmtId="0" fontId="34" fillId="9" borderId="81" xfId="0" applyFont="1" applyFill="1" applyBorder="1" applyAlignment="1" applyProtection="1">
      <alignment vertical="center"/>
      <protection hidden="1"/>
    </xf>
    <xf numFmtId="0" fontId="34" fillId="9" borderId="12" xfId="0" applyFont="1" applyFill="1" applyBorder="1" applyAlignment="1" applyProtection="1">
      <alignment vertical="center"/>
      <protection hidden="1"/>
    </xf>
    <xf numFmtId="0" fontId="10" fillId="9" borderId="42" xfId="0" applyFont="1" applyFill="1" applyBorder="1" applyAlignment="1" applyProtection="1">
      <alignment horizontal="center" vertical="center"/>
      <protection hidden="1"/>
    </xf>
    <xf numFmtId="166" fontId="41" fillId="9" borderId="8" xfId="0" applyNumberFormat="1" applyFont="1" applyFill="1" applyBorder="1" applyAlignment="1" applyProtection="1">
      <alignment horizontal="center" vertical="center"/>
      <protection hidden="1"/>
    </xf>
    <xf numFmtId="166" fontId="41" fillId="9" borderId="44" xfId="0" applyNumberFormat="1" applyFont="1" applyFill="1" applyBorder="1" applyAlignment="1" applyProtection="1">
      <alignment horizontal="center" vertical="center"/>
      <protection hidden="1"/>
    </xf>
    <xf numFmtId="0" fontId="41" fillId="9" borderId="0" xfId="0" applyFont="1" applyFill="1" applyBorder="1" applyAlignment="1" applyProtection="1">
      <alignment horizontal="center" vertical="center" wrapText="1"/>
      <protection hidden="1"/>
    </xf>
    <xf numFmtId="0" fontId="63" fillId="9" borderId="42" xfId="0" applyFont="1" applyFill="1" applyBorder="1" applyAlignment="1" applyProtection="1">
      <alignment horizontal="center" vertical="center"/>
      <protection hidden="1"/>
    </xf>
    <xf numFmtId="0" fontId="63" fillId="9" borderId="15" xfId="0" applyFont="1" applyFill="1" applyBorder="1" applyAlignment="1" applyProtection="1">
      <alignment horizontal="center" vertical="center"/>
      <protection hidden="1"/>
    </xf>
    <xf numFmtId="164" fontId="63" fillId="9" borderId="8" xfId="0" applyNumberFormat="1" applyFont="1" applyFill="1" applyBorder="1" applyAlignment="1" applyProtection="1">
      <alignment horizontal="center" vertical="center"/>
      <protection hidden="1"/>
    </xf>
    <xf numFmtId="0" fontId="41" fillId="9" borderId="16" xfId="0" applyFont="1" applyFill="1" applyBorder="1" applyAlignment="1" applyProtection="1">
      <alignment horizontal="center" vertical="center"/>
      <protection hidden="1"/>
    </xf>
    <xf numFmtId="0" fontId="41" fillId="9" borderId="46" xfId="0" applyFont="1" applyFill="1" applyBorder="1" applyAlignment="1" applyProtection="1">
      <alignment horizontal="center" vertical="center"/>
      <protection hidden="1"/>
    </xf>
    <xf numFmtId="0" fontId="13" fillId="9" borderId="42" xfId="0" applyFont="1" applyFill="1" applyBorder="1" applyAlignment="1" applyProtection="1">
      <alignment horizontal="center" vertical="center"/>
      <protection hidden="1"/>
    </xf>
    <xf numFmtId="0" fontId="13" fillId="9" borderId="15" xfId="0" applyFont="1" applyFill="1" applyBorder="1" applyAlignment="1" applyProtection="1">
      <alignment horizontal="center" vertical="center"/>
      <protection hidden="1"/>
    </xf>
    <xf numFmtId="0" fontId="13" fillId="9" borderId="23" xfId="0" applyFont="1" applyFill="1" applyBorder="1" applyAlignment="1" applyProtection="1">
      <alignment horizontal="center" vertical="center"/>
      <protection hidden="1"/>
    </xf>
    <xf numFmtId="0" fontId="13" fillId="9" borderId="25" xfId="0" applyFont="1" applyFill="1" applyBorder="1" applyAlignment="1" applyProtection="1">
      <alignment horizontal="center" vertical="center"/>
      <protection hidden="1"/>
    </xf>
    <xf numFmtId="0" fontId="13" fillId="9" borderId="64" xfId="0" applyFont="1" applyFill="1" applyBorder="1" applyAlignment="1" applyProtection="1">
      <alignment horizontal="center" vertical="center"/>
      <protection hidden="1"/>
    </xf>
    <xf numFmtId="0" fontId="13" fillId="9" borderId="91" xfId="0" applyFont="1" applyFill="1" applyBorder="1" applyAlignment="1" applyProtection="1">
      <alignment horizontal="center" vertical="center"/>
      <protection hidden="1"/>
    </xf>
    <xf numFmtId="0" fontId="10" fillId="9" borderId="14" xfId="0" applyFont="1" applyFill="1" applyBorder="1" applyAlignment="1" applyProtection="1">
      <alignment horizontal="center" vertical="center"/>
      <protection hidden="1"/>
    </xf>
    <xf numFmtId="164" fontId="41" fillId="9" borderId="0" xfId="0" applyNumberFormat="1" applyFont="1" applyFill="1" applyAlignment="1" applyProtection="1">
      <alignment horizontal="center" vertical="center"/>
      <protection hidden="1"/>
    </xf>
    <xf numFmtId="0" fontId="41" fillId="9" borderId="100" xfId="0" applyFont="1" applyFill="1" applyBorder="1" applyAlignment="1" applyProtection="1">
      <alignment horizontal="center" vertical="center"/>
      <protection hidden="1"/>
    </xf>
    <xf numFmtId="0" fontId="41" fillId="9" borderId="56" xfId="0" applyFont="1" applyFill="1" applyBorder="1" applyAlignment="1" applyProtection="1">
      <alignment horizontal="center" vertical="center"/>
      <protection hidden="1"/>
    </xf>
    <xf numFmtId="0" fontId="41" fillId="9" borderId="104" xfId="0" applyFont="1" applyFill="1" applyBorder="1" applyAlignment="1" applyProtection="1">
      <alignment horizontal="center" vertical="center"/>
      <protection hidden="1"/>
    </xf>
    <xf numFmtId="0" fontId="41" fillId="9" borderId="287" xfId="0" applyFont="1" applyFill="1" applyBorder="1" applyAlignment="1" applyProtection="1">
      <alignment horizontal="center" vertical="center"/>
      <protection hidden="1"/>
    </xf>
    <xf numFmtId="0" fontId="41" fillId="9" borderId="20" xfId="0" applyFont="1" applyFill="1" applyBorder="1" applyAlignment="1" applyProtection="1">
      <alignment horizontal="center" vertical="center"/>
      <protection hidden="1"/>
    </xf>
    <xf numFmtId="0" fontId="41" fillId="9" borderId="55" xfId="0" applyFont="1" applyFill="1" applyBorder="1" applyAlignment="1" applyProtection="1">
      <alignment horizontal="center" vertical="center"/>
      <protection hidden="1"/>
    </xf>
    <xf numFmtId="0" fontId="41" fillId="9" borderId="82" xfId="0" applyFont="1" applyFill="1" applyBorder="1" applyAlignment="1" applyProtection="1">
      <alignment horizontal="center" vertical="center"/>
      <protection hidden="1"/>
    </xf>
    <xf numFmtId="0" fontId="107" fillId="9" borderId="0" xfId="0" applyFont="1" applyFill="1" applyBorder="1" applyAlignment="1" applyProtection="1">
      <alignment vertical="top"/>
      <protection hidden="1"/>
    </xf>
    <xf numFmtId="0" fontId="13" fillId="9" borderId="54" xfId="0" applyFont="1" applyFill="1" applyBorder="1" applyAlignment="1" applyProtection="1">
      <alignment vertical="center" wrapText="1"/>
      <protection hidden="1"/>
    </xf>
    <xf numFmtId="0" fontId="13" fillId="9" borderId="61" xfId="0" applyFont="1" applyFill="1" applyBorder="1" applyAlignment="1" applyProtection="1">
      <alignment vertical="center" wrapText="1"/>
      <protection hidden="1"/>
    </xf>
    <xf numFmtId="0" fontId="13" fillId="9" borderId="62" xfId="0" applyFont="1" applyFill="1" applyBorder="1" applyAlignment="1" applyProtection="1">
      <alignment vertical="center" wrapText="1"/>
      <protection hidden="1"/>
    </xf>
    <xf numFmtId="0" fontId="13" fillId="9" borderId="1" xfId="0" applyFont="1" applyFill="1" applyBorder="1" applyAlignment="1" applyProtection="1">
      <alignment vertical="center" wrapText="1"/>
      <protection hidden="1"/>
    </xf>
    <xf numFmtId="0" fontId="13" fillId="9" borderId="0" xfId="0" applyFont="1" applyFill="1" applyBorder="1" applyAlignment="1" applyProtection="1">
      <alignment vertical="center" wrapText="1"/>
      <protection hidden="1"/>
    </xf>
    <xf numFmtId="0" fontId="13" fillId="9" borderId="63" xfId="0" applyFont="1" applyFill="1" applyBorder="1" applyAlignment="1" applyProtection="1">
      <alignment vertical="center" wrapText="1"/>
      <protection hidden="1"/>
    </xf>
    <xf numFmtId="0" fontId="13" fillId="9" borderId="78" xfId="0" applyFont="1" applyFill="1" applyBorder="1" applyAlignment="1" applyProtection="1">
      <alignment horizontal="center" vertical="center"/>
      <protection hidden="1"/>
    </xf>
    <xf numFmtId="0" fontId="13" fillId="9" borderId="90" xfId="0" applyFont="1" applyFill="1" applyBorder="1" applyAlignment="1" applyProtection="1">
      <alignment horizontal="center" vertical="center"/>
      <protection hidden="1"/>
    </xf>
    <xf numFmtId="0" fontId="13" fillId="9" borderId="76" xfId="0" applyFont="1" applyFill="1" applyBorder="1" applyAlignment="1" applyProtection="1">
      <alignment horizontal="center" vertical="center"/>
      <protection hidden="1"/>
    </xf>
    <xf numFmtId="0" fontId="13" fillId="9" borderId="8" xfId="0" applyFont="1" applyFill="1" applyBorder="1" applyAlignment="1" applyProtection="1">
      <alignment horizontal="center" vertical="center"/>
      <protection hidden="1"/>
    </xf>
    <xf numFmtId="0" fontId="13" fillId="9" borderId="44" xfId="0" applyFont="1" applyFill="1" applyBorder="1" applyAlignment="1" applyProtection="1">
      <alignment horizontal="center" vertical="center"/>
      <protection hidden="1"/>
    </xf>
    <xf numFmtId="0" fontId="82" fillId="9" borderId="9" xfId="0" applyFont="1" applyFill="1" applyBorder="1" applyAlignment="1" applyProtection="1">
      <alignment vertical="center"/>
      <protection hidden="1"/>
    </xf>
    <xf numFmtId="0" fontId="82" fillId="9" borderId="11" xfId="0" applyFont="1" applyFill="1" applyBorder="1" applyAlignment="1" applyProtection="1">
      <alignment vertical="center"/>
      <protection hidden="1"/>
    </xf>
    <xf numFmtId="164" fontId="82" fillId="9" borderId="8" xfId="0" applyNumberFormat="1" applyFont="1" applyFill="1" applyBorder="1" applyAlignment="1" applyProtection="1">
      <alignment horizontal="center" vertical="center"/>
      <protection hidden="1"/>
    </xf>
    <xf numFmtId="164" fontId="82" fillId="9" borderId="13" xfId="0" applyNumberFormat="1" applyFont="1" applyFill="1" applyBorder="1" applyAlignment="1" applyProtection="1">
      <alignment horizontal="center" vertical="center"/>
      <protection hidden="1"/>
    </xf>
    <xf numFmtId="164" fontId="82" fillId="9" borderId="44" xfId="0" applyNumberFormat="1" applyFont="1" applyFill="1" applyBorder="1" applyAlignment="1" applyProtection="1">
      <alignment horizontal="center" vertical="center"/>
      <protection hidden="1"/>
    </xf>
    <xf numFmtId="0" fontId="32" fillId="14" borderId="84" xfId="0" applyFont="1" applyFill="1" applyBorder="1" applyAlignment="1" applyProtection="1">
      <alignment horizontal="center" vertical="center" readingOrder="2"/>
      <protection hidden="1"/>
    </xf>
    <xf numFmtId="0" fontId="32" fillId="14" borderId="72" xfId="0" applyFont="1" applyFill="1" applyBorder="1" applyAlignment="1" applyProtection="1">
      <alignment horizontal="center" vertical="center" readingOrder="2"/>
      <protection hidden="1"/>
    </xf>
    <xf numFmtId="0" fontId="32" fillId="14" borderId="108" xfId="0" applyFont="1" applyFill="1" applyBorder="1" applyAlignment="1" applyProtection="1">
      <alignment horizontal="center" vertical="center" readingOrder="2"/>
      <protection hidden="1"/>
    </xf>
    <xf numFmtId="0" fontId="32" fillId="27" borderId="95" xfId="0" applyFont="1" applyFill="1" applyBorder="1" applyAlignment="1" applyProtection="1">
      <alignment horizontal="center" vertical="center" readingOrder="2"/>
      <protection hidden="1"/>
    </xf>
    <xf numFmtId="0" fontId="32" fillId="27" borderId="72" xfId="0" applyFont="1" applyFill="1" applyBorder="1" applyAlignment="1" applyProtection="1">
      <alignment horizontal="center" vertical="center" readingOrder="2"/>
      <protection hidden="1"/>
    </xf>
    <xf numFmtId="0" fontId="35" fillId="14" borderId="112" xfId="0" applyFont="1" applyFill="1" applyBorder="1" applyAlignment="1" applyProtection="1">
      <alignment horizontal="center" vertical="center" wrapText="1"/>
      <protection hidden="1"/>
    </xf>
    <xf numFmtId="0" fontId="35" fillId="14" borderId="123" xfId="0" applyFont="1" applyFill="1" applyBorder="1" applyAlignment="1" applyProtection="1">
      <alignment horizontal="center" vertical="center" wrapText="1"/>
      <protection hidden="1"/>
    </xf>
    <xf numFmtId="0" fontId="32" fillId="27" borderId="89" xfId="0" applyFont="1" applyFill="1" applyBorder="1" applyAlignment="1" applyProtection="1">
      <alignment horizontal="center" vertical="center" readingOrder="2"/>
      <protection hidden="1"/>
    </xf>
    <xf numFmtId="0" fontId="0" fillId="0" borderId="0" xfId="0" applyFont="1" applyBorder="1" applyAlignment="1" applyProtection="1">
      <alignment horizontal="center"/>
      <protection hidden="1"/>
    </xf>
    <xf numFmtId="0" fontId="10" fillId="9" borderId="0" xfId="0" applyFont="1" applyFill="1" applyBorder="1" applyAlignment="1" applyProtection="1">
      <alignment horizontal="right" vertical="top" wrapText="1"/>
      <protection hidden="1"/>
    </xf>
    <xf numFmtId="0" fontId="10" fillId="9" borderId="63" xfId="0" applyFont="1" applyFill="1" applyBorder="1" applyAlignment="1" applyProtection="1">
      <alignment horizontal="right" vertical="top" wrapText="1"/>
      <protection hidden="1"/>
    </xf>
    <xf numFmtId="0" fontId="10" fillId="9" borderId="3" xfId="0" applyFont="1" applyFill="1" applyBorder="1" applyAlignment="1" applyProtection="1">
      <alignment horizontal="right" vertical="top" wrapText="1"/>
      <protection hidden="1"/>
    </xf>
    <xf numFmtId="0" fontId="10" fillId="9" borderId="55" xfId="0" applyFont="1" applyFill="1" applyBorder="1" applyAlignment="1" applyProtection="1">
      <alignment horizontal="right" vertical="top" wrapText="1"/>
      <protection hidden="1"/>
    </xf>
    <xf numFmtId="0" fontId="10" fillId="9" borderId="1" xfId="0" applyFont="1" applyFill="1" applyBorder="1" applyAlignment="1" applyProtection="1">
      <alignment vertical="top" wrapText="1"/>
      <protection hidden="1"/>
    </xf>
    <xf numFmtId="0" fontId="41" fillId="9" borderId="0" xfId="0" applyFont="1" applyFill="1" applyBorder="1" applyAlignment="1" applyProtection="1">
      <alignment vertical="top" wrapText="1"/>
      <protection hidden="1"/>
    </xf>
    <xf numFmtId="0" fontId="41" fillId="9" borderId="63" xfId="0" applyFont="1" applyFill="1" applyBorder="1" applyAlignment="1" applyProtection="1">
      <alignment vertical="top" wrapText="1"/>
      <protection hidden="1"/>
    </xf>
    <xf numFmtId="0" fontId="10" fillId="9" borderId="113" xfId="0" applyFont="1" applyFill="1" applyBorder="1" applyAlignment="1" applyProtection="1">
      <alignment horizontal="right" vertical="top" wrapText="1"/>
      <protection hidden="1"/>
    </xf>
    <xf numFmtId="0" fontId="13" fillId="9" borderId="54" xfId="0" applyFont="1" applyFill="1" applyBorder="1" applyAlignment="1" applyProtection="1">
      <alignment horizontal="right" vertical="top" readingOrder="2"/>
      <protection hidden="1"/>
    </xf>
    <xf numFmtId="0" fontId="13" fillId="9" borderId="61" xfId="0" applyFont="1" applyFill="1" applyBorder="1" applyAlignment="1" applyProtection="1">
      <alignment horizontal="right" vertical="top" readingOrder="2"/>
      <protection hidden="1"/>
    </xf>
    <xf numFmtId="0" fontId="13" fillId="9" borderId="62" xfId="0" applyFont="1" applyFill="1" applyBorder="1" applyAlignment="1" applyProtection="1">
      <alignment horizontal="right" vertical="top" readingOrder="2"/>
      <protection hidden="1"/>
    </xf>
    <xf numFmtId="0" fontId="35" fillId="19" borderId="19" xfId="0" applyFont="1" applyFill="1" applyBorder="1" applyAlignment="1" applyProtection="1">
      <alignment horizontal="center" vertical="top"/>
      <protection hidden="1"/>
    </xf>
    <xf numFmtId="0" fontId="90" fillId="19" borderId="7" xfId="0" applyFont="1" applyFill="1" applyBorder="1" applyAlignment="1" applyProtection="1">
      <alignment horizontal="center" vertical="top"/>
      <protection hidden="1"/>
    </xf>
    <xf numFmtId="0" fontId="90" fillId="19" borderId="51" xfId="0" applyFont="1" applyFill="1" applyBorder="1" applyAlignment="1" applyProtection="1">
      <alignment horizontal="center" vertical="top"/>
      <protection hidden="1"/>
    </xf>
    <xf numFmtId="0" fontId="91" fillId="20" borderId="19" xfId="0" applyFont="1" applyFill="1" applyBorder="1" applyAlignment="1" applyProtection="1">
      <alignment horizontal="center" vertical="center" wrapText="1" readingOrder="1"/>
      <protection hidden="1"/>
    </xf>
    <xf numFmtId="0" fontId="91" fillId="20" borderId="7" xfId="0" applyFont="1" applyFill="1" applyBorder="1" applyAlignment="1" applyProtection="1">
      <alignment horizontal="center" vertical="center" readingOrder="1"/>
      <protection hidden="1"/>
    </xf>
    <xf numFmtId="0" fontId="91" fillId="20" borderId="51" xfId="0" applyFont="1" applyFill="1" applyBorder="1" applyAlignment="1" applyProtection="1">
      <alignment horizontal="center" vertical="center" readingOrder="1"/>
      <protection hidden="1"/>
    </xf>
    <xf numFmtId="0" fontId="10" fillId="9" borderId="24" xfId="0" applyFont="1" applyFill="1" applyBorder="1" applyAlignment="1" applyProtection="1">
      <alignment horizontal="right" vertical="center"/>
      <protection hidden="1"/>
    </xf>
    <xf numFmtId="0" fontId="10" fillId="9" borderId="0" xfId="0" applyFont="1" applyFill="1" applyBorder="1" applyAlignment="1" applyProtection="1">
      <alignment horizontal="right" vertical="center"/>
      <protection hidden="1"/>
    </xf>
    <xf numFmtId="0" fontId="10" fillId="9" borderId="63" xfId="0" applyFont="1" applyFill="1" applyBorder="1" applyAlignment="1" applyProtection="1">
      <alignment horizontal="right" vertical="center"/>
      <protection hidden="1"/>
    </xf>
    <xf numFmtId="0" fontId="13" fillId="9" borderId="54" xfId="0" applyFont="1" applyFill="1" applyBorder="1" applyAlignment="1" applyProtection="1">
      <alignment horizontal="right" vertical="center"/>
      <protection hidden="1"/>
    </xf>
    <xf numFmtId="0" fontId="13" fillId="9" borderId="61" xfId="0" applyFont="1" applyFill="1" applyBorder="1" applyAlignment="1" applyProtection="1">
      <alignment horizontal="right" vertical="center"/>
      <protection hidden="1"/>
    </xf>
    <xf numFmtId="0" fontId="13" fillId="9" borderId="62" xfId="0" applyFont="1" applyFill="1" applyBorder="1" applyAlignment="1" applyProtection="1">
      <alignment horizontal="right" vertical="center"/>
      <protection hidden="1"/>
    </xf>
    <xf numFmtId="0" fontId="13" fillId="9" borderId="1" xfId="0" applyFont="1" applyFill="1" applyBorder="1" applyAlignment="1" applyProtection="1">
      <alignment horizontal="right" vertical="center"/>
      <protection hidden="1"/>
    </xf>
    <xf numFmtId="0" fontId="13" fillId="9" borderId="0" xfId="0" applyFont="1" applyFill="1" applyBorder="1" applyAlignment="1" applyProtection="1">
      <alignment horizontal="right" vertical="center"/>
      <protection hidden="1"/>
    </xf>
    <xf numFmtId="0" fontId="13" fillId="9" borderId="63" xfId="0" applyFont="1" applyFill="1" applyBorder="1" applyAlignment="1" applyProtection="1">
      <alignment horizontal="right" vertical="center"/>
      <protection hidden="1"/>
    </xf>
    <xf numFmtId="0" fontId="13" fillId="9" borderId="1" xfId="0" applyFont="1" applyFill="1" applyBorder="1" applyAlignment="1" applyProtection="1">
      <alignment horizontal="right" vertical="top" readingOrder="2"/>
      <protection hidden="1"/>
    </xf>
    <xf numFmtId="0" fontId="13" fillId="9" borderId="0" xfId="0" applyFont="1" applyFill="1" applyBorder="1" applyAlignment="1" applyProtection="1">
      <alignment horizontal="right" vertical="top" readingOrder="2"/>
      <protection hidden="1"/>
    </xf>
    <xf numFmtId="0" fontId="13" fillId="9" borderId="63" xfId="0" applyFont="1" applyFill="1" applyBorder="1" applyAlignment="1" applyProtection="1">
      <alignment horizontal="right" vertical="top" readingOrder="2"/>
      <protection hidden="1"/>
    </xf>
    <xf numFmtId="0" fontId="10" fillId="9" borderId="0" xfId="0" applyFont="1" applyFill="1" applyBorder="1" applyAlignment="1" applyProtection="1">
      <alignment horizontal="right" vertical="center" wrapText="1"/>
      <protection hidden="1"/>
    </xf>
    <xf numFmtId="0" fontId="10" fillId="9" borderId="63" xfId="0" applyFont="1" applyFill="1" applyBorder="1" applyAlignment="1" applyProtection="1">
      <alignment horizontal="right" vertical="center" wrapText="1"/>
      <protection hidden="1"/>
    </xf>
    <xf numFmtId="0" fontId="10" fillId="9" borderId="0" xfId="0" applyFont="1" applyFill="1" applyBorder="1" applyAlignment="1" applyProtection="1">
      <alignment horizontal="right" vertical="center" wrapText="1" readingOrder="2"/>
      <protection hidden="1"/>
    </xf>
    <xf numFmtId="0" fontId="10" fillId="9" borderId="63" xfId="0" applyFont="1" applyFill="1" applyBorder="1" applyAlignment="1" applyProtection="1">
      <alignment horizontal="right" vertical="center" wrapText="1" readingOrder="2"/>
      <protection hidden="1"/>
    </xf>
    <xf numFmtId="0" fontId="62" fillId="9" borderId="3" xfId="0" applyFont="1" applyFill="1" applyBorder="1" applyAlignment="1" applyProtection="1">
      <alignment horizontal="right" vertical="center" wrapText="1" readingOrder="2"/>
      <protection hidden="1"/>
    </xf>
    <xf numFmtId="0" fontId="62" fillId="9" borderId="55" xfId="0" applyFont="1" applyFill="1" applyBorder="1" applyAlignment="1" applyProtection="1">
      <alignment horizontal="right" vertical="center" wrapText="1" readingOrder="2"/>
      <protection hidden="1"/>
    </xf>
    <xf numFmtId="0" fontId="88" fillId="9" borderId="42" xfId="0" applyFont="1" applyFill="1" applyBorder="1" applyAlignment="1" applyProtection="1">
      <alignment horizontal="center" vertical="center" wrapText="1" readingOrder="2"/>
      <protection hidden="1"/>
    </xf>
    <xf numFmtId="0" fontId="88" fillId="9" borderId="8" xfId="0" applyFont="1" applyFill="1" applyBorder="1" applyAlignment="1" applyProtection="1">
      <alignment horizontal="center" vertical="center" wrapText="1" readingOrder="2"/>
      <protection hidden="1"/>
    </xf>
    <xf numFmtId="0" fontId="88" fillId="9" borderId="43" xfId="0" applyFont="1" applyFill="1" applyBorder="1" applyAlignment="1" applyProtection="1">
      <alignment horizontal="center" vertical="center" wrapText="1" readingOrder="2"/>
      <protection hidden="1"/>
    </xf>
    <xf numFmtId="0" fontId="88" fillId="9" borderId="41" xfId="0" applyFont="1" applyFill="1" applyBorder="1" applyAlignment="1" applyProtection="1">
      <alignment horizontal="center" vertical="center" wrapText="1" readingOrder="2"/>
      <protection hidden="1"/>
    </xf>
    <xf numFmtId="0" fontId="88" fillId="23" borderId="8" xfId="0" applyFont="1" applyFill="1" applyBorder="1" applyAlignment="1" applyProtection="1">
      <alignment horizontal="right" vertical="center" wrapText="1" readingOrder="2"/>
      <protection locked="0"/>
    </xf>
    <xf numFmtId="0" fontId="88" fillId="23" borderId="44" xfId="0" applyFont="1" applyFill="1" applyBorder="1" applyAlignment="1" applyProtection="1">
      <alignment horizontal="right" vertical="center" wrapText="1" readingOrder="2"/>
      <protection locked="0"/>
    </xf>
    <xf numFmtId="0" fontId="25" fillId="9" borderId="98" xfId="0" applyFont="1" applyFill="1" applyBorder="1" applyAlignment="1" applyProtection="1">
      <alignment horizontal="right" vertical="center" wrapText="1" readingOrder="2"/>
      <protection hidden="1"/>
    </xf>
    <xf numFmtId="0" fontId="25" fillId="9" borderId="15" xfId="0" applyFont="1" applyFill="1" applyBorder="1" applyAlignment="1" applyProtection="1">
      <alignment horizontal="right" vertical="center" wrapText="1" readingOrder="2"/>
      <protection hidden="1"/>
    </xf>
    <xf numFmtId="0" fontId="88" fillId="22" borderId="1" xfId="0" applyFont="1" applyFill="1" applyBorder="1" applyAlignment="1" applyProtection="1">
      <alignment horizontal="justify" vertical="center" wrapText="1" readingOrder="2"/>
      <protection hidden="1"/>
    </xf>
    <xf numFmtId="0" fontId="88" fillId="22" borderId="0" xfId="0" applyFont="1" applyFill="1" applyBorder="1" applyAlignment="1" applyProtection="1">
      <alignment horizontal="justify" vertical="center" wrapText="1" readingOrder="2"/>
      <protection hidden="1"/>
    </xf>
    <xf numFmtId="0" fontId="88" fillId="22" borderId="63" xfId="0" applyFont="1" applyFill="1" applyBorder="1" applyAlignment="1" applyProtection="1">
      <alignment horizontal="justify" vertical="center" wrapText="1" readingOrder="2"/>
      <protection hidden="1"/>
    </xf>
    <xf numFmtId="0" fontId="88" fillId="22" borderId="113" xfId="0" applyFont="1" applyFill="1" applyBorder="1" applyAlignment="1" applyProtection="1">
      <alignment horizontal="justify" vertical="center" wrapText="1" readingOrder="2"/>
      <protection hidden="1"/>
    </xf>
    <xf numFmtId="0" fontId="88" fillId="22" borderId="3" xfId="0" applyFont="1" applyFill="1" applyBorder="1" applyAlignment="1" applyProtection="1">
      <alignment horizontal="justify" vertical="center" wrapText="1" readingOrder="2"/>
      <protection hidden="1"/>
    </xf>
    <xf numFmtId="0" fontId="88" fillId="22" borderId="55" xfId="0" applyFont="1" applyFill="1" applyBorder="1" applyAlignment="1" applyProtection="1">
      <alignment horizontal="justify" vertical="center" wrapText="1" readingOrder="2"/>
      <protection hidden="1"/>
    </xf>
    <xf numFmtId="0" fontId="89" fillId="19" borderId="54" xfId="0" applyFont="1" applyFill="1" applyBorder="1" applyAlignment="1" applyProtection="1">
      <alignment horizontal="center" vertical="top"/>
      <protection hidden="1"/>
    </xf>
    <xf numFmtId="0" fontId="89" fillId="19" borderId="61" xfId="0" applyFont="1" applyFill="1" applyBorder="1" applyAlignment="1" applyProtection="1">
      <alignment horizontal="center" vertical="top"/>
      <protection hidden="1"/>
    </xf>
    <xf numFmtId="0" fontId="89" fillId="19" borderId="62" xfId="0" applyFont="1" applyFill="1" applyBorder="1" applyAlignment="1" applyProtection="1">
      <alignment horizontal="center" vertical="top"/>
      <protection hidden="1"/>
    </xf>
    <xf numFmtId="0" fontId="88" fillId="20" borderId="42" xfId="0" applyFont="1" applyFill="1" applyBorder="1" applyAlignment="1" applyProtection="1">
      <alignment horizontal="right" vertical="center" wrapText="1" readingOrder="2"/>
      <protection hidden="1"/>
    </xf>
    <xf numFmtId="0" fontId="88" fillId="20" borderId="8" xfId="0" applyFont="1" applyFill="1" applyBorder="1" applyAlignment="1" applyProtection="1">
      <alignment horizontal="right" vertical="center" wrapText="1" readingOrder="2"/>
      <protection hidden="1"/>
    </xf>
    <xf numFmtId="0" fontId="88" fillId="20" borderId="44" xfId="0" applyFont="1" applyFill="1" applyBorder="1" applyAlignment="1" applyProtection="1">
      <alignment horizontal="right" vertical="center" wrapText="1" readingOrder="2"/>
      <protection hidden="1"/>
    </xf>
    <xf numFmtId="0" fontId="13" fillId="23" borderId="126" xfId="0" applyFont="1" applyFill="1" applyBorder="1" applyAlignment="1" applyProtection="1">
      <alignment horizontal="right" vertical="top" wrapText="1" readingOrder="2"/>
      <protection locked="0"/>
    </xf>
    <xf numFmtId="0" fontId="13" fillId="23" borderId="22" xfId="0" applyFont="1" applyFill="1" applyBorder="1" applyAlignment="1" applyProtection="1">
      <alignment horizontal="right" vertical="top" wrapText="1" readingOrder="2"/>
      <protection locked="0"/>
    </xf>
    <xf numFmtId="0" fontId="13" fillId="23" borderId="156" xfId="0" applyFont="1" applyFill="1" applyBorder="1" applyAlignment="1" applyProtection="1">
      <alignment horizontal="right" vertical="top" wrapText="1" readingOrder="2"/>
      <protection locked="0"/>
    </xf>
    <xf numFmtId="0" fontId="13" fillId="23" borderId="81" xfId="0" applyFont="1" applyFill="1" applyBorder="1" applyAlignment="1" applyProtection="1">
      <alignment horizontal="right" vertical="top" wrapText="1" readingOrder="2"/>
      <protection locked="0"/>
    </xf>
    <xf numFmtId="0" fontId="13" fillId="23" borderId="12" xfId="0" applyFont="1" applyFill="1" applyBorder="1" applyAlignment="1" applyProtection="1">
      <alignment horizontal="right" vertical="top" wrapText="1" readingOrder="2"/>
      <protection locked="0"/>
    </xf>
    <xf numFmtId="0" fontId="13" fillId="23" borderId="52" xfId="0" applyFont="1" applyFill="1" applyBorder="1" applyAlignment="1" applyProtection="1">
      <alignment horizontal="right" vertical="top" wrapText="1" readingOrder="2"/>
      <protection locked="0"/>
    </xf>
    <xf numFmtId="0" fontId="88" fillId="23" borderId="14" xfId="0" applyFont="1" applyFill="1" applyBorder="1" applyAlignment="1" applyProtection="1">
      <alignment horizontal="right" vertical="center" wrapText="1" readingOrder="2"/>
      <protection locked="0"/>
    </xf>
    <xf numFmtId="0" fontId="88" fillId="23" borderId="53" xfId="0" applyFont="1" applyFill="1" applyBorder="1" applyAlignment="1" applyProtection="1">
      <alignment horizontal="right" vertical="center" wrapText="1" readingOrder="2"/>
      <protection locked="0"/>
    </xf>
    <xf numFmtId="0" fontId="88" fillId="20" borderId="98" xfId="0" applyFont="1" applyFill="1" applyBorder="1" applyAlignment="1" applyProtection="1">
      <alignment horizontal="center" vertical="center" wrapText="1" readingOrder="2"/>
      <protection hidden="1"/>
    </xf>
    <xf numFmtId="0" fontId="88" fillId="20" borderId="15" xfId="0" applyFont="1" applyFill="1" applyBorder="1" applyAlignment="1" applyProtection="1">
      <alignment horizontal="center" vertical="center" wrapText="1" readingOrder="2"/>
      <protection hidden="1"/>
    </xf>
    <xf numFmtId="0" fontId="13" fillId="23" borderId="113" xfId="0" applyFont="1" applyFill="1" applyBorder="1" applyAlignment="1" applyProtection="1">
      <alignment horizontal="right" vertical="top" wrapText="1" readingOrder="2"/>
      <protection locked="0"/>
    </xf>
    <xf numFmtId="0" fontId="13" fillId="23" borderId="3" xfId="0" applyFont="1" applyFill="1" applyBorder="1" applyAlignment="1" applyProtection="1">
      <alignment horizontal="right" vertical="top" wrapText="1" readingOrder="2"/>
      <protection locked="0"/>
    </xf>
    <xf numFmtId="0" fontId="13" fillId="23" borderId="55" xfId="0" applyFont="1" applyFill="1" applyBorder="1" applyAlignment="1" applyProtection="1">
      <alignment horizontal="right" vertical="top" wrapText="1" readingOrder="2"/>
      <protection locked="0"/>
    </xf>
    <xf numFmtId="0" fontId="88" fillId="22" borderId="54" xfId="0" applyFont="1" applyFill="1" applyBorder="1" applyAlignment="1" applyProtection="1">
      <alignment horizontal="right" wrapText="1" readingOrder="2"/>
      <protection hidden="1"/>
    </xf>
    <xf numFmtId="0" fontId="88" fillId="22" borderId="61" xfId="0" applyFont="1" applyFill="1" applyBorder="1" applyAlignment="1" applyProtection="1">
      <alignment horizontal="right" wrapText="1" readingOrder="2"/>
      <protection hidden="1"/>
    </xf>
    <xf numFmtId="0" fontId="88" fillId="22" borderId="62" xfId="0" applyFont="1" applyFill="1" applyBorder="1" applyAlignment="1" applyProtection="1">
      <alignment horizontal="right" wrapText="1" readingOrder="2"/>
      <protection hidden="1"/>
    </xf>
    <xf numFmtId="0" fontId="94" fillId="20" borderId="78" xfId="0" applyFont="1" applyFill="1" applyBorder="1" applyAlignment="1" applyProtection="1">
      <alignment horizontal="center" vertical="center" wrapText="1" readingOrder="2"/>
      <protection hidden="1"/>
    </xf>
    <xf numFmtId="0" fontId="94" fillId="20" borderId="79" xfId="0" applyFont="1" applyFill="1" applyBorder="1" applyAlignment="1" applyProtection="1">
      <alignment horizontal="center" vertical="center" wrapText="1" readingOrder="2"/>
      <protection hidden="1"/>
    </xf>
    <xf numFmtId="0" fontId="94" fillId="20" borderId="80" xfId="0" applyFont="1" applyFill="1" applyBorder="1" applyAlignment="1" applyProtection="1">
      <alignment horizontal="center" vertical="center" wrapText="1" readingOrder="2"/>
      <protection hidden="1"/>
    </xf>
    <xf numFmtId="0" fontId="88" fillId="20" borderId="78" xfId="0" applyFont="1" applyFill="1" applyBorder="1" applyAlignment="1" applyProtection="1">
      <alignment horizontal="right" vertical="center" wrapText="1" readingOrder="2"/>
      <protection hidden="1"/>
    </xf>
    <xf numFmtId="0" fontId="88" fillId="20" borderId="79" xfId="0" applyFont="1" applyFill="1" applyBorder="1" applyAlignment="1" applyProtection="1">
      <alignment horizontal="right" vertical="center" wrapText="1" readingOrder="2"/>
      <protection hidden="1"/>
    </xf>
    <xf numFmtId="0" fontId="88" fillId="20" borderId="80" xfId="0" applyFont="1" applyFill="1" applyBorder="1" applyAlignment="1" applyProtection="1">
      <alignment horizontal="right" vertical="center" wrapText="1" readingOrder="2"/>
      <protection hidden="1"/>
    </xf>
    <xf numFmtId="0" fontId="25" fillId="9" borderId="99" xfId="0" applyFont="1" applyFill="1" applyBorder="1" applyAlignment="1" applyProtection="1">
      <alignment horizontal="right" vertical="center" wrapText="1" readingOrder="2"/>
      <protection hidden="1"/>
    </xf>
    <xf numFmtId="0" fontId="25" fillId="9" borderId="64" xfId="0" applyFont="1" applyFill="1" applyBorder="1" applyAlignment="1" applyProtection="1">
      <alignment horizontal="right" vertical="center" wrapText="1" readingOrder="2"/>
      <protection hidden="1"/>
    </xf>
    <xf numFmtId="0" fontId="51" fillId="19" borderId="189" xfId="0" applyFont="1" applyFill="1" applyBorder="1" applyAlignment="1" applyProtection="1">
      <alignment horizontal="center" vertical="center"/>
      <protection hidden="1"/>
    </xf>
    <xf numFmtId="0" fontId="51" fillId="19" borderId="190" xfId="0" applyFont="1" applyFill="1" applyBorder="1" applyAlignment="1" applyProtection="1">
      <alignment horizontal="center" vertical="center"/>
      <protection hidden="1"/>
    </xf>
    <xf numFmtId="0" fontId="60" fillId="22" borderId="54" xfId="0" applyFont="1" applyFill="1" applyBorder="1" applyAlignment="1" applyProtection="1">
      <alignment horizontal="right" vertical="center" wrapText="1"/>
      <protection hidden="1"/>
    </xf>
    <xf numFmtId="0" fontId="61" fillId="22" borderId="61" xfId="0" applyFont="1" applyFill="1" applyBorder="1" applyAlignment="1" applyProtection="1">
      <alignment horizontal="right" vertical="center" wrapText="1"/>
      <protection hidden="1"/>
    </xf>
    <xf numFmtId="0" fontId="61" fillId="22" borderId="62" xfId="0" applyFont="1" applyFill="1" applyBorder="1" applyAlignment="1" applyProtection="1">
      <alignment horizontal="right" vertical="center" wrapText="1"/>
      <protection hidden="1"/>
    </xf>
    <xf numFmtId="0" fontId="10" fillId="22" borderId="1" xfId="0" applyFont="1" applyFill="1" applyBorder="1" applyAlignment="1" applyProtection="1">
      <alignment horizontal="right" vertical="top" wrapText="1"/>
      <protection hidden="1"/>
    </xf>
    <xf numFmtId="0" fontId="10" fillId="22" borderId="0" xfId="0" applyFont="1" applyFill="1" applyBorder="1" applyAlignment="1" applyProtection="1">
      <alignment horizontal="right" vertical="top" wrapText="1"/>
      <protection hidden="1"/>
    </xf>
    <xf numFmtId="0" fontId="10" fillId="22" borderId="63" xfId="0" applyFont="1" applyFill="1" applyBorder="1" applyAlignment="1" applyProtection="1">
      <alignment horizontal="right" vertical="top" wrapText="1"/>
      <protection hidden="1"/>
    </xf>
    <xf numFmtId="0" fontId="10" fillId="22" borderId="1" xfId="0" applyFont="1" applyFill="1" applyBorder="1" applyAlignment="1" applyProtection="1">
      <alignment horizontal="right" vertical="center" wrapText="1"/>
      <protection hidden="1"/>
    </xf>
    <xf numFmtId="0" fontId="10" fillId="22" borderId="0" xfId="0" applyFont="1" applyFill="1" applyBorder="1" applyAlignment="1" applyProtection="1">
      <alignment horizontal="right" vertical="center" wrapText="1"/>
      <protection hidden="1"/>
    </xf>
    <xf numFmtId="0" fontId="10" fillId="22" borderId="63" xfId="0" applyFont="1" applyFill="1" applyBorder="1" applyAlignment="1" applyProtection="1">
      <alignment horizontal="right" vertical="center" wrapText="1"/>
      <protection hidden="1"/>
    </xf>
    <xf numFmtId="0" fontId="10" fillId="22" borderId="113" xfId="0" applyFont="1" applyFill="1" applyBorder="1" applyAlignment="1" applyProtection="1">
      <alignment horizontal="right" vertical="top" wrapText="1"/>
      <protection hidden="1"/>
    </xf>
    <xf numFmtId="0" fontId="10" fillId="22" borderId="3" xfId="0" applyFont="1" applyFill="1" applyBorder="1" applyAlignment="1" applyProtection="1">
      <alignment horizontal="right" vertical="top" wrapText="1"/>
      <protection hidden="1"/>
    </xf>
    <xf numFmtId="0" fontId="10" fillId="22" borderId="55" xfId="0" applyFont="1" applyFill="1" applyBorder="1" applyAlignment="1" applyProtection="1">
      <alignment horizontal="right" vertical="top" wrapText="1"/>
      <protection hidden="1"/>
    </xf>
    <xf numFmtId="0" fontId="13" fillId="23" borderId="54" xfId="0" applyFont="1" applyFill="1" applyBorder="1" applyAlignment="1" applyProtection="1">
      <alignment horizontal="right" vertical="top" wrapText="1"/>
      <protection hidden="1"/>
    </xf>
    <xf numFmtId="0" fontId="13" fillId="23" borderId="61" xfId="0" applyFont="1" applyFill="1" applyBorder="1" applyAlignment="1" applyProtection="1">
      <alignment horizontal="right" vertical="top" wrapText="1"/>
      <protection hidden="1"/>
    </xf>
    <xf numFmtId="0" fontId="13" fillId="23" borderId="62" xfId="0" applyFont="1" applyFill="1" applyBorder="1" applyAlignment="1" applyProtection="1">
      <alignment horizontal="right" vertical="top" wrapText="1"/>
      <protection hidden="1"/>
    </xf>
    <xf numFmtId="0" fontId="65" fillId="23" borderId="1" xfId="0" applyFont="1" applyFill="1" applyBorder="1" applyAlignment="1" applyProtection="1">
      <alignment horizontal="right" vertical="top" wrapText="1" readingOrder="2"/>
      <protection locked="0"/>
    </xf>
    <xf numFmtId="0" fontId="65" fillId="23" borderId="0" xfId="0" applyFont="1" applyFill="1" applyBorder="1" applyAlignment="1" applyProtection="1">
      <alignment horizontal="right" vertical="top" wrapText="1" readingOrder="2"/>
      <protection locked="0"/>
    </xf>
    <xf numFmtId="0" fontId="65" fillId="23" borderId="63" xfId="0" applyFont="1" applyFill="1" applyBorder="1" applyAlignment="1" applyProtection="1">
      <alignment horizontal="right" vertical="top" wrapText="1" readingOrder="2"/>
      <protection locked="0"/>
    </xf>
    <xf numFmtId="0" fontId="65" fillId="23" borderId="113" xfId="0" applyFont="1" applyFill="1" applyBorder="1" applyAlignment="1" applyProtection="1">
      <alignment horizontal="right" vertical="top" wrapText="1" readingOrder="2"/>
      <protection locked="0"/>
    </xf>
    <xf numFmtId="0" fontId="65" fillId="23" borderId="3" xfId="0" applyFont="1" applyFill="1" applyBorder="1" applyAlignment="1" applyProtection="1">
      <alignment horizontal="right" vertical="top" wrapText="1" readingOrder="2"/>
      <protection locked="0"/>
    </xf>
    <xf numFmtId="0" fontId="65" fillId="23" borderId="55" xfId="0" applyFont="1" applyFill="1" applyBorder="1" applyAlignment="1" applyProtection="1">
      <alignment horizontal="right" vertical="top" wrapText="1" readingOrder="2"/>
      <protection locked="0"/>
    </xf>
    <xf numFmtId="0" fontId="67" fillId="22" borderId="1" xfId="0" applyFont="1" applyFill="1" applyBorder="1" applyAlignment="1" applyProtection="1">
      <alignment horizontal="right" vertical="top" wrapText="1" readingOrder="2"/>
      <protection hidden="1"/>
    </xf>
    <xf numFmtId="0" fontId="10" fillId="22" borderId="0" xfId="0" applyFont="1" applyFill="1" applyBorder="1" applyAlignment="1" applyProtection="1">
      <alignment horizontal="right" vertical="top" wrapText="1" readingOrder="2"/>
      <protection hidden="1"/>
    </xf>
    <xf numFmtId="0" fontId="10" fillId="22" borderId="63" xfId="0" applyFont="1" applyFill="1" applyBorder="1" applyAlignment="1" applyProtection="1">
      <alignment horizontal="right" vertical="top" wrapText="1" readingOrder="2"/>
      <protection hidden="1"/>
    </xf>
    <xf numFmtId="0" fontId="10" fillId="22" borderId="1" xfId="0" applyFont="1" applyFill="1" applyBorder="1" applyAlignment="1" applyProtection="1">
      <alignment horizontal="right" vertical="top" wrapText="1" readingOrder="2"/>
      <protection hidden="1"/>
    </xf>
    <xf numFmtId="0" fontId="41" fillId="22" borderId="82" xfId="0" applyFont="1" applyFill="1" applyBorder="1" applyAlignment="1" applyProtection="1">
      <alignment horizontal="center" vertical="center"/>
      <protection hidden="1"/>
    </xf>
    <xf numFmtId="0" fontId="41" fillId="22" borderId="48" xfId="0" applyFont="1" applyFill="1" applyBorder="1" applyAlignment="1" applyProtection="1">
      <alignment horizontal="center" vertical="center"/>
      <protection hidden="1"/>
    </xf>
    <xf numFmtId="0" fontId="41" fillId="22" borderId="20" xfId="0" applyFont="1" applyFill="1" applyBorder="1" applyAlignment="1" applyProtection="1">
      <alignment horizontal="center" vertical="center"/>
      <protection hidden="1"/>
    </xf>
    <xf numFmtId="0" fontId="10" fillId="0" borderId="16" xfId="0" applyFont="1" applyFill="1" applyBorder="1" applyAlignment="1" applyProtection="1">
      <alignment horizontal="center" vertical="center"/>
      <protection hidden="1"/>
    </xf>
    <xf numFmtId="0" fontId="10" fillId="0" borderId="17" xfId="0" applyFont="1" applyFill="1" applyBorder="1" applyAlignment="1" applyProtection="1">
      <alignment horizontal="center" vertical="center"/>
      <protection hidden="1"/>
    </xf>
    <xf numFmtId="0" fontId="63" fillId="0" borderId="13" xfId="0" applyFont="1" applyFill="1" applyBorder="1" applyAlignment="1" applyProtection="1">
      <alignment horizontal="center" vertical="center"/>
      <protection hidden="1"/>
    </xf>
    <xf numFmtId="0" fontId="63" fillId="0" borderId="53" xfId="0" applyFont="1" applyFill="1" applyBorder="1" applyAlignment="1" applyProtection="1">
      <alignment horizontal="center" vertical="center"/>
      <protection hidden="1"/>
    </xf>
    <xf numFmtId="0" fontId="35" fillId="14" borderId="105" xfId="0" applyFont="1" applyFill="1" applyBorder="1" applyAlignment="1" applyProtection="1">
      <alignment horizontal="center" vertical="center" wrapText="1"/>
      <protection hidden="1"/>
    </xf>
    <xf numFmtId="0" fontId="35" fillId="14" borderId="151" xfId="0" applyFont="1" applyFill="1" applyBorder="1" applyAlignment="1" applyProtection="1">
      <alignment horizontal="center" vertical="center" wrapText="1"/>
      <protection hidden="1"/>
    </xf>
    <xf numFmtId="0" fontId="35" fillId="14" borderId="130" xfId="0" applyFont="1" applyFill="1" applyBorder="1" applyAlignment="1" applyProtection="1">
      <alignment horizontal="center" vertical="center" wrapText="1"/>
      <protection hidden="1"/>
    </xf>
    <xf numFmtId="0" fontId="35" fillId="14" borderId="103" xfId="0" applyFont="1" applyFill="1" applyBorder="1" applyAlignment="1" applyProtection="1">
      <alignment horizontal="center" vertical="center"/>
      <protection hidden="1"/>
    </xf>
    <xf numFmtId="0" fontId="35" fillId="14" borderId="141" xfId="0" applyFont="1" applyFill="1" applyBorder="1" applyAlignment="1" applyProtection="1">
      <alignment horizontal="center" vertical="center"/>
      <protection hidden="1"/>
    </xf>
    <xf numFmtId="0" fontId="35" fillId="14" borderId="89" xfId="0" applyFont="1" applyFill="1" applyBorder="1" applyAlignment="1" applyProtection="1">
      <alignment horizontal="center" vertical="center"/>
      <protection hidden="1"/>
    </xf>
    <xf numFmtId="0" fontId="35" fillId="14" borderId="61" xfId="0" applyFont="1" applyFill="1" applyBorder="1" applyAlignment="1" applyProtection="1">
      <alignment horizontal="center" vertical="center"/>
      <protection hidden="1"/>
    </xf>
    <xf numFmtId="0" fontId="35" fillId="14" borderId="62" xfId="0" applyFont="1" applyFill="1" applyBorder="1" applyAlignment="1" applyProtection="1">
      <alignment horizontal="center" vertical="center"/>
      <protection hidden="1"/>
    </xf>
    <xf numFmtId="0" fontId="63" fillId="0" borderId="16" xfId="0" applyFont="1" applyFill="1" applyBorder="1" applyAlignment="1" applyProtection="1">
      <alignment horizontal="center" vertical="center"/>
      <protection hidden="1"/>
    </xf>
    <xf numFmtId="0" fontId="63" fillId="0" borderId="52" xfId="0" applyFont="1" applyFill="1" applyBorder="1" applyAlignment="1" applyProtection="1">
      <alignment horizontal="center" vertical="center"/>
      <protection hidden="1"/>
    </xf>
    <xf numFmtId="0" fontId="63" fillId="23" borderId="42" xfId="0" applyFont="1" applyFill="1" applyBorder="1" applyAlignment="1" applyProtection="1">
      <alignment horizontal="center" vertical="center"/>
      <protection locked="0"/>
    </xf>
    <xf numFmtId="0" fontId="63" fillId="23" borderId="8" xfId="0" applyFont="1" applyFill="1" applyBorder="1" applyAlignment="1" applyProtection="1">
      <alignment horizontal="center" vertical="center"/>
      <protection locked="0"/>
    </xf>
    <xf numFmtId="0" fontId="63" fillId="23" borderId="44" xfId="0" applyFont="1" applyFill="1" applyBorder="1" applyAlignment="1" applyProtection="1">
      <alignment horizontal="center" vertical="center"/>
      <protection locked="0"/>
    </xf>
    <xf numFmtId="0" fontId="63" fillId="23" borderId="43" xfId="0" applyFont="1" applyFill="1" applyBorder="1" applyAlignment="1" applyProtection="1">
      <alignment horizontal="center" vertical="center"/>
      <protection locked="0"/>
    </xf>
    <xf numFmtId="0" fontId="63" fillId="23" borderId="41" xfId="0" applyFont="1" applyFill="1" applyBorder="1" applyAlignment="1" applyProtection="1">
      <alignment horizontal="center" vertical="center"/>
      <protection locked="0"/>
    </xf>
    <xf numFmtId="0" fontId="63" fillId="23" borderId="47" xfId="0" applyFont="1" applyFill="1" applyBorder="1" applyAlignment="1" applyProtection="1">
      <alignment horizontal="center" vertical="center"/>
      <protection locked="0"/>
    </xf>
    <xf numFmtId="0" fontId="63" fillId="0" borderId="101" xfId="0" applyFont="1" applyFill="1" applyBorder="1" applyAlignment="1" applyProtection="1">
      <alignment horizontal="center" vertical="center"/>
      <protection hidden="1"/>
    </xf>
    <xf numFmtId="0" fontId="63" fillId="0" borderId="69" xfId="0" applyFont="1" applyFill="1" applyBorder="1" applyAlignment="1" applyProtection="1">
      <alignment horizontal="center" vertical="center"/>
      <protection hidden="1"/>
    </xf>
    <xf numFmtId="0" fontId="29" fillId="20" borderId="19" xfId="0" applyFont="1" applyFill="1" applyBorder="1" applyAlignment="1" applyProtection="1">
      <alignment horizontal="center" vertical="center"/>
      <protection hidden="1"/>
    </xf>
    <xf numFmtId="0" fontId="29" fillId="20" borderId="7" xfId="0" applyFont="1" applyFill="1" applyBorder="1" applyAlignment="1" applyProtection="1">
      <alignment horizontal="center" vertical="center"/>
      <protection hidden="1"/>
    </xf>
    <xf numFmtId="0" fontId="29" fillId="20" borderId="51" xfId="0" applyFont="1" applyFill="1" applyBorder="1" applyAlignment="1" applyProtection="1">
      <alignment horizontal="center" vertical="center"/>
      <protection hidden="1"/>
    </xf>
    <xf numFmtId="0" fontId="35" fillId="14" borderId="82" xfId="0" applyFont="1" applyFill="1" applyBorder="1" applyAlignment="1" applyProtection="1">
      <alignment horizontal="center" vertical="center" textRotation="90"/>
      <protection hidden="1"/>
    </xf>
    <xf numFmtId="0" fontId="35" fillId="14" borderId="48" xfId="0" applyFont="1" applyFill="1" applyBorder="1" applyAlignment="1" applyProtection="1">
      <alignment horizontal="center" vertical="center" textRotation="90"/>
      <protection hidden="1"/>
    </xf>
    <xf numFmtId="0" fontId="35" fillId="14" borderId="20" xfId="0" applyFont="1" applyFill="1" applyBorder="1" applyAlignment="1" applyProtection="1">
      <alignment horizontal="center" vertical="center" textRotation="90"/>
      <protection hidden="1"/>
    </xf>
    <xf numFmtId="0" fontId="35" fillId="14" borderId="82" xfId="0" applyFont="1" applyFill="1" applyBorder="1" applyAlignment="1" applyProtection="1">
      <alignment horizontal="center" vertical="center" wrapText="1"/>
      <protection hidden="1"/>
    </xf>
    <xf numFmtId="0" fontId="35" fillId="14" borderId="1" xfId="0" applyFont="1" applyFill="1" applyBorder="1" applyAlignment="1" applyProtection="1">
      <alignment horizontal="center" vertical="center" wrapText="1"/>
      <protection hidden="1"/>
    </xf>
    <xf numFmtId="0" fontId="29" fillId="0" borderId="113" xfId="0" applyFont="1" applyFill="1" applyBorder="1" applyAlignment="1" applyProtection="1">
      <alignment horizontal="center" vertical="center"/>
      <protection hidden="1"/>
    </xf>
    <xf numFmtId="0" fontId="29" fillId="0" borderId="3" xfId="0" applyFont="1" applyFill="1" applyBorder="1" applyAlignment="1" applyProtection="1">
      <alignment horizontal="center" vertical="center"/>
      <protection hidden="1"/>
    </xf>
    <xf numFmtId="0" fontId="29" fillId="0" borderId="55" xfId="0" applyFont="1" applyFill="1" applyBorder="1" applyAlignment="1" applyProtection="1">
      <alignment horizontal="center" vertical="center"/>
      <protection hidden="1"/>
    </xf>
    <xf numFmtId="0" fontId="32" fillId="14" borderId="108" xfId="0" applyFont="1" applyFill="1" applyBorder="1" applyAlignment="1" applyProtection="1">
      <alignment horizontal="center" vertical="center" readingOrder="2"/>
      <protection hidden="1"/>
    </xf>
    <xf numFmtId="0" fontId="32" fillId="14" borderId="74" xfId="0" applyFont="1" applyFill="1" applyBorder="1" applyAlignment="1" applyProtection="1">
      <alignment horizontal="center" vertical="center" readingOrder="2"/>
      <protection hidden="1"/>
    </xf>
    <xf numFmtId="0" fontId="32" fillId="14" borderId="89" xfId="0" applyFont="1" applyFill="1" applyBorder="1" applyAlignment="1" applyProtection="1">
      <alignment horizontal="center" vertical="center" readingOrder="2"/>
      <protection hidden="1"/>
    </xf>
    <xf numFmtId="0" fontId="32" fillId="14" borderId="88" xfId="0" applyFont="1" applyFill="1" applyBorder="1" applyAlignment="1" applyProtection="1">
      <alignment horizontal="center" vertical="center" readingOrder="2"/>
      <protection hidden="1"/>
    </xf>
    <xf numFmtId="0" fontId="32" fillId="14" borderId="87" xfId="0" applyFont="1" applyFill="1" applyBorder="1" applyAlignment="1" applyProtection="1">
      <alignment horizontal="center" vertical="center" readingOrder="2"/>
      <protection hidden="1"/>
    </xf>
    <xf numFmtId="0" fontId="32" fillId="14" borderId="86" xfId="0" applyFont="1" applyFill="1" applyBorder="1" applyAlignment="1" applyProtection="1">
      <alignment horizontal="center" vertical="center" readingOrder="2"/>
      <protection hidden="1"/>
    </xf>
    <xf numFmtId="0" fontId="35" fillId="14" borderId="61" xfId="0" applyFont="1" applyFill="1" applyBorder="1" applyAlignment="1" applyProtection="1">
      <alignment horizontal="center" vertical="center" wrapText="1"/>
      <protection hidden="1"/>
    </xf>
    <xf numFmtId="0" fontId="35" fillId="14" borderId="62" xfId="0" applyFont="1" applyFill="1" applyBorder="1" applyAlignment="1" applyProtection="1">
      <alignment horizontal="center" vertical="center" wrapText="1"/>
      <protection hidden="1"/>
    </xf>
    <xf numFmtId="0" fontId="35" fillId="14" borderId="3" xfId="0" applyFont="1" applyFill="1" applyBorder="1" applyAlignment="1" applyProtection="1">
      <alignment horizontal="center" vertical="center" wrapText="1"/>
      <protection hidden="1"/>
    </xf>
    <xf numFmtId="0" fontId="35" fillId="14" borderId="55" xfId="0" applyFont="1" applyFill="1" applyBorder="1" applyAlignment="1" applyProtection="1">
      <alignment horizontal="center" vertical="center" wrapText="1"/>
      <protection hidden="1"/>
    </xf>
    <xf numFmtId="0" fontId="35" fillId="14" borderId="54" xfId="0" applyFont="1" applyFill="1" applyBorder="1" applyAlignment="1" applyProtection="1">
      <alignment horizontal="center" vertical="center"/>
      <protection hidden="1"/>
    </xf>
    <xf numFmtId="0" fontId="35" fillId="14" borderId="88" xfId="0" applyFont="1" applyFill="1" applyBorder="1" applyAlignment="1" applyProtection="1">
      <alignment horizontal="center" vertical="center"/>
      <protection hidden="1"/>
    </xf>
    <xf numFmtId="0" fontId="35" fillId="14" borderId="113" xfId="0" applyFont="1" applyFill="1" applyBorder="1" applyAlignment="1" applyProtection="1">
      <alignment horizontal="center" vertical="center"/>
      <protection hidden="1"/>
    </xf>
    <xf numFmtId="0" fontId="35" fillId="14" borderId="86" xfId="0" applyFont="1" applyFill="1" applyBorder="1" applyAlignment="1" applyProtection="1">
      <alignment horizontal="center" vertical="center"/>
      <protection hidden="1"/>
    </xf>
    <xf numFmtId="0" fontId="63" fillId="23" borderId="50" xfId="0" applyFont="1" applyFill="1" applyBorder="1" applyAlignment="1" applyProtection="1">
      <alignment horizontal="center" vertical="center"/>
      <protection locked="0"/>
    </xf>
    <xf numFmtId="0" fontId="63" fillId="23" borderId="11" xfId="0" applyFont="1" applyFill="1" applyBorder="1" applyAlignment="1" applyProtection="1">
      <alignment horizontal="center" vertical="center"/>
      <protection locked="0"/>
    </xf>
    <xf numFmtId="0" fontId="63" fillId="23" borderId="46" xfId="0" applyFont="1" applyFill="1" applyBorder="1" applyAlignment="1" applyProtection="1">
      <alignment horizontal="center" vertical="center"/>
      <protection locked="0"/>
    </xf>
    <xf numFmtId="0" fontId="35" fillId="14" borderId="150" xfId="0" applyFont="1" applyFill="1" applyBorder="1" applyAlignment="1" applyProtection="1">
      <alignment horizontal="center" vertical="center"/>
      <protection hidden="1"/>
    </xf>
    <xf numFmtId="0" fontId="35" fillId="14" borderId="122" xfId="0" applyFont="1" applyFill="1" applyBorder="1" applyAlignment="1" applyProtection="1">
      <alignment horizontal="center" vertical="center"/>
      <protection hidden="1"/>
    </xf>
    <xf numFmtId="0" fontId="29" fillId="0" borderId="181" xfId="0" applyFont="1" applyFill="1" applyBorder="1" applyAlignment="1" applyProtection="1">
      <alignment horizontal="center" vertical="center"/>
      <protection hidden="1"/>
    </xf>
    <xf numFmtId="0" fontId="29" fillId="0" borderId="57" xfId="0" applyFont="1" applyFill="1" applyBorder="1" applyAlignment="1" applyProtection="1">
      <alignment horizontal="center" vertical="center"/>
      <protection hidden="1"/>
    </xf>
    <xf numFmtId="0" fontId="29" fillId="0" borderId="58" xfId="0" applyFont="1" applyFill="1" applyBorder="1" applyAlignment="1" applyProtection="1">
      <alignment horizontal="center" vertical="center"/>
      <protection hidden="1"/>
    </xf>
    <xf numFmtId="0" fontId="29" fillId="0" borderId="25" xfId="0" applyFont="1" applyFill="1" applyBorder="1" applyAlignment="1" applyProtection="1">
      <alignment horizontal="center" vertical="center"/>
      <protection hidden="1"/>
    </xf>
    <xf numFmtId="0" fontId="29" fillId="0" borderId="10" xfId="0" applyFont="1" applyFill="1" applyBorder="1" applyAlignment="1" applyProtection="1">
      <alignment horizontal="center" vertical="center"/>
      <protection hidden="1"/>
    </xf>
    <xf numFmtId="0" fontId="29" fillId="0" borderId="119" xfId="0" applyFont="1" applyFill="1" applyBorder="1" applyAlignment="1" applyProtection="1">
      <alignment horizontal="center" vertical="center"/>
      <protection hidden="1"/>
    </xf>
    <xf numFmtId="0" fontId="35" fillId="14" borderId="1" xfId="0" applyFont="1" applyFill="1" applyBorder="1" applyAlignment="1" applyProtection="1">
      <alignment horizontal="center" vertical="center" textRotation="90"/>
      <protection hidden="1"/>
    </xf>
    <xf numFmtId="0" fontId="35" fillId="14" borderId="83" xfId="0" applyFont="1" applyFill="1" applyBorder="1" applyAlignment="1" applyProtection="1">
      <alignment horizontal="center" vertical="center"/>
      <protection hidden="1"/>
    </xf>
    <xf numFmtId="0" fontId="35" fillId="14" borderId="71" xfId="0" applyFont="1" applyFill="1" applyBorder="1" applyAlignment="1" applyProtection="1">
      <alignment horizontal="center" vertical="center"/>
      <protection hidden="1"/>
    </xf>
    <xf numFmtId="0" fontId="35" fillId="14" borderId="84" xfId="0" applyFont="1" applyFill="1" applyBorder="1" applyAlignment="1" applyProtection="1">
      <alignment horizontal="center" vertical="center"/>
      <protection hidden="1"/>
    </xf>
    <xf numFmtId="0" fontId="35" fillId="14" borderId="72" xfId="0" applyFont="1" applyFill="1" applyBorder="1" applyAlignment="1" applyProtection="1">
      <alignment horizontal="center" vertical="center"/>
      <protection hidden="1"/>
    </xf>
    <xf numFmtId="0" fontId="39" fillId="0" borderId="100" xfId="0" applyFont="1" applyFill="1" applyBorder="1" applyAlignment="1" applyProtection="1">
      <alignment horizontal="center" vertical="center"/>
      <protection hidden="1"/>
    </xf>
    <xf numFmtId="0" fontId="39" fillId="0" borderId="90" xfId="0" applyFont="1" applyFill="1" applyBorder="1" applyAlignment="1" applyProtection="1">
      <alignment horizontal="center" vertical="center"/>
      <protection hidden="1"/>
    </xf>
    <xf numFmtId="0" fontId="39" fillId="0" borderId="13" xfId="0" applyFont="1" applyFill="1" applyBorder="1" applyAlignment="1" applyProtection="1">
      <alignment horizontal="center" vertical="center"/>
      <protection hidden="1"/>
    </xf>
    <xf numFmtId="0" fontId="39" fillId="0" borderId="15" xfId="0" applyFont="1" applyFill="1" applyBorder="1" applyAlignment="1" applyProtection="1">
      <alignment horizontal="center" vertical="center"/>
      <protection hidden="1"/>
    </xf>
    <xf numFmtId="0" fontId="35" fillId="14" borderId="108" xfId="0" applyFont="1" applyFill="1" applyBorder="1" applyAlignment="1" applyProtection="1">
      <alignment horizontal="center" vertical="center" wrapText="1"/>
      <protection hidden="1"/>
    </xf>
    <xf numFmtId="0" fontId="35" fillId="14" borderId="74" xfId="0" applyFont="1" applyFill="1" applyBorder="1" applyAlignment="1" applyProtection="1">
      <alignment horizontal="center" vertical="center" wrapText="1"/>
      <protection hidden="1"/>
    </xf>
    <xf numFmtId="0" fontId="35" fillId="14" borderId="85" xfId="0" applyFont="1" applyFill="1" applyBorder="1" applyAlignment="1" applyProtection="1">
      <alignment horizontal="center" vertical="center"/>
      <protection hidden="1"/>
    </xf>
    <xf numFmtId="0" fontId="35" fillId="14" borderId="73" xfId="0" applyFont="1" applyFill="1" applyBorder="1" applyAlignment="1" applyProtection="1">
      <alignment horizontal="center" vertical="center"/>
      <protection hidden="1"/>
    </xf>
    <xf numFmtId="0" fontId="35" fillId="14" borderId="48" xfId="0" applyFont="1" applyFill="1" applyBorder="1" applyAlignment="1" applyProtection="1">
      <alignment horizontal="center" vertical="center" wrapText="1"/>
      <protection hidden="1"/>
    </xf>
    <xf numFmtId="0" fontId="35" fillId="14" borderId="20" xfId="0" applyFont="1" applyFill="1" applyBorder="1" applyAlignment="1" applyProtection="1">
      <alignment horizontal="center" vertical="center" wrapText="1"/>
      <protection hidden="1"/>
    </xf>
    <xf numFmtId="0" fontId="69" fillId="0" borderId="181" xfId="0" applyFont="1" applyFill="1" applyBorder="1" applyAlignment="1" applyProtection="1">
      <alignment horizontal="center" vertical="center"/>
      <protection hidden="1"/>
    </xf>
    <xf numFmtId="0" fontId="69" fillId="0" borderId="57" xfId="0" applyFont="1" applyFill="1" applyBorder="1" applyAlignment="1" applyProtection="1">
      <alignment horizontal="center" vertical="center"/>
      <protection hidden="1"/>
    </xf>
    <xf numFmtId="0" fontId="69" fillId="0" borderId="58" xfId="0" applyFont="1" applyFill="1" applyBorder="1" applyAlignment="1" applyProtection="1">
      <alignment horizontal="center" vertical="center"/>
      <protection hidden="1"/>
    </xf>
    <xf numFmtId="0" fontId="35" fillId="14" borderId="108" xfId="0" applyFont="1" applyFill="1" applyBorder="1" applyAlignment="1" applyProtection="1">
      <alignment horizontal="center" vertical="center"/>
      <protection hidden="1"/>
    </xf>
    <xf numFmtId="0" fontId="35" fillId="14" borderId="74" xfId="0" applyFont="1" applyFill="1" applyBorder="1" applyAlignment="1" applyProtection="1">
      <alignment horizontal="center" vertical="center"/>
      <protection hidden="1"/>
    </xf>
    <xf numFmtId="0" fontId="35" fillId="14" borderId="87" xfId="0" applyFont="1" applyFill="1" applyBorder="1" applyAlignment="1" applyProtection="1">
      <alignment horizontal="center" vertical="center"/>
      <protection hidden="1"/>
    </xf>
    <xf numFmtId="3" fontId="63" fillId="23" borderId="8" xfId="0" applyNumberFormat="1" applyFont="1" applyFill="1" applyBorder="1" applyAlignment="1" applyProtection="1">
      <alignment horizontal="center" vertical="center"/>
      <protection locked="0"/>
    </xf>
    <xf numFmtId="0" fontId="63" fillId="23" borderId="98" xfId="0" applyFont="1" applyFill="1" applyBorder="1" applyAlignment="1" applyProtection="1">
      <alignment horizontal="center" vertical="center"/>
      <protection locked="0"/>
    </xf>
    <xf numFmtId="0" fontId="63" fillId="23" borderId="14" xfId="0" applyFont="1" applyFill="1" applyBorder="1" applyAlignment="1" applyProtection="1">
      <alignment horizontal="center" vertical="center"/>
      <protection locked="0"/>
    </xf>
    <xf numFmtId="0" fontId="63" fillId="23" borderId="53" xfId="0" applyFont="1" applyFill="1" applyBorder="1" applyAlignment="1" applyProtection="1">
      <alignment horizontal="center" vertical="center"/>
      <protection locked="0"/>
    </xf>
    <xf numFmtId="0" fontId="63" fillId="23" borderId="126" xfId="0" applyFont="1" applyFill="1" applyBorder="1" applyAlignment="1" applyProtection="1">
      <alignment horizontal="center" vertical="center"/>
      <protection locked="0"/>
    </xf>
    <xf numFmtId="0" fontId="63" fillId="23" borderId="22" xfId="0" applyFont="1" applyFill="1" applyBorder="1" applyAlignment="1" applyProtection="1">
      <alignment horizontal="center" vertical="center"/>
      <protection locked="0"/>
    </xf>
    <xf numFmtId="0" fontId="63" fillId="23" borderId="156" xfId="0" applyFont="1" applyFill="1" applyBorder="1" applyAlignment="1" applyProtection="1">
      <alignment horizontal="center" vertical="center"/>
      <protection locked="0"/>
    </xf>
    <xf numFmtId="0" fontId="63" fillId="23" borderId="81" xfId="0" applyFont="1" applyFill="1" applyBorder="1" applyAlignment="1" applyProtection="1">
      <alignment horizontal="center" vertical="center"/>
      <protection locked="0"/>
    </xf>
    <xf numFmtId="0" fontId="63" fillId="23" borderId="12" xfId="0" applyFont="1" applyFill="1" applyBorder="1" applyAlignment="1" applyProtection="1">
      <alignment horizontal="center" vertical="center"/>
      <protection locked="0"/>
    </xf>
    <xf numFmtId="0" fontId="63" fillId="23" borderId="52" xfId="0" applyFont="1" applyFill="1" applyBorder="1" applyAlignment="1" applyProtection="1">
      <alignment horizontal="center" vertical="center"/>
      <protection locked="0"/>
    </xf>
    <xf numFmtId="0" fontId="63" fillId="23" borderId="75" xfId="0" applyFont="1" applyFill="1" applyBorder="1" applyAlignment="1" applyProtection="1">
      <alignment horizontal="center" vertical="center"/>
      <protection locked="0"/>
    </xf>
    <xf numFmtId="0" fontId="63" fillId="23" borderId="76" xfId="0" applyFont="1" applyFill="1" applyBorder="1" applyAlignment="1" applyProtection="1">
      <alignment horizontal="center" vertical="center"/>
      <protection locked="0"/>
    </xf>
    <xf numFmtId="0" fontId="63" fillId="23" borderId="77" xfId="0" applyFont="1" applyFill="1" applyBorder="1" applyAlignment="1" applyProtection="1">
      <alignment horizontal="center" vertical="center"/>
      <protection locked="0"/>
    </xf>
    <xf numFmtId="3" fontId="63" fillId="23" borderId="79" xfId="0" applyNumberFormat="1" applyFont="1" applyFill="1" applyBorder="1" applyAlignment="1" applyProtection="1">
      <alignment horizontal="center" vertical="center"/>
      <protection locked="0"/>
    </xf>
    <xf numFmtId="0" fontId="35" fillId="14" borderId="94" xfId="0" applyFont="1" applyFill="1" applyBorder="1" applyAlignment="1" applyProtection="1">
      <alignment horizontal="center" vertical="center"/>
      <protection hidden="1"/>
    </xf>
    <xf numFmtId="0" fontId="35" fillId="14" borderId="1" xfId="0" applyFont="1" applyFill="1" applyBorder="1" applyAlignment="1" applyProtection="1">
      <alignment horizontal="center" vertical="center"/>
      <protection hidden="1"/>
    </xf>
    <xf numFmtId="0" fontId="35" fillId="14" borderId="0" xfId="0" applyFont="1" applyFill="1" applyBorder="1" applyAlignment="1" applyProtection="1">
      <alignment horizontal="center" vertical="center"/>
      <protection hidden="1"/>
    </xf>
    <xf numFmtId="0" fontId="35" fillId="14" borderId="63" xfId="0" applyFont="1" applyFill="1" applyBorder="1" applyAlignment="1" applyProtection="1">
      <alignment horizontal="center" vertical="center"/>
      <protection hidden="1"/>
    </xf>
    <xf numFmtId="0" fontId="29" fillId="0" borderId="60" xfId="0" applyFont="1" applyFill="1" applyBorder="1" applyAlignment="1" applyProtection="1">
      <alignment horizontal="center" vertical="center"/>
      <protection hidden="1"/>
    </xf>
    <xf numFmtId="0" fontId="29" fillId="0" borderId="59" xfId="0" applyFont="1" applyFill="1" applyBorder="1" applyAlignment="1" applyProtection="1">
      <alignment horizontal="center" vertical="center"/>
      <protection hidden="1"/>
    </xf>
    <xf numFmtId="0" fontId="29" fillId="0" borderId="56" xfId="0" applyFont="1" applyFill="1" applyBorder="1" applyAlignment="1" applyProtection="1">
      <alignment horizontal="center" vertical="center"/>
      <protection hidden="1"/>
    </xf>
    <xf numFmtId="0" fontId="10" fillId="0" borderId="13" xfId="0" applyFont="1" applyFill="1" applyBorder="1" applyAlignment="1" applyProtection="1">
      <alignment horizontal="center" vertical="center"/>
      <protection hidden="1"/>
    </xf>
    <xf numFmtId="0" fontId="10" fillId="0" borderId="15" xfId="0" applyFont="1" applyFill="1" applyBorder="1" applyAlignment="1" applyProtection="1">
      <alignment horizontal="center" vertical="center"/>
      <protection hidden="1"/>
    </xf>
    <xf numFmtId="0" fontId="10" fillId="0" borderId="100" xfId="0" applyFont="1" applyFill="1" applyBorder="1" applyAlignment="1" applyProtection="1">
      <alignment horizontal="center" vertical="center"/>
      <protection hidden="1"/>
    </xf>
    <xf numFmtId="0" fontId="10" fillId="0" borderId="90" xfId="0" applyFont="1" applyFill="1" applyBorder="1" applyAlignment="1" applyProtection="1">
      <alignment horizontal="center" vertical="center"/>
      <protection hidden="1"/>
    </xf>
    <xf numFmtId="0" fontId="35" fillId="14" borderId="92" xfId="0" applyFont="1" applyFill="1" applyBorder="1" applyAlignment="1" applyProtection="1">
      <alignment horizontal="center" vertical="center"/>
      <protection hidden="1"/>
    </xf>
    <xf numFmtId="0" fontId="35" fillId="14" borderId="93" xfId="0" applyFont="1" applyFill="1" applyBorder="1" applyAlignment="1" applyProtection="1">
      <alignment horizontal="center" vertical="center"/>
      <protection hidden="1"/>
    </xf>
    <xf numFmtId="0" fontId="39" fillId="0" borderId="21" xfId="0" applyFont="1" applyFill="1" applyBorder="1" applyAlignment="1" applyProtection="1">
      <alignment horizontal="center" vertical="center"/>
      <protection hidden="1"/>
    </xf>
    <xf numFmtId="0" fontId="39" fillId="0" borderId="23" xfId="0" applyFont="1" applyFill="1" applyBorder="1" applyAlignment="1" applyProtection="1">
      <alignment horizontal="center" vertical="center"/>
      <protection hidden="1"/>
    </xf>
    <xf numFmtId="3" fontId="63" fillId="23" borderId="9" xfId="0" applyNumberFormat="1" applyFont="1" applyFill="1" applyBorder="1" applyAlignment="1" applyProtection="1">
      <alignment horizontal="center" vertical="center"/>
      <protection locked="0"/>
    </xf>
    <xf numFmtId="0" fontId="35" fillId="14" borderId="84" xfId="0" applyFont="1" applyFill="1" applyBorder="1" applyAlignment="1" applyProtection="1">
      <alignment horizontal="center" vertical="center" wrapText="1"/>
      <protection hidden="1"/>
    </xf>
    <xf numFmtId="0" fontId="35" fillId="14" borderId="95" xfId="0" applyFont="1" applyFill="1" applyBorder="1" applyAlignment="1" applyProtection="1">
      <alignment horizontal="center" vertical="center" wrapText="1"/>
      <protection hidden="1"/>
    </xf>
    <xf numFmtId="168" fontId="63" fillId="0" borderId="82" xfId="0" applyNumberFormat="1" applyFont="1" applyFill="1" applyBorder="1" applyAlignment="1" applyProtection="1">
      <alignment horizontal="center" vertical="center"/>
      <protection hidden="1"/>
    </xf>
    <xf numFmtId="168" fontId="63" fillId="0" borderId="48" xfId="0" applyNumberFormat="1" applyFont="1" applyFill="1" applyBorder="1" applyAlignment="1" applyProtection="1">
      <alignment horizontal="center" vertical="center"/>
      <protection hidden="1"/>
    </xf>
    <xf numFmtId="168" fontId="63" fillId="0" borderId="20" xfId="0" applyNumberFormat="1" applyFont="1" applyFill="1" applyBorder="1" applyAlignment="1" applyProtection="1">
      <alignment horizontal="center" vertical="center"/>
      <protection hidden="1"/>
    </xf>
    <xf numFmtId="0" fontId="35" fillId="14" borderId="3" xfId="0" applyFont="1" applyFill="1" applyBorder="1" applyAlignment="1" applyProtection="1">
      <alignment horizontal="center" vertical="center"/>
      <protection hidden="1"/>
    </xf>
    <xf numFmtId="0" fontId="35" fillId="14" borderId="55" xfId="0" applyFont="1" applyFill="1" applyBorder="1" applyAlignment="1" applyProtection="1">
      <alignment horizontal="center" vertical="center"/>
      <protection hidden="1"/>
    </xf>
    <xf numFmtId="0" fontId="63" fillId="0" borderId="41" xfId="0" applyFont="1" applyFill="1" applyBorder="1" applyAlignment="1" applyProtection="1">
      <alignment horizontal="center" vertical="center"/>
      <protection hidden="1"/>
    </xf>
    <xf numFmtId="0" fontId="63" fillId="0" borderId="47" xfId="0" applyFont="1" applyFill="1" applyBorder="1" applyAlignment="1" applyProtection="1">
      <alignment horizontal="center" vertical="center"/>
      <protection hidden="1"/>
    </xf>
    <xf numFmtId="0" fontId="63" fillId="0" borderId="8" xfId="0" applyFont="1" applyFill="1" applyBorder="1" applyAlignment="1" applyProtection="1">
      <alignment horizontal="center" vertical="center"/>
      <protection hidden="1"/>
    </xf>
    <xf numFmtId="0" fontId="63" fillId="0" borderId="11" xfId="0" applyFont="1" applyFill="1" applyBorder="1" applyAlignment="1" applyProtection="1">
      <alignment horizontal="center" vertical="center"/>
      <protection hidden="1"/>
    </xf>
    <xf numFmtId="0" fontId="63" fillId="0" borderId="44" xfId="0" applyFont="1" applyFill="1" applyBorder="1" applyAlignment="1" applyProtection="1">
      <alignment horizontal="center" vertical="center"/>
      <protection hidden="1"/>
    </xf>
    <xf numFmtId="0" fontId="63" fillId="0" borderId="46" xfId="0" applyFont="1" applyFill="1" applyBorder="1" applyAlignment="1" applyProtection="1">
      <alignment horizontal="center" vertical="center"/>
      <protection hidden="1"/>
    </xf>
    <xf numFmtId="0" fontId="25" fillId="0" borderId="1" xfId="0" applyFont="1" applyFill="1" applyBorder="1" applyAlignment="1" applyProtection="1">
      <alignment horizontal="center" vertical="center" wrapText="1"/>
      <protection hidden="1"/>
    </xf>
    <xf numFmtId="0" fontId="25" fillId="0" borderId="0" xfId="0" applyFont="1" applyFill="1" applyBorder="1" applyAlignment="1" applyProtection="1">
      <alignment horizontal="center" vertical="center" wrapText="1"/>
      <protection hidden="1"/>
    </xf>
    <xf numFmtId="0" fontId="25" fillId="0" borderId="63" xfId="0" applyFont="1" applyFill="1" applyBorder="1" applyAlignment="1" applyProtection="1">
      <alignment horizontal="center" vertical="center" wrapText="1"/>
      <protection hidden="1"/>
    </xf>
    <xf numFmtId="0" fontId="25" fillId="0" borderId="113" xfId="0" applyFont="1" applyFill="1" applyBorder="1" applyAlignment="1" applyProtection="1">
      <alignment horizontal="center" vertical="center" wrapText="1"/>
      <protection hidden="1"/>
    </xf>
    <xf numFmtId="0" fontId="25" fillId="0" borderId="3" xfId="0" applyFont="1" applyFill="1" applyBorder="1" applyAlignment="1" applyProtection="1">
      <alignment horizontal="center" vertical="center" wrapText="1"/>
      <protection hidden="1"/>
    </xf>
    <xf numFmtId="0" fontId="25" fillId="0" borderId="55" xfId="0" applyFont="1" applyFill="1" applyBorder="1" applyAlignment="1" applyProtection="1">
      <alignment horizontal="center" vertical="center" wrapText="1"/>
      <protection hidden="1"/>
    </xf>
    <xf numFmtId="0" fontId="32" fillId="14" borderId="84" xfId="0" applyFont="1" applyFill="1" applyBorder="1" applyAlignment="1" applyProtection="1">
      <alignment horizontal="center" vertical="center" readingOrder="2"/>
      <protection hidden="1"/>
    </xf>
    <xf numFmtId="0" fontId="32" fillId="14" borderId="72" xfId="0" applyFont="1" applyFill="1" applyBorder="1" applyAlignment="1" applyProtection="1">
      <alignment horizontal="center" vertical="center" readingOrder="2"/>
      <protection hidden="1"/>
    </xf>
    <xf numFmtId="0" fontId="63" fillId="0" borderId="79" xfId="0" applyFont="1" applyFill="1" applyBorder="1" applyAlignment="1" applyProtection="1">
      <alignment horizontal="center" vertical="center"/>
      <protection hidden="1"/>
    </xf>
    <xf numFmtId="0" fontId="54" fillId="19" borderId="1" xfId="0" applyFont="1" applyFill="1" applyBorder="1" applyAlignment="1" applyProtection="1">
      <alignment horizontal="right" vertical="center"/>
      <protection hidden="1"/>
    </xf>
    <xf numFmtId="0" fontId="54" fillId="19" borderId="0" xfId="0" applyFont="1" applyFill="1" applyBorder="1" applyAlignment="1" applyProtection="1">
      <alignment horizontal="right" vertical="center"/>
      <protection hidden="1"/>
    </xf>
    <xf numFmtId="0" fontId="51" fillId="19" borderId="0" xfId="0" applyFont="1" applyFill="1" applyBorder="1" applyAlignment="1" applyProtection="1">
      <alignment horizontal="center" vertical="center"/>
      <protection hidden="1"/>
    </xf>
    <xf numFmtId="0" fontId="51" fillId="19" borderId="63" xfId="0" applyFont="1" applyFill="1" applyBorder="1" applyAlignment="1" applyProtection="1">
      <alignment horizontal="center" vertical="center"/>
      <protection hidden="1"/>
    </xf>
    <xf numFmtId="0" fontId="38" fillId="0" borderId="194" xfId="0" applyFont="1" applyBorder="1" applyAlignment="1" applyProtection="1">
      <alignment horizontal="right" vertical="center"/>
      <protection hidden="1"/>
    </xf>
    <xf numFmtId="0" fontId="38" fillId="0" borderId="195" xfId="0" applyFont="1" applyBorder="1" applyAlignment="1" applyProtection="1">
      <alignment horizontal="right" vertical="center"/>
      <protection hidden="1"/>
    </xf>
    <xf numFmtId="0" fontId="38" fillId="0" borderId="196" xfId="0" applyFont="1" applyBorder="1" applyAlignment="1" applyProtection="1">
      <alignment horizontal="right" vertical="center"/>
      <protection hidden="1"/>
    </xf>
    <xf numFmtId="0" fontId="102" fillId="25" borderId="0" xfId="0" applyFont="1" applyFill="1" applyBorder="1" applyAlignment="1" applyProtection="1">
      <alignment horizontal="center" vertical="center"/>
      <protection hidden="1"/>
    </xf>
    <xf numFmtId="0" fontId="51" fillId="25" borderId="0" xfId="0" applyFont="1" applyFill="1" applyBorder="1" applyAlignment="1" applyProtection="1">
      <alignment horizontal="center" vertical="center"/>
      <protection hidden="1"/>
    </xf>
    <xf numFmtId="0" fontId="51" fillId="19" borderId="178" xfId="0" applyFont="1" applyFill="1" applyBorder="1" applyAlignment="1" applyProtection="1">
      <alignment horizontal="center" vertical="center"/>
      <protection hidden="1"/>
    </xf>
    <xf numFmtId="0" fontId="51" fillId="19" borderId="158" xfId="0" applyFont="1" applyFill="1" applyBorder="1" applyAlignment="1" applyProtection="1">
      <alignment horizontal="center" vertical="center"/>
      <protection hidden="1"/>
    </xf>
    <xf numFmtId="4" fontId="36" fillId="19" borderId="158" xfId="0" applyNumberFormat="1" applyFont="1" applyFill="1" applyBorder="1" applyAlignment="1" applyProtection="1">
      <alignment horizontal="center" vertical="center"/>
      <protection hidden="1"/>
    </xf>
    <xf numFmtId="4" fontId="36" fillId="19" borderId="166" xfId="0" applyNumberFormat="1" applyFont="1" applyFill="1" applyBorder="1" applyAlignment="1" applyProtection="1">
      <alignment horizontal="center" vertical="center"/>
      <protection hidden="1"/>
    </xf>
    <xf numFmtId="4" fontId="36" fillId="19" borderId="163" xfId="0" applyNumberFormat="1" applyFont="1" applyFill="1" applyBorder="1" applyAlignment="1" applyProtection="1">
      <alignment horizontal="center" vertical="center"/>
      <protection hidden="1"/>
    </xf>
    <xf numFmtId="0" fontId="29" fillId="20" borderId="3" xfId="0" applyFont="1" applyFill="1" applyBorder="1" applyAlignment="1" applyProtection="1">
      <alignment horizontal="center" vertical="center"/>
      <protection hidden="1"/>
    </xf>
    <xf numFmtId="0" fontId="41" fillId="20" borderId="82" xfId="0" applyFont="1" applyFill="1" applyBorder="1" applyAlignment="1" applyProtection="1">
      <alignment horizontal="center" vertical="center"/>
      <protection hidden="1"/>
    </xf>
    <xf numFmtId="0" fontId="41" fillId="20" borderId="63" xfId="0" applyFont="1" applyFill="1" applyBorder="1" applyAlignment="1" applyProtection="1">
      <alignment horizontal="center" vertical="center"/>
      <protection hidden="1"/>
    </xf>
    <xf numFmtId="0" fontId="41" fillId="20" borderId="48" xfId="0" applyFont="1" applyFill="1" applyBorder="1" applyAlignment="1" applyProtection="1">
      <alignment horizontal="center" vertical="center"/>
      <protection hidden="1"/>
    </xf>
    <xf numFmtId="0" fontId="63" fillId="23" borderId="79" xfId="0" applyFont="1" applyFill="1" applyBorder="1" applyAlignment="1" applyProtection="1">
      <alignment horizontal="center" vertical="center"/>
      <protection locked="0"/>
    </xf>
    <xf numFmtId="0" fontId="65" fillId="0" borderId="82" xfId="0" applyFont="1" applyFill="1" applyBorder="1" applyAlignment="1" applyProtection="1">
      <alignment horizontal="center" vertical="center"/>
      <protection hidden="1"/>
    </xf>
    <xf numFmtId="0" fontId="65" fillId="0" borderId="48" xfId="0" applyFont="1" applyFill="1" applyBorder="1" applyAlignment="1" applyProtection="1">
      <alignment horizontal="center" vertical="center"/>
      <protection hidden="1"/>
    </xf>
    <xf numFmtId="0" fontId="65" fillId="0" borderId="20" xfId="0" applyFont="1" applyFill="1" applyBorder="1" applyAlignment="1" applyProtection="1">
      <alignment horizontal="center" vertical="center"/>
      <protection hidden="1"/>
    </xf>
    <xf numFmtId="0" fontId="63" fillId="23" borderId="90" xfId="0" applyFont="1" applyFill="1" applyBorder="1" applyAlignment="1" applyProtection="1">
      <alignment horizontal="center" vertical="center" wrapText="1"/>
      <protection locked="0"/>
    </xf>
    <xf numFmtId="0" fontId="63" fillId="23" borderId="15" xfId="0" applyFont="1" applyFill="1" applyBorder="1" applyAlignment="1" applyProtection="1">
      <alignment horizontal="center" vertical="center" wrapText="1"/>
      <protection locked="0"/>
    </xf>
    <xf numFmtId="0" fontId="63" fillId="23" borderId="64" xfId="0" applyFont="1" applyFill="1" applyBorder="1" applyAlignment="1" applyProtection="1">
      <alignment horizontal="center" vertical="center" wrapText="1"/>
      <protection locked="0"/>
    </xf>
    <xf numFmtId="0" fontId="63" fillId="23" borderId="17" xfId="0" applyFont="1" applyFill="1" applyBorder="1" applyAlignment="1" applyProtection="1">
      <alignment horizontal="center" vertical="center" wrapText="1"/>
      <protection locked="0"/>
    </xf>
    <xf numFmtId="0" fontId="10" fillId="0" borderId="79" xfId="0" applyFont="1" applyFill="1" applyBorder="1" applyAlignment="1" applyProtection="1">
      <alignment horizontal="center" vertical="center"/>
      <protection hidden="1"/>
    </xf>
    <xf numFmtId="0" fontId="10" fillId="0" borderId="8" xfId="0" applyFont="1" applyFill="1" applyBorder="1" applyAlignment="1" applyProtection="1">
      <alignment horizontal="center" vertical="center"/>
      <protection hidden="1"/>
    </xf>
    <xf numFmtId="0" fontId="10" fillId="0" borderId="41" xfId="0" applyFont="1" applyFill="1" applyBorder="1" applyAlignment="1" applyProtection="1">
      <alignment horizontal="center" vertical="center"/>
      <protection hidden="1"/>
    </xf>
    <xf numFmtId="0" fontId="10" fillId="0" borderId="11" xfId="0" applyFont="1" applyFill="1" applyBorder="1" applyAlignment="1" applyProtection="1">
      <alignment horizontal="center" vertical="center"/>
      <protection hidden="1"/>
    </xf>
    <xf numFmtId="0" fontId="29" fillId="0" borderId="19" xfId="0" applyFont="1" applyFill="1" applyBorder="1" applyAlignment="1" applyProtection="1">
      <alignment horizontal="center" vertical="center"/>
      <protection hidden="1"/>
    </xf>
    <xf numFmtId="0" fontId="29" fillId="0" borderId="7" xfId="0" applyFont="1" applyFill="1" applyBorder="1" applyAlignment="1" applyProtection="1">
      <alignment horizontal="center" vertical="center"/>
      <protection hidden="1"/>
    </xf>
    <xf numFmtId="0" fontId="29" fillId="0" borderId="51" xfId="0" applyFont="1" applyFill="1" applyBorder="1" applyAlignment="1" applyProtection="1">
      <alignment horizontal="center" vertical="center"/>
      <protection hidden="1"/>
    </xf>
    <xf numFmtId="0" fontId="35" fillId="14" borderId="66" xfId="0" applyFont="1" applyFill="1" applyBorder="1" applyAlignment="1" applyProtection="1">
      <alignment horizontal="center" vertical="center" wrapText="1"/>
      <protection hidden="1"/>
    </xf>
    <xf numFmtId="0" fontId="63" fillId="0" borderId="80" xfId="0" applyFont="1" applyFill="1" applyBorder="1" applyAlignment="1" applyProtection="1">
      <alignment horizontal="center" vertical="center"/>
      <protection hidden="1"/>
    </xf>
    <xf numFmtId="0" fontId="35" fillId="14" borderId="124" xfId="0" applyFont="1" applyFill="1" applyBorder="1" applyAlignment="1" applyProtection="1">
      <alignment horizontal="center" vertical="center" wrapText="1"/>
      <protection hidden="1"/>
    </xf>
    <xf numFmtId="0" fontId="35" fillId="14" borderId="138" xfId="0" applyFont="1" applyFill="1" applyBorder="1" applyAlignment="1" applyProtection="1">
      <alignment horizontal="center" vertical="center" wrapText="1"/>
      <protection hidden="1"/>
    </xf>
    <xf numFmtId="0" fontId="35" fillId="14" borderId="95" xfId="0" applyFont="1" applyFill="1" applyBorder="1" applyAlignment="1" applyProtection="1">
      <alignment horizontal="center" vertical="center"/>
      <protection hidden="1"/>
    </xf>
    <xf numFmtId="0" fontId="66" fillId="22" borderId="54" xfId="0" applyFont="1" applyFill="1" applyBorder="1" applyAlignment="1" applyProtection="1">
      <alignment horizontal="right" vertical="center" wrapText="1"/>
      <protection hidden="1"/>
    </xf>
    <xf numFmtId="0" fontId="67" fillId="22" borderId="61" xfId="0" applyFont="1" applyFill="1" applyBorder="1" applyAlignment="1" applyProtection="1">
      <alignment horizontal="right" vertical="center" wrapText="1"/>
      <protection hidden="1"/>
    </xf>
    <xf numFmtId="0" fontId="67" fillId="22" borderId="62" xfId="0" applyFont="1" applyFill="1" applyBorder="1" applyAlignment="1" applyProtection="1">
      <alignment horizontal="right" vertical="center" wrapText="1"/>
      <protection hidden="1"/>
    </xf>
    <xf numFmtId="0" fontId="67" fillId="22" borderId="113" xfId="0" applyFont="1" applyFill="1" applyBorder="1" applyAlignment="1" applyProtection="1">
      <alignment horizontal="right" vertical="top" wrapText="1" readingOrder="2"/>
      <protection hidden="1"/>
    </xf>
    <xf numFmtId="0" fontId="10" fillId="22" borderId="3" xfId="0" applyFont="1" applyFill="1" applyBorder="1" applyAlignment="1" applyProtection="1">
      <alignment horizontal="right" vertical="top" wrapText="1" readingOrder="2"/>
      <protection hidden="1"/>
    </xf>
    <xf numFmtId="0" fontId="10" fillId="22" borderId="55" xfId="0" applyFont="1" applyFill="1" applyBorder="1" applyAlignment="1" applyProtection="1">
      <alignment horizontal="right" vertical="top" wrapText="1" readingOrder="2"/>
      <protection hidden="1"/>
    </xf>
    <xf numFmtId="0" fontId="10" fillId="22" borderId="1" xfId="0" applyFont="1" applyFill="1" applyBorder="1" applyAlignment="1" applyProtection="1">
      <alignment horizontal="right" vertical="center" wrapText="1" readingOrder="2"/>
      <protection hidden="1"/>
    </xf>
    <xf numFmtId="0" fontId="10" fillId="22" borderId="0" xfId="0" applyFont="1" applyFill="1" applyBorder="1" applyAlignment="1" applyProtection="1">
      <alignment horizontal="right" vertical="center" wrapText="1" readingOrder="2"/>
      <protection hidden="1"/>
    </xf>
    <xf numFmtId="0" fontId="10" fillId="22" borderId="63" xfId="0" applyFont="1" applyFill="1" applyBorder="1" applyAlignment="1" applyProtection="1">
      <alignment horizontal="right" vertical="center" wrapText="1" readingOrder="2"/>
      <protection hidden="1"/>
    </xf>
    <xf numFmtId="167" fontId="63" fillId="0" borderId="79" xfId="0" applyNumberFormat="1" applyFont="1" applyFill="1" applyBorder="1" applyAlignment="1" applyProtection="1">
      <alignment horizontal="center" vertical="center"/>
      <protection hidden="1"/>
    </xf>
    <xf numFmtId="167" fontId="63" fillId="0" borderId="8" xfId="0" applyNumberFormat="1" applyFont="1" applyFill="1" applyBorder="1" applyAlignment="1" applyProtection="1">
      <alignment horizontal="center" vertical="center"/>
      <protection hidden="1"/>
    </xf>
    <xf numFmtId="167" fontId="63" fillId="0" borderId="41" xfId="0" applyNumberFormat="1" applyFont="1" applyFill="1" applyBorder="1" applyAlignment="1" applyProtection="1">
      <alignment horizontal="center" vertical="center"/>
      <protection hidden="1"/>
    </xf>
    <xf numFmtId="0" fontId="41" fillId="20" borderId="19" xfId="0" applyFont="1" applyFill="1" applyBorder="1" applyAlignment="1" applyProtection="1">
      <alignment horizontal="center" vertical="center"/>
      <protection hidden="1"/>
    </xf>
    <xf numFmtId="0" fontId="41" fillId="20" borderId="7" xfId="0" applyFont="1" applyFill="1" applyBorder="1" applyAlignment="1" applyProtection="1">
      <alignment horizontal="center" vertical="center"/>
      <protection hidden="1"/>
    </xf>
    <xf numFmtId="0" fontId="41" fillId="20" borderId="3" xfId="0" applyFont="1" applyFill="1" applyBorder="1" applyAlignment="1" applyProtection="1">
      <alignment horizontal="center" vertical="center"/>
      <protection hidden="1"/>
    </xf>
    <xf numFmtId="0" fontId="41" fillId="20" borderId="51" xfId="0" applyFont="1" applyFill="1" applyBorder="1" applyAlignment="1" applyProtection="1">
      <alignment horizontal="center" vertical="center"/>
      <protection hidden="1"/>
    </xf>
    <xf numFmtId="0" fontId="35" fillId="14" borderId="54" xfId="0" applyFont="1" applyFill="1" applyBorder="1" applyAlignment="1" applyProtection="1">
      <alignment horizontal="center" vertical="center" textRotation="90"/>
      <protection hidden="1"/>
    </xf>
    <xf numFmtId="0" fontId="60" fillId="22" borderId="1" xfId="0" applyFont="1" applyFill="1" applyBorder="1" applyAlignment="1" applyProtection="1">
      <alignment horizontal="right" vertical="center" wrapText="1"/>
      <protection hidden="1"/>
    </xf>
    <xf numFmtId="0" fontId="61" fillId="22" borderId="0" xfId="0" applyFont="1" applyFill="1" applyBorder="1" applyAlignment="1" applyProtection="1">
      <alignment horizontal="right" vertical="center" wrapText="1"/>
      <protection hidden="1"/>
    </xf>
    <xf numFmtId="0" fontId="61" fillId="22" borderId="63" xfId="0" applyFont="1" applyFill="1" applyBorder="1" applyAlignment="1" applyProtection="1">
      <alignment horizontal="right" vertical="center" wrapText="1"/>
      <protection hidden="1"/>
    </xf>
    <xf numFmtId="0" fontId="29" fillId="0" borderId="54" xfId="0" applyFont="1" applyFill="1" applyBorder="1" applyAlignment="1" applyProtection="1">
      <alignment horizontal="center" vertical="center"/>
      <protection hidden="1"/>
    </xf>
    <xf numFmtId="0" fontId="29" fillId="0" borderId="61" xfId="0" applyFont="1" applyFill="1" applyBorder="1" applyAlignment="1" applyProtection="1">
      <alignment horizontal="center" vertical="center"/>
      <protection hidden="1"/>
    </xf>
    <xf numFmtId="0" fontId="29" fillId="0" borderId="62" xfId="0" applyFont="1" applyFill="1" applyBorder="1" applyAlignment="1" applyProtection="1">
      <alignment horizontal="center" vertical="center"/>
      <protection hidden="1"/>
    </xf>
    <xf numFmtId="0" fontId="13" fillId="0" borderId="25" xfId="0" applyFont="1" applyFill="1" applyBorder="1" applyAlignment="1" applyProtection="1">
      <alignment horizontal="center" vertical="center" textRotation="90"/>
      <protection hidden="1"/>
    </xf>
    <xf numFmtId="0" fontId="13" fillId="0" borderId="10" xfId="0" applyFont="1" applyFill="1" applyBorder="1" applyAlignment="1" applyProtection="1">
      <alignment horizontal="center" vertical="center" textRotation="90"/>
      <protection hidden="1"/>
    </xf>
    <xf numFmtId="0" fontId="13" fillId="0" borderId="24" xfId="0" applyFont="1" applyFill="1" applyBorder="1" applyAlignment="1" applyProtection="1">
      <alignment horizontal="center" vertical="center" textRotation="90"/>
      <protection hidden="1"/>
    </xf>
    <xf numFmtId="0" fontId="35" fillId="14" borderId="96" xfId="0" applyFont="1" applyFill="1" applyBorder="1" applyAlignment="1" applyProtection="1">
      <alignment horizontal="center" vertical="center"/>
      <protection hidden="1"/>
    </xf>
    <xf numFmtId="0" fontId="32" fillId="14" borderId="130" xfId="0" applyFont="1" applyFill="1" applyBorder="1" applyAlignment="1" applyProtection="1">
      <alignment horizontal="center" vertical="center" readingOrder="2"/>
      <protection hidden="1"/>
    </xf>
    <xf numFmtId="0" fontId="32" fillId="14" borderId="129" xfId="0" applyFont="1" applyFill="1" applyBorder="1" applyAlignment="1" applyProtection="1">
      <alignment horizontal="center" vertical="center" readingOrder="2"/>
      <protection hidden="1"/>
    </xf>
    <xf numFmtId="0" fontId="32" fillId="14" borderId="85" xfId="0" applyFont="1" applyFill="1" applyBorder="1" applyAlignment="1" applyProtection="1">
      <alignment horizontal="center" vertical="center" readingOrder="2"/>
      <protection hidden="1"/>
    </xf>
    <xf numFmtId="0" fontId="32" fillId="14" borderId="73" xfId="0" applyFont="1" applyFill="1" applyBorder="1" applyAlignment="1" applyProtection="1">
      <alignment horizontal="center" vertical="center" readingOrder="2"/>
      <protection hidden="1"/>
    </xf>
    <xf numFmtId="0" fontId="13" fillId="0" borderId="0" xfId="0" applyFont="1" applyFill="1" applyBorder="1" applyAlignment="1" applyProtection="1">
      <alignment horizontal="center" vertical="center" textRotation="90"/>
      <protection hidden="1"/>
    </xf>
    <xf numFmtId="0" fontId="41" fillId="26" borderId="194" xfId="0" applyFont="1" applyFill="1" applyBorder="1" applyAlignment="1" applyProtection="1">
      <alignment horizontal="center" vertical="center"/>
      <protection hidden="1"/>
    </xf>
    <xf numFmtId="0" fontId="41" fillId="26" borderId="195" xfId="0" applyFont="1" applyFill="1" applyBorder="1" applyAlignment="1" applyProtection="1">
      <alignment horizontal="center" vertical="center"/>
      <protection hidden="1"/>
    </xf>
    <xf numFmtId="0" fontId="41" fillId="26" borderId="196" xfId="0" applyFont="1" applyFill="1" applyBorder="1" applyAlignment="1" applyProtection="1">
      <alignment horizontal="center" vertical="center"/>
      <protection hidden="1"/>
    </xf>
    <xf numFmtId="0" fontId="41" fillId="26" borderId="197" xfId="0" applyFont="1" applyFill="1" applyBorder="1" applyAlignment="1" applyProtection="1">
      <alignment horizontal="center" vertical="center"/>
      <protection hidden="1"/>
    </xf>
    <xf numFmtId="0" fontId="41" fillId="26" borderId="198" xfId="0" applyFont="1" applyFill="1" applyBorder="1" applyAlignment="1" applyProtection="1">
      <alignment horizontal="center" vertical="center"/>
      <protection hidden="1"/>
    </xf>
    <xf numFmtId="0" fontId="41" fillId="26" borderId="210" xfId="0" applyFont="1" applyFill="1" applyBorder="1" applyAlignment="1" applyProtection="1">
      <alignment horizontal="center" vertical="center"/>
      <protection hidden="1"/>
    </xf>
    <xf numFmtId="0" fontId="10" fillId="0" borderId="101" xfId="0" applyFont="1" applyFill="1" applyBorder="1" applyAlignment="1" applyProtection="1">
      <alignment horizontal="center" vertical="center"/>
      <protection hidden="1"/>
    </xf>
    <xf numFmtId="0" fontId="10" fillId="0" borderId="64"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99" fillId="0" borderId="223" xfId="0" applyFont="1" applyBorder="1" applyAlignment="1" applyProtection="1">
      <alignment horizontal="center" vertical="center" textRotation="90" readingOrder="2"/>
      <protection hidden="1"/>
    </xf>
    <xf numFmtId="0" fontId="99" fillId="0" borderId="224" xfId="0" applyFont="1" applyBorder="1" applyAlignment="1" applyProtection="1">
      <alignment horizontal="center" vertical="center" textRotation="90" readingOrder="2"/>
      <protection hidden="1"/>
    </xf>
    <xf numFmtId="0" fontId="99" fillId="0" borderId="225" xfId="0" applyFont="1" applyBorder="1" applyAlignment="1" applyProtection="1">
      <alignment horizontal="center" vertical="center" textRotation="90" readingOrder="2"/>
      <protection hidden="1"/>
    </xf>
    <xf numFmtId="0" fontId="35" fillId="27" borderId="204" xfId="0" applyFont="1" applyFill="1" applyBorder="1" applyAlignment="1" applyProtection="1">
      <alignment horizontal="center" vertical="center" wrapText="1"/>
      <protection hidden="1"/>
    </xf>
    <xf numFmtId="0" fontId="35" fillId="27" borderId="206" xfId="0" applyFont="1" applyFill="1" applyBorder="1" applyAlignment="1" applyProtection="1">
      <alignment horizontal="center" vertical="center" wrapText="1"/>
      <protection hidden="1"/>
    </xf>
    <xf numFmtId="0" fontId="35" fillId="27" borderId="205" xfId="0" applyFont="1" applyFill="1" applyBorder="1" applyAlignment="1" applyProtection="1">
      <alignment horizontal="center" vertical="center"/>
      <protection hidden="1"/>
    </xf>
    <xf numFmtId="0" fontId="35" fillId="27" borderId="217" xfId="0" applyFont="1" applyFill="1" applyBorder="1" applyAlignment="1" applyProtection="1">
      <alignment horizontal="center" vertical="center"/>
      <protection hidden="1"/>
    </xf>
    <xf numFmtId="0" fontId="35" fillId="27" borderId="205" xfId="0" applyFont="1" applyFill="1" applyBorder="1" applyAlignment="1" applyProtection="1">
      <alignment horizontal="center" vertical="center" wrapText="1"/>
      <protection hidden="1"/>
    </xf>
    <xf numFmtId="0" fontId="35" fillId="27" borderId="207" xfId="0" applyFont="1" applyFill="1" applyBorder="1" applyAlignment="1" applyProtection="1">
      <alignment horizontal="center" vertical="center" wrapText="1"/>
      <protection hidden="1"/>
    </xf>
    <xf numFmtId="0" fontId="29" fillId="0" borderId="201" xfId="0" applyFont="1" applyFill="1" applyBorder="1" applyAlignment="1" applyProtection="1">
      <alignment horizontal="center" vertical="center"/>
      <protection hidden="1"/>
    </xf>
    <xf numFmtId="0" fontId="29" fillId="0" borderId="200" xfId="0" applyFont="1" applyFill="1" applyBorder="1" applyAlignment="1" applyProtection="1">
      <alignment horizontal="center" vertical="center"/>
      <protection hidden="1"/>
    </xf>
    <xf numFmtId="0" fontId="29" fillId="0" borderId="202" xfId="0" applyFont="1" applyFill="1" applyBorder="1" applyAlignment="1" applyProtection="1">
      <alignment horizontal="center" vertical="center"/>
      <protection hidden="1"/>
    </xf>
    <xf numFmtId="0" fontId="99" fillId="0" borderId="223" xfId="0" applyFont="1" applyBorder="1" applyAlignment="1" applyProtection="1">
      <alignment horizontal="center" vertical="center" textRotation="90" wrapText="1" readingOrder="2"/>
      <protection hidden="1"/>
    </xf>
    <xf numFmtId="0" fontId="99" fillId="0" borderId="224" xfId="0" applyFont="1" applyBorder="1" applyAlignment="1" applyProtection="1">
      <alignment horizontal="center" vertical="center" textRotation="90" wrapText="1" readingOrder="2"/>
      <protection hidden="1"/>
    </xf>
    <xf numFmtId="0" fontId="99" fillId="0" borderId="225" xfId="0" applyFont="1" applyBorder="1" applyAlignment="1" applyProtection="1">
      <alignment horizontal="center" vertical="center" textRotation="90" wrapText="1" readingOrder="2"/>
      <protection hidden="1"/>
    </xf>
    <xf numFmtId="0" fontId="41" fillId="26" borderId="199" xfId="0" applyFont="1" applyFill="1" applyBorder="1" applyAlignment="1" applyProtection="1">
      <alignment horizontal="center" vertical="center"/>
      <protection hidden="1"/>
    </xf>
    <xf numFmtId="0" fontId="41" fillId="26" borderId="202" xfId="0" applyFont="1" applyFill="1" applyBorder="1" applyAlignment="1" applyProtection="1">
      <alignment horizontal="center" vertical="center"/>
      <protection hidden="1"/>
    </xf>
    <xf numFmtId="0" fontId="41" fillId="26" borderId="213" xfId="0" applyFont="1" applyFill="1" applyBorder="1" applyAlignment="1" applyProtection="1">
      <alignment horizontal="center" vertical="center"/>
      <protection hidden="1"/>
    </xf>
    <xf numFmtId="165" fontId="99" fillId="0" borderId="201" xfId="0" applyNumberFormat="1" applyFont="1" applyBorder="1" applyAlignment="1" applyProtection="1">
      <alignment horizontal="center" vertical="center" textRotation="90"/>
      <protection hidden="1"/>
    </xf>
    <xf numFmtId="165" fontId="99" fillId="0" borderId="200" xfId="0" applyNumberFormat="1" applyFont="1" applyBorder="1" applyAlignment="1" applyProtection="1">
      <alignment horizontal="center" vertical="center" textRotation="90"/>
      <protection hidden="1"/>
    </xf>
    <xf numFmtId="165" fontId="99" fillId="0" borderId="230" xfId="0" applyNumberFormat="1" applyFont="1" applyBorder="1" applyAlignment="1" applyProtection="1">
      <alignment horizontal="center" vertical="center" textRotation="90"/>
      <protection hidden="1"/>
    </xf>
    <xf numFmtId="165" fontId="99" fillId="0" borderId="209" xfId="0" applyNumberFormat="1" applyFont="1" applyBorder="1" applyAlignment="1" applyProtection="1">
      <alignment horizontal="center" vertical="center" textRotation="90"/>
      <protection hidden="1"/>
    </xf>
    <xf numFmtId="165" fontId="99" fillId="0" borderId="0" xfId="0" applyNumberFormat="1" applyFont="1" applyBorder="1" applyAlignment="1" applyProtection="1">
      <alignment horizontal="center" vertical="center" textRotation="90"/>
      <protection hidden="1"/>
    </xf>
    <xf numFmtId="165" fontId="99" fillId="0" borderId="231" xfId="0" applyNumberFormat="1" applyFont="1" applyBorder="1" applyAlignment="1" applyProtection="1">
      <alignment horizontal="center" vertical="center" textRotation="90"/>
      <protection hidden="1"/>
    </xf>
    <xf numFmtId="165" fontId="99" fillId="0" borderId="211" xfId="0" applyNumberFormat="1" applyFont="1" applyBorder="1" applyAlignment="1" applyProtection="1">
      <alignment horizontal="center" vertical="center" textRotation="90"/>
      <protection hidden="1"/>
    </xf>
    <xf numFmtId="165" fontId="99" fillId="0" borderId="212" xfId="0" applyNumberFormat="1" applyFont="1" applyBorder="1" applyAlignment="1" applyProtection="1">
      <alignment horizontal="center" vertical="center" textRotation="90"/>
      <protection hidden="1"/>
    </xf>
    <xf numFmtId="165" fontId="99" fillId="0" borderId="236" xfId="0" applyNumberFormat="1" applyFont="1" applyBorder="1" applyAlignment="1" applyProtection="1">
      <alignment horizontal="center" vertical="center" textRotation="90"/>
      <protection hidden="1"/>
    </xf>
    <xf numFmtId="165" fontId="99" fillId="0" borderId="239" xfId="0" applyNumberFormat="1" applyFont="1" applyBorder="1" applyAlignment="1" applyProtection="1">
      <alignment horizontal="center" vertical="center" textRotation="90"/>
      <protection hidden="1"/>
    </xf>
    <xf numFmtId="165" fontId="99" fillId="0" borderId="240" xfId="0" applyNumberFormat="1" applyFont="1" applyBorder="1" applyAlignment="1" applyProtection="1">
      <alignment horizontal="center" vertical="center" textRotation="90"/>
      <protection hidden="1"/>
    </xf>
    <xf numFmtId="165" fontId="99" fillId="0" borderId="241" xfId="0" applyNumberFormat="1" applyFont="1" applyBorder="1" applyAlignment="1" applyProtection="1">
      <alignment horizontal="center" vertical="center" textRotation="90"/>
      <protection hidden="1"/>
    </xf>
    <xf numFmtId="0" fontId="10" fillId="22" borderId="113" xfId="0" applyFont="1" applyFill="1" applyBorder="1" applyAlignment="1" applyProtection="1">
      <alignment horizontal="right" vertical="top" wrapText="1" readingOrder="2"/>
      <protection hidden="1"/>
    </xf>
    <xf numFmtId="0" fontId="60" fillId="22" borderId="61" xfId="0" applyFont="1" applyFill="1" applyBorder="1" applyAlignment="1" applyProtection="1">
      <alignment horizontal="right" vertical="center" wrapText="1"/>
      <protection hidden="1"/>
    </xf>
    <xf numFmtId="0" fontId="60" fillId="22" borderId="62" xfId="0" applyFont="1" applyFill="1" applyBorder="1" applyAlignment="1" applyProtection="1">
      <alignment horizontal="right" vertical="center" wrapText="1"/>
      <protection hidden="1"/>
    </xf>
    <xf numFmtId="0" fontId="98" fillId="25" borderId="201" xfId="0" applyFont="1" applyFill="1" applyBorder="1" applyAlignment="1" applyProtection="1">
      <alignment horizontal="right" vertical="top"/>
      <protection hidden="1"/>
    </xf>
    <xf numFmtId="0" fontId="98" fillId="25" borderId="200" xfId="0" applyFont="1" applyFill="1" applyBorder="1" applyAlignment="1" applyProtection="1">
      <alignment horizontal="right" vertical="top"/>
      <protection hidden="1"/>
    </xf>
    <xf numFmtId="0" fontId="98" fillId="25" borderId="202" xfId="0" applyFont="1" applyFill="1" applyBorder="1" applyAlignment="1" applyProtection="1">
      <alignment horizontal="right" vertical="top"/>
      <protection hidden="1"/>
    </xf>
    <xf numFmtId="0" fontId="41" fillId="0" borderId="193" xfId="0" applyFont="1" applyBorder="1" applyAlignment="1" applyProtection="1">
      <alignment horizontal="center" vertical="center"/>
      <protection hidden="1"/>
    </xf>
    <xf numFmtId="2" fontId="63" fillId="0" borderId="193" xfId="0" applyNumberFormat="1" applyFont="1" applyBorder="1" applyAlignment="1" applyProtection="1">
      <alignment horizontal="center" vertical="center"/>
      <protection hidden="1"/>
    </xf>
    <xf numFmtId="2" fontId="99" fillId="0" borderId="193" xfId="0" applyNumberFormat="1" applyFont="1" applyBorder="1" applyAlignment="1" applyProtection="1">
      <alignment horizontal="center" vertical="center" textRotation="90" readingOrder="2"/>
      <protection hidden="1"/>
    </xf>
    <xf numFmtId="2" fontId="99" fillId="0" borderId="214" xfId="0" applyNumberFormat="1" applyFont="1" applyBorder="1" applyAlignment="1" applyProtection="1">
      <alignment horizontal="center" vertical="center" textRotation="90" readingOrder="2"/>
      <protection hidden="1"/>
    </xf>
    <xf numFmtId="2" fontId="99" fillId="0" borderId="224" xfId="0" applyNumberFormat="1" applyFont="1" applyBorder="1" applyAlignment="1" applyProtection="1">
      <alignment horizontal="center" vertical="center" textRotation="90" readingOrder="2"/>
      <protection hidden="1"/>
    </xf>
    <xf numFmtId="2" fontId="99" fillId="0" borderId="203" xfId="0" applyNumberFormat="1" applyFont="1" applyBorder="1" applyAlignment="1" applyProtection="1">
      <alignment horizontal="center" vertical="center" textRotation="90" readingOrder="2"/>
      <protection hidden="1"/>
    </xf>
    <xf numFmtId="0" fontId="99" fillId="0" borderId="233" xfId="0" applyFont="1" applyBorder="1" applyAlignment="1" applyProtection="1">
      <alignment horizontal="center" vertical="center" textRotation="90"/>
      <protection hidden="1"/>
    </xf>
    <xf numFmtId="0" fontId="99" fillId="0" borderId="200" xfId="0" applyFont="1" applyBorder="1" applyAlignment="1" applyProtection="1">
      <alignment horizontal="center" vertical="center" textRotation="90"/>
      <protection hidden="1"/>
    </xf>
    <xf numFmtId="0" fontId="99" fillId="0" borderId="202" xfId="0" applyFont="1" applyBorder="1" applyAlignment="1" applyProtection="1">
      <alignment horizontal="center" vertical="center" textRotation="90"/>
      <protection hidden="1"/>
    </xf>
    <xf numFmtId="0" fontId="99" fillId="0" borderId="234" xfId="0" applyFont="1" applyBorder="1" applyAlignment="1" applyProtection="1">
      <alignment horizontal="center" vertical="center" textRotation="90"/>
      <protection hidden="1"/>
    </xf>
    <xf numFmtId="0" fontId="99" fillId="0" borderId="0" xfId="0" applyFont="1" applyBorder="1" applyAlignment="1" applyProtection="1">
      <alignment horizontal="center" vertical="center" textRotation="90"/>
      <protection hidden="1"/>
    </xf>
    <xf numFmtId="0" fontId="99" fillId="0" borderId="210" xfId="0" applyFont="1" applyBorder="1" applyAlignment="1" applyProtection="1">
      <alignment horizontal="center" vertical="center" textRotation="90"/>
      <protection hidden="1"/>
    </xf>
    <xf numFmtId="0" fontId="99" fillId="0" borderId="235" xfId="0" applyFont="1" applyBorder="1" applyAlignment="1" applyProtection="1">
      <alignment horizontal="center" vertical="center" textRotation="90"/>
      <protection hidden="1"/>
    </xf>
    <xf numFmtId="0" fontId="99" fillId="0" borderId="212" xfId="0" applyFont="1" applyBorder="1" applyAlignment="1" applyProtection="1">
      <alignment horizontal="center" vertical="center" textRotation="90"/>
      <protection hidden="1"/>
    </xf>
    <xf numFmtId="0" fontId="99" fillId="0" borderId="213" xfId="0" applyFont="1" applyBorder="1" applyAlignment="1" applyProtection="1">
      <alignment horizontal="center" vertical="center" textRotation="90"/>
      <protection hidden="1"/>
    </xf>
    <xf numFmtId="0" fontId="79" fillId="0" borderId="19" xfId="0" applyFont="1" applyFill="1" applyBorder="1" applyAlignment="1" applyProtection="1">
      <alignment horizontal="right" vertical="center"/>
      <protection hidden="1"/>
    </xf>
    <xf numFmtId="0" fontId="79" fillId="0" borderId="7" xfId="0" applyFont="1" applyFill="1" applyBorder="1" applyAlignment="1" applyProtection="1">
      <alignment horizontal="right" vertical="center"/>
      <protection hidden="1"/>
    </xf>
    <xf numFmtId="0" fontId="79" fillId="0" borderId="51" xfId="0" applyFont="1" applyFill="1" applyBorder="1" applyAlignment="1" applyProtection="1">
      <alignment horizontal="right" vertical="center"/>
      <protection hidden="1"/>
    </xf>
    <xf numFmtId="165" fontId="63" fillId="0" borderId="61" xfId="0" applyNumberFormat="1" applyFont="1" applyBorder="1" applyAlignment="1" applyProtection="1">
      <alignment horizontal="center" vertical="center" textRotation="90"/>
      <protection hidden="1"/>
    </xf>
    <xf numFmtId="165" fontId="63" fillId="0" borderId="62" xfId="0" applyNumberFormat="1" applyFont="1" applyBorder="1" applyAlignment="1" applyProtection="1">
      <alignment horizontal="center" vertical="center" textRotation="90"/>
      <protection hidden="1"/>
    </xf>
    <xf numFmtId="165" fontId="63" fillId="0" borderId="0" xfId="0" applyNumberFormat="1" applyFont="1" applyBorder="1" applyAlignment="1" applyProtection="1">
      <alignment horizontal="center" vertical="center" textRotation="90"/>
      <protection hidden="1"/>
    </xf>
    <xf numFmtId="165" fontId="63" fillId="0" borderId="63" xfId="0" applyNumberFormat="1" applyFont="1" applyBorder="1" applyAlignment="1" applyProtection="1">
      <alignment horizontal="center" vertical="center" textRotation="90"/>
      <protection hidden="1"/>
    </xf>
    <xf numFmtId="165" fontId="63" fillId="0" borderId="3" xfId="0" applyNumberFormat="1" applyFont="1" applyBorder="1" applyAlignment="1" applyProtection="1">
      <alignment horizontal="center" vertical="center" textRotation="90"/>
      <protection hidden="1"/>
    </xf>
    <xf numFmtId="165" fontId="63" fillId="0" borderId="55" xfId="0" applyNumberFormat="1" applyFont="1" applyBorder="1" applyAlignment="1" applyProtection="1">
      <alignment horizontal="center" vertical="center" textRotation="90"/>
      <protection hidden="1"/>
    </xf>
    <xf numFmtId="0" fontId="10" fillId="0" borderId="127" xfId="0" applyFont="1" applyBorder="1" applyAlignment="1" applyProtection="1">
      <alignment horizontal="center" vertical="center" textRotation="90"/>
      <protection hidden="1"/>
    </xf>
    <xf numFmtId="0" fontId="10" fillId="0" borderId="24" xfId="0" applyFont="1" applyBorder="1" applyAlignment="1" applyProtection="1">
      <alignment horizontal="center" vertical="center" textRotation="90"/>
      <protection hidden="1"/>
    </xf>
    <xf numFmtId="0" fontId="10" fillId="0" borderId="104" xfId="0" applyFont="1" applyBorder="1" applyAlignment="1" applyProtection="1">
      <alignment horizontal="center" vertical="center" textRotation="90"/>
      <protection hidden="1"/>
    </xf>
    <xf numFmtId="0" fontId="13" fillId="0" borderId="91" xfId="0" applyFont="1" applyFill="1" applyBorder="1" applyAlignment="1" applyProtection="1">
      <alignment horizontal="center" vertical="center" textRotation="90"/>
      <protection hidden="1"/>
    </xf>
    <xf numFmtId="0" fontId="69" fillId="0" borderId="113" xfId="0" applyFont="1" applyFill="1" applyBorder="1" applyAlignment="1" applyProtection="1">
      <alignment horizontal="center" vertical="center"/>
      <protection hidden="1"/>
    </xf>
    <xf numFmtId="0" fontId="69" fillId="0" borderId="3" xfId="0" applyFont="1" applyFill="1" applyBorder="1" applyAlignment="1" applyProtection="1">
      <alignment horizontal="center" vertical="center"/>
      <protection hidden="1"/>
    </xf>
    <xf numFmtId="0" fontId="69" fillId="0" borderId="55" xfId="0" applyFont="1" applyFill="1" applyBorder="1" applyAlignment="1" applyProtection="1">
      <alignment horizontal="center" vertical="center"/>
      <protection hidden="1"/>
    </xf>
    <xf numFmtId="0" fontId="32" fillId="14" borderId="66" xfId="0" applyFont="1" applyFill="1" applyBorder="1" applyAlignment="1" applyProtection="1">
      <alignment horizontal="center" vertical="center" readingOrder="2"/>
      <protection hidden="1"/>
    </xf>
    <xf numFmtId="0" fontId="32" fillId="14" borderId="65" xfId="0" applyFont="1" applyFill="1" applyBorder="1" applyAlignment="1" applyProtection="1">
      <alignment horizontal="center" vertical="center" readingOrder="2"/>
      <protection hidden="1"/>
    </xf>
    <xf numFmtId="0" fontId="32" fillId="14" borderId="120" xfId="0" applyFont="1" applyFill="1" applyBorder="1" applyAlignment="1" applyProtection="1">
      <alignment horizontal="center" vertical="center" readingOrder="2"/>
      <protection hidden="1"/>
    </xf>
    <xf numFmtId="0" fontId="32" fillId="14" borderId="67" xfId="0" applyFont="1" applyFill="1" applyBorder="1" applyAlignment="1" applyProtection="1">
      <alignment horizontal="center" vertical="center" readingOrder="2"/>
      <protection hidden="1"/>
    </xf>
    <xf numFmtId="0" fontId="32" fillId="14" borderId="121" xfId="0" applyFont="1" applyFill="1" applyBorder="1" applyAlignment="1" applyProtection="1">
      <alignment horizontal="center" vertical="center" readingOrder="2"/>
      <protection hidden="1"/>
    </xf>
    <xf numFmtId="0" fontId="32" fillId="14" borderId="70" xfId="0" applyFont="1" applyFill="1" applyBorder="1" applyAlignment="1" applyProtection="1">
      <alignment horizontal="center" vertical="center" readingOrder="2"/>
      <protection hidden="1"/>
    </xf>
    <xf numFmtId="0" fontId="13" fillId="0" borderId="59" xfId="0" applyFont="1" applyFill="1" applyBorder="1" applyAlignment="1" applyProtection="1">
      <alignment horizontal="center" vertical="center" textRotation="90"/>
      <protection hidden="1"/>
    </xf>
    <xf numFmtId="0" fontId="13" fillId="0" borderId="3" xfId="0" applyFont="1" applyFill="1" applyBorder="1" applyAlignment="1" applyProtection="1">
      <alignment horizontal="center" vertical="center" textRotation="90"/>
      <protection hidden="1"/>
    </xf>
    <xf numFmtId="2" fontId="63" fillId="0" borderId="76" xfId="0" applyNumberFormat="1" applyFont="1" applyFill="1" applyBorder="1" applyAlignment="1" applyProtection="1">
      <alignment horizontal="center" vertical="center" wrapText="1"/>
      <protection hidden="1"/>
    </xf>
    <xf numFmtId="2" fontId="63" fillId="0" borderId="90" xfId="0" applyNumberFormat="1" applyFont="1" applyFill="1" applyBorder="1" applyAlignment="1" applyProtection="1">
      <alignment horizontal="center" vertical="center" wrapText="1"/>
      <protection hidden="1"/>
    </xf>
    <xf numFmtId="2" fontId="63" fillId="0" borderId="14" xfId="0" applyNumberFormat="1" applyFont="1" applyFill="1" applyBorder="1" applyAlignment="1" applyProtection="1">
      <alignment horizontal="center" vertical="center" wrapText="1"/>
      <protection hidden="1"/>
    </xf>
    <xf numFmtId="2" fontId="63" fillId="0" borderId="15" xfId="0" applyNumberFormat="1" applyFont="1" applyFill="1" applyBorder="1" applyAlignment="1" applyProtection="1">
      <alignment horizontal="center" vertical="center" wrapText="1"/>
      <protection hidden="1"/>
    </xf>
    <xf numFmtId="0" fontId="41" fillId="0" borderId="8" xfId="0" applyFont="1" applyBorder="1" applyAlignment="1" applyProtection="1">
      <alignment horizontal="center" vertical="center"/>
      <protection hidden="1"/>
    </xf>
    <xf numFmtId="2" fontId="63" fillId="0" borderId="257" xfId="0" applyNumberFormat="1" applyFont="1" applyBorder="1" applyAlignment="1" applyProtection="1">
      <alignment horizontal="center" vertical="center"/>
      <protection hidden="1"/>
    </xf>
    <xf numFmtId="2" fontId="63" fillId="0" borderId="258" xfId="0" applyNumberFormat="1" applyFont="1" applyBorder="1" applyAlignment="1" applyProtection="1">
      <alignment horizontal="center" vertical="center"/>
      <protection hidden="1"/>
    </xf>
    <xf numFmtId="2" fontId="63" fillId="0" borderId="234" xfId="0" applyNumberFormat="1" applyFont="1" applyBorder="1" applyAlignment="1" applyProtection="1">
      <alignment horizontal="center" vertical="center"/>
      <protection hidden="1"/>
    </xf>
    <xf numFmtId="2" fontId="63" fillId="0" borderId="231" xfId="0" applyNumberFormat="1" applyFont="1" applyBorder="1" applyAlignment="1" applyProtection="1">
      <alignment horizontal="center" vertical="center"/>
      <protection hidden="1"/>
    </xf>
    <xf numFmtId="2" fontId="63" fillId="0" borderId="244" xfId="0" applyNumberFormat="1" applyFont="1" applyBorder="1" applyAlignment="1" applyProtection="1">
      <alignment horizontal="center" vertical="center"/>
      <protection hidden="1"/>
    </xf>
    <xf numFmtId="2" fontId="63" fillId="0" borderId="226" xfId="0" applyNumberFormat="1" applyFont="1" applyBorder="1" applyAlignment="1" applyProtection="1">
      <alignment horizontal="center" vertical="center"/>
      <protection hidden="1"/>
    </xf>
    <xf numFmtId="2" fontId="99" fillId="0" borderId="257" xfId="0" applyNumberFormat="1" applyFont="1" applyBorder="1" applyAlignment="1" applyProtection="1">
      <alignment horizontal="center" vertical="center" textRotation="90" readingOrder="2"/>
      <protection hidden="1"/>
    </xf>
    <xf numFmtId="2" fontId="99" fillId="0" borderId="258" xfId="0" applyNumberFormat="1" applyFont="1" applyBorder="1" applyAlignment="1" applyProtection="1">
      <alignment horizontal="center" vertical="center" textRotation="90" readingOrder="2"/>
      <protection hidden="1"/>
    </xf>
    <xf numFmtId="2" fontId="99" fillId="0" borderId="234" xfId="0" applyNumberFormat="1" applyFont="1" applyBorder="1" applyAlignment="1" applyProtection="1">
      <alignment horizontal="center" vertical="center" textRotation="90" readingOrder="2"/>
      <protection hidden="1"/>
    </xf>
    <xf numFmtId="2" fontId="99" fillId="0" borderId="231" xfId="0" applyNumberFormat="1" applyFont="1" applyBorder="1" applyAlignment="1" applyProtection="1">
      <alignment horizontal="center" vertical="center" textRotation="90" readingOrder="2"/>
      <protection hidden="1"/>
    </xf>
    <xf numFmtId="2" fontId="99" fillId="0" borderId="244" xfId="0" applyNumberFormat="1" applyFont="1" applyBorder="1" applyAlignment="1" applyProtection="1">
      <alignment horizontal="center" vertical="center" textRotation="90" readingOrder="2"/>
      <protection hidden="1"/>
    </xf>
    <xf numFmtId="2" fontId="99" fillId="0" borderId="226" xfId="0" applyNumberFormat="1" applyFont="1" applyBorder="1" applyAlignment="1" applyProtection="1">
      <alignment horizontal="center" vertical="center" textRotation="90" readingOrder="2"/>
      <protection hidden="1"/>
    </xf>
    <xf numFmtId="0" fontId="35" fillId="27" borderId="151" xfId="0" applyFont="1" applyFill="1" applyBorder="1" applyAlignment="1" applyProtection="1">
      <alignment horizontal="center" vertical="center"/>
      <protection hidden="1"/>
    </xf>
    <xf numFmtId="0" fontId="35" fillId="27" borderId="136" xfId="0" applyFont="1" applyFill="1" applyBorder="1" applyAlignment="1" applyProtection="1">
      <alignment horizontal="center" vertical="center"/>
      <protection hidden="1"/>
    </xf>
    <xf numFmtId="0" fontId="29" fillId="0" borderId="249" xfId="0" applyFont="1" applyFill="1" applyBorder="1" applyAlignment="1" applyProtection="1">
      <alignment horizontal="center" vertical="center"/>
      <protection hidden="1"/>
    </xf>
    <xf numFmtId="0" fontId="35" fillId="27" borderId="83" xfId="0" applyFont="1" applyFill="1" applyBorder="1" applyAlignment="1" applyProtection="1">
      <alignment horizontal="center" vertical="center" wrapText="1"/>
      <protection hidden="1"/>
    </xf>
    <xf numFmtId="0" fontId="35" fillId="27" borderId="182" xfId="0" applyFont="1" applyFill="1" applyBorder="1" applyAlignment="1" applyProtection="1">
      <alignment horizontal="center" vertical="center" wrapText="1"/>
      <protection hidden="1"/>
    </xf>
    <xf numFmtId="0" fontId="35" fillId="27" borderId="71" xfId="0" applyFont="1" applyFill="1" applyBorder="1" applyAlignment="1" applyProtection="1">
      <alignment horizontal="center" vertical="center" wrapText="1"/>
      <protection hidden="1"/>
    </xf>
    <xf numFmtId="0" fontId="35" fillId="27" borderId="108" xfId="0" applyFont="1" applyFill="1" applyBorder="1" applyAlignment="1" applyProtection="1">
      <alignment horizontal="center" vertical="center" wrapText="1"/>
      <protection hidden="1"/>
    </xf>
    <xf numFmtId="0" fontId="35" fillId="27" borderId="66" xfId="0" applyFont="1" applyFill="1" applyBorder="1" applyAlignment="1" applyProtection="1">
      <alignment horizontal="center" vertical="center" wrapText="1"/>
      <protection hidden="1"/>
    </xf>
    <xf numFmtId="0" fontId="32" fillId="27" borderId="116" xfId="0" applyFont="1" applyFill="1" applyBorder="1" applyAlignment="1" applyProtection="1">
      <alignment horizontal="center" vertical="center" readingOrder="2"/>
      <protection hidden="1"/>
    </xf>
    <xf numFmtId="0" fontId="32" fillId="27" borderId="129" xfId="0" applyFont="1" applyFill="1" applyBorder="1" applyAlignment="1" applyProtection="1">
      <alignment horizontal="center" vertical="center" readingOrder="2"/>
      <protection hidden="1"/>
    </xf>
    <xf numFmtId="0" fontId="32" fillId="27" borderId="114" xfId="0" applyFont="1" applyFill="1" applyBorder="1" applyAlignment="1" applyProtection="1">
      <alignment horizontal="center" vertical="center" readingOrder="2"/>
      <protection hidden="1"/>
    </xf>
    <xf numFmtId="0" fontId="32" fillId="27" borderId="72" xfId="0" applyFont="1" applyFill="1" applyBorder="1" applyAlignment="1" applyProtection="1">
      <alignment horizontal="center" vertical="center" readingOrder="2"/>
      <protection hidden="1"/>
    </xf>
    <xf numFmtId="0" fontId="32" fillId="27" borderId="118" xfId="0" applyFont="1" applyFill="1" applyBorder="1" applyAlignment="1" applyProtection="1">
      <alignment horizontal="center" vertical="center" readingOrder="2"/>
      <protection hidden="1"/>
    </xf>
    <xf numFmtId="0" fontId="32" fillId="27" borderId="73" xfId="0" applyFont="1" applyFill="1" applyBorder="1" applyAlignment="1" applyProtection="1">
      <alignment horizontal="center" vertical="center" readingOrder="2"/>
      <protection hidden="1"/>
    </xf>
    <xf numFmtId="0" fontId="35" fillId="27" borderId="74" xfId="0" applyFont="1" applyFill="1" applyBorder="1" applyAlignment="1" applyProtection="1">
      <alignment horizontal="center" vertical="center" wrapText="1"/>
      <protection hidden="1"/>
    </xf>
    <xf numFmtId="165" fontId="63" fillId="0" borderId="13" xfId="0" applyNumberFormat="1" applyFont="1" applyFill="1" applyBorder="1" applyAlignment="1" applyProtection="1">
      <alignment horizontal="center" vertical="center" wrapText="1"/>
      <protection hidden="1"/>
    </xf>
    <xf numFmtId="165" fontId="63" fillId="0" borderId="14" xfId="0" applyNumberFormat="1" applyFont="1" applyFill="1" applyBorder="1" applyAlignment="1" applyProtection="1">
      <alignment horizontal="center" vertical="center" wrapText="1"/>
      <protection hidden="1"/>
    </xf>
    <xf numFmtId="165" fontId="63" fillId="0" borderId="15" xfId="0" applyNumberFormat="1" applyFont="1" applyFill="1" applyBorder="1" applyAlignment="1" applyProtection="1">
      <alignment horizontal="center" vertical="center" wrapText="1"/>
      <protection hidden="1"/>
    </xf>
    <xf numFmtId="165" fontId="63" fillId="0" borderId="101" xfId="0" applyNumberFormat="1" applyFont="1" applyFill="1" applyBorder="1" applyAlignment="1" applyProtection="1">
      <alignment horizontal="center" vertical="center" wrapText="1"/>
      <protection hidden="1"/>
    </xf>
    <xf numFmtId="165" fontId="63" fillId="0" borderId="68" xfId="0" applyNumberFormat="1" applyFont="1" applyFill="1" applyBorder="1" applyAlignment="1" applyProtection="1">
      <alignment horizontal="center" vertical="center" wrapText="1"/>
      <protection hidden="1"/>
    </xf>
    <xf numFmtId="165" fontId="63" fillId="0" borderId="64" xfId="0" applyNumberFormat="1" applyFont="1" applyFill="1" applyBorder="1" applyAlignment="1" applyProtection="1">
      <alignment horizontal="center" vertical="center" wrapText="1"/>
      <protection hidden="1"/>
    </xf>
    <xf numFmtId="0" fontId="36" fillId="14" borderId="115" xfId="0" applyFont="1" applyFill="1" applyBorder="1" applyAlignment="1" applyProtection="1">
      <alignment horizontal="center" vertical="center"/>
      <protection hidden="1"/>
    </xf>
    <xf numFmtId="0" fontId="36" fillId="14" borderId="116" xfId="0" applyFont="1" applyFill="1" applyBorder="1" applyAlignment="1" applyProtection="1">
      <alignment horizontal="center" vertical="center"/>
      <protection hidden="1"/>
    </xf>
    <xf numFmtId="2" fontId="63" fillId="0" borderId="68" xfId="0" applyNumberFormat="1" applyFont="1" applyFill="1" applyBorder="1" applyAlignment="1" applyProtection="1">
      <alignment horizontal="center" vertical="center" wrapText="1"/>
      <protection hidden="1"/>
    </xf>
    <xf numFmtId="2" fontId="63" fillId="0" borderId="64" xfId="0" applyNumberFormat="1" applyFont="1" applyFill="1" applyBorder="1" applyAlignment="1" applyProtection="1">
      <alignment horizontal="center" vertical="center" wrapText="1"/>
      <protection hidden="1"/>
    </xf>
    <xf numFmtId="0" fontId="63" fillId="0" borderId="8" xfId="0" applyFont="1" applyFill="1" applyBorder="1" applyAlignment="1" applyProtection="1">
      <alignment horizontal="center" vertical="center" wrapText="1"/>
      <protection hidden="1"/>
    </xf>
    <xf numFmtId="0" fontId="63" fillId="0" borderId="13" xfId="0" applyFont="1" applyFill="1" applyBorder="1" applyAlignment="1" applyProtection="1">
      <alignment horizontal="center" vertical="center" wrapText="1"/>
      <protection hidden="1"/>
    </xf>
    <xf numFmtId="0" fontId="41" fillId="20" borderId="19" xfId="0" applyFont="1" applyFill="1" applyBorder="1" applyAlignment="1" applyProtection="1">
      <alignment horizontal="center"/>
      <protection hidden="1"/>
    </xf>
    <xf numFmtId="0" fontId="41" fillId="20" borderId="3" xfId="0" applyFont="1" applyFill="1" applyBorder="1" applyAlignment="1" applyProtection="1">
      <alignment horizontal="center"/>
      <protection hidden="1"/>
    </xf>
    <xf numFmtId="0" fontId="41" fillId="20" borderId="7" xfId="0" applyFont="1" applyFill="1" applyBorder="1" applyAlignment="1" applyProtection="1">
      <alignment horizontal="center"/>
      <protection hidden="1"/>
    </xf>
    <xf numFmtId="0" fontId="41" fillId="20" borderId="51" xfId="0" applyFont="1" applyFill="1" applyBorder="1" applyAlignment="1" applyProtection="1">
      <alignment horizontal="center"/>
      <protection hidden="1"/>
    </xf>
    <xf numFmtId="0" fontId="69" fillId="0" borderId="19" xfId="0" applyFont="1" applyFill="1" applyBorder="1" applyAlignment="1" applyProtection="1">
      <alignment horizontal="center" vertical="center"/>
      <protection hidden="1"/>
    </xf>
    <xf numFmtId="0" fontId="69" fillId="0" borderId="7" xfId="0" applyFont="1" applyFill="1" applyBorder="1" applyAlignment="1" applyProtection="1">
      <alignment horizontal="center" vertical="center"/>
      <protection hidden="1"/>
    </xf>
    <xf numFmtId="0" fontId="69" fillId="0" borderId="51" xfId="0" applyFont="1" applyFill="1" applyBorder="1" applyAlignment="1" applyProtection="1">
      <alignment horizontal="center" vertical="center"/>
      <protection hidden="1"/>
    </xf>
    <xf numFmtId="0" fontId="51" fillId="19" borderId="157" xfId="0" applyFont="1" applyFill="1" applyBorder="1" applyAlignment="1" applyProtection="1">
      <alignment horizontal="center" vertical="center"/>
      <protection hidden="1"/>
    </xf>
    <xf numFmtId="0" fontId="51" fillId="19" borderId="165" xfId="0" applyFont="1" applyFill="1" applyBorder="1" applyAlignment="1" applyProtection="1">
      <alignment horizontal="center" vertical="center"/>
      <protection hidden="1"/>
    </xf>
    <xf numFmtId="0" fontId="51" fillId="19" borderId="166" xfId="0" applyFont="1" applyFill="1" applyBorder="1" applyAlignment="1" applyProtection="1">
      <alignment horizontal="center" vertical="center"/>
      <protection hidden="1"/>
    </xf>
    <xf numFmtId="0" fontId="51" fillId="19" borderId="162" xfId="0" applyFont="1" applyFill="1" applyBorder="1" applyAlignment="1" applyProtection="1">
      <alignment horizontal="center" vertical="center"/>
      <protection hidden="1"/>
    </xf>
    <xf numFmtId="0" fontId="51" fillId="19" borderId="163" xfId="0" applyFont="1" applyFill="1" applyBorder="1" applyAlignment="1" applyProtection="1">
      <alignment horizontal="center" vertical="center"/>
      <protection hidden="1"/>
    </xf>
    <xf numFmtId="165" fontId="63" fillId="0" borderId="100" xfId="0" applyNumberFormat="1" applyFont="1" applyFill="1" applyBorder="1" applyAlignment="1" applyProtection="1">
      <alignment horizontal="center" vertical="center" wrapText="1"/>
      <protection hidden="1"/>
    </xf>
    <xf numFmtId="165" fontId="63" fillId="0" borderId="76" xfId="0" applyNumberFormat="1" applyFont="1" applyFill="1" applyBorder="1" applyAlignment="1" applyProtection="1">
      <alignment horizontal="center" vertical="center" wrapText="1"/>
      <protection hidden="1"/>
    </xf>
    <xf numFmtId="165" fontId="63" fillId="0" borderId="90" xfId="0" applyNumberFormat="1" applyFont="1" applyFill="1" applyBorder="1" applyAlignment="1" applyProtection="1">
      <alignment horizontal="center" vertical="center" wrapText="1"/>
      <protection hidden="1"/>
    </xf>
    <xf numFmtId="0" fontId="63" fillId="0" borderId="100" xfId="0" applyFont="1" applyFill="1" applyBorder="1" applyAlignment="1" applyProtection="1">
      <alignment horizontal="center" vertical="center" wrapText="1"/>
      <protection hidden="1"/>
    </xf>
    <xf numFmtId="0" fontId="63" fillId="0" borderId="90" xfId="0" applyFont="1" applyFill="1" applyBorder="1" applyAlignment="1" applyProtection="1">
      <alignment horizontal="center" vertical="center" wrapText="1"/>
      <protection hidden="1"/>
    </xf>
    <xf numFmtId="0" fontId="35" fillId="14" borderId="111" xfId="0" applyFont="1" applyFill="1" applyBorder="1" applyAlignment="1" applyProtection="1">
      <alignment horizontal="center" vertical="center"/>
      <protection hidden="1"/>
    </xf>
    <xf numFmtId="0" fontId="35" fillId="14" borderId="168" xfId="0" applyFont="1" applyFill="1" applyBorder="1" applyAlignment="1" applyProtection="1">
      <alignment horizontal="center" vertical="center"/>
      <protection hidden="1"/>
    </xf>
    <xf numFmtId="0" fontId="35" fillId="14" borderId="88" xfId="0" applyFont="1" applyFill="1" applyBorder="1" applyAlignment="1" applyProtection="1">
      <alignment horizontal="center" vertical="center" wrapText="1"/>
      <protection hidden="1"/>
    </xf>
    <xf numFmtId="0" fontId="35" fillId="14" borderId="107" xfId="0" applyFont="1" applyFill="1" applyBorder="1" applyAlignment="1" applyProtection="1">
      <alignment horizontal="center" vertical="center" wrapText="1"/>
      <protection hidden="1"/>
    </xf>
    <xf numFmtId="0" fontId="35" fillId="14" borderId="54" xfId="0" applyFont="1" applyFill="1" applyBorder="1" applyAlignment="1" applyProtection="1">
      <alignment horizontal="center" vertical="center" wrapText="1"/>
      <protection hidden="1"/>
    </xf>
    <xf numFmtId="0" fontId="35" fillId="14" borderId="113" xfId="0" applyFont="1" applyFill="1" applyBorder="1" applyAlignment="1" applyProtection="1">
      <alignment horizontal="center" vertical="center" wrapText="1"/>
      <protection hidden="1"/>
    </xf>
    <xf numFmtId="0" fontId="73" fillId="20" borderId="19" xfId="0" applyFont="1" applyFill="1" applyBorder="1" applyAlignment="1" applyProtection="1">
      <alignment horizontal="center" vertical="center"/>
      <protection hidden="1"/>
    </xf>
    <xf numFmtId="0" fontId="73" fillId="20" borderId="7" xfId="0" applyFont="1" applyFill="1" applyBorder="1" applyAlignment="1" applyProtection="1">
      <alignment horizontal="center" vertical="center"/>
      <protection hidden="1"/>
    </xf>
    <xf numFmtId="0" fontId="73" fillId="20" borderId="51" xfId="0" applyFont="1" applyFill="1" applyBorder="1" applyAlignment="1" applyProtection="1">
      <alignment horizontal="center" vertical="center"/>
      <protection hidden="1"/>
    </xf>
    <xf numFmtId="0" fontId="32" fillId="14" borderId="92" xfId="0" applyFont="1" applyFill="1" applyBorder="1" applyAlignment="1" applyProtection="1">
      <alignment horizontal="center" vertical="center" readingOrder="2"/>
      <protection hidden="1"/>
    </xf>
    <xf numFmtId="0" fontId="32" fillId="14" borderId="102" xfId="0" applyFont="1" applyFill="1" applyBorder="1" applyAlignment="1" applyProtection="1">
      <alignment horizontal="center" vertical="center" readingOrder="2"/>
      <protection hidden="1"/>
    </xf>
    <xf numFmtId="2" fontId="63" fillId="0" borderId="8" xfId="0" applyNumberFormat="1" applyFont="1" applyFill="1" applyBorder="1" applyAlignment="1" applyProtection="1">
      <alignment horizontal="center" vertical="center" wrapText="1"/>
      <protection hidden="1"/>
    </xf>
    <xf numFmtId="2" fontId="63" fillId="0" borderId="44" xfId="0" applyNumberFormat="1" applyFont="1" applyFill="1" applyBorder="1" applyAlignment="1" applyProtection="1">
      <alignment horizontal="center" vertical="center" wrapText="1"/>
      <protection hidden="1"/>
    </xf>
    <xf numFmtId="2" fontId="63" fillId="0" borderId="11" xfId="0" applyNumberFormat="1" applyFont="1" applyFill="1" applyBorder="1" applyAlignment="1" applyProtection="1">
      <alignment horizontal="center" vertical="center" wrapText="1"/>
      <protection hidden="1"/>
    </xf>
    <xf numFmtId="2" fontId="63" fillId="0" borderId="46" xfId="0" applyNumberFormat="1" applyFont="1" applyFill="1" applyBorder="1" applyAlignment="1" applyProtection="1">
      <alignment horizontal="center" vertical="center" wrapText="1"/>
      <protection hidden="1"/>
    </xf>
    <xf numFmtId="0" fontId="41" fillId="22" borderId="1" xfId="0" applyFont="1" applyFill="1" applyBorder="1" applyAlignment="1" applyProtection="1">
      <alignment horizontal="center" vertical="center"/>
      <protection hidden="1"/>
    </xf>
    <xf numFmtId="0" fontId="35" fillId="14" borderId="65" xfId="0" applyFont="1" applyFill="1" applyBorder="1" applyAlignment="1" applyProtection="1">
      <alignment horizontal="center" vertical="center" wrapText="1"/>
      <protection hidden="1"/>
    </xf>
    <xf numFmtId="0" fontId="35" fillId="14" borderId="114" xfId="0" applyFont="1" applyFill="1" applyBorder="1" applyAlignment="1" applyProtection="1">
      <alignment horizontal="center" vertical="center" wrapText="1"/>
      <protection hidden="1"/>
    </xf>
    <xf numFmtId="0" fontId="35" fillId="14" borderId="112" xfId="0" applyFont="1" applyFill="1" applyBorder="1" applyAlignment="1" applyProtection="1">
      <alignment horizontal="center" vertical="center" wrapText="1"/>
      <protection hidden="1"/>
    </xf>
    <xf numFmtId="0" fontId="35" fillId="14" borderId="120" xfId="0" applyFont="1" applyFill="1" applyBorder="1" applyAlignment="1" applyProtection="1">
      <alignment horizontal="center" vertical="center" wrapText="1"/>
      <protection hidden="1"/>
    </xf>
    <xf numFmtId="0" fontId="35" fillId="14" borderId="123" xfId="0" applyFont="1" applyFill="1" applyBorder="1" applyAlignment="1" applyProtection="1">
      <alignment horizontal="center" vertical="center" wrapText="1"/>
      <protection hidden="1"/>
    </xf>
    <xf numFmtId="0" fontId="35" fillId="14" borderId="102" xfId="0" applyFont="1" applyFill="1" applyBorder="1" applyAlignment="1" applyProtection="1">
      <alignment horizontal="center" vertical="center"/>
      <protection hidden="1"/>
    </xf>
    <xf numFmtId="0" fontId="35" fillId="14" borderId="117" xfId="0" applyFont="1" applyFill="1" applyBorder="1" applyAlignment="1" applyProtection="1">
      <alignment horizontal="center" vertical="center"/>
      <protection hidden="1"/>
    </xf>
    <xf numFmtId="0" fontId="35" fillId="14" borderId="107" xfId="0" applyFont="1" applyFill="1" applyBorder="1" applyAlignment="1" applyProtection="1">
      <alignment horizontal="center" vertical="center"/>
      <protection hidden="1"/>
    </xf>
    <xf numFmtId="0" fontId="35" fillId="14" borderId="67" xfId="0" applyFont="1" applyFill="1" applyBorder="1" applyAlignment="1" applyProtection="1">
      <alignment horizontal="center" vertical="center" wrapText="1"/>
      <protection hidden="1"/>
    </xf>
    <xf numFmtId="0" fontId="35" fillId="14" borderId="118" xfId="0" applyFont="1" applyFill="1" applyBorder="1" applyAlignment="1" applyProtection="1">
      <alignment horizontal="center" vertical="center" wrapText="1"/>
      <protection hidden="1"/>
    </xf>
    <xf numFmtId="0" fontId="36" fillId="14" borderId="72" xfId="0" applyFont="1" applyFill="1" applyBorder="1" applyAlignment="1" applyProtection="1">
      <alignment horizontal="center" vertical="center"/>
      <protection hidden="1"/>
    </xf>
    <xf numFmtId="0" fontId="36" fillId="14" borderId="73" xfId="0" applyFont="1" applyFill="1" applyBorder="1" applyAlignment="1" applyProtection="1">
      <alignment horizontal="center" vertical="center"/>
      <protection hidden="1"/>
    </xf>
    <xf numFmtId="0" fontId="35" fillId="14" borderId="66" xfId="0" applyFont="1" applyFill="1" applyBorder="1" applyAlignment="1" applyProtection="1">
      <alignment horizontal="center" vertical="center"/>
      <protection hidden="1"/>
    </xf>
    <xf numFmtId="0" fontId="69" fillId="0" borderId="82" xfId="0" applyFont="1" applyFill="1" applyBorder="1" applyAlignment="1" applyProtection="1">
      <alignment horizontal="center" vertical="center" wrapText="1"/>
      <protection hidden="1"/>
    </xf>
    <xf numFmtId="0" fontId="69" fillId="0" borderId="48" xfId="0" applyFont="1" applyFill="1" applyBorder="1" applyAlignment="1" applyProtection="1">
      <alignment horizontal="center" vertical="center" wrapText="1"/>
      <protection hidden="1"/>
    </xf>
    <xf numFmtId="0" fontId="10" fillId="23" borderId="1" xfId="0" applyFont="1" applyFill="1" applyBorder="1" applyAlignment="1" applyProtection="1">
      <alignment horizontal="right" vertical="top"/>
      <protection locked="0"/>
    </xf>
    <xf numFmtId="0" fontId="10" fillId="23" borderId="0" xfId="0" applyFont="1" applyFill="1" applyBorder="1" applyAlignment="1" applyProtection="1">
      <alignment horizontal="right" vertical="top"/>
      <protection locked="0"/>
    </xf>
    <xf numFmtId="0" fontId="10" fillId="23" borderId="63" xfId="0" applyFont="1" applyFill="1" applyBorder="1" applyAlignment="1" applyProtection="1">
      <alignment horizontal="right" vertical="top"/>
      <protection locked="0"/>
    </xf>
    <xf numFmtId="0" fontId="10" fillId="23" borderId="113" xfId="0" applyFont="1" applyFill="1" applyBorder="1" applyAlignment="1" applyProtection="1">
      <alignment horizontal="right" vertical="top"/>
      <protection locked="0"/>
    </xf>
    <xf numFmtId="0" fontId="10" fillId="23" borderId="3" xfId="0" applyFont="1" applyFill="1" applyBorder="1" applyAlignment="1" applyProtection="1">
      <alignment horizontal="right" vertical="top"/>
      <protection locked="0"/>
    </xf>
    <xf numFmtId="0" fontId="10" fillId="23" borderId="55" xfId="0" applyFont="1" applyFill="1" applyBorder="1" applyAlignment="1" applyProtection="1">
      <alignment horizontal="right" vertical="top"/>
      <protection locked="0"/>
    </xf>
    <xf numFmtId="2" fontId="13" fillId="0" borderId="127" xfId="0" applyNumberFormat="1" applyFont="1" applyFill="1" applyBorder="1" applyAlignment="1" applyProtection="1">
      <alignment horizontal="center" vertical="center" textRotation="90" wrapText="1"/>
      <protection hidden="1"/>
    </xf>
    <xf numFmtId="2" fontId="13" fillId="0" borderId="24" xfId="0" applyNumberFormat="1" applyFont="1" applyFill="1" applyBorder="1" applyAlignment="1" applyProtection="1">
      <alignment horizontal="center" vertical="center" textRotation="90" wrapText="1"/>
      <protection hidden="1"/>
    </xf>
    <xf numFmtId="0" fontId="35" fillId="14" borderId="187" xfId="0" applyFont="1" applyFill="1" applyBorder="1" applyAlignment="1" applyProtection="1">
      <alignment horizontal="center" vertical="center" wrapText="1"/>
      <protection hidden="1"/>
    </xf>
    <xf numFmtId="0" fontId="35" fillId="14" borderId="188" xfId="0" applyFont="1" applyFill="1" applyBorder="1" applyAlignment="1" applyProtection="1">
      <alignment horizontal="center" vertical="center" wrapText="1"/>
      <protection hidden="1"/>
    </xf>
    <xf numFmtId="0" fontId="35" fillId="14" borderId="111" xfId="0" applyFont="1" applyFill="1" applyBorder="1" applyAlignment="1" applyProtection="1">
      <alignment horizontal="center" vertical="center" wrapText="1"/>
      <protection hidden="1"/>
    </xf>
    <xf numFmtId="0" fontId="35" fillId="14" borderId="168" xfId="0" applyFont="1" applyFill="1" applyBorder="1" applyAlignment="1" applyProtection="1">
      <alignment horizontal="center" vertical="center" wrapText="1"/>
      <protection hidden="1"/>
    </xf>
    <xf numFmtId="0" fontId="13" fillId="0" borderId="1"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vertical="center"/>
      <protection hidden="1"/>
    </xf>
    <xf numFmtId="0" fontId="13" fillId="0" borderId="63" xfId="0" applyFont="1" applyFill="1" applyBorder="1" applyAlignment="1" applyProtection="1">
      <alignment horizontal="center" vertical="center"/>
      <protection hidden="1"/>
    </xf>
    <xf numFmtId="0" fontId="13" fillId="0" borderId="113" xfId="0" applyFont="1" applyFill="1" applyBorder="1" applyAlignment="1" applyProtection="1">
      <alignment horizontal="center" vertical="center"/>
      <protection hidden="1"/>
    </xf>
    <xf numFmtId="0" fontId="13" fillId="0" borderId="3" xfId="0" applyFont="1" applyFill="1" applyBorder="1" applyAlignment="1" applyProtection="1">
      <alignment horizontal="center" vertical="center"/>
      <protection hidden="1"/>
    </xf>
    <xf numFmtId="0" fontId="13" fillId="0" borderId="55" xfId="0" applyFont="1" applyFill="1" applyBorder="1" applyAlignment="1" applyProtection="1">
      <alignment horizontal="center" vertical="center"/>
      <protection hidden="1"/>
    </xf>
    <xf numFmtId="0" fontId="13" fillId="23" borderId="54" xfId="0" applyFont="1" applyFill="1" applyBorder="1" applyAlignment="1" applyProtection="1">
      <alignment horizontal="right"/>
      <protection hidden="1"/>
    </xf>
    <xf numFmtId="0" fontId="13" fillId="23" borderId="61" xfId="0" applyFont="1" applyFill="1" applyBorder="1" applyAlignment="1" applyProtection="1">
      <alignment horizontal="right"/>
      <protection hidden="1"/>
    </xf>
    <xf numFmtId="0" fontId="13" fillId="23" borderId="62" xfId="0" applyFont="1" applyFill="1" applyBorder="1" applyAlignment="1" applyProtection="1">
      <alignment horizontal="right"/>
      <protection hidden="1"/>
    </xf>
    <xf numFmtId="2" fontId="13" fillId="0" borderId="169" xfId="0" applyNumberFormat="1" applyFont="1" applyFill="1" applyBorder="1" applyAlignment="1" applyProtection="1">
      <alignment horizontal="center" vertical="center" textRotation="90" wrapText="1"/>
      <protection hidden="1"/>
    </xf>
    <xf numFmtId="2" fontId="13" fillId="0" borderId="119" xfId="0" applyNumberFormat="1" applyFont="1" applyFill="1" applyBorder="1" applyAlignment="1" applyProtection="1">
      <alignment horizontal="center" vertical="center" textRotation="90" wrapText="1"/>
      <protection hidden="1"/>
    </xf>
    <xf numFmtId="0" fontId="98" fillId="25" borderId="209" xfId="0" applyFont="1" applyFill="1" applyBorder="1" applyAlignment="1" applyProtection="1">
      <alignment horizontal="right" vertical="top"/>
      <protection hidden="1"/>
    </xf>
    <xf numFmtId="0" fontId="98" fillId="25" borderId="0" xfId="0" applyFont="1" applyFill="1" applyBorder="1" applyAlignment="1" applyProtection="1">
      <alignment horizontal="right" vertical="top"/>
      <protection hidden="1"/>
    </xf>
    <xf numFmtId="0" fontId="98" fillId="25" borderId="210" xfId="0" applyFont="1" applyFill="1" applyBorder="1" applyAlignment="1" applyProtection="1">
      <alignment horizontal="right" vertical="top"/>
      <protection hidden="1"/>
    </xf>
    <xf numFmtId="0" fontId="51" fillId="25" borderId="0" xfId="0" applyFont="1" applyFill="1" applyBorder="1" applyAlignment="1" applyProtection="1">
      <alignment horizontal="right" vertical="center"/>
      <protection hidden="1"/>
    </xf>
    <xf numFmtId="0" fontId="41" fillId="26" borderId="212" xfId="0" applyFont="1" applyFill="1" applyBorder="1" applyAlignment="1" applyProtection="1">
      <alignment horizontal="center" vertical="center"/>
      <protection hidden="1"/>
    </xf>
    <xf numFmtId="0" fontId="63" fillId="0" borderId="203" xfId="0" applyFont="1" applyFill="1" applyBorder="1" applyAlignment="1" applyProtection="1">
      <alignment horizontal="center" vertical="center"/>
      <protection hidden="1"/>
    </xf>
    <xf numFmtId="0" fontId="63" fillId="0" borderId="244" xfId="0" applyFont="1" applyFill="1" applyBorder="1" applyAlignment="1" applyProtection="1">
      <alignment horizontal="center" vertical="center"/>
      <protection hidden="1"/>
    </xf>
    <xf numFmtId="3" fontId="64" fillId="23" borderId="203" xfId="0" applyNumberFormat="1" applyFont="1" applyFill="1" applyBorder="1" applyAlignment="1" applyProtection="1">
      <alignment horizontal="center" vertical="center"/>
      <protection locked="0"/>
    </xf>
    <xf numFmtId="0" fontId="41" fillId="26" borderId="200" xfId="0" applyFont="1" applyFill="1" applyBorder="1" applyAlignment="1" applyProtection="1">
      <alignment horizontal="center" vertical="center"/>
      <protection hidden="1"/>
    </xf>
    <xf numFmtId="0" fontId="35" fillId="27" borderId="54" xfId="0" applyFont="1" applyFill="1" applyBorder="1" applyAlignment="1" applyProtection="1">
      <alignment horizontal="center" vertical="center" wrapText="1"/>
      <protection hidden="1"/>
    </xf>
    <xf numFmtId="0" fontId="35" fillId="27" borderId="248" xfId="0" applyFont="1" applyFill="1" applyBorder="1" applyAlignment="1" applyProtection="1">
      <alignment horizontal="center" vertical="center" wrapText="1"/>
      <protection hidden="1"/>
    </xf>
    <xf numFmtId="0" fontId="35" fillId="27" borderId="113" xfId="0" applyFont="1" applyFill="1" applyBorder="1" applyAlignment="1" applyProtection="1">
      <alignment horizontal="center" vertical="center" wrapText="1"/>
      <protection hidden="1"/>
    </xf>
    <xf numFmtId="0" fontId="35" fillId="27" borderId="251" xfId="0" applyFont="1" applyFill="1" applyBorder="1" applyAlignment="1" applyProtection="1">
      <alignment horizontal="center" vertical="center" wrapText="1"/>
      <protection hidden="1"/>
    </xf>
    <xf numFmtId="0" fontId="35" fillId="27" borderId="249" xfId="0" applyFont="1" applyFill="1" applyBorder="1" applyAlignment="1" applyProtection="1">
      <alignment horizontal="center" vertical="center" wrapText="1"/>
      <protection hidden="1"/>
    </xf>
    <xf numFmtId="0" fontId="35" fillId="27" borderId="252" xfId="0" applyFont="1" applyFill="1" applyBorder="1" applyAlignment="1" applyProtection="1">
      <alignment horizontal="center" vertical="center" wrapText="1"/>
      <protection hidden="1"/>
    </xf>
    <xf numFmtId="0" fontId="35" fillId="27" borderId="61" xfId="0" applyFont="1" applyFill="1" applyBorder="1" applyAlignment="1" applyProtection="1">
      <alignment horizontal="center" vertical="center" wrapText="1"/>
      <protection hidden="1"/>
    </xf>
    <xf numFmtId="0" fontId="35" fillId="27" borderId="3" xfId="0" applyFont="1" applyFill="1" applyBorder="1" applyAlignment="1" applyProtection="1">
      <alignment horizontal="center" vertical="center" wrapText="1"/>
      <protection hidden="1"/>
    </xf>
    <xf numFmtId="0" fontId="35" fillId="27" borderId="250" xfId="0" applyFont="1" applyFill="1" applyBorder="1" applyAlignment="1" applyProtection="1">
      <alignment horizontal="center" vertical="center" wrapText="1"/>
      <protection hidden="1"/>
    </xf>
    <xf numFmtId="0" fontId="35" fillId="27" borderId="253" xfId="0" applyFont="1" applyFill="1" applyBorder="1" applyAlignment="1" applyProtection="1">
      <alignment horizontal="center" vertical="center" wrapText="1"/>
      <protection hidden="1"/>
    </xf>
    <xf numFmtId="3" fontId="64" fillId="23" borderId="193" xfId="0" applyNumberFormat="1" applyFont="1" applyFill="1" applyBorder="1" applyAlignment="1" applyProtection="1">
      <alignment horizontal="center" vertical="center"/>
      <protection locked="0"/>
    </xf>
    <xf numFmtId="3" fontId="64" fillId="23" borderId="214" xfId="0" applyNumberFormat="1" applyFont="1" applyFill="1" applyBorder="1" applyAlignment="1" applyProtection="1">
      <alignment horizontal="center" vertical="center"/>
      <protection locked="0"/>
    </xf>
    <xf numFmtId="0" fontId="41" fillId="26" borderId="19" xfId="0" applyFont="1" applyFill="1" applyBorder="1" applyAlignment="1" applyProtection="1">
      <alignment horizontal="center" vertical="center"/>
      <protection hidden="1"/>
    </xf>
    <xf numFmtId="0" fontId="41" fillId="26" borderId="7" xfId="0" applyFont="1" applyFill="1" applyBorder="1" applyAlignment="1" applyProtection="1">
      <alignment horizontal="center" vertical="center"/>
      <protection hidden="1"/>
    </xf>
    <xf numFmtId="0" fontId="41" fillId="26" borderId="3" xfId="0" applyFont="1" applyFill="1" applyBorder="1" applyAlignment="1" applyProtection="1">
      <alignment horizontal="center" vertical="center"/>
      <protection hidden="1"/>
    </xf>
    <xf numFmtId="0" fontId="41" fillId="26" borderId="51" xfId="0" applyFont="1" applyFill="1" applyBorder="1" applyAlignment="1" applyProtection="1">
      <alignment horizontal="center" vertical="center"/>
      <protection hidden="1"/>
    </xf>
    <xf numFmtId="0" fontId="32" fillId="27" borderId="186" xfId="0" applyFont="1" applyFill="1" applyBorder="1" applyAlignment="1" applyProtection="1">
      <alignment horizontal="center" vertical="center" readingOrder="2"/>
      <protection hidden="1"/>
    </xf>
    <xf numFmtId="0" fontId="32" fillId="27" borderId="95" xfId="0" applyFont="1" applyFill="1" applyBorder="1" applyAlignment="1" applyProtection="1">
      <alignment horizontal="center" vertical="center" readingOrder="2"/>
      <protection hidden="1"/>
    </xf>
    <xf numFmtId="165" fontId="10" fillId="0" borderId="54" xfId="0" applyNumberFormat="1" applyFont="1" applyBorder="1" applyAlignment="1" applyProtection="1">
      <alignment horizontal="center" vertical="center" textRotation="90"/>
      <protection hidden="1"/>
    </xf>
    <xf numFmtId="165" fontId="10" fillId="0" borderId="61" xfId="0" applyNumberFormat="1" applyFont="1" applyBorder="1" applyAlignment="1" applyProtection="1">
      <alignment horizontal="center" vertical="center" textRotation="90"/>
      <protection hidden="1"/>
    </xf>
    <xf numFmtId="165" fontId="10" fillId="0" borderId="1" xfId="0" applyNumberFormat="1" applyFont="1" applyBorder="1" applyAlignment="1" applyProtection="1">
      <alignment horizontal="center" vertical="center" textRotation="90"/>
      <protection hidden="1"/>
    </xf>
    <xf numFmtId="165" fontId="10" fillId="0" borderId="0" xfId="0" applyNumberFormat="1" applyFont="1" applyBorder="1" applyAlignment="1" applyProtection="1">
      <alignment horizontal="center" vertical="center" textRotation="90"/>
      <protection hidden="1"/>
    </xf>
    <xf numFmtId="165" fontId="10" fillId="0" borderId="113" xfId="0" applyNumberFormat="1" applyFont="1" applyBorder="1" applyAlignment="1" applyProtection="1">
      <alignment horizontal="center" vertical="center" textRotation="90"/>
      <protection hidden="1"/>
    </xf>
    <xf numFmtId="165" fontId="10" fillId="0" borderId="3" xfId="0" applyNumberFormat="1" applyFont="1" applyBorder="1" applyAlignment="1" applyProtection="1">
      <alignment horizontal="center" vertical="center" textRotation="90"/>
      <protection hidden="1"/>
    </xf>
    <xf numFmtId="2" fontId="63" fillId="0" borderId="242" xfId="0" applyNumberFormat="1" applyFont="1" applyBorder="1" applyAlignment="1" applyProtection="1">
      <alignment horizontal="center" vertical="center"/>
      <protection hidden="1"/>
    </xf>
    <xf numFmtId="2" fontId="63" fillId="0" borderId="243" xfId="0" applyNumberFormat="1" applyFont="1" applyBorder="1" applyAlignment="1" applyProtection="1">
      <alignment horizontal="center" vertical="center"/>
      <protection hidden="1"/>
    </xf>
    <xf numFmtId="2" fontId="63" fillId="0" borderId="216" xfId="0" applyNumberFormat="1" applyFont="1" applyBorder="1" applyAlignment="1" applyProtection="1">
      <alignment horizontal="center" vertical="center"/>
      <protection hidden="1"/>
    </xf>
    <xf numFmtId="2" fontId="63" fillId="0" borderId="0" xfId="0" applyNumberFormat="1" applyFont="1" applyBorder="1" applyAlignment="1" applyProtection="1">
      <alignment horizontal="center" vertical="center"/>
      <protection hidden="1"/>
    </xf>
    <xf numFmtId="2" fontId="63" fillId="0" borderId="232" xfId="0" applyNumberFormat="1" applyFont="1" applyBorder="1" applyAlignment="1" applyProtection="1">
      <alignment horizontal="center" vertical="center"/>
      <protection hidden="1"/>
    </xf>
    <xf numFmtId="0" fontId="62" fillId="23" borderId="1" xfId="0" applyFont="1" applyFill="1" applyBorder="1" applyAlignment="1" applyProtection="1">
      <alignment horizontal="right" vertical="top"/>
      <protection locked="0"/>
    </xf>
    <xf numFmtId="0" fontId="62" fillId="23" borderId="0" xfId="0" applyFont="1" applyFill="1" applyBorder="1" applyAlignment="1" applyProtection="1">
      <alignment horizontal="right" vertical="top"/>
      <protection locked="0"/>
    </xf>
    <xf numFmtId="0" fontId="62" fillId="23" borderId="63" xfId="0" applyFont="1" applyFill="1" applyBorder="1" applyAlignment="1" applyProtection="1">
      <alignment horizontal="right" vertical="top"/>
      <protection locked="0"/>
    </xf>
    <xf numFmtId="0" fontId="62" fillId="23" borderId="113" xfId="0" applyFont="1" applyFill="1" applyBorder="1" applyAlignment="1" applyProtection="1">
      <alignment horizontal="right" vertical="top"/>
      <protection locked="0"/>
    </xf>
    <xf numFmtId="0" fontId="62" fillId="23" borderId="3" xfId="0" applyFont="1" applyFill="1" applyBorder="1" applyAlignment="1" applyProtection="1">
      <alignment horizontal="right" vertical="top"/>
      <protection locked="0"/>
    </xf>
    <xf numFmtId="0" fontId="62" fillId="23" borderId="55" xfId="0" applyFont="1" applyFill="1" applyBorder="1" applyAlignment="1" applyProtection="1">
      <alignment horizontal="right" vertical="top"/>
      <protection locked="0"/>
    </xf>
    <xf numFmtId="168" fontId="63" fillId="0" borderId="128" xfId="0" applyNumberFormat="1" applyFont="1" applyFill="1" applyBorder="1" applyAlignment="1" applyProtection="1">
      <alignment horizontal="center" vertical="center" wrapText="1"/>
      <protection hidden="1"/>
    </xf>
    <xf numFmtId="168" fontId="63" fillId="0" borderId="25" xfId="0" applyNumberFormat="1" applyFont="1" applyFill="1" applyBorder="1" applyAlignment="1" applyProtection="1">
      <alignment horizontal="center" vertical="center" wrapText="1"/>
      <protection hidden="1"/>
    </xf>
    <xf numFmtId="168" fontId="63" fillId="0" borderId="91" xfId="0" applyNumberFormat="1" applyFont="1" applyFill="1" applyBorder="1" applyAlignment="1" applyProtection="1">
      <alignment horizontal="center" vertical="center" wrapText="1"/>
      <protection hidden="1"/>
    </xf>
    <xf numFmtId="2" fontId="82" fillId="26" borderId="19" xfId="0" applyNumberFormat="1" applyFont="1" applyFill="1" applyBorder="1" applyAlignment="1" applyProtection="1">
      <alignment horizontal="center" vertical="center" wrapText="1"/>
      <protection hidden="1"/>
    </xf>
    <xf numFmtId="2" fontId="82" fillId="26" borderId="7" xfId="0" applyNumberFormat="1" applyFont="1" applyFill="1" applyBorder="1" applyAlignment="1" applyProtection="1">
      <alignment horizontal="center" vertical="center" wrapText="1"/>
      <protection hidden="1"/>
    </xf>
    <xf numFmtId="2" fontId="82" fillId="26" borderId="3" xfId="0" applyNumberFormat="1" applyFont="1" applyFill="1" applyBorder="1" applyAlignment="1" applyProtection="1">
      <alignment horizontal="center" vertical="center" wrapText="1"/>
      <protection hidden="1"/>
    </xf>
    <xf numFmtId="2" fontId="82" fillId="26" borderId="51" xfId="0" applyNumberFormat="1" applyFont="1" applyFill="1" applyBorder="1" applyAlignment="1" applyProtection="1">
      <alignment horizontal="center" vertical="center" wrapText="1"/>
      <protection hidden="1"/>
    </xf>
    <xf numFmtId="0" fontId="41" fillId="26" borderId="82" xfId="0" applyFont="1" applyFill="1" applyBorder="1" applyAlignment="1" applyProtection="1">
      <alignment horizontal="center" vertical="center"/>
      <protection hidden="1"/>
    </xf>
    <xf numFmtId="0" fontId="41" fillId="26" borderId="48" xfId="0" applyFont="1" applyFill="1" applyBorder="1" applyAlignment="1" applyProtection="1">
      <alignment horizontal="center" vertical="center"/>
      <protection hidden="1"/>
    </xf>
    <xf numFmtId="0" fontId="41" fillId="26" borderId="20" xfId="0" applyFont="1" applyFill="1" applyBorder="1" applyAlignment="1" applyProtection="1">
      <alignment horizontal="center" vertical="center"/>
      <protection hidden="1"/>
    </xf>
    <xf numFmtId="0" fontId="41" fillId="0" borderId="9" xfId="0" applyFont="1" applyBorder="1" applyAlignment="1" applyProtection="1">
      <alignment horizontal="center" vertical="center"/>
      <protection hidden="1"/>
    </xf>
    <xf numFmtId="3" fontId="64" fillId="23" borderId="42" xfId="0" applyNumberFormat="1" applyFont="1" applyFill="1" applyBorder="1" applyAlignment="1" applyProtection="1">
      <alignment horizontal="center" vertical="center"/>
      <protection locked="0"/>
    </xf>
    <xf numFmtId="3" fontId="64" fillId="23" borderId="8" xfId="0" applyNumberFormat="1" applyFont="1" applyFill="1" applyBorder="1" applyAlignment="1" applyProtection="1">
      <alignment horizontal="center" vertical="center"/>
      <protection locked="0"/>
    </xf>
    <xf numFmtId="3" fontId="64" fillId="23" borderId="44" xfId="0" applyNumberFormat="1" applyFont="1" applyFill="1" applyBorder="1" applyAlignment="1" applyProtection="1">
      <alignment horizontal="center" vertical="center"/>
      <protection locked="0"/>
    </xf>
    <xf numFmtId="3" fontId="64" fillId="23" borderId="43" xfId="0" applyNumberFormat="1" applyFont="1" applyFill="1" applyBorder="1" applyAlignment="1" applyProtection="1">
      <alignment horizontal="center" vertical="center"/>
      <protection locked="0"/>
    </xf>
    <xf numFmtId="3" fontId="64" fillId="23" borderId="41" xfId="0" applyNumberFormat="1" applyFont="1" applyFill="1" applyBorder="1" applyAlignment="1" applyProtection="1">
      <alignment horizontal="center" vertical="center"/>
      <protection locked="0"/>
    </xf>
    <xf numFmtId="3" fontId="64" fillId="23" borderId="47" xfId="0" applyNumberFormat="1" applyFont="1" applyFill="1" applyBorder="1" applyAlignment="1" applyProtection="1">
      <alignment horizontal="center" vertical="center"/>
      <protection locked="0"/>
    </xf>
    <xf numFmtId="2" fontId="13" fillId="0" borderId="61" xfId="0" applyNumberFormat="1" applyFont="1" applyFill="1" applyBorder="1" applyAlignment="1" applyProtection="1">
      <alignment horizontal="center" vertical="center" wrapText="1"/>
      <protection hidden="1"/>
    </xf>
    <xf numFmtId="2" fontId="13" fillId="0" borderId="62" xfId="0" applyNumberFormat="1" applyFont="1" applyFill="1" applyBorder="1" applyAlignment="1" applyProtection="1">
      <alignment horizontal="center" vertical="center" wrapText="1"/>
      <protection hidden="1"/>
    </xf>
    <xf numFmtId="2" fontId="13" fillId="0" borderId="0" xfId="0" applyNumberFormat="1" applyFont="1" applyFill="1" applyBorder="1" applyAlignment="1" applyProtection="1">
      <alignment horizontal="center" vertical="center" wrapText="1"/>
      <protection hidden="1"/>
    </xf>
    <xf numFmtId="2" fontId="13" fillId="0" borderId="63" xfId="0" applyNumberFormat="1" applyFont="1" applyFill="1" applyBorder="1" applyAlignment="1" applyProtection="1">
      <alignment horizontal="center" vertical="center" wrapText="1"/>
      <protection hidden="1"/>
    </xf>
    <xf numFmtId="2" fontId="13" fillId="0" borderId="24" xfId="0" applyNumberFormat="1" applyFont="1" applyFill="1" applyBorder="1" applyAlignment="1" applyProtection="1">
      <alignment horizontal="center" vertical="center" wrapText="1"/>
      <protection hidden="1"/>
    </xf>
    <xf numFmtId="3" fontId="64" fillId="23" borderId="78" xfId="0" applyNumberFormat="1" applyFont="1" applyFill="1" applyBorder="1" applyAlignment="1" applyProtection="1">
      <alignment horizontal="center" vertical="center"/>
      <protection locked="0"/>
    </xf>
    <xf numFmtId="3" fontId="64" fillId="23" borderId="79" xfId="0" applyNumberFormat="1" applyFont="1" applyFill="1" applyBorder="1" applyAlignment="1" applyProtection="1">
      <alignment horizontal="center" vertical="center"/>
      <protection locked="0"/>
    </xf>
    <xf numFmtId="3" fontId="64" fillId="23" borderId="80" xfId="0" applyNumberFormat="1" applyFont="1" applyFill="1" applyBorder="1" applyAlignment="1" applyProtection="1">
      <alignment horizontal="center" vertical="center"/>
      <protection locked="0"/>
    </xf>
    <xf numFmtId="0" fontId="35" fillId="27" borderId="237" xfId="0" applyFont="1" applyFill="1" applyBorder="1" applyAlignment="1" applyProtection="1">
      <alignment horizontal="center" vertical="center"/>
      <protection hidden="1"/>
    </xf>
    <xf numFmtId="0" fontId="35" fillId="27" borderId="200" xfId="0" applyFont="1" applyFill="1" applyBorder="1" applyAlignment="1" applyProtection="1">
      <alignment horizontal="center" vertical="center"/>
      <protection hidden="1"/>
    </xf>
    <xf numFmtId="0" fontId="35" fillId="27" borderId="261" xfId="0" applyFont="1" applyFill="1" applyBorder="1" applyAlignment="1" applyProtection="1">
      <alignment horizontal="center" vertical="center"/>
      <protection hidden="1"/>
    </xf>
    <xf numFmtId="0" fontId="35" fillId="27" borderId="87" xfId="0" applyFont="1" applyFill="1" applyBorder="1" applyAlignment="1" applyProtection="1">
      <alignment horizontal="center" vertical="center"/>
      <protection hidden="1"/>
    </xf>
    <xf numFmtId="0" fontId="35" fillId="27" borderId="3" xfId="0" applyFont="1" applyFill="1" applyBorder="1" applyAlignment="1" applyProtection="1">
      <alignment horizontal="center" vertical="center"/>
      <protection hidden="1"/>
    </xf>
    <xf numFmtId="0" fontId="35" fillId="27" borderId="55" xfId="0" applyFont="1" applyFill="1" applyBorder="1" applyAlignment="1" applyProtection="1">
      <alignment horizontal="center" vertical="center"/>
      <protection hidden="1"/>
    </xf>
    <xf numFmtId="165" fontId="63" fillId="0" borderId="127" xfId="0" applyNumberFormat="1" applyFont="1" applyBorder="1" applyAlignment="1" applyProtection="1">
      <alignment horizontal="center" vertical="center"/>
      <protection hidden="1"/>
    </xf>
    <xf numFmtId="165" fontId="63" fillId="0" borderId="62" xfId="0" applyNumberFormat="1" applyFont="1" applyBorder="1" applyAlignment="1" applyProtection="1">
      <alignment horizontal="center" vertical="center"/>
      <protection hidden="1"/>
    </xf>
    <xf numFmtId="165" fontId="63" fillId="0" borderId="24" xfId="0" applyNumberFormat="1" applyFont="1" applyBorder="1" applyAlignment="1" applyProtection="1">
      <alignment horizontal="center" vertical="center"/>
      <protection hidden="1"/>
    </xf>
    <xf numFmtId="165" fontId="63" fillId="0" borderId="63" xfId="0" applyNumberFormat="1" applyFont="1" applyBorder="1" applyAlignment="1" applyProtection="1">
      <alignment horizontal="center" vertical="center"/>
      <protection hidden="1"/>
    </xf>
    <xf numFmtId="0" fontId="32" fillId="27" borderId="87" xfId="0" applyFont="1" applyFill="1" applyBorder="1" applyAlignment="1" applyProtection="1">
      <alignment horizontal="center" vertical="center" readingOrder="2"/>
      <protection hidden="1"/>
    </xf>
    <xf numFmtId="0" fontId="32" fillId="27" borderId="55" xfId="0" applyFont="1" applyFill="1" applyBorder="1" applyAlignment="1" applyProtection="1">
      <alignment horizontal="center" vertical="center" readingOrder="2"/>
      <protection hidden="1"/>
    </xf>
    <xf numFmtId="2" fontId="63" fillId="0" borderId="54" xfId="0" applyNumberFormat="1" applyFont="1" applyBorder="1" applyAlignment="1" applyProtection="1">
      <alignment horizontal="center" vertical="center"/>
      <protection hidden="1"/>
    </xf>
    <xf numFmtId="2" fontId="63" fillId="0" borderId="61" xfId="0" applyNumberFormat="1" applyFont="1" applyBorder="1" applyAlignment="1" applyProtection="1">
      <alignment horizontal="center" vertical="center"/>
      <protection hidden="1"/>
    </xf>
    <xf numFmtId="2" fontId="63" fillId="0" borderId="62" xfId="0" applyNumberFormat="1" applyFont="1" applyBorder="1" applyAlignment="1" applyProtection="1">
      <alignment horizontal="center" vertical="center"/>
      <protection hidden="1"/>
    </xf>
    <xf numFmtId="2" fontId="63" fillId="0" borderId="1" xfId="0" applyNumberFormat="1" applyFont="1" applyBorder="1" applyAlignment="1" applyProtection="1">
      <alignment horizontal="center" vertical="center"/>
      <protection hidden="1"/>
    </xf>
    <xf numFmtId="2" fontId="63" fillId="0" borderId="63" xfId="0" applyNumberFormat="1" applyFont="1" applyBorder="1" applyAlignment="1" applyProtection="1">
      <alignment horizontal="center" vertical="center"/>
      <protection hidden="1"/>
    </xf>
    <xf numFmtId="2" fontId="63" fillId="0" borderId="113" xfId="0" applyNumberFormat="1" applyFont="1" applyBorder="1" applyAlignment="1" applyProtection="1">
      <alignment horizontal="center" vertical="center"/>
      <protection hidden="1"/>
    </xf>
    <xf numFmtId="2" fontId="63" fillId="0" borderId="3" xfId="0" applyNumberFormat="1" applyFont="1" applyBorder="1" applyAlignment="1" applyProtection="1">
      <alignment horizontal="center" vertical="center"/>
      <protection hidden="1"/>
    </xf>
    <xf numFmtId="2" fontId="63" fillId="0" borderId="55" xfId="0" applyNumberFormat="1" applyFont="1" applyBorder="1" applyAlignment="1" applyProtection="1">
      <alignment horizontal="center" vertical="center"/>
      <protection hidden="1"/>
    </xf>
    <xf numFmtId="2" fontId="63" fillId="0" borderId="82" xfId="0" applyNumberFormat="1" applyFont="1" applyBorder="1" applyAlignment="1" applyProtection="1">
      <alignment horizontal="center" vertical="center"/>
      <protection hidden="1"/>
    </xf>
    <xf numFmtId="2" fontId="63" fillId="0" borderId="48" xfId="0" applyNumberFormat="1" applyFont="1" applyBorder="1" applyAlignment="1" applyProtection="1">
      <alignment horizontal="center" vertical="center"/>
      <protection hidden="1"/>
    </xf>
    <xf numFmtId="2" fontId="63" fillId="0" borderId="20" xfId="0" applyNumberFormat="1" applyFont="1" applyBorder="1" applyAlignment="1" applyProtection="1">
      <alignment horizontal="center" vertical="center"/>
      <protection hidden="1"/>
    </xf>
    <xf numFmtId="0" fontId="32" fillId="27" borderId="89" xfId="0" applyFont="1" applyFill="1" applyBorder="1" applyAlignment="1" applyProtection="1">
      <alignment horizontal="center" vertical="center" readingOrder="2"/>
      <protection hidden="1"/>
    </xf>
    <xf numFmtId="0" fontId="32" fillId="27" borderId="88" xfId="0" applyFont="1" applyFill="1" applyBorder="1" applyAlignment="1" applyProtection="1">
      <alignment horizontal="center" vertical="center" readingOrder="2"/>
      <protection hidden="1"/>
    </xf>
    <xf numFmtId="0" fontId="32" fillId="27" borderId="103" xfId="0" applyFont="1" applyFill="1" applyBorder="1" applyAlignment="1" applyProtection="1">
      <alignment horizontal="center" vertical="center" readingOrder="2"/>
      <protection hidden="1"/>
    </xf>
    <xf numFmtId="2" fontId="13" fillId="0" borderId="234" xfId="0" applyNumberFormat="1" applyFont="1" applyFill="1" applyBorder="1" applyAlignment="1" applyProtection="1">
      <alignment horizontal="center" vertical="center" wrapText="1"/>
      <protection hidden="1"/>
    </xf>
    <xf numFmtId="2" fontId="13" fillId="0" borderId="25" xfId="0" applyNumberFormat="1" applyFont="1" applyFill="1" applyBorder="1" applyAlignment="1" applyProtection="1">
      <alignment horizontal="center" vertical="center" wrapText="1"/>
      <protection hidden="1"/>
    </xf>
    <xf numFmtId="2" fontId="13" fillId="0" borderId="259" xfId="0" applyNumberFormat="1" applyFont="1" applyFill="1" applyBorder="1" applyAlignment="1" applyProtection="1">
      <alignment horizontal="center" vertical="center" wrapText="1"/>
      <protection hidden="1"/>
    </xf>
    <xf numFmtId="2" fontId="13" fillId="0" borderId="3" xfId="0" applyNumberFormat="1" applyFont="1" applyFill="1" applyBorder="1" applyAlignment="1" applyProtection="1">
      <alignment horizontal="center" vertical="center" wrapText="1"/>
      <protection hidden="1"/>
    </xf>
    <xf numFmtId="2" fontId="13" fillId="0" borderId="91" xfId="0" applyNumberFormat="1" applyFont="1" applyFill="1" applyBorder="1" applyAlignment="1" applyProtection="1">
      <alignment horizontal="center" vertical="center" wrapText="1"/>
      <protection hidden="1"/>
    </xf>
    <xf numFmtId="2" fontId="13" fillId="0" borderId="127" xfId="0" applyNumberFormat="1" applyFont="1" applyFill="1" applyBorder="1" applyAlignment="1" applyProtection="1">
      <alignment horizontal="center" vertical="center" wrapText="1"/>
      <protection hidden="1"/>
    </xf>
    <xf numFmtId="2" fontId="13" fillId="0" borderId="128" xfId="0" applyNumberFormat="1" applyFont="1" applyFill="1" applyBorder="1" applyAlignment="1" applyProtection="1">
      <alignment horizontal="center" vertical="center" wrapText="1"/>
      <protection hidden="1"/>
    </xf>
    <xf numFmtId="2" fontId="13" fillId="0" borderId="104" xfId="0" applyNumberFormat="1" applyFont="1" applyFill="1" applyBorder="1" applyAlignment="1" applyProtection="1">
      <alignment horizontal="center" vertical="center" wrapText="1"/>
      <protection hidden="1"/>
    </xf>
    <xf numFmtId="165" fontId="63" fillId="0" borderId="54" xfId="0" applyNumberFormat="1" applyFont="1" applyBorder="1" applyAlignment="1" applyProtection="1">
      <alignment horizontal="center" vertical="center"/>
      <protection hidden="1"/>
    </xf>
    <xf numFmtId="165" fontId="63" fillId="0" borderId="61" xfId="0" applyNumberFormat="1" applyFont="1" applyBorder="1" applyAlignment="1" applyProtection="1">
      <alignment horizontal="center" vertical="center"/>
      <protection hidden="1"/>
    </xf>
    <xf numFmtId="165" fontId="63" fillId="0" borderId="1" xfId="0" applyNumberFormat="1" applyFont="1" applyBorder="1" applyAlignment="1" applyProtection="1">
      <alignment horizontal="center" vertical="center"/>
      <protection hidden="1"/>
    </xf>
    <xf numFmtId="165" fontId="63" fillId="0" borderId="0" xfId="0" applyNumberFormat="1" applyFont="1" applyBorder="1" applyAlignment="1" applyProtection="1">
      <alignment horizontal="center" vertical="center"/>
      <protection hidden="1"/>
    </xf>
    <xf numFmtId="165" fontId="63" fillId="0" borderId="25" xfId="0" applyNumberFormat="1" applyFont="1" applyBorder="1" applyAlignment="1" applyProtection="1">
      <alignment horizontal="center" vertical="center"/>
      <protection hidden="1"/>
    </xf>
    <xf numFmtId="0" fontId="32" fillId="27" borderId="84" xfId="0" applyFont="1" applyFill="1" applyBorder="1" applyAlignment="1" applyProtection="1">
      <alignment horizontal="center" vertical="center" readingOrder="2"/>
      <protection hidden="1"/>
    </xf>
    <xf numFmtId="0" fontId="32" fillId="27" borderId="85" xfId="0" applyFont="1" applyFill="1" applyBorder="1" applyAlignment="1" applyProtection="1">
      <alignment horizontal="center" vertical="center" readingOrder="2"/>
      <protection hidden="1"/>
    </xf>
    <xf numFmtId="0" fontId="41" fillId="0" borderId="242" xfId="0" applyFont="1" applyBorder="1" applyAlignment="1" applyProtection="1">
      <alignment horizontal="center" vertical="center"/>
      <protection hidden="1"/>
    </xf>
    <xf numFmtId="0" fontId="41" fillId="0" borderId="243" xfId="0" applyFont="1" applyBorder="1" applyAlignment="1" applyProtection="1">
      <alignment horizontal="center" vertical="center"/>
      <protection hidden="1"/>
    </xf>
    <xf numFmtId="0" fontId="41" fillId="0" borderId="216" xfId="0" applyFont="1" applyBorder="1" applyAlignment="1" applyProtection="1">
      <alignment horizontal="center" vertical="center"/>
      <protection hidden="1"/>
    </xf>
    <xf numFmtId="2" fontId="63" fillId="0" borderId="8" xfId="0" applyNumberFormat="1" applyFont="1" applyBorder="1" applyAlignment="1" applyProtection="1">
      <alignment horizontal="center" vertical="center"/>
      <protection hidden="1"/>
    </xf>
    <xf numFmtId="0" fontId="41" fillId="0" borderId="245" xfId="0" applyFont="1" applyBorder="1" applyAlignment="1" applyProtection="1">
      <alignment horizontal="center" vertical="center"/>
      <protection hidden="1"/>
    </xf>
    <xf numFmtId="0" fontId="41" fillId="0" borderId="246" xfId="0" applyFont="1" applyBorder="1" applyAlignment="1" applyProtection="1">
      <alignment horizontal="center" vertical="center"/>
      <protection hidden="1"/>
    </xf>
    <xf numFmtId="0" fontId="41" fillId="0" borderId="215" xfId="0" applyFont="1" applyBorder="1" applyAlignment="1" applyProtection="1">
      <alignment horizontal="center" vertical="center"/>
      <protection hidden="1"/>
    </xf>
    <xf numFmtId="165" fontId="63" fillId="0" borderId="79" xfId="0" applyNumberFormat="1" applyFont="1" applyBorder="1" applyAlignment="1" applyProtection="1">
      <alignment horizontal="center" vertical="center"/>
      <protection hidden="1"/>
    </xf>
    <xf numFmtId="165" fontId="63" fillId="0" borderId="80" xfId="0" applyNumberFormat="1" applyFont="1" applyBorder="1" applyAlignment="1" applyProtection="1">
      <alignment horizontal="center" vertical="center"/>
      <protection hidden="1"/>
    </xf>
    <xf numFmtId="165" fontId="63" fillId="0" borderId="8" xfId="0" applyNumberFormat="1" applyFont="1" applyBorder="1" applyAlignment="1" applyProtection="1">
      <alignment horizontal="center" vertical="center"/>
      <protection hidden="1"/>
    </xf>
    <xf numFmtId="165" fontId="63" fillId="0" borderId="44" xfId="0" applyNumberFormat="1" applyFont="1" applyBorder="1" applyAlignment="1" applyProtection="1">
      <alignment horizontal="center" vertical="center"/>
      <protection hidden="1"/>
    </xf>
    <xf numFmtId="165" fontId="63" fillId="0" borderId="41" xfId="0" applyNumberFormat="1" applyFont="1" applyBorder="1" applyAlignment="1" applyProtection="1">
      <alignment horizontal="center" vertical="center"/>
      <protection hidden="1"/>
    </xf>
    <xf numFmtId="165" fontId="63" fillId="0" borderId="47" xfId="0" applyNumberFormat="1" applyFont="1" applyBorder="1" applyAlignment="1" applyProtection="1">
      <alignment horizontal="center" vertical="center"/>
      <protection hidden="1"/>
    </xf>
    <xf numFmtId="0" fontId="105" fillId="25" borderId="19" xfId="0" applyFont="1" applyFill="1" applyBorder="1" applyAlignment="1" applyProtection="1">
      <alignment horizontal="center" vertical="center"/>
      <protection hidden="1"/>
    </xf>
    <xf numFmtId="0" fontId="105" fillId="25" borderId="7" xfId="0" applyFont="1" applyFill="1" applyBorder="1" applyAlignment="1" applyProtection="1">
      <alignment horizontal="center" vertical="center"/>
      <protection hidden="1"/>
    </xf>
    <xf numFmtId="0" fontId="105" fillId="25" borderId="51" xfId="0" applyFont="1" applyFill="1" applyBorder="1" applyAlignment="1" applyProtection="1">
      <alignment horizontal="center" vertical="center"/>
      <protection hidden="1"/>
    </xf>
    <xf numFmtId="0" fontId="41" fillId="9" borderId="0" xfId="0" applyFont="1" applyFill="1" applyAlignment="1" applyProtection="1">
      <alignment horizontal="center" vertical="center"/>
      <protection hidden="1"/>
    </xf>
    <xf numFmtId="0" fontId="41" fillId="26" borderId="63" xfId="0" applyFont="1" applyFill="1" applyBorder="1" applyAlignment="1" applyProtection="1">
      <alignment horizontal="center" vertical="center"/>
      <protection hidden="1"/>
    </xf>
    <xf numFmtId="0" fontId="41" fillId="0" borderId="244" xfId="0" applyFont="1" applyBorder="1" applyAlignment="1" applyProtection="1">
      <alignment horizontal="center" vertical="center"/>
      <protection hidden="1"/>
    </xf>
    <xf numFmtId="0" fontId="41" fillId="0" borderId="232" xfId="0" applyFont="1" applyBorder="1" applyAlignment="1" applyProtection="1">
      <alignment horizontal="center" vertical="center"/>
      <protection hidden="1"/>
    </xf>
    <xf numFmtId="0" fontId="41" fillId="0" borderId="0" xfId="0" applyFont="1" applyBorder="1" applyAlignment="1" applyProtection="1">
      <alignment horizontal="center" vertical="center"/>
      <protection hidden="1"/>
    </xf>
    <xf numFmtId="0" fontId="41" fillId="0" borderId="226" xfId="0" applyFont="1" applyBorder="1" applyAlignment="1" applyProtection="1">
      <alignment horizontal="center" vertical="center"/>
      <protection hidden="1"/>
    </xf>
    <xf numFmtId="0" fontId="98" fillId="25" borderId="54" xfId="0" applyFont="1" applyFill="1" applyBorder="1" applyAlignment="1" applyProtection="1">
      <alignment horizontal="right" vertical="top" wrapText="1"/>
      <protection hidden="1"/>
    </xf>
    <xf numFmtId="0" fontId="98" fillId="25" borderId="61" xfId="0" applyFont="1" applyFill="1" applyBorder="1" applyAlignment="1" applyProtection="1">
      <alignment horizontal="right" vertical="top"/>
      <protection hidden="1"/>
    </xf>
    <xf numFmtId="0" fontId="98" fillId="25" borderId="62" xfId="0" applyFont="1" applyFill="1" applyBorder="1" applyAlignment="1" applyProtection="1">
      <alignment horizontal="right" vertical="top"/>
      <protection hidden="1"/>
    </xf>
    <xf numFmtId="0" fontId="98" fillId="25" borderId="113" xfId="0" applyFont="1" applyFill="1" applyBorder="1" applyAlignment="1" applyProtection="1">
      <alignment horizontal="center" vertical="top"/>
      <protection hidden="1"/>
    </xf>
    <xf numFmtId="0" fontId="98" fillId="25" borderId="3" xfId="0" applyFont="1" applyFill="1" applyBorder="1" applyAlignment="1" applyProtection="1">
      <alignment horizontal="center" vertical="top"/>
      <protection hidden="1"/>
    </xf>
    <xf numFmtId="0" fontId="98" fillId="25" borderId="55" xfId="0" applyFont="1" applyFill="1" applyBorder="1" applyAlignment="1" applyProtection="1">
      <alignment horizontal="center" vertical="top"/>
      <protection hidden="1"/>
    </xf>
    <xf numFmtId="0" fontId="29" fillId="0" borderId="210" xfId="0" applyFont="1" applyFill="1" applyBorder="1" applyAlignment="1" applyProtection="1">
      <alignment horizontal="center" vertical="center"/>
      <protection hidden="1"/>
    </xf>
    <xf numFmtId="0" fontId="35" fillId="27" borderId="255" xfId="0" applyFont="1" applyFill="1" applyBorder="1" applyAlignment="1" applyProtection="1">
      <alignment horizontal="center" vertical="center"/>
      <protection hidden="1"/>
    </xf>
    <xf numFmtId="0" fontId="35" fillId="27" borderId="200" xfId="0" applyFont="1" applyFill="1" applyBorder="1" applyAlignment="1" applyProtection="1">
      <alignment horizontal="center" vertical="center" wrapText="1"/>
      <protection hidden="1"/>
    </xf>
    <xf numFmtId="0" fontId="35" fillId="27" borderId="247" xfId="0" applyFont="1" applyFill="1" applyBorder="1" applyAlignment="1" applyProtection="1">
      <alignment horizontal="center" vertical="center" wrapText="1"/>
      <protection hidden="1"/>
    </xf>
    <xf numFmtId="0" fontId="35" fillId="27" borderId="0" xfId="0" applyFont="1" applyFill="1" applyBorder="1" applyAlignment="1" applyProtection="1">
      <alignment horizontal="center" vertical="center" wrapText="1"/>
      <protection hidden="1"/>
    </xf>
    <xf numFmtId="0" fontId="35" fillId="27" borderId="93" xfId="0" applyFont="1" applyFill="1" applyBorder="1" applyAlignment="1" applyProtection="1">
      <alignment horizontal="center" vertical="center" wrapText="1"/>
      <protection hidden="1"/>
    </xf>
    <xf numFmtId="3" fontId="64" fillId="23" borderId="15" xfId="0" applyNumberFormat="1" applyFont="1" applyFill="1" applyBorder="1" applyAlignment="1" applyProtection="1">
      <alignment horizontal="center" vertical="center"/>
      <protection locked="0"/>
    </xf>
    <xf numFmtId="3" fontId="64" fillId="23" borderId="23" xfId="0" applyNumberFormat="1" applyFont="1" applyFill="1" applyBorder="1" applyAlignment="1" applyProtection="1">
      <alignment horizontal="center" vertical="center"/>
      <protection locked="0"/>
    </xf>
    <xf numFmtId="3" fontId="64" fillId="23" borderId="9" xfId="0" applyNumberFormat="1" applyFont="1" applyFill="1" applyBorder="1" applyAlignment="1" applyProtection="1">
      <alignment horizontal="center" vertical="center"/>
      <protection locked="0"/>
    </xf>
    <xf numFmtId="165" fontId="63" fillId="0" borderId="11" xfId="0" applyNumberFormat="1" applyFont="1" applyBorder="1" applyAlignment="1" applyProtection="1">
      <alignment horizontal="center" vertical="center"/>
      <protection hidden="1"/>
    </xf>
    <xf numFmtId="165" fontId="63" fillId="0" borderId="16" xfId="0" applyNumberFormat="1" applyFont="1" applyBorder="1" applyAlignment="1" applyProtection="1">
      <alignment horizontal="center" vertical="center"/>
      <protection hidden="1"/>
    </xf>
    <xf numFmtId="165" fontId="63" fillId="0" borderId="13" xfId="0" applyNumberFormat="1" applyFont="1" applyBorder="1" applyAlignment="1" applyProtection="1">
      <alignment horizontal="center" vertical="center"/>
      <protection hidden="1"/>
    </xf>
    <xf numFmtId="165" fontId="63" fillId="0" borderId="9" xfId="0" applyNumberFormat="1" applyFont="1" applyBorder="1" applyAlignment="1" applyProtection="1">
      <alignment horizontal="center" vertical="center"/>
      <protection hidden="1"/>
    </xf>
    <xf numFmtId="165" fontId="63" fillId="0" borderId="21" xfId="0" applyNumberFormat="1" applyFont="1" applyBorder="1" applyAlignment="1" applyProtection="1">
      <alignment horizontal="center" vertical="center"/>
      <protection hidden="1"/>
    </xf>
    <xf numFmtId="0" fontId="102" fillId="25" borderId="0" xfId="0" applyFont="1" applyFill="1" applyBorder="1" applyAlignment="1" applyProtection="1">
      <alignment horizontal="right" vertical="center"/>
      <protection hidden="1"/>
    </xf>
    <xf numFmtId="0" fontId="10" fillId="23" borderId="15" xfId="0" applyFont="1" applyFill="1" applyBorder="1" applyAlignment="1" applyProtection="1">
      <alignment horizontal="center" vertical="center"/>
      <protection locked="0"/>
    </xf>
    <xf numFmtId="0" fontId="10" fillId="23" borderId="13" xfId="0" applyFont="1" applyFill="1" applyBorder="1" applyAlignment="1" applyProtection="1">
      <alignment horizontal="center" vertical="center"/>
      <protection locked="0"/>
    </xf>
    <xf numFmtId="0" fontId="10" fillId="23" borderId="8" xfId="0" applyFont="1" applyFill="1" applyBorder="1" applyAlignment="1" applyProtection="1">
      <alignment horizontal="center" vertical="center"/>
      <protection locked="0"/>
    </xf>
    <xf numFmtId="0" fontId="10" fillId="23" borderId="64" xfId="0" applyFont="1" applyFill="1" applyBorder="1" applyAlignment="1" applyProtection="1">
      <alignment horizontal="center" vertical="center"/>
      <protection locked="0"/>
    </xf>
    <xf numFmtId="0" fontId="10" fillId="23" borderId="41" xfId="0" applyFont="1" applyFill="1" applyBorder="1" applyAlignment="1" applyProtection="1">
      <alignment horizontal="center" vertical="center"/>
      <protection locked="0"/>
    </xf>
    <xf numFmtId="3" fontId="63" fillId="0" borderId="24" xfId="0" applyNumberFormat="1" applyFont="1" applyFill="1" applyBorder="1" applyAlignment="1" applyProtection="1">
      <alignment horizontal="center" vertical="center" wrapText="1"/>
      <protection hidden="1"/>
    </xf>
    <xf numFmtId="3" fontId="63" fillId="0" borderId="0" xfId="0" applyNumberFormat="1" applyFont="1" applyFill="1" applyBorder="1" applyAlignment="1" applyProtection="1">
      <alignment horizontal="center" vertical="center" wrapText="1"/>
      <protection hidden="1"/>
    </xf>
    <xf numFmtId="3" fontId="63" fillId="0" borderId="25" xfId="0" applyNumberFormat="1" applyFont="1" applyFill="1" applyBorder="1" applyAlignment="1" applyProtection="1">
      <alignment horizontal="center" vertical="center" wrapText="1"/>
      <protection hidden="1"/>
    </xf>
    <xf numFmtId="3" fontId="63" fillId="0" borderId="104" xfId="0" applyNumberFormat="1" applyFont="1" applyFill="1" applyBorder="1" applyAlignment="1" applyProtection="1">
      <alignment horizontal="center" vertical="center" wrapText="1"/>
      <protection hidden="1"/>
    </xf>
    <xf numFmtId="3" fontId="63" fillId="0" borderId="3" xfId="0" applyNumberFormat="1" applyFont="1" applyFill="1" applyBorder="1" applyAlignment="1" applyProtection="1">
      <alignment horizontal="center" vertical="center" wrapText="1"/>
      <protection hidden="1"/>
    </xf>
    <xf numFmtId="3" fontId="63" fillId="0" borderId="91" xfId="0" applyNumberFormat="1" applyFont="1" applyFill="1" applyBorder="1" applyAlignment="1" applyProtection="1">
      <alignment horizontal="center" vertical="center" wrapText="1"/>
      <protection hidden="1"/>
    </xf>
    <xf numFmtId="0" fontId="10" fillId="23" borderId="90" xfId="0" applyFont="1" applyFill="1" applyBorder="1" applyAlignment="1" applyProtection="1">
      <alignment horizontal="center" vertical="center"/>
      <protection locked="0"/>
    </xf>
    <xf numFmtId="0" fontId="10" fillId="23" borderId="100" xfId="0" applyFont="1" applyFill="1" applyBorder="1" applyAlignment="1" applyProtection="1">
      <alignment horizontal="center" vertical="center"/>
      <protection locked="0"/>
    </xf>
    <xf numFmtId="3" fontId="63" fillId="23" borderId="81" xfId="0" applyNumberFormat="1" applyFont="1" applyFill="1" applyBorder="1" applyAlignment="1" applyProtection="1">
      <alignment horizontal="center" vertical="center" wrapText="1"/>
      <protection locked="0"/>
    </xf>
    <xf numFmtId="3" fontId="63" fillId="23" borderId="12" xfId="0" applyNumberFormat="1" applyFont="1" applyFill="1" applyBorder="1" applyAlignment="1" applyProtection="1">
      <alignment horizontal="center" vertical="center" wrapText="1"/>
      <protection locked="0"/>
    </xf>
    <xf numFmtId="170" fontId="63" fillId="23" borderId="15" xfId="0" applyNumberFormat="1" applyFont="1" applyFill="1" applyBorder="1" applyAlignment="1" applyProtection="1">
      <alignment horizontal="center" vertical="center" wrapText="1"/>
      <protection locked="0"/>
    </xf>
    <xf numFmtId="170" fontId="63" fillId="23" borderId="8" xfId="0" applyNumberFormat="1" applyFont="1" applyFill="1" applyBorder="1" applyAlignment="1" applyProtection="1">
      <alignment horizontal="center" vertical="center" wrapText="1"/>
      <protection locked="0"/>
    </xf>
    <xf numFmtId="170" fontId="63" fillId="23" borderId="44" xfId="0" applyNumberFormat="1" applyFont="1" applyFill="1" applyBorder="1" applyAlignment="1" applyProtection="1">
      <alignment horizontal="center" vertical="center" wrapText="1"/>
      <protection locked="0"/>
    </xf>
    <xf numFmtId="170" fontId="63" fillId="23" borderId="64" xfId="0" applyNumberFormat="1" applyFont="1" applyFill="1" applyBorder="1" applyAlignment="1" applyProtection="1">
      <alignment horizontal="center" vertical="center" wrapText="1"/>
      <protection locked="0"/>
    </xf>
    <xf numFmtId="170" fontId="63" fillId="23" borderId="41" xfId="0" applyNumberFormat="1" applyFont="1" applyFill="1" applyBorder="1" applyAlignment="1" applyProtection="1">
      <alignment horizontal="center" vertical="center" wrapText="1"/>
      <protection locked="0"/>
    </xf>
    <xf numFmtId="170" fontId="63" fillId="23" borderId="47" xfId="0" applyNumberFormat="1" applyFont="1" applyFill="1" applyBorder="1" applyAlignment="1" applyProtection="1">
      <alignment horizontal="center" vertical="center" wrapText="1"/>
      <protection locked="0"/>
    </xf>
    <xf numFmtId="0" fontId="10" fillId="23" borderId="17" xfId="0" applyFont="1" applyFill="1" applyBorder="1" applyAlignment="1" applyProtection="1">
      <alignment horizontal="center" vertical="center"/>
      <protection locked="0"/>
    </xf>
    <xf numFmtId="0" fontId="10" fillId="23" borderId="16" xfId="0" applyFont="1" applyFill="1" applyBorder="1" applyAlignment="1" applyProtection="1">
      <alignment horizontal="center" vertical="center"/>
      <protection locked="0"/>
    </xf>
    <xf numFmtId="0" fontId="13" fillId="23" borderId="54" xfId="0" applyFont="1" applyFill="1" applyBorder="1" applyAlignment="1" applyProtection="1">
      <alignment horizontal="right" vertical="center" wrapText="1"/>
      <protection hidden="1"/>
    </xf>
    <xf numFmtId="0" fontId="13" fillId="23" borderId="61" xfId="0" applyFont="1" applyFill="1" applyBorder="1" applyAlignment="1" applyProtection="1">
      <alignment horizontal="right" vertical="center" wrapText="1"/>
      <protection hidden="1"/>
    </xf>
    <xf numFmtId="0" fontId="13" fillId="23" borderId="62" xfId="0" applyFont="1" applyFill="1" applyBorder="1" applyAlignment="1" applyProtection="1">
      <alignment horizontal="right" vertical="center" wrapText="1"/>
      <protection hidden="1"/>
    </xf>
    <xf numFmtId="170" fontId="63" fillId="23" borderId="90" xfId="0" applyNumberFormat="1" applyFont="1" applyFill="1" applyBorder="1" applyAlignment="1" applyProtection="1">
      <alignment horizontal="center" vertical="center" wrapText="1"/>
      <protection locked="0"/>
    </xf>
    <xf numFmtId="170" fontId="63" fillId="23" borderId="79" xfId="0" applyNumberFormat="1" applyFont="1" applyFill="1" applyBorder="1" applyAlignment="1" applyProtection="1">
      <alignment horizontal="center" vertical="center" wrapText="1"/>
      <protection locked="0"/>
    </xf>
    <xf numFmtId="170" fontId="63" fillId="23" borderId="80" xfId="0" applyNumberFormat="1" applyFont="1" applyFill="1" applyBorder="1" applyAlignment="1" applyProtection="1">
      <alignment horizontal="center" vertical="center" wrapText="1"/>
      <protection locked="0"/>
    </xf>
    <xf numFmtId="0" fontId="10" fillId="14" borderId="134" xfId="0" applyFont="1" applyFill="1" applyBorder="1" applyAlignment="1" applyProtection="1">
      <alignment horizontal="center" vertical="center"/>
      <protection hidden="1"/>
    </xf>
    <xf numFmtId="0" fontId="10" fillId="0" borderId="11" xfId="0" applyFont="1" applyFill="1" applyBorder="1" applyAlignment="1" applyProtection="1">
      <alignment horizontal="center" vertical="center" textRotation="90"/>
      <protection hidden="1"/>
    </xf>
    <xf numFmtId="0" fontId="10" fillId="0" borderId="8" xfId="0" applyFont="1" applyFill="1" applyBorder="1" applyAlignment="1" applyProtection="1">
      <alignment horizontal="center" vertical="center" textRotation="90"/>
      <protection hidden="1"/>
    </xf>
    <xf numFmtId="0" fontId="10" fillId="0" borderId="41" xfId="0" applyFont="1" applyFill="1" applyBorder="1" applyAlignment="1" applyProtection="1">
      <alignment horizontal="center" vertical="center" textRotation="90"/>
      <protection hidden="1"/>
    </xf>
    <xf numFmtId="0" fontId="10" fillId="0" borderId="79" xfId="0" applyFont="1" applyFill="1" applyBorder="1" applyAlignment="1" applyProtection="1">
      <alignment horizontal="center" vertical="center" textRotation="90"/>
      <protection hidden="1"/>
    </xf>
    <xf numFmtId="3" fontId="63" fillId="23" borderId="98" xfId="0" applyNumberFormat="1" applyFont="1" applyFill="1" applyBorder="1" applyAlignment="1" applyProtection="1">
      <alignment horizontal="center" vertical="center" wrapText="1"/>
      <protection locked="0"/>
    </xf>
    <xf numFmtId="3" fontId="63" fillId="23" borderId="14" xfId="0" applyNumberFormat="1" applyFont="1" applyFill="1" applyBorder="1" applyAlignment="1" applyProtection="1">
      <alignment horizontal="center" vertical="center" wrapText="1"/>
      <protection locked="0"/>
    </xf>
    <xf numFmtId="0" fontId="69" fillId="0" borderId="19" xfId="0" applyFont="1" applyBorder="1" applyAlignment="1" applyProtection="1">
      <alignment horizontal="center" vertical="center"/>
      <protection hidden="1"/>
    </xf>
    <xf numFmtId="0" fontId="69" fillId="0" borderId="7" xfId="0" applyFont="1" applyBorder="1" applyAlignment="1" applyProtection="1">
      <alignment horizontal="center" vertical="center"/>
      <protection hidden="1"/>
    </xf>
    <xf numFmtId="0" fontId="69" fillId="0" borderId="51" xfId="0" applyFont="1" applyBorder="1" applyAlignment="1" applyProtection="1">
      <alignment horizontal="center" vertical="center"/>
      <protection hidden="1"/>
    </xf>
    <xf numFmtId="0" fontId="41" fillId="20" borderId="62" xfId="0" applyFont="1" applyFill="1" applyBorder="1" applyAlignment="1" applyProtection="1">
      <alignment horizontal="center" vertical="center"/>
      <protection hidden="1"/>
    </xf>
    <xf numFmtId="3" fontId="13" fillId="0" borderId="1" xfId="0" applyNumberFormat="1" applyFont="1" applyFill="1" applyBorder="1" applyAlignment="1" applyProtection="1">
      <alignment horizontal="center" vertical="center" wrapText="1"/>
      <protection hidden="1"/>
    </xf>
    <xf numFmtId="3" fontId="13" fillId="0" borderId="0" xfId="0" applyNumberFormat="1" applyFont="1" applyFill="1" applyBorder="1" applyAlignment="1" applyProtection="1">
      <alignment horizontal="center" vertical="center" wrapText="1"/>
      <protection hidden="1"/>
    </xf>
    <xf numFmtId="3" fontId="13" fillId="0" borderId="63" xfId="0" applyNumberFormat="1" applyFont="1" applyFill="1" applyBorder="1" applyAlignment="1" applyProtection="1">
      <alignment horizontal="center" vertical="center" wrapText="1"/>
      <protection hidden="1"/>
    </xf>
    <xf numFmtId="3" fontId="13" fillId="0" borderId="113" xfId="0" applyNumberFormat="1" applyFont="1" applyFill="1" applyBorder="1" applyAlignment="1" applyProtection="1">
      <alignment horizontal="center" vertical="center" wrapText="1"/>
      <protection hidden="1"/>
    </xf>
    <xf numFmtId="3" fontId="13" fillId="0" borderId="3" xfId="0" applyNumberFormat="1" applyFont="1" applyFill="1" applyBorder="1" applyAlignment="1" applyProtection="1">
      <alignment horizontal="center" vertical="center" wrapText="1"/>
      <protection hidden="1"/>
    </xf>
    <xf numFmtId="3" fontId="13" fillId="0" borderId="55" xfId="0" applyNumberFormat="1" applyFont="1" applyFill="1" applyBorder="1" applyAlignment="1" applyProtection="1">
      <alignment horizontal="center" vertical="center" wrapText="1"/>
      <protection hidden="1"/>
    </xf>
    <xf numFmtId="3" fontId="63" fillId="23" borderId="99" xfId="0" applyNumberFormat="1" applyFont="1" applyFill="1" applyBorder="1" applyAlignment="1" applyProtection="1">
      <alignment horizontal="center" vertical="center" wrapText="1"/>
      <protection locked="0"/>
    </xf>
    <xf numFmtId="3" fontId="63" fillId="23" borderId="68" xfId="0" applyNumberFormat="1" applyFont="1" applyFill="1" applyBorder="1" applyAlignment="1" applyProtection="1">
      <alignment horizontal="center" vertical="center" wrapText="1"/>
      <protection locked="0"/>
    </xf>
    <xf numFmtId="170" fontId="63" fillId="23" borderId="17" xfId="0" applyNumberFormat="1" applyFont="1" applyFill="1" applyBorder="1" applyAlignment="1" applyProtection="1">
      <alignment horizontal="center" vertical="center" wrapText="1"/>
      <protection locked="0"/>
    </xf>
    <xf numFmtId="170" fontId="63" fillId="23" borderId="11" xfId="0" applyNumberFormat="1" applyFont="1" applyFill="1" applyBorder="1" applyAlignment="1" applyProtection="1">
      <alignment horizontal="center" vertical="center" wrapText="1"/>
      <protection locked="0"/>
    </xf>
    <xf numFmtId="170" fontId="63" fillId="23" borderId="46" xfId="0" applyNumberFormat="1" applyFont="1" applyFill="1" applyBorder="1" applyAlignment="1" applyProtection="1">
      <alignment horizontal="center" vertical="center" wrapText="1"/>
      <protection locked="0"/>
    </xf>
    <xf numFmtId="0" fontId="69" fillId="0" borderId="54" xfId="0" applyFont="1" applyFill="1" applyBorder="1" applyAlignment="1" applyProtection="1">
      <alignment horizontal="center" vertical="center" textRotation="90"/>
      <protection hidden="1"/>
    </xf>
    <xf numFmtId="0" fontId="69" fillId="0" borderId="1" xfId="0" applyFont="1" applyFill="1" applyBorder="1" applyAlignment="1" applyProtection="1">
      <alignment horizontal="center" vertical="center" textRotation="90"/>
      <protection hidden="1"/>
    </xf>
    <xf numFmtId="0" fontId="36" fillId="14" borderId="113" xfId="0" applyFont="1" applyFill="1" applyBorder="1" applyAlignment="1" applyProtection="1">
      <alignment horizontal="center" vertical="center"/>
      <protection hidden="1"/>
    </xf>
    <xf numFmtId="0" fontId="36" fillId="14" borderId="3" xfId="0" applyFont="1" applyFill="1" applyBorder="1" applyAlignment="1" applyProtection="1">
      <alignment horizontal="center" vertical="center"/>
      <protection hidden="1"/>
    </xf>
    <xf numFmtId="168" fontId="13" fillId="0" borderId="24" xfId="0" applyNumberFormat="1" applyFont="1" applyFill="1" applyBorder="1" applyAlignment="1" applyProtection="1">
      <alignment horizontal="center" vertical="center" wrapText="1"/>
      <protection hidden="1"/>
    </xf>
    <xf numFmtId="168" fontId="13" fillId="0" borderId="25" xfId="0" applyNumberFormat="1" applyFont="1" applyFill="1" applyBorder="1" applyAlignment="1" applyProtection="1">
      <alignment horizontal="center" vertical="center" wrapText="1"/>
      <protection hidden="1"/>
    </xf>
    <xf numFmtId="168" fontId="13" fillId="0" borderId="16" xfId="0" applyNumberFormat="1" applyFont="1" applyFill="1" applyBorder="1" applyAlignment="1" applyProtection="1">
      <alignment horizontal="center" vertical="center" wrapText="1"/>
      <protection hidden="1"/>
    </xf>
    <xf numFmtId="168" fontId="13" fillId="0" borderId="17" xfId="0" applyNumberFormat="1" applyFont="1" applyFill="1" applyBorder="1" applyAlignment="1" applyProtection="1">
      <alignment horizontal="center" vertical="center" wrapText="1"/>
      <protection hidden="1"/>
    </xf>
    <xf numFmtId="4" fontId="63" fillId="23" borderId="14" xfId="0" applyNumberFormat="1" applyFont="1" applyFill="1" applyBorder="1" applyAlignment="1" applyProtection="1">
      <alignment horizontal="center" vertical="center" wrapText="1"/>
      <protection locked="0"/>
    </xf>
    <xf numFmtId="168" fontId="13" fillId="0" borderId="97" xfId="0" applyNumberFormat="1" applyFont="1" applyFill="1" applyBorder="1" applyAlignment="1" applyProtection="1">
      <alignment horizontal="center" vertical="center" wrapText="1"/>
      <protection hidden="1"/>
    </xf>
    <xf numFmtId="168" fontId="13" fillId="0" borderId="10" xfId="0" applyNumberFormat="1" applyFont="1" applyFill="1" applyBorder="1" applyAlignment="1" applyProtection="1">
      <alignment horizontal="center" vertical="center" wrapText="1"/>
      <protection hidden="1"/>
    </xf>
    <xf numFmtId="168" fontId="13" fillId="0" borderId="59" xfId="0" applyNumberFormat="1" applyFont="1" applyFill="1" applyBorder="1" applyAlignment="1" applyProtection="1">
      <alignment horizontal="center" vertical="center" wrapText="1"/>
      <protection hidden="1"/>
    </xf>
    <xf numFmtId="0" fontId="60" fillId="22" borderId="0" xfId="0" applyFont="1" applyFill="1" applyBorder="1" applyAlignment="1" applyProtection="1">
      <alignment horizontal="right" vertical="center" wrapText="1"/>
      <protection hidden="1"/>
    </xf>
    <xf numFmtId="0" fontId="60" fillId="22" borderId="63" xfId="0" applyFont="1" applyFill="1" applyBorder="1" applyAlignment="1" applyProtection="1">
      <alignment horizontal="right" vertical="center" wrapText="1"/>
      <protection hidden="1"/>
    </xf>
    <xf numFmtId="0" fontId="10" fillId="14" borderId="135" xfId="0" applyFont="1" applyFill="1" applyBorder="1" applyAlignment="1" applyProtection="1">
      <alignment horizontal="center" vertical="center"/>
      <protection hidden="1"/>
    </xf>
    <xf numFmtId="0" fontId="57" fillId="19" borderId="113" xfId="0" applyFont="1" applyFill="1" applyBorder="1" applyAlignment="1" applyProtection="1">
      <alignment horizontal="center" vertical="center"/>
      <protection hidden="1"/>
    </xf>
    <xf numFmtId="0" fontId="57" fillId="19" borderId="3" xfId="0" applyFont="1" applyFill="1" applyBorder="1" applyAlignment="1" applyProtection="1">
      <alignment horizontal="center" vertical="center"/>
      <protection hidden="1"/>
    </xf>
    <xf numFmtId="0" fontId="32" fillId="14" borderId="124" xfId="0" applyFont="1" applyFill="1" applyBorder="1" applyAlignment="1" applyProtection="1">
      <alignment horizontal="center" vertical="center" readingOrder="2"/>
      <protection hidden="1"/>
    </xf>
    <xf numFmtId="0" fontId="32" fillId="14" borderId="138" xfId="0" applyFont="1" applyFill="1" applyBorder="1" applyAlignment="1" applyProtection="1">
      <alignment horizontal="center" vertical="center" readingOrder="2"/>
      <protection hidden="1"/>
    </xf>
    <xf numFmtId="0" fontId="41" fillId="22" borderId="62" xfId="0" applyFont="1" applyFill="1" applyBorder="1" applyAlignment="1" applyProtection="1">
      <alignment horizontal="center" vertical="center"/>
      <protection hidden="1"/>
    </xf>
    <xf numFmtId="0" fontId="41" fillId="22" borderId="63" xfId="0" applyFont="1" applyFill="1" applyBorder="1" applyAlignment="1" applyProtection="1">
      <alignment horizontal="center" vertical="center"/>
      <protection hidden="1"/>
    </xf>
    <xf numFmtId="0" fontId="41" fillId="22" borderId="0" xfId="0" applyFont="1" applyFill="1" applyBorder="1" applyAlignment="1" applyProtection="1">
      <alignment horizontal="center" vertical="center"/>
      <protection hidden="1"/>
    </xf>
    <xf numFmtId="4" fontId="63" fillId="23" borderId="12" xfId="0" applyNumberFormat="1" applyFont="1" applyFill="1" applyBorder="1" applyAlignment="1" applyProtection="1">
      <alignment horizontal="center" vertical="center" wrapText="1"/>
      <protection locked="0"/>
    </xf>
    <xf numFmtId="4" fontId="63" fillId="23" borderId="53" xfId="0" applyNumberFormat="1" applyFont="1" applyFill="1" applyBorder="1" applyAlignment="1" applyProtection="1">
      <alignment horizontal="center" vertical="center" wrapText="1"/>
      <protection locked="0"/>
    </xf>
    <xf numFmtId="4" fontId="63" fillId="23" borderId="68" xfId="0" applyNumberFormat="1" applyFont="1" applyFill="1" applyBorder="1" applyAlignment="1" applyProtection="1">
      <alignment horizontal="center" vertical="center" wrapText="1"/>
      <protection locked="0"/>
    </xf>
    <xf numFmtId="4" fontId="63" fillId="23" borderId="69" xfId="0" applyNumberFormat="1" applyFont="1" applyFill="1" applyBorder="1" applyAlignment="1" applyProtection="1">
      <alignment horizontal="center" vertical="center" wrapText="1"/>
      <protection locked="0"/>
    </xf>
    <xf numFmtId="0" fontId="41" fillId="20" borderId="20" xfId="0" applyFont="1" applyFill="1" applyBorder="1" applyAlignment="1" applyProtection="1">
      <alignment horizontal="center" vertical="center"/>
      <protection hidden="1"/>
    </xf>
    <xf numFmtId="0" fontId="57" fillId="19" borderId="1" xfId="0" applyFont="1" applyFill="1" applyBorder="1" applyAlignment="1" applyProtection="1">
      <alignment horizontal="center" vertical="center"/>
      <protection hidden="1"/>
    </xf>
    <xf numFmtId="0" fontId="57" fillId="19" borderId="0" xfId="0" applyFont="1" applyFill="1" applyBorder="1" applyAlignment="1" applyProtection="1">
      <alignment horizontal="center" vertical="center"/>
      <protection hidden="1"/>
    </xf>
    <xf numFmtId="0" fontId="69" fillId="0" borderId="82" xfId="0" applyFont="1" applyFill="1" applyBorder="1" applyAlignment="1" applyProtection="1">
      <alignment horizontal="center" vertical="center" textRotation="90"/>
      <protection hidden="1"/>
    </xf>
    <xf numFmtId="0" fontId="69" fillId="0" borderId="48" xfId="0" applyFont="1" applyFill="1" applyBorder="1" applyAlignment="1" applyProtection="1">
      <alignment horizontal="center" vertical="center" textRotation="90"/>
      <protection hidden="1"/>
    </xf>
    <xf numFmtId="0" fontId="41" fillId="22" borderId="3" xfId="0" applyFont="1" applyFill="1" applyBorder="1" applyAlignment="1" applyProtection="1">
      <alignment horizontal="center" vertical="center"/>
      <protection hidden="1"/>
    </xf>
    <xf numFmtId="0" fontId="10" fillId="0" borderId="50" xfId="0" applyFont="1" applyFill="1" applyBorder="1" applyAlignment="1" applyProtection="1">
      <alignment horizontal="center" vertical="center" textRotation="90"/>
      <protection hidden="1"/>
    </xf>
    <xf numFmtId="0" fontId="10" fillId="0" borderId="42" xfId="0" applyFont="1" applyFill="1" applyBorder="1" applyAlignment="1" applyProtection="1">
      <alignment horizontal="center" vertical="center" textRotation="90"/>
      <protection hidden="1"/>
    </xf>
    <xf numFmtId="0" fontId="10" fillId="0" borderId="43" xfId="0" applyFont="1" applyFill="1" applyBorder="1" applyAlignment="1" applyProtection="1">
      <alignment horizontal="center" vertical="center" textRotation="90"/>
      <protection hidden="1"/>
    </xf>
    <xf numFmtId="0" fontId="36" fillId="14" borderId="55" xfId="0" applyFont="1" applyFill="1" applyBorder="1" applyAlignment="1" applyProtection="1">
      <alignment horizontal="center" vertical="center"/>
      <protection hidden="1"/>
    </xf>
    <xf numFmtId="4" fontId="63" fillId="23" borderId="76" xfId="0" applyNumberFormat="1" applyFont="1" applyFill="1" applyBorder="1" applyAlignment="1" applyProtection="1">
      <alignment horizontal="center" vertical="center" wrapText="1"/>
      <protection locked="0"/>
    </xf>
    <xf numFmtId="4" fontId="63" fillId="23" borderId="77" xfId="0" applyNumberFormat="1" applyFont="1" applyFill="1" applyBorder="1" applyAlignment="1" applyProtection="1">
      <alignment horizontal="center" vertical="center" wrapText="1"/>
      <protection locked="0"/>
    </xf>
    <xf numFmtId="3" fontId="63" fillId="23" borderId="75" xfId="0" applyNumberFormat="1" applyFont="1" applyFill="1" applyBorder="1" applyAlignment="1" applyProtection="1">
      <alignment horizontal="center" vertical="center" wrapText="1"/>
      <protection locked="0"/>
    </xf>
    <xf numFmtId="3" fontId="63" fillId="23" borderId="76" xfId="0" applyNumberFormat="1" applyFont="1" applyFill="1" applyBorder="1" applyAlignment="1" applyProtection="1">
      <alignment horizontal="center" vertical="center" wrapText="1"/>
      <protection locked="0"/>
    </xf>
    <xf numFmtId="0" fontId="10" fillId="14" borderId="142" xfId="0" applyFont="1" applyFill="1" applyBorder="1" applyAlignment="1" applyProtection="1">
      <alignment horizontal="center" vertical="center"/>
      <protection hidden="1"/>
    </xf>
    <xf numFmtId="0" fontId="60" fillId="22" borderId="201" xfId="0" applyFont="1" applyFill="1" applyBorder="1" applyAlignment="1" applyProtection="1">
      <alignment horizontal="right" vertical="center" wrapText="1"/>
      <protection hidden="1"/>
    </xf>
    <xf numFmtId="0" fontId="60" fillId="22" borderId="200" xfId="0" applyFont="1" applyFill="1" applyBorder="1" applyAlignment="1" applyProtection="1">
      <alignment horizontal="right" vertical="center" wrapText="1"/>
      <protection hidden="1"/>
    </xf>
    <xf numFmtId="0" fontId="60" fillId="22" borderId="202" xfId="0" applyFont="1" applyFill="1" applyBorder="1" applyAlignment="1" applyProtection="1">
      <alignment horizontal="right" vertical="center" wrapText="1"/>
      <protection hidden="1"/>
    </xf>
    <xf numFmtId="0" fontId="10" fillId="22" borderId="209" xfId="0" applyFont="1" applyFill="1" applyBorder="1" applyAlignment="1" applyProtection="1">
      <alignment horizontal="right" vertical="top" wrapText="1" readingOrder="2"/>
      <protection hidden="1"/>
    </xf>
    <xf numFmtId="0" fontId="10" fillId="22" borderId="210" xfId="0" applyFont="1" applyFill="1" applyBorder="1" applyAlignment="1" applyProtection="1">
      <alignment horizontal="right" vertical="top" wrapText="1" readingOrder="2"/>
      <protection hidden="1"/>
    </xf>
    <xf numFmtId="0" fontId="10" fillId="22" borderId="211" xfId="0" applyFont="1" applyFill="1" applyBorder="1" applyAlignment="1" applyProtection="1">
      <alignment horizontal="right" vertical="top" wrapText="1" readingOrder="2"/>
      <protection hidden="1"/>
    </xf>
    <xf numFmtId="0" fontId="10" fillId="22" borderId="212" xfId="0" applyFont="1" applyFill="1" applyBorder="1" applyAlignment="1" applyProtection="1">
      <alignment horizontal="right" vertical="top" wrapText="1" readingOrder="2"/>
      <protection hidden="1"/>
    </xf>
    <xf numFmtId="0" fontId="10" fillId="22" borderId="213" xfId="0" applyFont="1" applyFill="1" applyBorder="1" applyAlignment="1" applyProtection="1">
      <alignment horizontal="right" vertical="top" wrapText="1" readingOrder="2"/>
      <protection hidden="1"/>
    </xf>
    <xf numFmtId="0" fontId="10" fillId="0" borderId="46" xfId="0" applyFont="1" applyFill="1" applyBorder="1" applyAlignment="1" applyProtection="1">
      <alignment horizontal="center" vertical="center" textRotation="90"/>
      <protection hidden="1"/>
    </xf>
    <xf numFmtId="0" fontId="10" fillId="0" borderId="44" xfId="0" applyFont="1" applyFill="1" applyBorder="1" applyAlignment="1" applyProtection="1">
      <alignment horizontal="center" vertical="center" textRotation="90"/>
      <protection hidden="1"/>
    </xf>
    <xf numFmtId="0" fontId="10" fillId="0" borderId="47" xfId="0" applyFont="1" applyFill="1" applyBorder="1" applyAlignment="1" applyProtection="1">
      <alignment horizontal="center" vertical="center" textRotation="90"/>
      <protection hidden="1"/>
    </xf>
    <xf numFmtId="0" fontId="35" fillId="14" borderId="89" xfId="0" applyFont="1" applyFill="1" applyBorder="1" applyAlignment="1" applyProtection="1">
      <alignment horizontal="center" vertical="center" wrapText="1"/>
      <protection hidden="1"/>
    </xf>
    <xf numFmtId="0" fontId="36" fillId="14" borderId="87" xfId="0" applyFont="1" applyFill="1" applyBorder="1" applyAlignment="1" applyProtection="1">
      <alignment horizontal="center" vertical="center" wrapText="1"/>
      <protection hidden="1"/>
    </xf>
    <xf numFmtId="0" fontId="36" fillId="14" borderId="3" xfId="0" applyFont="1" applyFill="1" applyBorder="1" applyAlignment="1" applyProtection="1">
      <alignment horizontal="center" vertical="center" wrapText="1"/>
      <protection hidden="1"/>
    </xf>
    <xf numFmtId="0" fontId="36" fillId="14" borderId="122" xfId="0" applyFont="1" applyFill="1" applyBorder="1" applyAlignment="1" applyProtection="1">
      <alignment horizontal="center" vertical="center"/>
      <protection hidden="1"/>
    </xf>
    <xf numFmtId="0" fontId="36" fillId="14" borderId="129" xfId="0" applyFont="1" applyFill="1" applyBorder="1" applyAlignment="1" applyProtection="1">
      <alignment horizontal="center" vertical="center"/>
      <protection hidden="1"/>
    </xf>
    <xf numFmtId="0" fontId="32" fillId="14" borderId="112" xfId="0" applyFont="1" applyFill="1" applyBorder="1" applyAlignment="1" applyProtection="1">
      <alignment horizontal="center" vertical="center" readingOrder="2"/>
      <protection hidden="1"/>
    </xf>
    <xf numFmtId="0" fontId="32" fillId="14" borderId="123" xfId="0" applyFont="1" applyFill="1" applyBorder="1" applyAlignment="1" applyProtection="1">
      <alignment horizontal="center" vertical="center" readingOrder="2"/>
      <protection hidden="1"/>
    </xf>
    <xf numFmtId="0" fontId="38" fillId="0" borderId="19" xfId="0" applyFont="1" applyBorder="1" applyAlignment="1" applyProtection="1">
      <alignment horizontal="right" vertical="center"/>
      <protection hidden="1"/>
    </xf>
    <xf numFmtId="0" fontId="38" fillId="0" borderId="7" xfId="0" applyFont="1" applyBorder="1" applyAlignment="1" applyProtection="1">
      <alignment horizontal="right" vertical="center"/>
      <protection hidden="1"/>
    </xf>
    <xf numFmtId="0" fontId="38" fillId="0" borderId="51" xfId="0" applyFont="1" applyBorder="1" applyAlignment="1" applyProtection="1">
      <alignment horizontal="right" vertical="center"/>
      <protection hidden="1"/>
    </xf>
    <xf numFmtId="0" fontId="54" fillId="19" borderId="63" xfId="0" applyFont="1" applyFill="1" applyBorder="1" applyAlignment="1" applyProtection="1">
      <alignment horizontal="right" vertical="center"/>
      <protection hidden="1"/>
    </xf>
    <xf numFmtId="0" fontId="51" fillId="19" borderId="1" xfId="0" applyFont="1" applyFill="1" applyBorder="1" applyAlignment="1" applyProtection="1">
      <alignment horizontal="center" vertical="center"/>
      <protection hidden="1"/>
    </xf>
    <xf numFmtId="0" fontId="51" fillId="19" borderId="179" xfId="0" applyFont="1" applyFill="1" applyBorder="1" applyAlignment="1" applyProtection="1">
      <alignment horizontal="center" vertical="center"/>
      <protection hidden="1"/>
    </xf>
    <xf numFmtId="0" fontId="41" fillId="9" borderId="61" xfId="0" applyFont="1" applyFill="1" applyBorder="1" applyAlignment="1" applyProtection="1">
      <alignment horizontal="center" vertical="center"/>
      <protection hidden="1"/>
    </xf>
    <xf numFmtId="0" fontId="51" fillId="19" borderId="180" xfId="0" applyFont="1" applyFill="1" applyBorder="1" applyAlignment="1" applyProtection="1">
      <alignment horizontal="center" vertical="center"/>
      <protection hidden="1"/>
    </xf>
    <xf numFmtId="0" fontId="69" fillId="0" borderId="82" xfId="0" applyFont="1" applyFill="1" applyBorder="1" applyAlignment="1" applyProtection="1">
      <alignment horizontal="center" vertical="center" textRotation="90" wrapText="1"/>
      <protection hidden="1"/>
    </xf>
    <xf numFmtId="0" fontId="69" fillId="0" borderId="48" xfId="0" applyFont="1" applyFill="1" applyBorder="1" applyAlignment="1" applyProtection="1">
      <alignment horizontal="center" vertical="center" textRotation="90" wrapText="1"/>
      <protection hidden="1"/>
    </xf>
    <xf numFmtId="0" fontId="69" fillId="0" borderId="20" xfId="0" applyFont="1" applyFill="1" applyBorder="1" applyAlignment="1" applyProtection="1">
      <alignment horizontal="center" vertical="center" textRotation="90" wrapText="1"/>
      <protection hidden="1"/>
    </xf>
    <xf numFmtId="2" fontId="63" fillId="0" borderId="101" xfId="0" applyNumberFormat="1" applyFont="1" applyFill="1" applyBorder="1" applyAlignment="1" applyProtection="1">
      <alignment horizontal="center" vertical="center" wrapText="1"/>
      <protection hidden="1"/>
    </xf>
    <xf numFmtId="2" fontId="63" fillId="0" borderId="69" xfId="0" applyNumberFormat="1" applyFont="1" applyFill="1" applyBorder="1" applyAlignment="1" applyProtection="1">
      <alignment horizontal="center" vertical="center" wrapText="1"/>
      <protection hidden="1"/>
    </xf>
    <xf numFmtId="165" fontId="63" fillId="0" borderId="101" xfId="0" applyNumberFormat="1" applyFont="1" applyBorder="1" applyAlignment="1" applyProtection="1">
      <alignment horizontal="center" vertical="center"/>
      <protection hidden="1"/>
    </xf>
    <xf numFmtId="165" fontId="63" fillId="0" borderId="68" xfId="0" applyNumberFormat="1" applyFont="1" applyBorder="1" applyAlignment="1" applyProtection="1">
      <alignment horizontal="center" vertical="center"/>
      <protection hidden="1"/>
    </xf>
    <xf numFmtId="165" fontId="63" fillId="0" borderId="69" xfId="0" applyNumberFormat="1" applyFont="1" applyBorder="1" applyAlignment="1" applyProtection="1">
      <alignment horizontal="center" vertical="center"/>
      <protection hidden="1"/>
    </xf>
    <xf numFmtId="0" fontId="41" fillId="26" borderId="1" xfId="0" applyFont="1" applyFill="1" applyBorder="1" applyAlignment="1" applyProtection="1">
      <alignment horizontal="center" vertical="center"/>
      <protection hidden="1"/>
    </xf>
    <xf numFmtId="0" fontId="41" fillId="26" borderId="113" xfId="0" applyFont="1" applyFill="1" applyBorder="1" applyAlignment="1" applyProtection="1">
      <alignment horizontal="center" vertical="center"/>
      <protection hidden="1"/>
    </xf>
    <xf numFmtId="0" fontId="41" fillId="0" borderId="214" xfId="0" applyFont="1" applyBorder="1" applyAlignment="1" applyProtection="1">
      <alignment horizontal="center" vertical="center"/>
      <protection hidden="1"/>
    </xf>
    <xf numFmtId="2" fontId="63" fillId="0" borderId="100" xfId="0" applyNumberFormat="1" applyFont="1" applyFill="1" applyBorder="1" applyAlignment="1" applyProtection="1">
      <alignment horizontal="center" vertical="center" wrapText="1"/>
      <protection hidden="1"/>
    </xf>
    <xf numFmtId="2" fontId="63" fillId="0" borderId="77" xfId="0" applyNumberFormat="1" applyFont="1" applyFill="1" applyBorder="1" applyAlignment="1" applyProtection="1">
      <alignment horizontal="center" vertical="center" wrapText="1"/>
      <protection hidden="1"/>
    </xf>
    <xf numFmtId="165" fontId="63" fillId="0" borderId="100" xfId="0" applyNumberFormat="1" applyFont="1" applyBorder="1" applyAlignment="1" applyProtection="1">
      <alignment horizontal="center" vertical="center"/>
      <protection hidden="1"/>
    </xf>
    <xf numFmtId="165" fontId="63" fillId="0" borderId="76" xfId="0" applyNumberFormat="1" applyFont="1" applyBorder="1" applyAlignment="1" applyProtection="1">
      <alignment horizontal="center" vertical="center"/>
      <protection hidden="1"/>
    </xf>
    <xf numFmtId="165" fontId="63" fillId="0" borderId="77" xfId="0" applyNumberFormat="1" applyFont="1" applyBorder="1" applyAlignment="1" applyProtection="1">
      <alignment horizontal="center" vertical="center"/>
      <protection hidden="1"/>
    </xf>
    <xf numFmtId="0" fontId="29" fillId="0" borderId="266" xfId="0" applyFont="1" applyFill="1" applyBorder="1" applyAlignment="1" applyProtection="1">
      <alignment horizontal="center" vertical="center"/>
      <protection hidden="1"/>
    </xf>
    <xf numFmtId="0" fontId="35" fillId="27" borderId="84" xfId="0" applyFont="1" applyFill="1" applyBorder="1" applyAlignment="1" applyProtection="1">
      <alignment horizontal="center" vertical="center" wrapText="1"/>
      <protection hidden="1"/>
    </xf>
    <xf numFmtId="0" fontId="35" fillId="27" borderId="95" xfId="0" applyFont="1" applyFill="1" applyBorder="1" applyAlignment="1" applyProtection="1">
      <alignment horizontal="center" vertical="center" wrapText="1"/>
      <protection hidden="1"/>
    </xf>
    <xf numFmtId="0" fontId="35" fillId="27" borderId="105" xfId="0" applyFont="1" applyFill="1" applyBorder="1" applyAlignment="1" applyProtection="1">
      <alignment horizontal="center" vertical="center"/>
      <protection hidden="1"/>
    </xf>
    <xf numFmtId="0" fontId="32" fillId="27" borderId="105" xfId="0" applyFont="1" applyFill="1" applyBorder="1" applyAlignment="1" applyProtection="1">
      <alignment horizontal="center" vertical="center" readingOrder="2"/>
      <protection hidden="1"/>
    </xf>
    <xf numFmtId="0" fontId="32" fillId="27" borderId="136" xfId="0" applyFont="1" applyFill="1" applyBorder="1" applyAlignment="1" applyProtection="1">
      <alignment horizontal="center" vertical="center" readingOrder="2"/>
      <protection hidden="1"/>
    </xf>
    <xf numFmtId="0" fontId="32" fillId="27" borderId="106" xfId="0" applyFont="1" applyFill="1" applyBorder="1" applyAlignment="1" applyProtection="1">
      <alignment horizontal="center" vertical="center" readingOrder="2"/>
      <protection hidden="1"/>
    </xf>
    <xf numFmtId="0" fontId="32" fillId="27" borderId="177" xfId="0" applyFont="1" applyFill="1" applyBorder="1" applyAlignment="1" applyProtection="1">
      <alignment horizontal="center" vertical="center" readingOrder="2"/>
      <protection hidden="1"/>
    </xf>
    <xf numFmtId="0" fontId="35" fillId="27" borderId="1" xfId="0" applyFont="1" applyFill="1" applyBorder="1" applyAlignment="1" applyProtection="1">
      <alignment horizontal="center" vertical="center" wrapText="1"/>
      <protection hidden="1"/>
    </xf>
    <xf numFmtId="165" fontId="63" fillId="0" borderId="10" xfId="0" applyNumberFormat="1" applyFont="1" applyBorder="1" applyAlignment="1" applyProtection="1">
      <alignment horizontal="center" vertical="center"/>
      <protection hidden="1"/>
    </xf>
    <xf numFmtId="165" fontId="63" fillId="0" borderId="273" xfId="0" applyNumberFormat="1" applyFont="1" applyBorder="1" applyAlignment="1" applyProtection="1">
      <alignment horizontal="center" vertical="center"/>
      <protection hidden="1"/>
    </xf>
    <xf numFmtId="0" fontId="41" fillId="26" borderId="54" xfId="0" applyFont="1" applyFill="1" applyBorder="1" applyAlignment="1" applyProtection="1">
      <alignment horizontal="center" vertical="center"/>
      <protection hidden="1"/>
    </xf>
    <xf numFmtId="0" fontId="41" fillId="26" borderId="62" xfId="0" applyFont="1" applyFill="1" applyBorder="1" applyAlignment="1" applyProtection="1">
      <alignment horizontal="center" vertical="center"/>
      <protection hidden="1"/>
    </xf>
    <xf numFmtId="0" fontId="35" fillId="27" borderId="84" xfId="0" applyFont="1" applyFill="1" applyBorder="1" applyAlignment="1" applyProtection="1">
      <alignment horizontal="center" vertical="center"/>
      <protection hidden="1"/>
    </xf>
    <xf numFmtId="0" fontId="35" fillId="27" borderId="85" xfId="0" applyFont="1" applyFill="1" applyBorder="1" applyAlignment="1" applyProtection="1">
      <alignment horizontal="center" vertical="center"/>
      <protection hidden="1"/>
    </xf>
    <xf numFmtId="0" fontId="32" fillId="27" borderId="151" xfId="0" applyFont="1" applyFill="1" applyBorder="1" applyAlignment="1" applyProtection="1">
      <alignment horizontal="center" vertical="center" readingOrder="2"/>
      <protection hidden="1"/>
    </xf>
    <xf numFmtId="0" fontId="32" fillId="27" borderId="267" xfId="0" applyFont="1" applyFill="1" applyBorder="1" applyAlignment="1" applyProtection="1">
      <alignment horizontal="center" vertical="center" readingOrder="2"/>
      <protection hidden="1"/>
    </xf>
    <xf numFmtId="2" fontId="63" fillId="0" borderId="97" xfId="0" applyNumberFormat="1" applyFont="1" applyFill="1" applyBorder="1" applyAlignment="1" applyProtection="1">
      <alignment horizontal="center" vertical="center" wrapText="1"/>
      <protection hidden="1"/>
    </xf>
    <xf numFmtId="2" fontId="63" fillId="0" borderId="10" xfId="0" applyNumberFormat="1" applyFont="1" applyFill="1" applyBorder="1" applyAlignment="1" applyProtection="1">
      <alignment horizontal="center" vertical="center" wrapText="1"/>
      <protection hidden="1"/>
    </xf>
    <xf numFmtId="2" fontId="63" fillId="0" borderId="59" xfId="0" applyNumberFormat="1" applyFont="1" applyFill="1" applyBorder="1" applyAlignment="1" applyProtection="1">
      <alignment horizontal="center" vertical="center" wrapText="1"/>
      <protection hidden="1"/>
    </xf>
    <xf numFmtId="165" fontId="63" fillId="0" borderId="161" xfId="0" applyNumberFormat="1" applyFont="1" applyBorder="1" applyAlignment="1" applyProtection="1">
      <alignment horizontal="center" vertical="center"/>
      <protection hidden="1"/>
    </xf>
    <xf numFmtId="165" fontId="63" fillId="0" borderId="139" xfId="0" applyNumberFormat="1" applyFont="1" applyBorder="1" applyAlignment="1" applyProtection="1">
      <alignment horizontal="center" vertical="center"/>
      <protection hidden="1"/>
    </xf>
    <xf numFmtId="165" fontId="63" fillId="0" borderId="60" xfId="0" applyNumberFormat="1" applyFont="1" applyBorder="1" applyAlignment="1" applyProtection="1">
      <alignment horizontal="center" vertical="center"/>
      <protection hidden="1"/>
    </xf>
    <xf numFmtId="165" fontId="63" fillId="0" borderId="97" xfId="0" applyNumberFormat="1" applyFont="1" applyBorder="1" applyAlignment="1" applyProtection="1">
      <alignment horizontal="center" vertical="center"/>
      <protection hidden="1"/>
    </xf>
    <xf numFmtId="165" fontId="63" fillId="0" borderId="59" xfId="0" applyNumberFormat="1" applyFont="1" applyBorder="1" applyAlignment="1" applyProtection="1">
      <alignment horizontal="center" vertical="center"/>
      <protection hidden="1"/>
    </xf>
    <xf numFmtId="2" fontId="63" fillId="0" borderId="57" xfId="0" applyNumberFormat="1" applyFont="1" applyFill="1" applyBorder="1" applyAlignment="1" applyProtection="1">
      <alignment horizontal="center" vertical="center" wrapText="1"/>
      <protection hidden="1"/>
    </xf>
    <xf numFmtId="165" fontId="63" fillId="0" borderId="57" xfId="0" applyNumberFormat="1" applyFont="1" applyBorder="1" applyAlignment="1" applyProtection="1">
      <alignment horizontal="center" vertical="center"/>
      <protection hidden="1"/>
    </xf>
    <xf numFmtId="165" fontId="63" fillId="0" borderId="58" xfId="0" applyNumberFormat="1" applyFont="1" applyBorder="1" applyAlignment="1" applyProtection="1">
      <alignment horizontal="center" vertical="center"/>
      <protection hidden="1"/>
    </xf>
    <xf numFmtId="0" fontId="41" fillId="26" borderId="55" xfId="0" applyFont="1" applyFill="1" applyBorder="1" applyAlignment="1" applyProtection="1">
      <alignment horizontal="center" vertical="center"/>
      <protection hidden="1"/>
    </xf>
    <xf numFmtId="2" fontId="63" fillId="0" borderId="245" xfId="0" applyNumberFormat="1" applyFont="1" applyBorder="1" applyAlignment="1" applyProtection="1">
      <alignment horizontal="center" vertical="center"/>
      <protection hidden="1"/>
    </xf>
    <xf numFmtId="2" fontId="63" fillId="0" borderId="246" xfId="0" applyNumberFormat="1" applyFont="1" applyBorder="1" applyAlignment="1" applyProtection="1">
      <alignment horizontal="center" vertical="center"/>
      <protection hidden="1"/>
    </xf>
    <xf numFmtId="2" fontId="63" fillId="0" borderId="215" xfId="0" applyNumberFormat="1" applyFont="1" applyBorder="1" applyAlignment="1" applyProtection="1">
      <alignment horizontal="center" vertical="center"/>
      <protection hidden="1"/>
    </xf>
    <xf numFmtId="0" fontId="32" fillId="27" borderId="141" xfId="0" applyFont="1" applyFill="1" applyBorder="1" applyAlignment="1" applyProtection="1">
      <alignment horizontal="center" vertical="center" readingOrder="2"/>
      <protection hidden="1"/>
    </xf>
    <xf numFmtId="3" fontId="64" fillId="23" borderId="181" xfId="0" applyNumberFormat="1" applyFont="1" applyFill="1" applyBorder="1" applyAlignment="1" applyProtection="1">
      <alignment horizontal="center" vertical="center"/>
      <protection locked="0"/>
    </xf>
    <xf numFmtId="3" fontId="64" fillId="23" borderId="57" xfId="0" applyNumberFormat="1" applyFont="1" applyFill="1" applyBorder="1" applyAlignment="1" applyProtection="1">
      <alignment horizontal="center" vertical="center"/>
      <protection locked="0"/>
    </xf>
    <xf numFmtId="2" fontId="63" fillId="0" borderId="137" xfId="0" applyNumberFormat="1" applyFont="1" applyFill="1" applyBorder="1" applyAlignment="1" applyProtection="1">
      <alignment horizontal="center" vertical="center" wrapText="1"/>
      <protection hidden="1"/>
    </xf>
    <xf numFmtId="2" fontId="63" fillId="0" borderId="7" xfId="0" applyNumberFormat="1" applyFont="1" applyFill="1" applyBorder="1" applyAlignment="1" applyProtection="1">
      <alignment horizontal="center" vertical="center" wrapText="1"/>
      <protection hidden="1"/>
    </xf>
    <xf numFmtId="2" fontId="63" fillId="0" borderId="131" xfId="0" applyNumberFormat="1" applyFont="1" applyFill="1" applyBorder="1" applyAlignment="1" applyProtection="1">
      <alignment horizontal="center" vertical="center" wrapText="1"/>
      <protection hidden="1"/>
    </xf>
    <xf numFmtId="165" fontId="63" fillId="0" borderId="181" xfId="0" applyNumberFormat="1" applyFont="1" applyBorder="1" applyAlignment="1" applyProtection="1">
      <alignment horizontal="center" vertical="center"/>
      <protection hidden="1"/>
    </xf>
    <xf numFmtId="165" fontId="63" fillId="0" borderId="137" xfId="0" applyNumberFormat="1" applyFont="1" applyBorder="1" applyAlignment="1" applyProtection="1">
      <alignment horizontal="center" vertical="center"/>
      <protection hidden="1"/>
    </xf>
    <xf numFmtId="165" fontId="63" fillId="0" borderId="7" xfId="0" applyNumberFormat="1" applyFont="1" applyBorder="1" applyAlignment="1" applyProtection="1">
      <alignment horizontal="center" vertical="center"/>
      <protection hidden="1"/>
    </xf>
    <xf numFmtId="165" fontId="63" fillId="0" borderId="131" xfId="0" applyNumberFormat="1" applyFont="1" applyBorder="1" applyAlignment="1" applyProtection="1">
      <alignment horizontal="center" vertical="center"/>
      <protection hidden="1"/>
    </xf>
    <xf numFmtId="165" fontId="63" fillId="0" borderId="270" xfId="0" applyNumberFormat="1" applyFont="1" applyBorder="1" applyAlignment="1" applyProtection="1">
      <alignment horizontal="center" vertical="center"/>
      <protection hidden="1"/>
    </xf>
    <xf numFmtId="165" fontId="63" fillId="0" borderId="272" xfId="0" applyNumberFormat="1" applyFont="1" applyBorder="1" applyAlignment="1" applyProtection="1">
      <alignment horizontal="center" vertical="center"/>
      <protection hidden="1"/>
    </xf>
    <xf numFmtId="165" fontId="63" fillId="0" borderId="271" xfId="0" applyNumberFormat="1" applyFont="1" applyBorder="1" applyAlignment="1" applyProtection="1">
      <alignment horizontal="center" vertical="center"/>
      <protection hidden="1"/>
    </xf>
    <xf numFmtId="165" fontId="63" fillId="0" borderId="42" xfId="0" applyNumberFormat="1" applyFont="1" applyBorder="1" applyAlignment="1" applyProtection="1">
      <alignment horizontal="center" vertical="center"/>
      <protection hidden="1"/>
    </xf>
    <xf numFmtId="165" fontId="63" fillId="0" borderId="46" xfId="0" applyNumberFormat="1" applyFont="1" applyBorder="1" applyAlignment="1" applyProtection="1">
      <alignment horizontal="center" vertical="center"/>
      <protection hidden="1"/>
    </xf>
    <xf numFmtId="2" fontId="63" fillId="0" borderId="268" xfId="0" applyNumberFormat="1" applyFont="1" applyBorder="1" applyAlignment="1" applyProtection="1">
      <alignment horizontal="center" vertical="center"/>
      <protection hidden="1"/>
    </xf>
    <xf numFmtId="165" fontId="63" fillId="0" borderId="43" xfId="0" applyNumberFormat="1" applyFont="1" applyBorder="1" applyAlignment="1" applyProtection="1">
      <alignment horizontal="center" vertical="center"/>
      <protection hidden="1"/>
    </xf>
    <xf numFmtId="2" fontId="63" fillId="0" borderId="264" xfId="0" applyNumberFormat="1" applyFont="1" applyBorder="1" applyAlignment="1" applyProtection="1">
      <alignment horizontal="center" vertical="center"/>
      <protection hidden="1"/>
    </xf>
    <xf numFmtId="2" fontId="63" fillId="0" borderId="256" xfId="0" applyNumberFormat="1" applyFont="1" applyBorder="1" applyAlignment="1" applyProtection="1">
      <alignment horizontal="center" vertical="center"/>
      <protection hidden="1"/>
    </xf>
    <xf numFmtId="2" fontId="63" fillId="0" borderId="265" xfId="0" applyNumberFormat="1" applyFont="1" applyBorder="1" applyAlignment="1" applyProtection="1">
      <alignment horizontal="center" vertical="center"/>
      <protection hidden="1"/>
    </xf>
    <xf numFmtId="0" fontId="41" fillId="0" borderId="268" xfId="0" applyFont="1" applyBorder="1" applyAlignment="1" applyProtection="1">
      <alignment horizontal="center" vertical="center"/>
      <protection hidden="1"/>
    </xf>
    <xf numFmtId="0" fontId="41" fillId="0" borderId="269" xfId="0" applyFont="1" applyBorder="1" applyAlignment="1" applyProtection="1">
      <alignment horizontal="center" vertical="center"/>
      <protection hidden="1"/>
    </xf>
    <xf numFmtId="0" fontId="41" fillId="0" borderId="260" xfId="0" applyFont="1" applyBorder="1" applyAlignment="1" applyProtection="1">
      <alignment horizontal="center" vertical="center"/>
      <protection hidden="1"/>
    </xf>
    <xf numFmtId="0" fontId="41" fillId="0" borderId="262" xfId="0" applyFont="1" applyBorder="1" applyAlignment="1" applyProtection="1">
      <alignment horizontal="center" vertical="center"/>
      <protection hidden="1"/>
    </xf>
    <xf numFmtId="165" fontId="63" fillId="0" borderId="50" xfId="0" applyNumberFormat="1" applyFont="1" applyBorder="1" applyAlignment="1" applyProtection="1">
      <alignment horizontal="center" vertical="center"/>
      <protection hidden="1"/>
    </xf>
    <xf numFmtId="0" fontId="35" fillId="27" borderId="54" xfId="0" applyFont="1" applyFill="1" applyBorder="1" applyAlignment="1" applyProtection="1">
      <alignment horizontal="center" vertical="top" wrapText="1"/>
      <protection hidden="1"/>
    </xf>
    <xf numFmtId="0" fontId="35" fillId="27" borderId="113" xfId="0" applyFont="1" applyFill="1" applyBorder="1" applyAlignment="1" applyProtection="1">
      <alignment horizontal="center" vertical="top" wrapText="1"/>
      <protection hidden="1"/>
    </xf>
    <xf numFmtId="0" fontId="35" fillId="27" borderId="84" xfId="0" applyFont="1" applyFill="1" applyBorder="1" applyAlignment="1" applyProtection="1">
      <alignment horizontal="center" vertical="top" wrapText="1"/>
      <protection hidden="1"/>
    </xf>
    <xf numFmtId="0" fontId="35" fillId="27" borderId="72" xfId="0" applyFont="1" applyFill="1" applyBorder="1" applyAlignment="1" applyProtection="1">
      <alignment horizontal="center" vertical="top" wrapText="1"/>
      <protection hidden="1"/>
    </xf>
    <xf numFmtId="0" fontId="51" fillId="19" borderId="3" xfId="0" applyFont="1" applyFill="1" applyBorder="1" applyAlignment="1" applyProtection="1">
      <alignment horizontal="center" vertical="center"/>
      <protection hidden="1"/>
    </xf>
    <xf numFmtId="0" fontId="51" fillId="19" borderId="55" xfId="0" applyFont="1" applyFill="1" applyBorder="1" applyAlignment="1" applyProtection="1">
      <alignment horizontal="center" vertical="center"/>
      <protection hidden="1"/>
    </xf>
    <xf numFmtId="0" fontId="51" fillId="19" borderId="113" xfId="0" applyFont="1" applyFill="1" applyBorder="1" applyAlignment="1" applyProtection="1">
      <alignment horizontal="center" vertical="center"/>
      <protection hidden="1"/>
    </xf>
    <xf numFmtId="0" fontId="51" fillId="19" borderId="191" xfId="0" applyFont="1" applyFill="1" applyBorder="1" applyAlignment="1" applyProtection="1">
      <alignment horizontal="center" vertical="center"/>
      <protection hidden="1"/>
    </xf>
    <xf numFmtId="0" fontId="41" fillId="0" borderId="0" xfId="0" applyFont="1" applyAlignment="1" applyProtection="1">
      <alignment horizontal="center"/>
      <protection hidden="1"/>
    </xf>
    <xf numFmtId="0" fontId="36" fillId="14" borderId="92" xfId="0" applyFont="1" applyFill="1" applyBorder="1" applyAlignment="1" applyProtection="1">
      <alignment horizontal="center" vertical="center"/>
      <protection hidden="1"/>
    </xf>
    <xf numFmtId="0" fontId="36" fillId="14" borderId="0" xfId="0" applyFont="1" applyFill="1" applyBorder="1" applyAlignment="1" applyProtection="1">
      <alignment horizontal="center" vertical="center"/>
      <protection hidden="1"/>
    </xf>
    <xf numFmtId="0" fontId="36" fillId="14" borderId="93" xfId="0" applyFont="1" applyFill="1" applyBorder="1" applyAlignment="1" applyProtection="1">
      <alignment horizontal="center" vertical="center"/>
      <protection hidden="1"/>
    </xf>
    <xf numFmtId="169" fontId="63" fillId="23" borderId="137" xfId="0" applyNumberFormat="1" applyFont="1" applyFill="1" applyBorder="1" applyAlignment="1" applyProtection="1">
      <alignment horizontal="center" vertical="center"/>
      <protection locked="0"/>
    </xf>
    <xf numFmtId="169" fontId="63" fillId="23" borderId="7" xfId="0" applyNumberFormat="1" applyFont="1" applyFill="1" applyBorder="1" applyAlignment="1" applyProtection="1">
      <alignment horizontal="center" vertical="center"/>
      <protection locked="0"/>
    </xf>
    <xf numFmtId="169" fontId="63" fillId="23" borderId="57" xfId="0" applyNumberFormat="1" applyFont="1" applyFill="1" applyBorder="1" applyAlignment="1" applyProtection="1">
      <alignment horizontal="center" vertical="center"/>
      <protection locked="0"/>
    </xf>
    <xf numFmtId="169" fontId="10" fillId="9" borderId="137" xfId="0" applyNumberFormat="1" applyFont="1" applyFill="1" applyBorder="1" applyAlignment="1" applyProtection="1">
      <alignment horizontal="center" vertical="center" wrapText="1"/>
      <protection hidden="1"/>
    </xf>
    <xf numFmtId="169" fontId="10" fillId="9" borderId="51" xfId="0" applyNumberFormat="1" applyFont="1" applyFill="1" applyBorder="1" applyAlignment="1" applyProtection="1">
      <alignment horizontal="center" vertical="center" wrapText="1"/>
      <protection hidden="1"/>
    </xf>
    <xf numFmtId="0" fontId="41" fillId="22" borderId="82" xfId="0" applyFont="1" applyFill="1" applyBorder="1" applyAlignment="1" applyProtection="1">
      <alignment horizontal="center"/>
      <protection hidden="1"/>
    </xf>
    <xf numFmtId="0" fontId="41" fillId="22" borderId="48" xfId="0" applyFont="1" applyFill="1" applyBorder="1" applyAlignment="1" applyProtection="1">
      <alignment horizontal="center"/>
      <protection hidden="1"/>
    </xf>
    <xf numFmtId="0" fontId="41" fillId="22" borderId="20" xfId="0" applyFont="1" applyFill="1" applyBorder="1" applyAlignment="1" applyProtection="1">
      <alignment horizontal="center"/>
      <protection hidden="1"/>
    </xf>
    <xf numFmtId="0" fontId="13" fillId="0" borderId="181" xfId="0" applyFont="1" applyBorder="1" applyAlignment="1" applyProtection="1">
      <alignment horizontal="center" vertical="center" wrapText="1"/>
      <protection hidden="1"/>
    </xf>
    <xf numFmtId="0" fontId="13" fillId="0" borderId="57" xfId="0" applyFont="1" applyBorder="1" applyAlignment="1" applyProtection="1">
      <alignment horizontal="center" vertical="center" wrapText="1"/>
      <protection hidden="1"/>
    </xf>
    <xf numFmtId="0" fontId="13" fillId="0" borderId="131" xfId="0" applyFont="1" applyBorder="1" applyAlignment="1" applyProtection="1">
      <alignment horizontal="center" vertical="center" wrapText="1"/>
      <protection hidden="1"/>
    </xf>
    <xf numFmtId="0" fontId="3" fillId="0" borderId="98" xfId="0" applyFont="1" applyBorder="1" applyAlignment="1" applyProtection="1">
      <alignment horizontal="center" vertical="center" textRotation="90" wrapText="1"/>
      <protection hidden="1"/>
    </xf>
    <xf numFmtId="0" fontId="3" fillId="0" borderId="126" xfId="0" applyFont="1" applyBorder="1" applyAlignment="1" applyProtection="1">
      <alignment horizontal="center" vertical="center" textRotation="90" wrapText="1"/>
      <protection hidden="1"/>
    </xf>
    <xf numFmtId="4" fontId="63" fillId="23" borderId="19" xfId="0" applyNumberFormat="1" applyFont="1" applyFill="1" applyBorder="1" applyAlignment="1" applyProtection="1">
      <alignment horizontal="center" vertical="center"/>
      <protection locked="0"/>
    </xf>
    <xf numFmtId="4" fontId="63" fillId="23" borderId="7" xfId="0" applyNumberFormat="1" applyFont="1" applyFill="1" applyBorder="1" applyAlignment="1" applyProtection="1">
      <alignment horizontal="center" vertical="center"/>
      <protection locked="0"/>
    </xf>
    <xf numFmtId="4" fontId="63" fillId="23" borderId="51" xfId="0" applyNumberFormat="1" applyFont="1" applyFill="1" applyBorder="1" applyAlignment="1" applyProtection="1">
      <alignment horizontal="center" vertical="center"/>
      <protection locked="0"/>
    </xf>
    <xf numFmtId="4" fontId="63" fillId="23" borderId="181" xfId="0" applyNumberFormat="1" applyFont="1" applyFill="1" applyBorder="1" applyAlignment="1" applyProtection="1">
      <alignment horizontal="center" vertical="center"/>
      <protection locked="0"/>
    </xf>
    <xf numFmtId="4" fontId="63" fillId="23" borderId="57" xfId="0" applyNumberFormat="1" applyFont="1" applyFill="1" applyBorder="1" applyAlignment="1" applyProtection="1">
      <alignment horizontal="center" vertical="center"/>
      <protection locked="0"/>
    </xf>
    <xf numFmtId="4" fontId="63" fillId="23" borderId="137" xfId="0" applyNumberFormat="1" applyFont="1" applyFill="1" applyBorder="1" applyAlignment="1" applyProtection="1">
      <alignment horizontal="center" vertical="center"/>
      <protection locked="0"/>
    </xf>
    <xf numFmtId="0" fontId="13" fillId="0" borderId="43" xfId="0" applyFont="1" applyBorder="1" applyAlignment="1" applyProtection="1">
      <alignment horizontal="center" vertical="center" wrapText="1"/>
      <protection hidden="1"/>
    </xf>
    <xf numFmtId="0" fontId="13" fillId="0" borderId="41" xfId="0" applyFont="1" applyBorder="1" applyAlignment="1" applyProtection="1">
      <alignment horizontal="center" vertical="center" wrapText="1"/>
      <protection hidden="1"/>
    </xf>
    <xf numFmtId="0" fontId="57" fillId="19" borderId="113" xfId="0" applyFont="1" applyFill="1" applyBorder="1" applyAlignment="1" applyProtection="1">
      <alignment horizontal="center" vertical="center" wrapText="1"/>
      <protection hidden="1"/>
    </xf>
    <xf numFmtId="0" fontId="57" fillId="19" borderId="3" xfId="0" applyFont="1" applyFill="1" applyBorder="1" applyAlignment="1" applyProtection="1">
      <alignment horizontal="center" vertical="center" wrapText="1"/>
      <protection hidden="1"/>
    </xf>
    <xf numFmtId="0" fontId="57" fillId="19" borderId="55" xfId="0" applyFont="1" applyFill="1" applyBorder="1" applyAlignment="1" applyProtection="1">
      <alignment horizontal="center" vertical="center" wrapText="1"/>
      <protection hidden="1"/>
    </xf>
    <xf numFmtId="0" fontId="29" fillId="20" borderId="19" xfId="0" applyFont="1" applyFill="1" applyBorder="1" applyAlignment="1" applyProtection="1">
      <alignment horizontal="center" vertical="center" readingOrder="2"/>
      <protection hidden="1"/>
    </xf>
    <xf numFmtId="0" fontId="29" fillId="20" borderId="7" xfId="0" applyFont="1" applyFill="1" applyBorder="1" applyAlignment="1" applyProtection="1">
      <alignment horizontal="center" vertical="center" readingOrder="2"/>
      <protection hidden="1"/>
    </xf>
    <xf numFmtId="0" fontId="29" fillId="20" borderId="51" xfId="0" applyFont="1" applyFill="1" applyBorder="1" applyAlignment="1" applyProtection="1">
      <alignment horizontal="center" vertical="center" readingOrder="2"/>
      <protection hidden="1"/>
    </xf>
    <xf numFmtId="0" fontId="69" fillId="0" borderId="0" xfId="0" applyFont="1" applyFill="1" applyBorder="1" applyAlignment="1" applyProtection="1">
      <alignment horizontal="center" vertical="center"/>
      <protection hidden="1"/>
    </xf>
    <xf numFmtId="0" fontId="69" fillId="0" borderId="63" xfId="0" applyFont="1" applyFill="1" applyBorder="1" applyAlignment="1" applyProtection="1">
      <alignment horizontal="center" vertical="center"/>
      <protection hidden="1"/>
    </xf>
    <xf numFmtId="0" fontId="69" fillId="0" borderId="1" xfId="0" applyFont="1" applyFill="1" applyBorder="1" applyAlignment="1" applyProtection="1">
      <alignment horizontal="center" vertical="center"/>
      <protection hidden="1"/>
    </xf>
    <xf numFmtId="0" fontId="3" fillId="0" borderId="62" xfId="0" applyFont="1" applyBorder="1" applyAlignment="1" applyProtection="1">
      <alignment horizontal="center" vertical="center" textRotation="90"/>
      <protection hidden="1"/>
    </xf>
    <xf numFmtId="0" fontId="3" fillId="0" borderId="63" xfId="0" applyFont="1" applyBorder="1" applyAlignment="1" applyProtection="1">
      <alignment horizontal="center" vertical="center" textRotation="90"/>
      <protection hidden="1"/>
    </xf>
    <xf numFmtId="0" fontId="3" fillId="0" borderId="0" xfId="0" applyFont="1" applyBorder="1" applyAlignment="1" applyProtection="1">
      <alignment horizontal="center" vertical="center" textRotation="90"/>
      <protection hidden="1"/>
    </xf>
    <xf numFmtId="0" fontId="32" fillId="14" borderId="54" xfId="0" applyFont="1" applyFill="1" applyBorder="1" applyAlignment="1" applyProtection="1">
      <alignment horizontal="center" vertical="center" readingOrder="2"/>
      <protection hidden="1"/>
    </xf>
    <xf numFmtId="0" fontId="32" fillId="14" borderId="61" xfId="0" applyFont="1" applyFill="1" applyBorder="1" applyAlignment="1" applyProtection="1">
      <alignment horizontal="center" vertical="center" readingOrder="2"/>
      <protection hidden="1"/>
    </xf>
    <xf numFmtId="0" fontId="32" fillId="14" borderId="62" xfId="0" applyFont="1" applyFill="1" applyBorder="1" applyAlignment="1" applyProtection="1">
      <alignment horizontal="center" vertical="center" readingOrder="2"/>
      <protection hidden="1"/>
    </xf>
    <xf numFmtId="0" fontId="32" fillId="14" borderId="113" xfId="0" applyFont="1" applyFill="1" applyBorder="1" applyAlignment="1" applyProtection="1">
      <alignment horizontal="center" vertical="center" readingOrder="2"/>
      <protection hidden="1"/>
    </xf>
    <xf numFmtId="0" fontId="32" fillId="14" borderId="3" xfId="0" applyFont="1" applyFill="1" applyBorder="1" applyAlignment="1" applyProtection="1">
      <alignment horizontal="center" vertical="center" readingOrder="2"/>
      <protection hidden="1"/>
    </xf>
    <xf numFmtId="0" fontId="32" fillId="14" borderId="55" xfId="0" applyFont="1" applyFill="1" applyBorder="1" applyAlignment="1" applyProtection="1">
      <alignment horizontal="center" vertical="center" readingOrder="2"/>
      <protection hidden="1"/>
    </xf>
    <xf numFmtId="0" fontId="13" fillId="0" borderId="25" xfId="0" applyFont="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13" fillId="0" borderId="19" xfId="0" applyFont="1" applyBorder="1" applyAlignment="1" applyProtection="1">
      <alignment horizontal="center" vertical="center"/>
      <protection hidden="1"/>
    </xf>
    <xf numFmtId="0" fontId="13" fillId="0" borderId="7" xfId="0" applyFont="1" applyBorder="1" applyAlignment="1" applyProtection="1">
      <alignment horizontal="center" vertical="center"/>
      <protection hidden="1"/>
    </xf>
    <xf numFmtId="0" fontId="13" fillId="0" borderId="51" xfId="0" applyFont="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63" xfId="0" applyFont="1" applyFill="1" applyBorder="1" applyAlignment="1" applyProtection="1">
      <alignment horizontal="center" vertical="center"/>
      <protection hidden="1"/>
    </xf>
    <xf numFmtId="0" fontId="41" fillId="20" borderId="82" xfId="0" applyFont="1" applyFill="1" applyBorder="1" applyAlignment="1" applyProtection="1">
      <alignment horizontal="center"/>
      <protection hidden="1"/>
    </xf>
    <xf numFmtId="0" fontId="41" fillId="20" borderId="48" xfId="0" applyFont="1" applyFill="1" applyBorder="1" applyAlignment="1" applyProtection="1">
      <alignment horizontal="center"/>
      <protection hidden="1"/>
    </xf>
    <xf numFmtId="0" fontId="41" fillId="20" borderId="20" xfId="0" applyFont="1" applyFill="1" applyBorder="1" applyAlignment="1" applyProtection="1">
      <alignment horizontal="center"/>
      <protection hidden="1"/>
    </xf>
    <xf numFmtId="0" fontId="41" fillId="20" borderId="62" xfId="0" applyFont="1" applyFill="1" applyBorder="1" applyAlignment="1" applyProtection="1">
      <alignment horizontal="center"/>
      <protection hidden="1"/>
    </xf>
    <xf numFmtId="0" fontId="41" fillId="20" borderId="63" xfId="0" applyFont="1" applyFill="1" applyBorder="1" applyAlignment="1" applyProtection="1">
      <alignment horizontal="center"/>
      <protection hidden="1"/>
    </xf>
    <xf numFmtId="0" fontId="41" fillId="20" borderId="55" xfId="0" applyFont="1" applyFill="1" applyBorder="1" applyAlignment="1" applyProtection="1">
      <alignment horizontal="center"/>
      <protection hidden="1"/>
    </xf>
    <xf numFmtId="0" fontId="3" fillId="0" borderId="82" xfId="0" applyFont="1" applyBorder="1" applyAlignment="1" applyProtection="1">
      <alignment horizontal="center" vertical="center" textRotation="90" wrapText="1"/>
      <protection hidden="1"/>
    </xf>
    <xf numFmtId="0" fontId="3" fillId="0" borderId="48" xfId="0" applyFont="1" applyBorder="1" applyAlignment="1" applyProtection="1">
      <alignment horizontal="center" vertical="center" textRotation="90" wrapText="1"/>
      <protection hidden="1"/>
    </xf>
    <xf numFmtId="0" fontId="77" fillId="0" borderId="24" xfId="0" applyFont="1" applyBorder="1" applyAlignment="1" applyProtection="1">
      <alignment horizontal="center" vertical="center" wrapText="1"/>
      <protection hidden="1"/>
    </xf>
    <xf numFmtId="0" fontId="77" fillId="0" borderId="0" xfId="0" applyFont="1" applyBorder="1" applyAlignment="1" applyProtection="1">
      <alignment horizontal="center" vertical="center" wrapText="1"/>
      <protection hidden="1"/>
    </xf>
    <xf numFmtId="0" fontId="77" fillId="0" borderId="63" xfId="0" applyFont="1" applyBorder="1" applyAlignment="1" applyProtection="1">
      <alignment horizontal="center" vertical="center" wrapText="1"/>
      <protection hidden="1"/>
    </xf>
    <xf numFmtId="0" fontId="13" fillId="23" borderId="81" xfId="0" applyFont="1" applyFill="1" applyBorder="1" applyAlignment="1" applyProtection="1">
      <alignment horizontal="center" vertical="center"/>
      <protection locked="0"/>
    </xf>
    <xf numFmtId="0" fontId="13" fillId="23" borderId="12" xfId="0" applyFont="1" applyFill="1" applyBorder="1" applyAlignment="1" applyProtection="1">
      <alignment horizontal="center" vertical="center"/>
      <protection locked="0"/>
    </xf>
    <xf numFmtId="0" fontId="13" fillId="23" borderId="52" xfId="0" applyFont="1" applyFill="1" applyBorder="1" applyAlignment="1" applyProtection="1">
      <alignment horizontal="center" vertical="center"/>
      <protection locked="0"/>
    </xf>
    <xf numFmtId="0" fontId="13" fillId="23" borderId="17" xfId="0" applyFont="1" applyFill="1" applyBorder="1" applyAlignment="1" applyProtection="1">
      <alignment horizontal="center" vertical="center"/>
      <protection locked="0"/>
    </xf>
    <xf numFmtId="4" fontId="63" fillId="23" borderId="131" xfId="0" applyNumberFormat="1" applyFont="1" applyFill="1" applyBorder="1" applyAlignment="1" applyProtection="1">
      <alignment horizontal="center" vertical="center"/>
      <protection locked="0"/>
    </xf>
    <xf numFmtId="0" fontId="13" fillId="9" borderId="19" xfId="0" applyFont="1" applyFill="1" applyBorder="1" applyAlignment="1" applyProtection="1">
      <alignment horizontal="right" vertical="center"/>
      <protection hidden="1"/>
    </xf>
    <xf numFmtId="0" fontId="13" fillId="9" borderId="7" xfId="0" applyFont="1" applyFill="1" applyBorder="1" applyAlignment="1" applyProtection="1">
      <alignment horizontal="right" vertical="center"/>
      <protection hidden="1"/>
    </xf>
    <xf numFmtId="0" fontId="3" fillId="0" borderId="142" xfId="0" applyFont="1" applyBorder="1" applyAlignment="1" applyProtection="1">
      <alignment horizontal="center" vertical="center" textRotation="90" wrapText="1"/>
      <protection hidden="1"/>
    </xf>
    <xf numFmtId="0" fontId="3" fillId="0" borderId="134" xfId="0" applyFont="1" applyBorder="1" applyAlignment="1" applyProtection="1">
      <alignment horizontal="center" vertical="center" textRotation="90" wrapText="1"/>
      <protection hidden="1"/>
    </xf>
    <xf numFmtId="0" fontId="3" fillId="0" borderId="135" xfId="0" applyFont="1" applyBorder="1" applyAlignment="1" applyProtection="1">
      <alignment horizontal="center" vertical="center" textRotation="90" wrapText="1"/>
      <protection hidden="1"/>
    </xf>
    <xf numFmtId="0" fontId="35" fillId="14" borderId="0" xfId="0" applyFont="1" applyFill="1" applyBorder="1" applyAlignment="1" applyProtection="1">
      <alignment horizontal="center" vertical="center" wrapText="1"/>
      <protection hidden="1"/>
    </xf>
    <xf numFmtId="0" fontId="35" fillId="14" borderId="63" xfId="0" applyFont="1" applyFill="1" applyBorder="1" applyAlignment="1" applyProtection="1">
      <alignment horizontal="center" vertical="center" wrapText="1"/>
      <protection hidden="1"/>
    </xf>
    <xf numFmtId="4" fontId="63" fillId="23" borderId="58" xfId="0" applyNumberFormat="1" applyFont="1" applyFill="1" applyBorder="1" applyAlignment="1" applyProtection="1">
      <alignment horizontal="center" vertical="center"/>
      <protection locked="0"/>
    </xf>
    <xf numFmtId="0" fontId="63" fillId="23" borderId="181" xfId="0" applyFont="1" applyFill="1" applyBorder="1" applyAlignment="1" applyProtection="1">
      <alignment horizontal="center" vertical="center"/>
      <protection locked="0"/>
    </xf>
    <xf numFmtId="0" fontId="63" fillId="23" borderId="57" xfId="0" applyFont="1" applyFill="1" applyBorder="1" applyAlignment="1" applyProtection="1">
      <alignment horizontal="center" vertical="center"/>
      <protection locked="0"/>
    </xf>
    <xf numFmtId="0" fontId="63" fillId="23" borderId="58" xfId="0" applyFont="1" applyFill="1" applyBorder="1" applyAlignment="1" applyProtection="1">
      <alignment horizontal="center" vertical="center"/>
      <protection locked="0"/>
    </xf>
    <xf numFmtId="4" fontId="63" fillId="23" borderId="128" xfId="0" applyNumberFormat="1" applyFont="1" applyFill="1" applyBorder="1" applyAlignment="1" applyProtection="1">
      <alignment horizontal="center" vertical="center"/>
      <protection locked="0"/>
    </xf>
    <xf numFmtId="4" fontId="63" fillId="23" borderId="97" xfId="0" applyNumberFormat="1" applyFont="1" applyFill="1" applyBorder="1" applyAlignment="1" applyProtection="1">
      <alignment horizontal="center" vertical="center"/>
      <protection locked="0"/>
    </xf>
    <xf numFmtId="4" fontId="63" fillId="23" borderId="169" xfId="0" applyNumberFormat="1" applyFont="1" applyFill="1" applyBorder="1" applyAlignment="1" applyProtection="1">
      <alignment horizontal="center" vertical="center"/>
      <protection locked="0"/>
    </xf>
    <xf numFmtId="0" fontId="13" fillId="0" borderId="54" xfId="0" applyFont="1" applyBorder="1" applyAlignment="1" applyProtection="1">
      <alignment horizontal="center" vertical="center" wrapText="1"/>
      <protection hidden="1"/>
    </xf>
    <xf numFmtId="0" fontId="13" fillId="0" borderId="61" xfId="0" applyFont="1" applyBorder="1" applyAlignment="1" applyProtection="1">
      <alignment horizontal="center" vertical="center" wrapText="1"/>
      <protection hidden="1"/>
    </xf>
    <xf numFmtId="0" fontId="13" fillId="0" borderId="128" xfId="0" applyFont="1" applyBorder="1" applyAlignment="1" applyProtection="1">
      <alignment horizontal="center" vertical="center" wrapText="1"/>
      <protection hidden="1"/>
    </xf>
    <xf numFmtId="0" fontId="57" fillId="19" borderId="19" xfId="0" applyFont="1" applyFill="1" applyBorder="1" applyAlignment="1" applyProtection="1">
      <alignment horizontal="center" vertical="center" wrapText="1"/>
      <protection hidden="1"/>
    </xf>
    <xf numFmtId="0" fontId="57" fillId="19" borderId="7" xfId="0" applyFont="1" applyFill="1" applyBorder="1" applyAlignment="1" applyProtection="1">
      <alignment horizontal="center" vertical="center" wrapText="1"/>
      <protection hidden="1"/>
    </xf>
    <xf numFmtId="0" fontId="57" fillId="19" borderId="51" xfId="0" applyFont="1" applyFill="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49" xfId="0" applyFont="1" applyBorder="1" applyAlignment="1" applyProtection="1">
      <alignment horizontal="center" vertical="center" wrapText="1"/>
      <protection hidden="1"/>
    </xf>
    <xf numFmtId="0" fontId="13" fillId="0" borderId="139" xfId="0" applyFont="1" applyBorder="1" applyAlignment="1" applyProtection="1">
      <alignment horizontal="center" vertical="center" wrapText="1"/>
      <protection hidden="1"/>
    </xf>
    <xf numFmtId="4" fontId="63" fillId="23" borderId="54" xfId="0" applyNumberFormat="1" applyFont="1" applyFill="1" applyBorder="1" applyAlignment="1" applyProtection="1">
      <alignment horizontal="center" vertical="center"/>
      <protection locked="0"/>
    </xf>
    <xf numFmtId="4" fontId="63" fillId="23" borderId="61" xfId="0" applyNumberFormat="1" applyFont="1" applyFill="1" applyBorder="1" applyAlignment="1" applyProtection="1">
      <alignment horizontal="center" vertical="center"/>
      <protection locked="0"/>
    </xf>
    <xf numFmtId="4" fontId="63" fillId="23" borderId="62" xfId="0" applyNumberFormat="1" applyFont="1" applyFill="1" applyBorder="1" applyAlignment="1" applyProtection="1">
      <alignment horizontal="center" vertical="center"/>
      <protection locked="0"/>
    </xf>
    <xf numFmtId="4" fontId="63" fillId="23" borderId="1" xfId="0" applyNumberFormat="1" applyFont="1" applyFill="1" applyBorder="1" applyAlignment="1" applyProtection="1">
      <alignment horizontal="center" vertical="center"/>
      <protection locked="0"/>
    </xf>
    <xf numFmtId="4" fontId="63" fillId="23" borderId="0" xfId="0" applyNumberFormat="1" applyFont="1" applyFill="1" applyBorder="1" applyAlignment="1" applyProtection="1">
      <alignment horizontal="center" vertical="center"/>
      <protection locked="0"/>
    </xf>
    <xf numFmtId="4" fontId="63" fillId="23" borderId="63" xfId="0" applyNumberFormat="1" applyFont="1" applyFill="1" applyBorder="1" applyAlignment="1" applyProtection="1">
      <alignment horizontal="center" vertical="center"/>
      <protection locked="0"/>
    </xf>
    <xf numFmtId="170" fontId="36" fillId="19" borderId="158" xfId="0" applyNumberFormat="1" applyFont="1" applyFill="1" applyBorder="1" applyAlignment="1" applyProtection="1">
      <alignment horizontal="center"/>
      <protection hidden="1"/>
    </xf>
    <xf numFmtId="170" fontId="36" fillId="19" borderId="163" xfId="0" applyNumberFormat="1" applyFont="1" applyFill="1" applyBorder="1" applyAlignment="1" applyProtection="1">
      <alignment horizontal="center"/>
      <protection hidden="1"/>
    </xf>
    <xf numFmtId="0" fontId="73" fillId="21" borderId="166" xfId="0" applyFont="1" applyFill="1" applyBorder="1" applyAlignment="1" applyProtection="1">
      <alignment horizontal="center" vertical="center"/>
      <protection locked="0"/>
    </xf>
    <xf numFmtId="0" fontId="73" fillId="21" borderId="167" xfId="0" applyFont="1" applyFill="1" applyBorder="1" applyAlignment="1" applyProtection="1">
      <alignment horizontal="center" vertical="center"/>
      <protection locked="0"/>
    </xf>
    <xf numFmtId="0" fontId="51" fillId="19" borderId="178" xfId="0" applyFont="1" applyFill="1" applyBorder="1" applyAlignment="1" applyProtection="1">
      <alignment horizontal="right" vertical="center"/>
      <protection hidden="1"/>
    </xf>
    <xf numFmtId="0" fontId="51" fillId="19" borderId="158" xfId="0" applyFont="1" applyFill="1" applyBorder="1" applyAlignment="1" applyProtection="1">
      <alignment horizontal="right" vertical="center"/>
      <protection hidden="1"/>
    </xf>
    <xf numFmtId="0" fontId="51" fillId="19" borderId="159" xfId="0" applyFont="1" applyFill="1" applyBorder="1" applyAlignment="1" applyProtection="1">
      <alignment horizontal="right" vertical="center"/>
      <protection hidden="1"/>
    </xf>
    <xf numFmtId="0" fontId="51" fillId="19" borderId="178" xfId="0" applyFont="1" applyFill="1" applyBorder="1" applyAlignment="1" applyProtection="1">
      <alignment horizontal="center" vertical="center" wrapText="1"/>
      <protection hidden="1"/>
    </xf>
    <xf numFmtId="170" fontId="36" fillId="19" borderId="166" xfId="0" applyNumberFormat="1" applyFont="1" applyFill="1" applyBorder="1" applyAlignment="1" applyProtection="1">
      <alignment horizontal="center"/>
      <protection hidden="1"/>
    </xf>
    <xf numFmtId="0" fontId="51" fillId="19" borderId="157" xfId="0" applyFont="1" applyFill="1" applyBorder="1" applyAlignment="1" applyProtection="1">
      <alignment horizontal="center" vertical="center" wrapText="1"/>
      <protection hidden="1"/>
    </xf>
    <xf numFmtId="0" fontId="51" fillId="19" borderId="159" xfId="0" applyFont="1" applyFill="1" applyBorder="1" applyAlignment="1" applyProtection="1">
      <alignment horizontal="center" vertical="center" wrapText="1"/>
      <protection hidden="1"/>
    </xf>
    <xf numFmtId="0" fontId="51" fillId="19" borderId="158" xfId="0" applyFont="1" applyFill="1" applyBorder="1" applyAlignment="1" applyProtection="1">
      <alignment horizontal="center" vertical="center" wrapText="1"/>
      <protection hidden="1"/>
    </xf>
    <xf numFmtId="0" fontId="51" fillId="19" borderId="159" xfId="0" applyFont="1" applyFill="1" applyBorder="1" applyAlignment="1" applyProtection="1">
      <alignment horizontal="center" vertical="center"/>
      <protection hidden="1"/>
    </xf>
    <xf numFmtId="0" fontId="13" fillId="23" borderId="126" xfId="0" applyFont="1" applyFill="1" applyBorder="1" applyAlignment="1" applyProtection="1">
      <alignment horizontal="center" vertical="center"/>
      <protection locked="0"/>
    </xf>
    <xf numFmtId="0" fontId="13" fillId="23" borderId="22" xfId="0" applyFont="1" applyFill="1" applyBorder="1" applyAlignment="1" applyProtection="1">
      <alignment horizontal="center" vertical="center"/>
      <protection locked="0"/>
    </xf>
    <xf numFmtId="0" fontId="13" fillId="23" borderId="23" xfId="0" applyFont="1" applyFill="1" applyBorder="1" applyAlignment="1" applyProtection="1">
      <alignment horizontal="center" vertical="center"/>
      <protection locked="0"/>
    </xf>
    <xf numFmtId="4" fontId="63" fillId="23" borderId="16" xfId="0" applyNumberFormat="1" applyFont="1" applyFill="1" applyBorder="1" applyAlignment="1" applyProtection="1">
      <alignment horizontal="center" vertical="center"/>
      <protection locked="0"/>
    </xf>
    <xf numFmtId="4" fontId="63" fillId="23" borderId="17" xfId="0" applyNumberFormat="1" applyFont="1" applyFill="1" applyBorder="1" applyAlignment="1" applyProtection="1">
      <alignment horizontal="center" vertical="center"/>
      <protection locked="0"/>
    </xf>
    <xf numFmtId="4" fontId="63" fillId="23" borderId="52" xfId="0" applyNumberFormat="1" applyFont="1" applyFill="1" applyBorder="1" applyAlignment="1" applyProtection="1">
      <alignment horizontal="center" vertical="center"/>
      <protection locked="0"/>
    </xf>
    <xf numFmtId="4" fontId="63" fillId="23" borderId="21" xfId="0" applyNumberFormat="1" applyFont="1" applyFill="1" applyBorder="1" applyAlignment="1" applyProtection="1">
      <alignment horizontal="center" vertical="center"/>
      <protection locked="0"/>
    </xf>
    <xf numFmtId="4" fontId="63" fillId="23" borderId="156" xfId="0" applyNumberFormat="1" applyFont="1" applyFill="1" applyBorder="1" applyAlignment="1" applyProtection="1">
      <alignment horizontal="center" vertical="center"/>
      <protection locked="0"/>
    </xf>
    <xf numFmtId="0" fontId="3" fillId="0" borderId="62" xfId="0" applyFont="1" applyBorder="1" applyAlignment="1" applyProtection="1">
      <alignment horizontal="center" vertical="center" textRotation="90" wrapText="1"/>
      <protection hidden="1"/>
    </xf>
    <xf numFmtId="0" fontId="3" fillId="0" borderId="63" xfId="0" applyFont="1" applyBorder="1" applyAlignment="1" applyProtection="1">
      <alignment horizontal="center" vertical="center" textRotation="90" wrapText="1"/>
      <protection hidden="1"/>
    </xf>
    <xf numFmtId="4" fontId="63" fillId="23" borderId="23" xfId="0" applyNumberFormat="1" applyFont="1" applyFill="1" applyBorder="1" applyAlignment="1" applyProtection="1">
      <alignment horizontal="center" vertical="center"/>
      <protection locked="0"/>
    </xf>
    <xf numFmtId="0" fontId="10" fillId="0" borderId="24" xfId="0" applyFont="1" applyBorder="1" applyAlignment="1" applyProtection="1">
      <alignment horizontal="center" vertical="center" wrapText="1"/>
      <protection hidden="1"/>
    </xf>
    <xf numFmtId="0" fontId="10" fillId="0" borderId="0" xfId="0" applyFont="1" applyBorder="1" applyAlignment="1" applyProtection="1">
      <alignment horizontal="center" vertical="center" wrapText="1"/>
      <protection hidden="1"/>
    </xf>
    <xf numFmtId="0" fontId="10" fillId="0" borderId="63" xfId="0" applyFont="1" applyBorder="1" applyAlignment="1" applyProtection="1">
      <alignment horizontal="center" vertical="center" wrapText="1"/>
      <protection hidden="1"/>
    </xf>
    <xf numFmtId="4" fontId="63" fillId="23" borderId="127" xfId="0" applyNumberFormat="1" applyFont="1" applyFill="1" applyBorder="1" applyAlignment="1" applyProtection="1">
      <alignment horizontal="center" vertical="center"/>
      <protection locked="0"/>
    </xf>
    <xf numFmtId="0" fontId="32" fillId="14" borderId="93" xfId="0" applyFont="1" applyFill="1" applyBorder="1" applyAlignment="1" applyProtection="1">
      <alignment horizontal="center" vertical="center" readingOrder="2"/>
      <protection hidden="1"/>
    </xf>
    <xf numFmtId="0" fontId="13" fillId="0" borderId="97" xfId="0" applyFont="1" applyBorder="1" applyAlignment="1" applyProtection="1">
      <alignment horizontal="center" vertical="center" wrapText="1"/>
      <protection hidden="1"/>
    </xf>
    <xf numFmtId="0" fontId="13" fillId="0" borderId="161" xfId="0" applyFont="1" applyBorder="1" applyAlignment="1" applyProtection="1">
      <alignment horizontal="center" vertical="center" wrapText="1"/>
      <protection hidden="1"/>
    </xf>
    <xf numFmtId="0" fontId="35" fillId="14" borderId="113" xfId="0" applyFont="1" applyFill="1" applyBorder="1" applyAlignment="1" applyProtection="1">
      <alignment horizontal="center" vertical="center" readingOrder="2"/>
      <protection hidden="1"/>
    </xf>
    <xf numFmtId="0" fontId="35" fillId="14" borderId="3" xfId="0" applyFont="1" applyFill="1" applyBorder="1" applyAlignment="1" applyProtection="1">
      <alignment horizontal="center" vertical="center" readingOrder="2"/>
      <protection hidden="1"/>
    </xf>
    <xf numFmtId="0" fontId="35" fillId="14" borderId="55" xfId="0" applyFont="1" applyFill="1" applyBorder="1" applyAlignment="1" applyProtection="1">
      <alignment horizontal="center" vertical="center" readingOrder="2"/>
      <protection hidden="1"/>
    </xf>
    <xf numFmtId="0" fontId="32" fillId="14" borderId="109" xfId="0" applyFont="1" applyFill="1" applyBorder="1" applyAlignment="1" applyProtection="1">
      <alignment horizontal="center" vertical="center" readingOrder="2"/>
      <protection hidden="1"/>
    </xf>
    <xf numFmtId="0" fontId="32" fillId="14" borderId="125" xfId="0" applyFont="1" applyFill="1" applyBorder="1" applyAlignment="1" applyProtection="1">
      <alignment horizontal="center" vertical="center" readingOrder="2"/>
      <protection hidden="1"/>
    </xf>
    <xf numFmtId="0" fontId="32" fillId="14" borderId="110" xfId="0" applyFont="1" applyFill="1" applyBorder="1" applyAlignment="1" applyProtection="1">
      <alignment horizontal="center" vertical="center" readingOrder="2"/>
      <protection hidden="1"/>
    </xf>
    <xf numFmtId="0" fontId="36" fillId="14" borderId="81" xfId="0" applyFont="1" applyFill="1" applyBorder="1" applyAlignment="1" applyProtection="1">
      <alignment horizontal="center" vertical="center"/>
      <protection hidden="1"/>
    </xf>
    <xf numFmtId="0" fontId="36" fillId="14" borderId="12" xfId="0" applyFont="1" applyFill="1" applyBorder="1" applyAlignment="1" applyProtection="1">
      <alignment horizontal="center" vertical="center"/>
      <protection hidden="1"/>
    </xf>
    <xf numFmtId="0" fontId="36" fillId="14" borderId="52" xfId="0" applyFont="1" applyFill="1" applyBorder="1" applyAlignment="1" applyProtection="1">
      <alignment horizontal="center" vertical="center"/>
      <protection hidden="1"/>
    </xf>
    <xf numFmtId="0" fontId="13" fillId="0" borderId="23" xfId="0" applyFont="1" applyBorder="1" applyAlignment="1" applyProtection="1">
      <alignment horizontal="center" vertical="center" wrapText="1"/>
      <protection hidden="1"/>
    </xf>
    <xf numFmtId="0" fontId="35" fillId="14" borderId="113" xfId="0" applyFont="1" applyFill="1" applyBorder="1" applyAlignment="1" applyProtection="1">
      <alignment horizontal="center" vertical="center" wrapText="1" readingOrder="2"/>
      <protection hidden="1"/>
    </xf>
    <xf numFmtId="0" fontId="35" fillId="14" borderId="3" xfId="0" applyFont="1" applyFill="1" applyBorder="1" applyAlignment="1" applyProtection="1">
      <alignment horizontal="center" vertical="center" wrapText="1" readingOrder="2"/>
      <protection hidden="1"/>
    </xf>
    <xf numFmtId="0" fontId="35" fillId="14" borderId="55" xfId="0" applyFont="1" applyFill="1" applyBorder="1" applyAlignment="1" applyProtection="1">
      <alignment horizontal="center" vertical="center" wrapText="1" readingOrder="2"/>
      <protection hidden="1"/>
    </xf>
    <xf numFmtId="2" fontId="63" fillId="23" borderId="128" xfId="0" applyNumberFormat="1" applyFont="1" applyFill="1" applyBorder="1" applyAlignment="1" applyProtection="1">
      <alignment horizontal="center" vertical="center"/>
      <protection locked="0"/>
    </xf>
    <xf numFmtId="2" fontId="63" fillId="23" borderId="97" xfId="0" applyNumberFormat="1" applyFont="1" applyFill="1" applyBorder="1" applyAlignment="1" applyProtection="1">
      <alignment horizontal="center" vertical="center"/>
      <protection locked="0"/>
    </xf>
    <xf numFmtId="2" fontId="63" fillId="23" borderId="169" xfId="0" applyNumberFormat="1" applyFont="1" applyFill="1" applyBorder="1" applyAlignment="1" applyProtection="1">
      <alignment horizontal="center" vertical="center"/>
      <protection locked="0"/>
    </xf>
    <xf numFmtId="0" fontId="10" fillId="23" borderId="181" xfId="0" applyFont="1" applyFill="1" applyBorder="1" applyAlignment="1" applyProtection="1">
      <alignment horizontal="center" vertical="center"/>
      <protection locked="0"/>
    </xf>
    <xf numFmtId="0" fontId="10" fillId="23" borderId="57" xfId="0" applyFont="1" applyFill="1" applyBorder="1" applyAlignment="1" applyProtection="1">
      <alignment horizontal="center" vertical="center"/>
      <protection locked="0"/>
    </xf>
    <xf numFmtId="0" fontId="10" fillId="23" borderId="58" xfId="0" applyFont="1" applyFill="1" applyBorder="1" applyAlignment="1" applyProtection="1">
      <alignment horizontal="center" vertical="center"/>
      <protection locked="0"/>
    </xf>
    <xf numFmtId="0" fontId="13" fillId="0" borderId="19" xfId="0" applyFont="1" applyBorder="1" applyAlignment="1" applyProtection="1">
      <alignment horizontal="center" vertical="center" wrapText="1"/>
      <protection hidden="1"/>
    </xf>
    <xf numFmtId="0" fontId="13" fillId="0" borderId="64" xfId="0" applyFont="1" applyBorder="1" applyAlignment="1" applyProtection="1">
      <alignment horizontal="center" vertical="center" wrapText="1"/>
      <protection hidden="1"/>
    </xf>
    <xf numFmtId="4" fontId="63" fillId="23" borderId="113" xfId="0" applyNumberFormat="1" applyFont="1" applyFill="1" applyBorder="1" applyAlignment="1" applyProtection="1">
      <alignment horizontal="center" vertical="center"/>
      <protection locked="0"/>
    </xf>
    <xf numFmtId="4" fontId="63" fillId="23" borderId="3" xfId="0" applyNumberFormat="1" applyFont="1" applyFill="1" applyBorder="1" applyAlignment="1" applyProtection="1">
      <alignment horizontal="center" vertical="center"/>
      <protection locked="0"/>
    </xf>
    <xf numFmtId="4" fontId="63" fillId="23" borderId="55" xfId="0" applyNumberFormat="1" applyFont="1" applyFill="1" applyBorder="1" applyAlignment="1" applyProtection="1">
      <alignment horizontal="center" vertical="center"/>
      <protection locked="0"/>
    </xf>
    <xf numFmtId="0" fontId="3" fillId="0" borderId="99" xfId="0" applyFont="1" applyBorder="1" applyAlignment="1" applyProtection="1">
      <alignment horizontal="center" vertical="center" textRotation="90" wrapText="1"/>
      <protection hidden="1"/>
    </xf>
    <xf numFmtId="0" fontId="36" fillId="14" borderId="87" xfId="0" applyFont="1" applyFill="1" applyBorder="1" applyAlignment="1" applyProtection="1">
      <alignment horizontal="center" vertical="center"/>
      <protection hidden="1"/>
    </xf>
    <xf numFmtId="0" fontId="36" fillId="14" borderId="86" xfId="0" applyFont="1" applyFill="1" applyBorder="1" applyAlignment="1" applyProtection="1">
      <alignment horizontal="center" vertical="center"/>
      <protection hidden="1"/>
    </xf>
    <xf numFmtId="4" fontId="63" fillId="23" borderId="24" xfId="0" applyNumberFormat="1" applyFont="1" applyFill="1" applyBorder="1" applyAlignment="1" applyProtection="1">
      <alignment horizontal="center" vertical="center"/>
      <protection locked="0"/>
    </xf>
    <xf numFmtId="4" fontId="63" fillId="23" borderId="25" xfId="0" applyNumberFormat="1" applyFont="1" applyFill="1" applyBorder="1" applyAlignment="1" applyProtection="1">
      <alignment horizontal="center" vertical="center"/>
      <protection locked="0"/>
    </xf>
    <xf numFmtId="4" fontId="63" fillId="23" borderId="171" xfId="0" applyNumberFormat="1" applyFont="1" applyFill="1" applyBorder="1" applyAlignment="1" applyProtection="1">
      <alignment horizontal="center" vertical="center"/>
      <protection locked="0"/>
    </xf>
    <xf numFmtId="4" fontId="63" fillId="23" borderId="172" xfId="0" applyNumberFormat="1" applyFont="1" applyFill="1" applyBorder="1" applyAlignment="1" applyProtection="1">
      <alignment horizontal="center" vertical="center"/>
      <protection locked="0"/>
    </xf>
    <xf numFmtId="4" fontId="63" fillId="23" borderId="132" xfId="0" applyNumberFormat="1" applyFont="1" applyFill="1" applyBorder="1" applyAlignment="1" applyProtection="1">
      <alignment horizontal="center" vertical="center"/>
      <protection locked="0"/>
    </xf>
    <xf numFmtId="4" fontId="63" fillId="23" borderId="133" xfId="0" applyNumberFormat="1" applyFont="1" applyFill="1" applyBorder="1" applyAlignment="1" applyProtection="1">
      <alignment horizontal="center" vertical="center"/>
      <protection locked="0"/>
    </xf>
    <xf numFmtId="0" fontId="13" fillId="22" borderId="113" xfId="0" applyFont="1" applyFill="1" applyBorder="1" applyAlignment="1" applyProtection="1">
      <alignment horizontal="right" vertical="top" wrapText="1" readingOrder="2"/>
      <protection hidden="1"/>
    </xf>
    <xf numFmtId="0" fontId="3" fillId="0" borderId="170" xfId="0" applyFont="1" applyBorder="1" applyAlignment="1" applyProtection="1">
      <alignment horizontal="center" vertical="center" textRotation="90" wrapText="1"/>
      <protection hidden="1"/>
    </xf>
    <xf numFmtId="0" fontId="13" fillId="0" borderId="1" xfId="0" applyFont="1" applyBorder="1" applyAlignment="1" applyProtection="1">
      <alignment horizontal="center" vertical="center" wrapText="1"/>
      <protection hidden="1"/>
    </xf>
    <xf numFmtId="0" fontId="13" fillId="0" borderId="0" xfId="0" applyFont="1" applyBorder="1" applyAlignment="1" applyProtection="1">
      <alignment horizontal="center" vertical="center" wrapText="1"/>
      <protection hidden="1"/>
    </xf>
    <xf numFmtId="0" fontId="13" fillId="0" borderId="25" xfId="0" applyFont="1" applyBorder="1" applyAlignment="1" applyProtection="1">
      <alignment horizontal="center" vertical="center" wrapText="1"/>
      <protection hidden="1"/>
    </xf>
    <xf numFmtId="0" fontId="13" fillId="20" borderId="82" xfId="0" applyFont="1" applyFill="1" applyBorder="1" applyAlignment="1" applyProtection="1">
      <alignment horizontal="center"/>
      <protection hidden="1"/>
    </xf>
    <xf numFmtId="0" fontId="13" fillId="20" borderId="48" xfId="0" applyFont="1" applyFill="1" applyBorder="1" applyAlignment="1" applyProtection="1">
      <alignment horizontal="center"/>
      <protection hidden="1"/>
    </xf>
    <xf numFmtId="0" fontId="13" fillId="20" borderId="20" xfId="0" applyFont="1" applyFill="1" applyBorder="1" applyAlignment="1" applyProtection="1">
      <alignment horizontal="center"/>
      <protection hidden="1"/>
    </xf>
    <xf numFmtId="0" fontId="69" fillId="0" borderId="63" xfId="0" applyFont="1" applyFill="1" applyBorder="1" applyAlignment="1" applyProtection="1">
      <alignment horizontal="center" vertical="center" textRotation="90" wrapText="1"/>
      <protection hidden="1"/>
    </xf>
    <xf numFmtId="0" fontId="69" fillId="0" borderId="52" xfId="0" applyFont="1" applyFill="1" applyBorder="1" applyAlignment="1" applyProtection="1">
      <alignment horizontal="center" vertical="center" textRotation="90" wrapText="1"/>
      <protection hidden="1"/>
    </xf>
    <xf numFmtId="0" fontId="35" fillId="14" borderId="87" xfId="0" applyFont="1" applyFill="1" applyBorder="1" applyAlignment="1" applyProtection="1">
      <alignment horizontal="center" vertical="center" wrapText="1"/>
      <protection hidden="1"/>
    </xf>
    <xf numFmtId="0" fontId="98" fillId="25" borderId="1" xfId="0" applyFont="1" applyFill="1" applyBorder="1" applyAlignment="1" applyProtection="1">
      <alignment horizontal="right" vertical="top"/>
      <protection hidden="1"/>
    </xf>
    <xf numFmtId="0" fontId="98" fillId="25" borderId="63" xfId="0" applyFont="1" applyFill="1" applyBorder="1" applyAlignment="1" applyProtection="1">
      <alignment horizontal="right" vertical="top"/>
      <protection hidden="1"/>
    </xf>
    <xf numFmtId="3" fontId="64" fillId="23" borderId="224" xfId="0" applyNumberFormat="1" applyFont="1" applyFill="1" applyBorder="1" applyAlignment="1" applyProtection="1">
      <alignment horizontal="center" vertical="center"/>
      <protection locked="0"/>
    </xf>
    <xf numFmtId="0" fontId="63" fillId="23" borderId="224" xfId="0" applyFont="1" applyFill="1" applyBorder="1" applyAlignment="1" applyProtection="1">
      <alignment horizontal="center" vertical="center"/>
      <protection locked="0"/>
    </xf>
    <xf numFmtId="0" fontId="63" fillId="23" borderId="234" xfId="0" applyFont="1" applyFill="1" applyBorder="1" applyAlignment="1" applyProtection="1">
      <alignment horizontal="center" vertical="center"/>
      <protection locked="0"/>
    </xf>
    <xf numFmtId="0" fontId="63" fillId="23" borderId="137" xfId="0" applyFont="1" applyFill="1" applyBorder="1" applyAlignment="1" applyProtection="1">
      <alignment horizontal="center" vertical="center"/>
      <protection locked="0"/>
    </xf>
    <xf numFmtId="0" fontId="63" fillId="23" borderId="7" xfId="0" applyFont="1" applyFill="1" applyBorder="1" applyAlignment="1" applyProtection="1">
      <alignment horizontal="center" vertical="center"/>
      <protection locked="0"/>
    </xf>
    <xf numFmtId="0" fontId="63" fillId="23" borderId="51" xfId="0" applyFont="1" applyFill="1" applyBorder="1" applyAlignment="1" applyProtection="1">
      <alignment horizontal="center" vertical="center"/>
      <protection locked="0"/>
    </xf>
    <xf numFmtId="0" fontId="35" fillId="27" borderId="62" xfId="0" applyFont="1" applyFill="1" applyBorder="1" applyAlignment="1" applyProtection="1">
      <alignment horizontal="center" vertical="center" wrapText="1"/>
      <protection hidden="1"/>
    </xf>
    <xf numFmtId="0" fontId="35" fillId="27" borderId="55" xfId="0" applyFont="1" applyFill="1" applyBorder="1" applyAlignment="1" applyProtection="1">
      <alignment horizontal="center" vertical="center" wrapText="1"/>
      <protection hidden="1"/>
    </xf>
    <xf numFmtId="165" fontId="10" fillId="0" borderId="19" xfId="0" applyNumberFormat="1" applyFont="1" applyBorder="1" applyAlignment="1" applyProtection="1">
      <alignment horizontal="center" vertical="center" wrapText="1"/>
      <protection hidden="1"/>
    </xf>
    <xf numFmtId="165" fontId="10" fillId="0" borderId="7" xfId="0" applyNumberFormat="1" applyFont="1" applyBorder="1" applyAlignment="1" applyProtection="1">
      <alignment horizontal="center" vertical="center" wrapText="1"/>
      <protection hidden="1"/>
    </xf>
    <xf numFmtId="165" fontId="10" fillId="0" borderId="131" xfId="0" applyNumberFormat="1" applyFont="1" applyBorder="1" applyAlignment="1" applyProtection="1">
      <alignment horizontal="center" vertical="center" wrapText="1"/>
      <protection hidden="1"/>
    </xf>
    <xf numFmtId="0" fontId="41" fillId="26" borderId="201" xfId="0" applyFont="1" applyFill="1" applyBorder="1" applyAlignment="1" applyProtection="1">
      <alignment horizontal="center" vertical="center"/>
      <protection hidden="1"/>
    </xf>
    <xf numFmtId="0" fontId="41" fillId="26" borderId="209" xfId="0" applyFont="1" applyFill="1" applyBorder="1" applyAlignment="1" applyProtection="1">
      <alignment horizontal="center" vertical="center"/>
      <protection hidden="1"/>
    </xf>
    <xf numFmtId="0" fontId="41" fillId="26" borderId="252" xfId="0" applyFont="1" applyFill="1" applyBorder="1" applyAlignment="1" applyProtection="1">
      <alignment horizontal="center" vertical="center"/>
      <protection hidden="1"/>
    </xf>
    <xf numFmtId="0" fontId="63" fillId="22" borderId="193" xfId="0" applyFont="1" applyFill="1" applyBorder="1" applyAlignment="1" applyProtection="1">
      <alignment horizontal="center" vertical="center"/>
      <protection hidden="1"/>
    </xf>
    <xf numFmtId="0" fontId="63" fillId="22" borderId="245" xfId="0" applyFont="1" applyFill="1" applyBorder="1" applyAlignment="1" applyProtection="1">
      <alignment horizontal="center" vertical="center"/>
      <protection hidden="1"/>
    </xf>
    <xf numFmtId="0" fontId="63" fillId="22" borderId="8" xfId="0" applyFont="1" applyFill="1" applyBorder="1" applyAlignment="1" applyProtection="1">
      <alignment horizontal="center" vertical="center"/>
      <protection hidden="1"/>
    </xf>
    <xf numFmtId="3" fontId="64" fillId="23" borderId="193" xfId="0" applyNumberFormat="1" applyFont="1" applyFill="1" applyBorder="1" applyAlignment="1" applyProtection="1">
      <alignment horizontal="center" vertical="center"/>
      <protection hidden="1"/>
    </xf>
    <xf numFmtId="3" fontId="64" fillId="23" borderId="203" xfId="0" applyNumberFormat="1" applyFont="1" applyFill="1" applyBorder="1" applyAlignment="1" applyProtection="1">
      <alignment horizontal="center" vertical="center"/>
      <protection hidden="1"/>
    </xf>
    <xf numFmtId="0" fontId="63" fillId="22" borderId="203" xfId="0" applyFont="1" applyFill="1" applyBorder="1" applyAlignment="1" applyProtection="1">
      <alignment horizontal="center" vertical="center"/>
      <protection hidden="1"/>
    </xf>
    <xf numFmtId="0" fontId="63" fillId="22" borderId="244" xfId="0" applyFont="1" applyFill="1" applyBorder="1" applyAlignment="1" applyProtection="1">
      <alignment horizontal="center" vertical="center"/>
      <protection hidden="1"/>
    </xf>
    <xf numFmtId="0" fontId="63" fillId="22" borderId="11" xfId="0" applyFont="1" applyFill="1" applyBorder="1" applyAlignment="1" applyProtection="1">
      <alignment horizontal="center" vertical="center"/>
      <protection hidden="1"/>
    </xf>
    <xf numFmtId="165" fontId="63" fillId="0" borderId="51" xfId="0" applyNumberFormat="1" applyFont="1" applyBorder="1" applyAlignment="1" applyProtection="1">
      <alignment horizontal="center" vertical="center"/>
      <protection hidden="1"/>
    </xf>
    <xf numFmtId="0" fontId="105" fillId="25" borderId="19" xfId="0" applyFont="1" applyFill="1" applyBorder="1" applyAlignment="1" applyProtection="1">
      <alignment horizontal="center"/>
      <protection hidden="1"/>
    </xf>
    <xf numFmtId="0" fontId="105" fillId="25" borderId="7" xfId="0" applyFont="1" applyFill="1" applyBorder="1" applyAlignment="1" applyProtection="1">
      <alignment horizontal="center"/>
      <protection hidden="1"/>
    </xf>
    <xf numFmtId="0" fontId="105" fillId="25" borderId="51" xfId="0" applyFont="1" applyFill="1" applyBorder="1" applyAlignment="1" applyProtection="1">
      <alignment horizontal="center"/>
      <protection hidden="1"/>
    </xf>
    <xf numFmtId="0" fontId="41" fillId="0" borderId="3" xfId="0" applyFont="1" applyBorder="1" applyAlignment="1" applyProtection="1">
      <alignment horizontal="center"/>
      <protection hidden="1"/>
    </xf>
    <xf numFmtId="0" fontId="41" fillId="0" borderId="61" xfId="0" applyFont="1" applyBorder="1" applyAlignment="1" applyProtection="1">
      <alignment horizontal="center"/>
      <protection hidden="1"/>
    </xf>
    <xf numFmtId="0" fontId="13" fillId="23" borderId="54" xfId="0" applyFont="1" applyFill="1" applyBorder="1" applyAlignment="1" applyProtection="1">
      <alignment horizontal="right" vertical="top"/>
      <protection hidden="1"/>
    </xf>
    <xf numFmtId="0" fontId="13" fillId="23" borderId="61" xfId="0" applyFont="1" applyFill="1" applyBorder="1" applyAlignment="1" applyProtection="1">
      <alignment horizontal="right" vertical="top"/>
      <protection hidden="1"/>
    </xf>
    <xf numFmtId="0" fontId="13" fillId="23" borderId="62" xfId="0" applyFont="1" applyFill="1" applyBorder="1" applyAlignment="1" applyProtection="1">
      <alignment horizontal="right" vertical="top"/>
      <protection hidden="1"/>
    </xf>
    <xf numFmtId="0" fontId="65" fillId="23" borderId="1" xfId="0" applyFont="1" applyFill="1" applyBorder="1" applyAlignment="1" applyProtection="1">
      <alignment horizontal="right" vertical="top"/>
      <protection locked="0"/>
    </xf>
    <xf numFmtId="0" fontId="65" fillId="23" borderId="0" xfId="0" applyFont="1" applyFill="1" applyBorder="1" applyAlignment="1" applyProtection="1">
      <alignment horizontal="right" vertical="top"/>
      <protection locked="0"/>
    </xf>
    <xf numFmtId="0" fontId="65" fillId="23" borderId="63" xfId="0" applyFont="1" applyFill="1" applyBorder="1" applyAlignment="1" applyProtection="1">
      <alignment horizontal="right" vertical="top"/>
      <protection locked="0"/>
    </xf>
    <xf numFmtId="0" fontId="65" fillId="23" borderId="113" xfId="0" applyFont="1" applyFill="1" applyBorder="1" applyAlignment="1" applyProtection="1">
      <alignment horizontal="right" vertical="top"/>
      <protection locked="0"/>
    </xf>
    <xf numFmtId="0" fontId="65" fillId="23" borderId="3" xfId="0" applyFont="1" applyFill="1" applyBorder="1" applyAlignment="1" applyProtection="1">
      <alignment horizontal="right" vertical="top"/>
      <protection locked="0"/>
    </xf>
    <xf numFmtId="0" fontId="65" fillId="23" borderId="55" xfId="0" applyFont="1" applyFill="1" applyBorder="1" applyAlignment="1" applyProtection="1">
      <alignment horizontal="right" vertical="top"/>
      <protection locked="0"/>
    </xf>
    <xf numFmtId="167" fontId="63" fillId="23" borderId="15" xfId="0" applyNumberFormat="1" applyFont="1" applyFill="1" applyBorder="1" applyAlignment="1" applyProtection="1">
      <alignment horizontal="center" vertical="center"/>
      <protection locked="0"/>
    </xf>
    <xf numFmtId="167" fontId="63" fillId="23" borderId="8" xfId="0" applyNumberFormat="1" applyFont="1" applyFill="1" applyBorder="1" applyAlignment="1" applyProtection="1">
      <alignment horizontal="center" vertical="center"/>
      <protection locked="0"/>
    </xf>
    <xf numFmtId="0" fontId="10" fillId="23" borderId="8" xfId="0" applyFont="1" applyFill="1" applyBorder="1" applyAlignment="1" applyProtection="1">
      <alignment horizontal="center" vertical="center" readingOrder="2"/>
      <protection locked="0"/>
    </xf>
    <xf numFmtId="0" fontId="10" fillId="23" borderId="44" xfId="0" applyFont="1" applyFill="1" applyBorder="1" applyAlignment="1" applyProtection="1">
      <alignment horizontal="center" vertical="center" readingOrder="2"/>
      <protection locked="0"/>
    </xf>
    <xf numFmtId="0" fontId="73" fillId="21" borderId="158" xfId="0" applyFont="1" applyFill="1" applyBorder="1" applyAlignment="1" applyProtection="1">
      <alignment horizontal="center" vertical="center"/>
      <protection locked="0"/>
    </xf>
    <xf numFmtId="0" fontId="73" fillId="21" borderId="159" xfId="0" applyFont="1" applyFill="1" applyBorder="1" applyAlignment="1" applyProtection="1">
      <alignment horizontal="center" vertical="center"/>
      <protection locked="0"/>
    </xf>
    <xf numFmtId="0" fontId="10" fillId="23" borderId="14" xfId="0" applyFont="1" applyFill="1" applyBorder="1" applyAlignment="1" applyProtection="1">
      <alignment horizontal="center" vertical="center"/>
      <protection locked="0"/>
    </xf>
    <xf numFmtId="0" fontId="10" fillId="23" borderId="53" xfId="0" applyFont="1" applyFill="1" applyBorder="1" applyAlignment="1" applyProtection="1">
      <alignment horizontal="center" vertical="center"/>
      <protection locked="0"/>
    </xf>
    <xf numFmtId="167" fontId="63" fillId="23" borderId="23" xfId="0" applyNumberFormat="1" applyFont="1" applyFill="1" applyBorder="1" applyAlignment="1" applyProtection="1">
      <alignment horizontal="center" vertical="center"/>
      <protection locked="0"/>
    </xf>
    <xf numFmtId="167" fontId="63" fillId="23" borderId="9" xfId="0" applyNumberFormat="1" applyFont="1" applyFill="1" applyBorder="1" applyAlignment="1" applyProtection="1">
      <alignment horizontal="center" vertical="center"/>
      <protection locked="0"/>
    </xf>
    <xf numFmtId="0" fontId="10" fillId="23" borderId="21" xfId="0" applyFont="1" applyFill="1" applyBorder="1" applyAlignment="1" applyProtection="1">
      <alignment horizontal="center" vertical="center"/>
      <protection locked="0"/>
    </xf>
    <xf numFmtId="0" fontId="10" fillId="23" borderId="22" xfId="0" applyFont="1" applyFill="1" applyBorder="1" applyAlignment="1" applyProtection="1">
      <alignment horizontal="center" vertical="center"/>
      <protection locked="0"/>
    </xf>
    <xf numFmtId="0" fontId="10" fillId="23" borderId="156" xfId="0" applyFont="1" applyFill="1" applyBorder="1" applyAlignment="1" applyProtection="1">
      <alignment horizontal="center" vertical="center"/>
      <protection locked="0"/>
    </xf>
    <xf numFmtId="167" fontId="63" fillId="23" borderId="17" xfId="0" applyNumberFormat="1" applyFont="1" applyFill="1" applyBorder="1" applyAlignment="1" applyProtection="1">
      <alignment horizontal="center" vertical="center"/>
      <protection locked="0"/>
    </xf>
    <xf numFmtId="167" fontId="63" fillId="23" borderId="11" xfId="0" applyNumberFormat="1" applyFont="1" applyFill="1" applyBorder="1" applyAlignment="1" applyProtection="1">
      <alignment horizontal="center" vertical="center"/>
      <protection locked="0"/>
    </xf>
    <xf numFmtId="0" fontId="10" fillId="23" borderId="11" xfId="0" applyFont="1" applyFill="1" applyBorder="1" applyAlignment="1" applyProtection="1">
      <alignment horizontal="center" vertical="center" readingOrder="2"/>
      <protection locked="0"/>
    </xf>
    <xf numFmtId="0" fontId="10" fillId="23" borderId="46" xfId="0" applyFont="1" applyFill="1" applyBorder="1" applyAlignment="1" applyProtection="1">
      <alignment horizontal="center" vertical="center" readingOrder="2"/>
      <protection locked="0"/>
    </xf>
    <xf numFmtId="0" fontId="10" fillId="23" borderId="9" xfId="0" applyFont="1" applyFill="1" applyBorder="1" applyAlignment="1" applyProtection="1">
      <alignment horizontal="center" vertical="center" readingOrder="2"/>
      <protection locked="0"/>
    </xf>
    <xf numFmtId="0" fontId="10" fillId="23" borderId="45" xfId="0" applyFont="1" applyFill="1" applyBorder="1" applyAlignment="1" applyProtection="1">
      <alignment horizontal="center" vertical="center" readingOrder="2"/>
      <protection locked="0"/>
    </xf>
    <xf numFmtId="0" fontId="81" fillId="0" borderId="63" xfId="0" applyFont="1" applyFill="1" applyBorder="1" applyAlignment="1" applyProtection="1">
      <alignment horizontal="center" vertical="center" textRotation="90"/>
      <protection hidden="1"/>
    </xf>
    <xf numFmtId="0" fontId="36" fillId="14" borderId="71" xfId="0" applyFont="1" applyFill="1" applyBorder="1" applyAlignment="1" applyProtection="1">
      <alignment horizontal="center" vertical="center"/>
      <protection hidden="1"/>
    </xf>
    <xf numFmtId="0" fontId="35" fillId="14" borderId="83" xfId="0" applyFont="1" applyFill="1" applyBorder="1" applyAlignment="1" applyProtection="1">
      <alignment horizontal="center" vertical="center" wrapText="1"/>
      <protection hidden="1"/>
    </xf>
    <xf numFmtId="0" fontId="35" fillId="14" borderId="85" xfId="0" applyFont="1" applyFill="1" applyBorder="1" applyAlignment="1" applyProtection="1">
      <alignment horizontal="center" vertical="center" wrapText="1"/>
      <protection hidden="1"/>
    </xf>
    <xf numFmtId="0" fontId="35" fillId="14" borderId="72" xfId="0" applyFont="1" applyFill="1" applyBorder="1" applyAlignment="1" applyProtection="1">
      <alignment horizontal="center" vertical="center" wrapText="1"/>
      <protection hidden="1"/>
    </xf>
    <xf numFmtId="0" fontId="35" fillId="14" borderId="73" xfId="0" applyFont="1" applyFill="1" applyBorder="1" applyAlignment="1" applyProtection="1">
      <alignment horizontal="center" vertical="center" wrapText="1"/>
      <protection hidden="1"/>
    </xf>
    <xf numFmtId="0" fontId="69" fillId="0" borderId="0" xfId="0" applyFont="1" applyFill="1" applyBorder="1" applyAlignment="1" applyProtection="1">
      <alignment horizontal="center" vertical="center" textRotation="90"/>
      <protection hidden="1"/>
    </xf>
    <xf numFmtId="0" fontId="80" fillId="20" borderId="19" xfId="0" applyFont="1" applyFill="1" applyBorder="1" applyAlignment="1" applyProtection="1">
      <alignment horizontal="center"/>
      <protection hidden="1"/>
    </xf>
    <xf numFmtId="0" fontId="80" fillId="20" borderId="7" xfId="0" applyFont="1" applyFill="1" applyBorder="1" applyAlignment="1" applyProtection="1">
      <alignment horizontal="center"/>
      <protection hidden="1"/>
    </xf>
    <xf numFmtId="0" fontId="80" fillId="20" borderId="51" xfId="0" applyFont="1" applyFill="1" applyBorder="1" applyAlignment="1" applyProtection="1">
      <alignment horizontal="center"/>
      <protection hidden="1"/>
    </xf>
    <xf numFmtId="0" fontId="10" fillId="23" borderId="12" xfId="0" applyFont="1" applyFill="1" applyBorder="1" applyAlignment="1" applyProtection="1">
      <alignment horizontal="center" vertical="center"/>
      <protection locked="0"/>
    </xf>
    <xf numFmtId="0" fontId="10" fillId="23" borderId="52" xfId="0" applyFont="1" applyFill="1" applyBorder="1" applyAlignment="1" applyProtection="1">
      <alignment horizontal="center" vertical="center"/>
      <protection locked="0"/>
    </xf>
    <xf numFmtId="165" fontId="10" fillId="0" borderId="128" xfId="0" applyNumberFormat="1" applyFont="1" applyBorder="1" applyAlignment="1" applyProtection="1">
      <alignment horizontal="center" vertical="center" textRotation="90"/>
      <protection hidden="1"/>
    </xf>
    <xf numFmtId="165" fontId="10" fillId="0" borderId="25" xfId="0" applyNumberFormat="1" applyFont="1" applyBorder="1" applyAlignment="1" applyProtection="1">
      <alignment horizontal="center" vertical="center" textRotation="90"/>
      <protection hidden="1"/>
    </xf>
    <xf numFmtId="165" fontId="10" fillId="0" borderId="91" xfId="0" applyNumberFormat="1" applyFont="1" applyBorder="1" applyAlignment="1" applyProtection="1">
      <alignment horizontal="center" vertical="center" textRotation="90"/>
      <protection hidden="1"/>
    </xf>
    <xf numFmtId="3" fontId="64" fillId="23" borderId="13" xfId="0" applyNumberFormat="1" applyFont="1" applyFill="1" applyBorder="1" applyAlignment="1" applyProtection="1">
      <alignment horizontal="center" vertical="center"/>
      <protection locked="0"/>
    </xf>
    <xf numFmtId="3" fontId="64" fillId="23" borderId="53" xfId="0" applyNumberFormat="1" applyFont="1" applyFill="1" applyBorder="1" applyAlignment="1" applyProtection="1">
      <alignment horizontal="center" vertical="center"/>
      <protection locked="0"/>
    </xf>
    <xf numFmtId="3" fontId="64" fillId="23" borderId="101" xfId="0" applyNumberFormat="1" applyFont="1" applyFill="1" applyBorder="1" applyAlignment="1" applyProtection="1">
      <alignment horizontal="center" vertical="center"/>
      <protection locked="0"/>
    </xf>
    <xf numFmtId="3" fontId="64" fillId="23" borderId="64" xfId="0" applyNumberFormat="1" applyFont="1" applyFill="1" applyBorder="1" applyAlignment="1" applyProtection="1">
      <alignment horizontal="center" vertical="center"/>
      <protection locked="0"/>
    </xf>
    <xf numFmtId="3" fontId="64" fillId="23" borderId="69" xfId="0" applyNumberFormat="1" applyFont="1" applyFill="1" applyBorder="1" applyAlignment="1" applyProtection="1">
      <alignment horizontal="center" vertical="center"/>
      <protection locked="0"/>
    </xf>
    <xf numFmtId="3" fontId="64" fillId="23" borderId="98" xfId="0" applyNumberFormat="1" applyFont="1" applyFill="1" applyBorder="1" applyAlignment="1" applyProtection="1">
      <alignment horizontal="center" vertical="center"/>
      <protection locked="0"/>
    </xf>
    <xf numFmtId="3" fontId="64" fillId="23" borderId="81" xfId="0" applyNumberFormat="1" applyFont="1" applyFill="1" applyBorder="1" applyAlignment="1" applyProtection="1">
      <alignment horizontal="center" vertical="center"/>
      <protection locked="0"/>
    </xf>
    <xf numFmtId="3" fontId="64" fillId="23" borderId="17" xfId="0" applyNumberFormat="1" applyFont="1" applyFill="1" applyBorder="1" applyAlignment="1" applyProtection="1">
      <alignment horizontal="center" vertical="center"/>
      <protection locked="0"/>
    </xf>
    <xf numFmtId="3" fontId="64" fillId="23" borderId="16" xfId="0" applyNumberFormat="1" applyFont="1" applyFill="1" applyBorder="1" applyAlignment="1" applyProtection="1">
      <alignment horizontal="center" vertical="center"/>
      <protection locked="0"/>
    </xf>
    <xf numFmtId="0" fontId="35" fillId="27" borderId="72" xfId="0" applyFont="1" applyFill="1" applyBorder="1" applyAlignment="1" applyProtection="1">
      <alignment horizontal="center" vertical="center" wrapText="1"/>
      <protection hidden="1"/>
    </xf>
    <xf numFmtId="3" fontId="64" fillId="23" borderId="99" xfId="0" applyNumberFormat="1" applyFont="1" applyFill="1" applyBorder="1" applyAlignment="1" applyProtection="1">
      <alignment horizontal="center" vertical="center"/>
      <protection locked="0"/>
    </xf>
    <xf numFmtId="0" fontId="29" fillId="0" borderId="1" xfId="0" applyFont="1" applyFill="1" applyBorder="1" applyAlignment="1" applyProtection="1">
      <alignment horizontal="center" vertical="center"/>
      <protection hidden="1"/>
    </xf>
    <xf numFmtId="0" fontId="35" fillId="27" borderId="85" xfId="0" applyFont="1" applyFill="1" applyBorder="1" applyAlignment="1" applyProtection="1">
      <alignment horizontal="center" vertical="center" wrapText="1"/>
      <protection hidden="1"/>
    </xf>
    <xf numFmtId="0" fontId="35" fillId="27" borderId="73" xfId="0" applyFont="1" applyFill="1" applyBorder="1" applyAlignment="1" applyProtection="1">
      <alignment horizontal="center" vertical="center" wrapText="1"/>
      <protection hidden="1"/>
    </xf>
    <xf numFmtId="3" fontId="64" fillId="23" borderId="52" xfId="0" applyNumberFormat="1" applyFont="1" applyFill="1" applyBorder="1" applyAlignment="1" applyProtection="1">
      <alignment horizontal="center" vertical="center"/>
      <protection locked="0"/>
    </xf>
    <xf numFmtId="0" fontId="13" fillId="23" borderId="54" xfId="0" applyFont="1" applyFill="1" applyBorder="1" applyAlignment="1" applyProtection="1">
      <alignment horizontal="right" vertical="center"/>
      <protection hidden="1"/>
    </xf>
    <xf numFmtId="0" fontId="13" fillId="23" borderId="61" xfId="0" applyFont="1" applyFill="1" applyBorder="1" applyAlignment="1" applyProtection="1">
      <alignment horizontal="right" vertical="center"/>
      <protection hidden="1"/>
    </xf>
    <xf numFmtId="0" fontId="13" fillId="23" borderId="62" xfId="0" applyFont="1" applyFill="1" applyBorder="1" applyAlignment="1" applyProtection="1">
      <alignment horizontal="right" vertical="center"/>
      <protection hidden="1"/>
    </xf>
    <xf numFmtId="0" fontId="13" fillId="23" borderId="42" xfId="0" applyFont="1" applyFill="1" applyBorder="1" applyAlignment="1" applyProtection="1">
      <alignment horizontal="right" vertical="center" wrapText="1"/>
      <protection locked="0"/>
    </xf>
    <xf numFmtId="0" fontId="13" fillId="23" borderId="8" xfId="0" applyFont="1" applyFill="1" applyBorder="1" applyAlignment="1" applyProtection="1">
      <alignment horizontal="right" vertical="center" wrapText="1"/>
      <protection locked="0"/>
    </xf>
    <xf numFmtId="0" fontId="82" fillId="23" borderId="50" xfId="0" applyFont="1" applyFill="1" applyBorder="1" applyAlignment="1" applyProtection="1">
      <alignment horizontal="center" wrapText="1"/>
      <protection locked="0"/>
    </xf>
    <xf numFmtId="0" fontId="82" fillId="23" borderId="11" xfId="0" applyFont="1" applyFill="1" applyBorder="1" applyAlignment="1" applyProtection="1">
      <alignment horizontal="center" wrapText="1"/>
      <protection locked="0"/>
    </xf>
    <xf numFmtId="0" fontId="35" fillId="14" borderId="86" xfId="0" applyFont="1" applyFill="1" applyBorder="1" applyAlignment="1" applyProtection="1">
      <alignment horizontal="center" vertical="center" wrapText="1"/>
      <protection hidden="1"/>
    </xf>
    <xf numFmtId="4" fontId="63" fillId="23" borderId="11" xfId="0" applyNumberFormat="1" applyFont="1" applyFill="1" applyBorder="1" applyAlignment="1" applyProtection="1">
      <alignment horizontal="center" vertical="center"/>
      <protection locked="0"/>
    </xf>
    <xf numFmtId="4" fontId="63" fillId="23" borderId="46" xfId="0" applyNumberFormat="1" applyFont="1" applyFill="1" applyBorder="1" applyAlignment="1" applyProtection="1">
      <alignment horizontal="center" vertical="center"/>
      <protection locked="0"/>
    </xf>
    <xf numFmtId="0" fontId="63" fillId="23" borderId="50" xfId="0" applyFont="1" applyFill="1" applyBorder="1" applyAlignment="1" applyProtection="1">
      <alignment horizontal="center" wrapText="1"/>
      <protection locked="0"/>
    </xf>
    <xf numFmtId="0" fontId="63" fillId="23" borderId="11" xfId="0" applyFont="1" applyFill="1" applyBorder="1" applyAlignment="1" applyProtection="1">
      <alignment horizontal="center" wrapText="1"/>
      <protection locked="0"/>
    </xf>
    <xf numFmtId="0" fontId="13" fillId="23" borderId="132" xfId="0" applyFont="1" applyFill="1" applyBorder="1" applyAlignment="1" applyProtection="1">
      <alignment horizontal="center" vertical="center" wrapText="1"/>
      <protection locked="0"/>
    </xf>
    <xf numFmtId="0" fontId="13" fillId="23" borderId="133" xfId="0" applyFont="1" applyFill="1" applyBorder="1" applyAlignment="1" applyProtection="1">
      <alignment horizontal="center" vertical="center" wrapText="1"/>
      <protection locked="0"/>
    </xf>
    <xf numFmtId="4" fontId="63" fillId="23" borderId="8" xfId="0" applyNumberFormat="1" applyFont="1" applyFill="1" applyBorder="1" applyAlignment="1" applyProtection="1">
      <alignment horizontal="center" vertical="center"/>
      <protection locked="0"/>
    </xf>
    <xf numFmtId="4" fontId="63" fillId="23" borderId="44" xfId="0" applyNumberFormat="1" applyFont="1" applyFill="1" applyBorder="1" applyAlignment="1" applyProtection="1">
      <alignment horizontal="center" vertical="center"/>
      <protection locked="0"/>
    </xf>
    <xf numFmtId="4" fontId="63" fillId="0" borderId="8" xfId="0" applyNumberFormat="1" applyFont="1" applyFill="1" applyBorder="1" applyAlignment="1" applyProtection="1">
      <alignment horizontal="center" vertical="center"/>
      <protection hidden="1"/>
    </xf>
    <xf numFmtId="0" fontId="13" fillId="23" borderId="8" xfId="0" applyFont="1" applyFill="1" applyBorder="1" applyAlignment="1" applyProtection="1">
      <alignment horizontal="center" vertical="center" wrapText="1"/>
      <protection locked="0"/>
    </xf>
    <xf numFmtId="0" fontId="13" fillId="23" borderId="44" xfId="0" applyFont="1" applyFill="1" applyBorder="1" applyAlignment="1" applyProtection="1">
      <alignment horizontal="center" vertical="center" wrapText="1"/>
      <protection locked="0"/>
    </xf>
    <xf numFmtId="0" fontId="13" fillId="23" borderId="100" xfId="0" applyFont="1" applyFill="1" applyBorder="1" applyAlignment="1" applyProtection="1">
      <alignment horizontal="center" vertical="center" wrapText="1"/>
      <protection locked="0"/>
    </xf>
    <xf numFmtId="0" fontId="13" fillId="23" borderId="77" xfId="0" applyFont="1" applyFill="1" applyBorder="1" applyAlignment="1" applyProtection="1">
      <alignment horizontal="center" vertical="center" wrapText="1"/>
      <protection locked="0"/>
    </xf>
    <xf numFmtId="4" fontId="63" fillId="0" borderId="11" xfId="0" applyNumberFormat="1" applyFont="1" applyFill="1" applyBorder="1" applyAlignment="1" applyProtection="1">
      <alignment horizontal="center" vertical="center"/>
      <protection hidden="1"/>
    </xf>
    <xf numFmtId="0" fontId="13" fillId="23" borderId="16" xfId="0" applyFont="1" applyFill="1" applyBorder="1" applyAlignment="1" applyProtection="1">
      <alignment horizontal="center" vertical="center" wrapText="1"/>
      <protection locked="0"/>
    </xf>
    <xf numFmtId="0" fontId="13" fillId="23" borderId="17" xfId="0" applyFont="1" applyFill="1" applyBorder="1" applyAlignment="1" applyProtection="1">
      <alignment horizontal="center" vertical="center" wrapText="1"/>
      <protection locked="0"/>
    </xf>
    <xf numFmtId="0" fontId="13" fillId="23" borderId="50" xfId="0" applyFont="1" applyFill="1" applyBorder="1" applyAlignment="1" applyProtection="1">
      <alignment horizontal="right" vertical="center" wrapText="1"/>
      <protection locked="0"/>
    </xf>
    <xf numFmtId="0" fontId="13" fillId="23" borderId="11" xfId="0" applyFont="1" applyFill="1" applyBorder="1" applyAlignment="1" applyProtection="1">
      <alignment horizontal="right" vertical="center" wrapText="1"/>
      <protection locked="0"/>
    </xf>
    <xf numFmtId="0" fontId="36" fillId="14" borderId="55" xfId="0" applyFont="1" applyFill="1" applyBorder="1" applyAlignment="1" applyProtection="1">
      <alignment horizontal="center" vertical="center" wrapText="1"/>
      <protection hidden="1"/>
    </xf>
    <xf numFmtId="0" fontId="36" fillId="14" borderId="86" xfId="0" applyFont="1" applyFill="1" applyBorder="1" applyAlignment="1" applyProtection="1">
      <alignment horizontal="center" vertical="center" wrapText="1"/>
      <protection hidden="1"/>
    </xf>
    <xf numFmtId="0" fontId="13" fillId="0" borderId="0" xfId="0" applyFont="1" applyFill="1" applyBorder="1" applyAlignment="1" applyProtection="1">
      <alignment horizontal="center" vertical="center" textRotation="90" wrapText="1"/>
      <protection hidden="1"/>
    </xf>
    <xf numFmtId="0" fontId="13" fillId="0" borderId="25" xfId="0" applyFont="1" applyFill="1" applyBorder="1" applyAlignment="1" applyProtection="1">
      <alignment horizontal="center" vertical="center" textRotation="90" wrapText="1"/>
      <protection hidden="1"/>
    </xf>
    <xf numFmtId="0" fontId="13" fillId="0" borderId="3" xfId="0" applyFont="1" applyFill="1" applyBorder="1" applyAlignment="1" applyProtection="1">
      <alignment horizontal="center" vertical="center" textRotation="90" wrapText="1"/>
      <protection hidden="1"/>
    </xf>
    <xf numFmtId="0" fontId="13" fillId="0" borderId="91" xfId="0" applyFont="1" applyFill="1" applyBorder="1" applyAlignment="1" applyProtection="1">
      <alignment horizontal="center" vertical="center" textRotation="90" wrapText="1"/>
      <protection hidden="1"/>
    </xf>
    <xf numFmtId="0" fontId="13" fillId="0" borderId="1" xfId="0" applyFont="1" applyFill="1" applyBorder="1" applyAlignment="1" applyProtection="1">
      <alignment horizontal="center" vertical="center" textRotation="90" wrapText="1"/>
      <protection hidden="1"/>
    </xf>
    <xf numFmtId="0" fontId="13" fillId="0" borderId="113" xfId="0" applyFont="1" applyFill="1" applyBorder="1" applyAlignment="1" applyProtection="1">
      <alignment horizontal="center" vertical="center" textRotation="90" wrapText="1"/>
      <protection hidden="1"/>
    </xf>
    <xf numFmtId="0" fontId="69" fillId="0" borderId="1" xfId="0" applyFont="1" applyFill="1" applyBorder="1" applyAlignment="1" applyProtection="1">
      <alignment horizontal="center" vertical="center" textRotation="90" wrapText="1"/>
      <protection hidden="1"/>
    </xf>
    <xf numFmtId="0" fontId="69" fillId="0" borderId="113" xfId="0" applyFont="1" applyFill="1" applyBorder="1" applyAlignment="1" applyProtection="1">
      <alignment horizontal="center" vertical="center" textRotation="90" wrapText="1"/>
      <protection hidden="1"/>
    </xf>
    <xf numFmtId="0" fontId="13" fillId="0" borderId="54" xfId="0" applyFont="1" applyFill="1" applyBorder="1" applyAlignment="1" applyProtection="1">
      <alignment horizontal="center" vertical="center" textRotation="90" wrapText="1"/>
      <protection hidden="1"/>
    </xf>
    <xf numFmtId="0" fontId="13" fillId="0" borderId="61" xfId="0" applyFont="1" applyFill="1" applyBorder="1" applyAlignment="1" applyProtection="1">
      <alignment horizontal="center" vertical="center" textRotation="90" wrapText="1"/>
      <protection hidden="1"/>
    </xf>
    <xf numFmtId="0" fontId="13" fillId="0" borderId="128" xfId="0" applyFont="1" applyFill="1" applyBorder="1" applyAlignment="1" applyProtection="1">
      <alignment horizontal="center" vertical="center" textRotation="90" wrapText="1"/>
      <protection hidden="1"/>
    </xf>
    <xf numFmtId="0" fontId="13" fillId="23" borderId="41" xfId="0" applyFont="1" applyFill="1" applyBorder="1" applyAlignment="1" applyProtection="1">
      <alignment horizontal="center" vertical="center" wrapText="1"/>
      <protection locked="0"/>
    </xf>
    <xf numFmtId="0" fontId="13" fillId="23" borderId="47" xfId="0" applyFont="1" applyFill="1" applyBorder="1" applyAlignment="1" applyProtection="1">
      <alignment horizontal="center" vertical="center" wrapText="1"/>
      <protection locked="0"/>
    </xf>
    <xf numFmtId="0" fontId="13" fillId="23" borderId="43" xfId="0" applyFont="1" applyFill="1" applyBorder="1" applyAlignment="1" applyProtection="1">
      <alignment horizontal="right" vertical="center" wrapText="1"/>
      <protection locked="0"/>
    </xf>
    <xf numFmtId="0" fontId="13" fillId="23" borderId="41" xfId="0" applyFont="1" applyFill="1" applyBorder="1" applyAlignment="1" applyProtection="1">
      <alignment horizontal="right" vertical="center" wrapText="1"/>
      <protection locked="0"/>
    </xf>
    <xf numFmtId="4" fontId="63" fillId="0" borderId="41" xfId="0" applyNumberFormat="1" applyFont="1" applyFill="1" applyBorder="1" applyAlignment="1" applyProtection="1">
      <alignment horizontal="center" vertical="center"/>
      <protection hidden="1"/>
    </xf>
    <xf numFmtId="0" fontId="13" fillId="23" borderId="174" xfId="0" applyFont="1" applyFill="1" applyBorder="1" applyAlignment="1" applyProtection="1">
      <alignment horizontal="center" vertical="center" wrapText="1"/>
      <protection locked="0"/>
    </xf>
    <xf numFmtId="0" fontId="13" fillId="23" borderId="175" xfId="0" applyFont="1" applyFill="1" applyBorder="1" applyAlignment="1" applyProtection="1">
      <alignment horizontal="center" vertical="center" wrapText="1"/>
      <protection locked="0"/>
    </xf>
    <xf numFmtId="0" fontId="63" fillId="23" borderId="60" xfId="0" applyFont="1" applyFill="1" applyBorder="1" applyAlignment="1" applyProtection="1">
      <alignment horizontal="center" wrapText="1"/>
      <protection locked="0"/>
    </xf>
    <xf numFmtId="0" fontId="63" fillId="23" borderId="59" xfId="0" applyFont="1" applyFill="1" applyBorder="1" applyAlignment="1" applyProtection="1">
      <alignment horizontal="center" wrapText="1"/>
      <protection locked="0"/>
    </xf>
    <xf numFmtId="4" fontId="63" fillId="23" borderId="41" xfId="0" applyNumberFormat="1" applyFont="1" applyFill="1" applyBorder="1" applyAlignment="1" applyProtection="1">
      <alignment horizontal="center" vertical="center"/>
      <protection locked="0"/>
    </xf>
    <xf numFmtId="4" fontId="63" fillId="23" borderId="47" xfId="0" applyNumberFormat="1" applyFont="1" applyFill="1" applyBorder="1" applyAlignment="1" applyProtection="1">
      <alignment horizontal="center" vertical="center"/>
      <protection locked="0"/>
    </xf>
    <xf numFmtId="0" fontId="0" fillId="22" borderId="82" xfId="0" applyFont="1" applyFill="1" applyBorder="1" applyAlignment="1" applyProtection="1">
      <alignment horizontal="center"/>
      <protection hidden="1"/>
    </xf>
    <xf numFmtId="0" fontId="0" fillId="22" borderId="48" xfId="0" applyFont="1" applyFill="1" applyBorder="1" applyAlignment="1" applyProtection="1">
      <alignment horizontal="center"/>
      <protection hidden="1"/>
    </xf>
    <xf numFmtId="0" fontId="0" fillId="22" borderId="20" xfId="0" applyFont="1" applyFill="1" applyBorder="1" applyAlignment="1" applyProtection="1">
      <alignment horizontal="center"/>
      <protection hidden="1"/>
    </xf>
    <xf numFmtId="0" fontId="57" fillId="19" borderId="1" xfId="0" applyFont="1" applyFill="1" applyBorder="1" applyAlignment="1" applyProtection="1">
      <alignment horizontal="center" vertical="center" wrapText="1"/>
      <protection hidden="1"/>
    </xf>
    <xf numFmtId="0" fontId="57" fillId="19" borderId="0" xfId="0" applyFont="1" applyFill="1" applyBorder="1" applyAlignment="1" applyProtection="1">
      <alignment horizontal="center" vertical="center" wrapText="1"/>
      <protection hidden="1"/>
    </xf>
    <xf numFmtId="4" fontId="63" fillId="0" borderId="79" xfId="0" applyNumberFormat="1" applyFont="1" applyFill="1" applyBorder="1" applyAlignment="1" applyProtection="1">
      <alignment horizontal="center" vertical="center"/>
      <protection hidden="1"/>
    </xf>
    <xf numFmtId="4" fontId="63" fillId="23" borderId="79" xfId="0" applyNumberFormat="1" applyFont="1" applyFill="1" applyBorder="1" applyAlignment="1" applyProtection="1">
      <alignment horizontal="center" vertical="center"/>
      <protection locked="0"/>
    </xf>
    <xf numFmtId="4" fontId="63" fillId="23" borderId="80" xfId="0" applyNumberFormat="1" applyFont="1" applyFill="1" applyBorder="1" applyAlignment="1" applyProtection="1">
      <alignment horizontal="center" vertical="center"/>
      <protection locked="0"/>
    </xf>
    <xf numFmtId="3" fontId="64" fillId="23" borderId="100" xfId="0" applyNumberFormat="1" applyFont="1" applyFill="1" applyBorder="1" applyAlignment="1" applyProtection="1">
      <alignment horizontal="center" vertical="center"/>
      <protection locked="0"/>
    </xf>
    <xf numFmtId="3" fontId="64" fillId="23" borderId="76" xfId="0" applyNumberFormat="1" applyFont="1" applyFill="1" applyBorder="1" applyAlignment="1" applyProtection="1">
      <alignment horizontal="center" vertical="center"/>
      <protection locked="0"/>
    </xf>
    <xf numFmtId="3" fontId="64" fillId="23" borderId="77" xfId="0" applyNumberFormat="1" applyFont="1" applyFill="1" applyBorder="1" applyAlignment="1" applyProtection="1">
      <alignment horizontal="center" vertical="center"/>
      <protection locked="0"/>
    </xf>
    <xf numFmtId="3" fontId="64" fillId="23" borderId="14" xfId="0" applyNumberFormat="1" applyFont="1" applyFill="1" applyBorder="1" applyAlignment="1" applyProtection="1">
      <alignment horizontal="center" vertical="center"/>
      <protection locked="0"/>
    </xf>
    <xf numFmtId="3" fontId="64" fillId="23" borderId="68" xfId="0" applyNumberFormat="1" applyFont="1" applyFill="1" applyBorder="1" applyAlignment="1" applyProtection="1">
      <alignment horizontal="center" vertical="center"/>
      <protection locked="0"/>
    </xf>
    <xf numFmtId="3" fontId="64" fillId="23" borderId="54" xfId="0" applyNumberFormat="1" applyFont="1" applyFill="1" applyBorder="1" applyAlignment="1" applyProtection="1">
      <alignment horizontal="center" vertical="center"/>
      <protection locked="0"/>
    </xf>
    <xf numFmtId="3" fontId="64" fillId="23" borderId="61" xfId="0" applyNumberFormat="1" applyFont="1" applyFill="1" applyBorder="1" applyAlignment="1" applyProtection="1">
      <alignment horizontal="center" vertical="center"/>
      <protection locked="0"/>
    </xf>
    <xf numFmtId="3" fontId="64" fillId="23" borderId="128" xfId="0" applyNumberFormat="1" applyFont="1" applyFill="1" applyBorder="1" applyAlignment="1" applyProtection="1">
      <alignment horizontal="center" vertical="center"/>
      <protection locked="0"/>
    </xf>
    <xf numFmtId="0" fontId="35" fillId="27" borderId="88" xfId="0" applyFont="1" applyFill="1" applyBorder="1" applyAlignment="1" applyProtection="1">
      <alignment horizontal="center" vertical="center" wrapText="1"/>
      <protection hidden="1"/>
    </xf>
    <xf numFmtId="0" fontId="35" fillId="27" borderId="86" xfId="0" applyFont="1" applyFill="1" applyBorder="1" applyAlignment="1" applyProtection="1">
      <alignment horizontal="center" vertical="center" wrapText="1"/>
      <protection hidden="1"/>
    </xf>
    <xf numFmtId="0" fontId="35" fillId="27" borderId="89" xfId="0" applyFont="1" applyFill="1" applyBorder="1" applyAlignment="1" applyProtection="1">
      <alignment horizontal="center" vertical="center" wrapText="1"/>
      <protection hidden="1"/>
    </xf>
    <xf numFmtId="0" fontId="35" fillId="27" borderId="87" xfId="0" applyFont="1" applyFill="1" applyBorder="1" applyAlignment="1" applyProtection="1">
      <alignment horizontal="center" vertical="center" wrapText="1"/>
      <protection hidden="1"/>
    </xf>
    <xf numFmtId="0" fontId="41" fillId="26" borderId="250" xfId="0" applyFont="1" applyFill="1" applyBorder="1" applyAlignment="1" applyProtection="1">
      <alignment horizontal="center" vertical="center"/>
      <protection hidden="1"/>
    </xf>
    <xf numFmtId="0" fontId="41" fillId="26" borderId="274" xfId="0" applyFont="1" applyFill="1" applyBorder="1" applyAlignment="1" applyProtection="1">
      <alignment horizontal="center" vertical="center"/>
      <protection hidden="1"/>
    </xf>
    <xf numFmtId="0" fontId="41" fillId="26" borderId="253" xfId="0" applyFont="1" applyFill="1" applyBorder="1" applyAlignment="1" applyProtection="1">
      <alignment horizontal="center" vertical="center"/>
      <protection hidden="1"/>
    </xf>
    <xf numFmtId="0" fontId="35" fillId="27" borderId="89" xfId="0" applyFont="1" applyFill="1" applyBorder="1" applyAlignment="1" applyProtection="1">
      <alignment horizontal="center" vertical="top" wrapText="1"/>
      <protection hidden="1"/>
    </xf>
    <xf numFmtId="0" fontId="35" fillId="27" borderId="88" xfId="0" applyFont="1" applyFill="1" applyBorder="1" applyAlignment="1" applyProtection="1">
      <alignment horizontal="center" vertical="top" wrapText="1"/>
      <protection hidden="1"/>
    </xf>
    <xf numFmtId="0" fontId="35" fillId="27" borderId="87" xfId="0" applyFont="1" applyFill="1" applyBorder="1" applyAlignment="1" applyProtection="1">
      <alignment horizontal="center" vertical="top" wrapText="1"/>
      <protection hidden="1"/>
    </xf>
    <xf numFmtId="0" fontId="35" fillId="27" borderId="86" xfId="0" applyFont="1" applyFill="1" applyBorder="1" applyAlignment="1" applyProtection="1">
      <alignment horizontal="center" vertical="top" wrapText="1"/>
      <protection hidden="1"/>
    </xf>
    <xf numFmtId="0" fontId="35" fillId="14" borderId="108" xfId="0" applyFont="1" applyFill="1" applyBorder="1" applyAlignment="1" applyProtection="1">
      <alignment horizontal="center" vertical="center" wrapText="1" readingOrder="2"/>
      <protection hidden="1"/>
    </xf>
    <xf numFmtId="0" fontId="35" fillId="14" borderId="74" xfId="0" applyFont="1" applyFill="1" applyBorder="1" applyAlignment="1" applyProtection="1">
      <alignment horizontal="center" vertical="center" wrapText="1" readingOrder="2"/>
      <protection hidden="1"/>
    </xf>
    <xf numFmtId="0" fontId="35" fillId="14" borderId="112" xfId="0" applyFont="1" applyFill="1" applyBorder="1" applyAlignment="1" applyProtection="1">
      <alignment horizontal="center" vertical="center" wrapText="1" readingOrder="2"/>
      <protection hidden="1"/>
    </xf>
    <xf numFmtId="0" fontId="35" fillId="14" borderId="123" xfId="0" applyFont="1" applyFill="1" applyBorder="1" applyAlignment="1" applyProtection="1">
      <alignment horizontal="center" vertical="center" wrapText="1" readingOrder="2"/>
      <protection hidden="1"/>
    </xf>
    <xf numFmtId="0" fontId="35" fillId="14" borderId="124" xfId="0" applyFont="1" applyFill="1" applyBorder="1" applyAlignment="1" applyProtection="1">
      <alignment horizontal="center" vertical="center" wrapText="1" readingOrder="2"/>
      <protection hidden="1"/>
    </xf>
    <xf numFmtId="0" fontId="35" fillId="14" borderId="138" xfId="0" applyFont="1" applyFill="1" applyBorder="1" applyAlignment="1" applyProtection="1">
      <alignment horizontal="center" vertical="center" wrapText="1" readingOrder="2"/>
      <protection hidden="1"/>
    </xf>
    <xf numFmtId="0" fontId="35" fillId="14" borderId="66" xfId="0" applyFont="1" applyFill="1" applyBorder="1" applyAlignment="1" applyProtection="1">
      <alignment horizontal="center" vertical="center" wrapText="1" readingOrder="2"/>
      <protection hidden="1"/>
    </xf>
    <xf numFmtId="0" fontId="35" fillId="14" borderId="120" xfId="0" applyFont="1" applyFill="1" applyBorder="1" applyAlignment="1" applyProtection="1">
      <alignment horizontal="center" vertical="center" wrapText="1" readingOrder="2"/>
      <protection hidden="1"/>
    </xf>
    <xf numFmtId="0" fontId="51" fillId="14" borderId="63" xfId="0" applyFont="1" applyFill="1" applyBorder="1" applyAlignment="1" applyProtection="1">
      <alignment horizontal="center" vertical="center" textRotation="90"/>
      <protection hidden="1"/>
    </xf>
    <xf numFmtId="0" fontId="51" fillId="14" borderId="55" xfId="0" applyFont="1" applyFill="1" applyBorder="1" applyAlignment="1" applyProtection="1">
      <alignment horizontal="center" vertical="center" textRotation="90"/>
      <protection hidden="1"/>
    </xf>
    <xf numFmtId="0" fontId="51" fillId="14" borderId="48" xfId="0" applyFont="1" applyFill="1" applyBorder="1" applyAlignment="1" applyProtection="1">
      <alignment horizontal="center" vertical="center" wrapText="1"/>
      <protection hidden="1"/>
    </xf>
    <xf numFmtId="0" fontId="51" fillId="14" borderId="1" xfId="0" applyFont="1" applyFill="1" applyBorder="1" applyAlignment="1" applyProtection="1">
      <alignment horizontal="center" vertical="center" wrapText="1"/>
      <protection hidden="1"/>
    </xf>
    <xf numFmtId="0" fontId="51" fillId="14" borderId="20" xfId="0" applyFont="1" applyFill="1" applyBorder="1" applyAlignment="1" applyProtection="1">
      <alignment horizontal="center" vertical="center" wrapText="1"/>
      <protection hidden="1"/>
    </xf>
    <xf numFmtId="0" fontId="13" fillId="0" borderId="131" xfId="0" applyFont="1" applyBorder="1" applyAlignment="1" applyProtection="1">
      <alignment horizontal="center" vertical="center"/>
      <protection hidden="1"/>
    </xf>
    <xf numFmtId="0" fontId="13" fillId="0" borderId="24" xfId="0" applyFont="1" applyBorder="1" applyAlignment="1" applyProtection="1">
      <alignment horizontal="center" vertical="center" textRotation="90" wrapText="1"/>
      <protection hidden="1"/>
    </xf>
    <xf numFmtId="0" fontId="13" fillId="0" borderId="0" xfId="0" applyFont="1" applyBorder="1" applyAlignment="1" applyProtection="1">
      <alignment horizontal="center" vertical="center" textRotation="90" wrapText="1"/>
      <protection hidden="1"/>
    </xf>
    <xf numFmtId="0" fontId="13" fillId="0" borderId="25" xfId="0" applyFont="1" applyBorder="1" applyAlignment="1" applyProtection="1">
      <alignment horizontal="center" vertical="center" textRotation="90" wrapText="1"/>
      <protection hidden="1"/>
    </xf>
    <xf numFmtId="0" fontId="13" fillId="0" borderId="16" xfId="0" applyFont="1" applyBorder="1" applyAlignment="1" applyProtection="1">
      <alignment horizontal="center" vertical="center" textRotation="90" wrapText="1"/>
      <protection hidden="1"/>
    </xf>
    <xf numFmtId="0" fontId="13" fillId="0" borderId="12" xfId="0" applyFont="1" applyBorder="1" applyAlignment="1" applyProtection="1">
      <alignment horizontal="center" vertical="center" textRotation="90" wrapText="1"/>
      <protection hidden="1"/>
    </xf>
    <xf numFmtId="0" fontId="13" fillId="0" borderId="17" xfId="0" applyFont="1" applyBorder="1" applyAlignment="1" applyProtection="1">
      <alignment horizontal="center" vertical="center" textRotation="90" wrapText="1"/>
      <protection hidden="1"/>
    </xf>
    <xf numFmtId="0" fontId="41" fillId="9" borderId="0" xfId="0" applyFont="1" applyFill="1" applyAlignment="1" applyProtection="1">
      <alignment horizontal="center"/>
      <protection hidden="1"/>
    </xf>
    <xf numFmtId="3" fontId="41" fillId="23" borderId="19" xfId="0" applyNumberFormat="1" applyFont="1" applyFill="1" applyBorder="1" applyAlignment="1" applyProtection="1">
      <alignment horizontal="center" vertical="center"/>
      <protection locked="0"/>
    </xf>
    <xf numFmtId="3" fontId="41" fillId="23" borderId="131" xfId="0" applyNumberFormat="1" applyFont="1" applyFill="1" applyBorder="1" applyAlignment="1" applyProtection="1">
      <alignment horizontal="center" vertical="center"/>
      <protection locked="0"/>
    </xf>
    <xf numFmtId="0" fontId="35" fillId="14" borderId="82" xfId="0" applyFont="1" applyFill="1" applyBorder="1" applyAlignment="1" applyProtection="1">
      <alignment horizontal="center" vertical="center" wrapText="1" readingOrder="2"/>
      <protection hidden="1"/>
    </xf>
    <xf numFmtId="0" fontId="35" fillId="14" borderId="20" xfId="0" applyFont="1" applyFill="1" applyBorder="1" applyAlignment="1" applyProtection="1">
      <alignment horizontal="center" vertical="center" wrapText="1" readingOrder="2"/>
      <protection hidden="1"/>
    </xf>
    <xf numFmtId="0" fontId="35" fillId="14" borderId="62" xfId="0" applyFont="1" applyFill="1" applyBorder="1" applyAlignment="1" applyProtection="1">
      <alignment horizontal="center" vertical="center" wrapText="1" readingOrder="2"/>
      <protection hidden="1"/>
    </xf>
    <xf numFmtId="0" fontId="35" fillId="27" borderId="108" xfId="0" applyFont="1" applyFill="1" applyBorder="1" applyAlignment="1" applyProtection="1">
      <alignment horizontal="center" vertical="center" wrapText="1" readingOrder="2"/>
      <protection hidden="1"/>
    </xf>
    <xf numFmtId="0" fontId="35" fillId="27" borderId="74" xfId="0" applyFont="1" applyFill="1" applyBorder="1" applyAlignment="1" applyProtection="1">
      <alignment horizontal="center" vertical="center" wrapText="1" readingOrder="2"/>
      <protection hidden="1"/>
    </xf>
    <xf numFmtId="0" fontId="51" fillId="14" borderId="82" xfId="0" applyFont="1" applyFill="1" applyBorder="1" applyAlignment="1" applyProtection="1">
      <alignment horizontal="center" vertical="center" textRotation="90"/>
      <protection hidden="1"/>
    </xf>
    <xf numFmtId="0" fontId="51" fillId="14" borderId="48" xfId="0" applyFont="1" applyFill="1" applyBorder="1" applyAlignment="1" applyProtection="1">
      <alignment horizontal="center" vertical="center" textRotation="90"/>
      <protection hidden="1"/>
    </xf>
    <xf numFmtId="0" fontId="51" fillId="14" borderId="20" xfId="0" applyFont="1" applyFill="1" applyBorder="1" applyAlignment="1" applyProtection="1">
      <alignment horizontal="center" vertical="center" textRotation="90"/>
      <protection hidden="1"/>
    </xf>
    <xf numFmtId="0" fontId="35" fillId="27" borderId="84" xfId="0" applyFont="1" applyFill="1" applyBorder="1" applyAlignment="1" applyProtection="1">
      <alignment horizontal="center" vertical="center" wrapText="1" readingOrder="2"/>
      <protection hidden="1"/>
    </xf>
    <xf numFmtId="0" fontId="35" fillId="27" borderId="72" xfId="0" applyFont="1" applyFill="1" applyBorder="1" applyAlignment="1" applyProtection="1">
      <alignment horizontal="center" vertical="center" wrapText="1" readingOrder="2"/>
      <protection hidden="1"/>
    </xf>
    <xf numFmtId="0" fontId="60" fillId="22" borderId="54" xfId="0" applyFont="1" applyFill="1" applyBorder="1" applyAlignment="1" applyProtection="1">
      <alignment vertical="center" wrapText="1"/>
      <protection hidden="1"/>
    </xf>
    <xf numFmtId="0" fontId="60" fillId="22" borderId="61" xfId="0" applyFont="1" applyFill="1" applyBorder="1" applyAlignment="1" applyProtection="1">
      <alignment vertical="center" wrapText="1"/>
      <protection hidden="1"/>
    </xf>
    <xf numFmtId="0" fontId="60" fillId="22" borderId="62" xfId="0" applyFont="1" applyFill="1" applyBorder="1" applyAlignment="1" applyProtection="1">
      <alignment vertical="center" wrapText="1"/>
      <protection hidden="1"/>
    </xf>
    <xf numFmtId="0" fontId="35" fillId="14" borderId="54" xfId="0" applyFont="1" applyFill="1" applyBorder="1" applyAlignment="1" applyProtection="1">
      <alignment horizontal="center" vertical="center" wrapText="1" readingOrder="2"/>
      <protection hidden="1"/>
    </xf>
    <xf numFmtId="0" fontId="13" fillId="0" borderId="113"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13" fillId="0" borderId="91" xfId="0" applyFont="1" applyBorder="1" applyAlignment="1" applyProtection="1">
      <alignment horizontal="center" vertical="center" wrapText="1"/>
      <protection hidden="1"/>
    </xf>
    <xf numFmtId="0" fontId="35" fillId="27" borderId="65" xfId="0" applyFont="1" applyFill="1" applyBorder="1" applyAlignment="1" applyProtection="1">
      <alignment horizontal="center" vertical="center" wrapText="1" readingOrder="2"/>
      <protection hidden="1"/>
    </xf>
    <xf numFmtId="0" fontId="35" fillId="27" borderId="114" xfId="0" applyFont="1" applyFill="1" applyBorder="1" applyAlignment="1" applyProtection="1">
      <alignment horizontal="center" vertical="center" wrapText="1" readingOrder="2"/>
      <protection hidden="1"/>
    </xf>
    <xf numFmtId="0" fontId="35" fillId="27" borderId="102" xfId="0" applyFont="1" applyFill="1" applyBorder="1" applyAlignment="1" applyProtection="1">
      <alignment horizontal="center" vertical="center" wrapText="1" readingOrder="2"/>
      <protection hidden="1"/>
    </xf>
    <xf numFmtId="0" fontId="35" fillId="27" borderId="106" xfId="0" applyFont="1" applyFill="1" applyBorder="1" applyAlignment="1" applyProtection="1">
      <alignment horizontal="center" vertical="center" wrapText="1" readingOrder="2"/>
      <protection hidden="1"/>
    </xf>
    <xf numFmtId="4" fontId="63" fillId="0" borderId="80" xfId="0" applyNumberFormat="1" applyFont="1" applyBorder="1" applyAlignment="1" applyProtection="1">
      <alignment horizontal="center" vertical="center"/>
      <protection hidden="1"/>
    </xf>
    <xf numFmtId="4" fontId="63" fillId="0" borderId="44" xfId="0" applyNumberFormat="1" applyFont="1" applyBorder="1" applyAlignment="1" applyProtection="1">
      <alignment horizontal="center" vertical="center"/>
      <protection hidden="1"/>
    </xf>
    <xf numFmtId="4" fontId="63" fillId="0" borderId="47" xfId="0" applyNumberFormat="1" applyFont="1" applyBorder="1" applyAlignment="1" applyProtection="1">
      <alignment horizontal="center" vertical="center"/>
      <protection hidden="1"/>
    </xf>
    <xf numFmtId="0" fontId="35" fillId="14" borderId="1" xfId="0" applyFont="1" applyFill="1" applyBorder="1" applyAlignment="1" applyProtection="1">
      <alignment horizontal="center" vertical="center" wrapText="1" readingOrder="2"/>
      <protection hidden="1"/>
    </xf>
    <xf numFmtId="0" fontId="35" fillId="14" borderId="93" xfId="0" applyFont="1" applyFill="1" applyBorder="1" applyAlignment="1" applyProtection="1">
      <alignment horizontal="center" vertical="center" wrapText="1" readingOrder="2"/>
      <protection hidden="1"/>
    </xf>
    <xf numFmtId="0" fontId="63" fillId="0" borderId="19" xfId="0" applyFont="1" applyBorder="1" applyAlignment="1" applyProtection="1">
      <alignment horizontal="center" vertical="center"/>
      <protection hidden="1"/>
    </xf>
    <xf numFmtId="0" fontId="63" fillId="0" borderId="131" xfId="0" applyFont="1" applyBorder="1" applyAlignment="1" applyProtection="1">
      <alignment horizontal="center" vertical="center"/>
      <protection hidden="1"/>
    </xf>
    <xf numFmtId="0" fontId="35" fillId="14" borderId="86" xfId="0" applyFont="1" applyFill="1" applyBorder="1" applyAlignment="1" applyProtection="1">
      <alignment horizontal="center" vertical="center" wrapText="1" readingOrder="2"/>
      <protection hidden="1"/>
    </xf>
    <xf numFmtId="0" fontId="41" fillId="26" borderId="61" xfId="0" applyFont="1" applyFill="1" applyBorder="1" applyAlignment="1" applyProtection="1">
      <alignment horizontal="center" vertical="center"/>
      <protection hidden="1"/>
    </xf>
    <xf numFmtId="0" fontId="35" fillId="27" borderId="120" xfId="0" applyFont="1" applyFill="1" applyBorder="1" applyAlignment="1" applyProtection="1">
      <alignment horizontal="center" vertical="center" wrapText="1" readingOrder="2"/>
      <protection hidden="1"/>
    </xf>
    <xf numFmtId="0" fontId="35" fillId="27" borderId="123" xfId="0" applyFont="1" applyFill="1" applyBorder="1" applyAlignment="1" applyProtection="1">
      <alignment horizontal="center" vertical="center" wrapText="1" readingOrder="2"/>
      <protection hidden="1"/>
    </xf>
    <xf numFmtId="0" fontId="35" fillId="27" borderId="277" xfId="0" applyFont="1" applyFill="1" applyBorder="1" applyAlignment="1" applyProtection="1">
      <alignment horizontal="center" vertical="center" wrapText="1" readingOrder="2"/>
      <protection hidden="1"/>
    </xf>
    <xf numFmtId="0" fontId="35" fillId="27" borderId="276" xfId="0" applyFont="1" applyFill="1" applyBorder="1" applyAlignment="1" applyProtection="1">
      <alignment horizontal="center" vertical="center" wrapText="1" readingOrder="2"/>
      <protection hidden="1"/>
    </xf>
    <xf numFmtId="0" fontId="35" fillId="27" borderId="1" xfId="0" applyFont="1" applyFill="1" applyBorder="1" applyAlignment="1" applyProtection="1">
      <alignment horizontal="center" vertical="center" wrapText="1" readingOrder="2"/>
      <protection hidden="1"/>
    </xf>
    <xf numFmtId="0" fontId="35" fillId="27" borderId="93" xfId="0" applyFont="1" applyFill="1" applyBorder="1" applyAlignment="1" applyProtection="1">
      <alignment horizontal="center" vertical="center" wrapText="1" readingOrder="2"/>
      <protection hidden="1"/>
    </xf>
    <xf numFmtId="0" fontId="35" fillId="27" borderId="113" xfId="0" applyFont="1" applyFill="1" applyBorder="1" applyAlignment="1" applyProtection="1">
      <alignment horizontal="center" vertical="center" wrapText="1" readingOrder="2"/>
      <protection hidden="1"/>
    </xf>
    <xf numFmtId="0" fontId="35" fillId="27" borderId="86" xfId="0" applyFont="1" applyFill="1" applyBorder="1" applyAlignment="1" applyProtection="1">
      <alignment horizontal="center" vertical="center" wrapText="1" readingOrder="2"/>
      <protection hidden="1"/>
    </xf>
    <xf numFmtId="0" fontId="35" fillId="27" borderId="66" xfId="0" applyFont="1" applyFill="1" applyBorder="1" applyAlignment="1" applyProtection="1">
      <alignment horizontal="center" vertical="center" wrapText="1" readingOrder="2"/>
      <protection hidden="1"/>
    </xf>
    <xf numFmtId="0" fontId="35" fillId="27" borderId="83" xfId="0" applyFont="1" applyFill="1" applyBorder="1" applyAlignment="1" applyProtection="1">
      <alignment horizontal="center" vertical="center" wrapText="1" readingOrder="2"/>
      <protection hidden="1"/>
    </xf>
    <xf numFmtId="0" fontId="35" fillId="27" borderId="71" xfId="0" applyFont="1" applyFill="1" applyBorder="1" applyAlignment="1" applyProtection="1">
      <alignment horizontal="center" vertical="center" wrapText="1" readingOrder="2"/>
      <protection hidden="1"/>
    </xf>
    <xf numFmtId="0" fontId="35" fillId="27" borderId="85" xfId="0" applyFont="1" applyFill="1" applyBorder="1" applyAlignment="1" applyProtection="1">
      <alignment horizontal="center" vertical="center" wrapText="1" readingOrder="2"/>
      <protection hidden="1"/>
    </xf>
    <xf numFmtId="0" fontId="35" fillId="27" borderId="73" xfId="0" applyFont="1" applyFill="1" applyBorder="1" applyAlignment="1" applyProtection="1">
      <alignment horizontal="center" vertical="center" wrapText="1" readingOrder="2"/>
      <protection hidden="1"/>
    </xf>
    <xf numFmtId="0" fontId="35" fillId="27" borderId="275" xfId="0" applyFont="1" applyFill="1" applyBorder="1" applyAlignment="1" applyProtection="1">
      <alignment horizontal="center" vertical="center" wrapText="1" readingOrder="2"/>
      <protection hidden="1"/>
    </xf>
    <xf numFmtId="0" fontId="41" fillId="26" borderId="54" xfId="0" applyFont="1" applyFill="1" applyBorder="1" applyAlignment="1" applyProtection="1">
      <alignment horizontal="center"/>
      <protection hidden="1"/>
    </xf>
    <xf numFmtId="0" fontId="41" fillId="26" borderId="61" xfId="0" applyFont="1" applyFill="1" applyBorder="1" applyAlignment="1" applyProtection="1">
      <alignment horizontal="center"/>
      <protection hidden="1"/>
    </xf>
    <xf numFmtId="0" fontId="41" fillId="26" borderId="62" xfId="0" applyFont="1" applyFill="1" applyBorder="1" applyAlignment="1" applyProtection="1">
      <alignment horizontal="center"/>
      <protection hidden="1"/>
    </xf>
    <xf numFmtId="0" fontId="41" fillId="26" borderId="113" xfId="0" applyFont="1" applyFill="1" applyBorder="1" applyAlignment="1" applyProtection="1">
      <alignment horizontal="center"/>
      <protection hidden="1"/>
    </xf>
    <xf numFmtId="0" fontId="41" fillId="26" borderId="3" xfId="0" applyFont="1" applyFill="1" applyBorder="1" applyAlignment="1" applyProtection="1">
      <alignment horizontal="center"/>
      <protection hidden="1"/>
    </xf>
    <xf numFmtId="0" fontId="41" fillId="26" borderId="55" xfId="0" applyFont="1" applyFill="1" applyBorder="1" applyAlignment="1" applyProtection="1">
      <alignment horizontal="center"/>
      <protection hidden="1"/>
    </xf>
    <xf numFmtId="0" fontId="41" fillId="26" borderId="82" xfId="0" applyFont="1" applyFill="1" applyBorder="1" applyAlignment="1" applyProtection="1">
      <alignment horizontal="center"/>
      <protection hidden="1"/>
    </xf>
    <xf numFmtId="0" fontId="41" fillId="26" borderId="48" xfId="0" applyFont="1" applyFill="1" applyBorder="1" applyAlignment="1" applyProtection="1">
      <alignment horizontal="center"/>
      <protection hidden="1"/>
    </xf>
    <xf numFmtId="0" fontId="41" fillId="26" borderId="20" xfId="0" applyFont="1" applyFill="1" applyBorder="1" applyAlignment="1" applyProtection="1">
      <alignment horizontal="center"/>
      <protection hidden="1"/>
    </xf>
    <xf numFmtId="0" fontId="41" fillId="26" borderId="19" xfId="0" applyFont="1" applyFill="1" applyBorder="1" applyAlignment="1" applyProtection="1">
      <alignment horizontal="center"/>
      <protection hidden="1"/>
    </xf>
    <xf numFmtId="0" fontId="41" fillId="26" borderId="7" xfId="0" applyFont="1" applyFill="1" applyBorder="1" applyAlignment="1" applyProtection="1">
      <alignment horizontal="center"/>
      <protection hidden="1"/>
    </xf>
    <xf numFmtId="0" fontId="41" fillId="26" borderId="51" xfId="0" applyFont="1" applyFill="1" applyBorder="1" applyAlignment="1" applyProtection="1">
      <alignment horizontal="center"/>
      <protection hidden="1"/>
    </xf>
    <xf numFmtId="0" fontId="35" fillId="27" borderId="112" xfId="0" applyFont="1" applyFill="1" applyBorder="1" applyAlignment="1" applyProtection="1">
      <alignment horizontal="center" vertical="center" wrapText="1" readingOrder="2"/>
      <protection hidden="1"/>
    </xf>
    <xf numFmtId="0" fontId="98" fillId="25" borderId="1" xfId="0" applyFont="1" applyFill="1" applyBorder="1" applyAlignment="1" applyProtection="1">
      <alignment horizontal="center" vertical="top"/>
      <protection hidden="1"/>
    </xf>
    <xf numFmtId="0" fontId="98" fillId="25" borderId="0" xfId="0" applyFont="1" applyFill="1" applyBorder="1" applyAlignment="1" applyProtection="1">
      <alignment horizontal="center" vertical="top"/>
      <protection hidden="1"/>
    </xf>
    <xf numFmtId="0" fontId="106" fillId="25" borderId="54" xfId="0" applyFont="1" applyFill="1" applyBorder="1" applyAlignment="1" applyProtection="1">
      <alignment horizontal="center" vertical="center"/>
      <protection hidden="1"/>
    </xf>
    <xf numFmtId="0" fontId="106" fillId="25" borderId="61" xfId="0" applyFont="1" applyFill="1" applyBorder="1" applyAlignment="1" applyProtection="1">
      <alignment horizontal="center" vertical="center"/>
      <protection hidden="1"/>
    </xf>
    <xf numFmtId="0" fontId="106" fillId="25" borderId="62" xfId="0" applyFont="1" applyFill="1" applyBorder="1" applyAlignment="1" applyProtection="1">
      <alignment horizontal="center" vertical="center"/>
      <protection hidden="1"/>
    </xf>
    <xf numFmtId="0" fontId="106" fillId="25" borderId="1" xfId="0" applyFont="1" applyFill="1" applyBorder="1" applyAlignment="1" applyProtection="1">
      <alignment horizontal="center" vertical="center"/>
      <protection hidden="1"/>
    </xf>
    <xf numFmtId="0" fontId="106" fillId="25" borderId="0" xfId="0" applyFont="1" applyFill="1" applyBorder="1" applyAlignment="1" applyProtection="1">
      <alignment horizontal="center" vertical="center"/>
      <protection hidden="1"/>
    </xf>
    <xf numFmtId="0" fontId="106" fillId="25" borderId="63" xfId="0" applyFont="1" applyFill="1" applyBorder="1" applyAlignment="1" applyProtection="1">
      <alignment horizontal="center" vertical="center"/>
      <protection hidden="1"/>
    </xf>
    <xf numFmtId="0" fontId="106" fillId="25" borderId="113" xfId="0" applyFont="1" applyFill="1" applyBorder="1" applyAlignment="1" applyProtection="1">
      <alignment horizontal="center" vertical="center"/>
      <protection hidden="1"/>
    </xf>
    <xf numFmtId="0" fontId="106" fillId="25" borderId="3" xfId="0" applyFont="1" applyFill="1" applyBorder="1" applyAlignment="1" applyProtection="1">
      <alignment horizontal="center" vertical="center"/>
      <protection hidden="1"/>
    </xf>
    <xf numFmtId="0" fontId="106" fillId="25" borderId="55" xfId="0" applyFont="1" applyFill="1" applyBorder="1" applyAlignment="1" applyProtection="1">
      <alignment horizontal="center" vertical="center"/>
      <protection hidden="1"/>
    </xf>
    <xf numFmtId="0" fontId="106" fillId="25" borderId="0" xfId="0" applyFont="1" applyFill="1" applyAlignment="1" applyProtection="1">
      <alignment horizontal="center" vertical="center"/>
      <protection hidden="1"/>
    </xf>
    <xf numFmtId="0" fontId="51" fillId="19" borderId="192" xfId="0" applyFont="1" applyFill="1" applyBorder="1" applyAlignment="1" applyProtection="1">
      <alignment horizontal="center" vertical="center"/>
      <protection hidden="1"/>
    </xf>
    <xf numFmtId="0" fontId="13" fillId="0" borderId="13" xfId="0" applyFont="1" applyFill="1" applyBorder="1" applyAlignment="1" applyProtection="1">
      <alignment horizontal="center" vertical="center"/>
      <protection hidden="1"/>
    </xf>
    <xf numFmtId="0" fontId="13" fillId="0" borderId="14" xfId="0" applyFont="1" applyFill="1" applyBorder="1" applyAlignment="1" applyProtection="1">
      <alignment horizontal="center" vertical="center"/>
      <protection hidden="1"/>
    </xf>
    <xf numFmtId="0" fontId="13" fillId="0" borderId="53" xfId="0" applyFont="1" applyFill="1" applyBorder="1" applyAlignment="1" applyProtection="1">
      <alignment horizontal="center" vertical="center"/>
      <protection hidden="1"/>
    </xf>
    <xf numFmtId="0" fontId="13" fillId="23" borderId="152" xfId="0" applyFont="1" applyFill="1" applyBorder="1" applyAlignment="1" applyProtection="1">
      <alignment horizontal="center" vertical="center"/>
      <protection locked="0"/>
    </xf>
    <xf numFmtId="0" fontId="13" fillId="23" borderId="153" xfId="0" applyFont="1" applyFill="1" applyBorder="1" applyAlignment="1" applyProtection="1">
      <alignment horizontal="center" vertical="center"/>
      <protection locked="0"/>
    </xf>
    <xf numFmtId="4" fontId="63" fillId="23" borderId="12" xfId="0" applyNumberFormat="1" applyFont="1" applyFill="1" applyBorder="1" applyAlignment="1" applyProtection="1">
      <alignment horizontal="center" vertical="center"/>
      <protection locked="0"/>
    </xf>
    <xf numFmtId="0" fontId="41" fillId="0" borderId="7" xfId="0" applyFont="1" applyBorder="1" applyAlignment="1" applyProtection="1">
      <alignment horizontal="center"/>
      <protection hidden="1"/>
    </xf>
    <xf numFmtId="0" fontId="13" fillId="0" borderId="98" xfId="0" applyFont="1" applyFill="1" applyBorder="1" applyAlignment="1" applyProtection="1">
      <alignment horizontal="center" vertical="center"/>
      <protection hidden="1"/>
    </xf>
    <xf numFmtId="0" fontId="13" fillId="0" borderId="15" xfId="0" applyFont="1" applyFill="1" applyBorder="1" applyAlignment="1" applyProtection="1">
      <alignment horizontal="center" vertical="center"/>
      <protection hidden="1"/>
    </xf>
    <xf numFmtId="0" fontId="51" fillId="19" borderId="1" xfId="0" applyFont="1" applyFill="1" applyBorder="1" applyAlignment="1" applyProtection="1">
      <alignment horizontal="center" vertical="center" wrapText="1"/>
      <protection hidden="1"/>
    </xf>
    <xf numFmtId="0" fontId="51" fillId="19" borderId="0" xfId="0" applyFont="1" applyFill="1" applyBorder="1" applyAlignment="1" applyProtection="1">
      <alignment horizontal="center" vertical="center" wrapText="1"/>
      <protection hidden="1"/>
    </xf>
    <xf numFmtId="0" fontId="35" fillId="14" borderId="108" xfId="0" applyFont="1" applyFill="1" applyBorder="1" applyAlignment="1" applyProtection="1">
      <alignment horizontal="center" vertical="center" readingOrder="2"/>
      <protection hidden="1"/>
    </xf>
    <xf numFmtId="0" fontId="35" fillId="14" borderId="74" xfId="0" applyFont="1" applyFill="1" applyBorder="1" applyAlignment="1" applyProtection="1">
      <alignment horizontal="center" vertical="center" readingOrder="2"/>
      <protection hidden="1"/>
    </xf>
    <xf numFmtId="0" fontId="29" fillId="0" borderId="48" xfId="0" applyFont="1" applyFill="1" applyBorder="1" applyAlignment="1" applyProtection="1">
      <alignment horizontal="center" vertical="center"/>
      <protection hidden="1"/>
    </xf>
    <xf numFmtId="0" fontId="29" fillId="0" borderId="183" xfId="0" applyFont="1" applyFill="1" applyBorder="1" applyAlignment="1" applyProtection="1">
      <alignment horizontal="center" vertical="center"/>
      <protection hidden="1"/>
    </xf>
    <xf numFmtId="0" fontId="29" fillId="0" borderId="184" xfId="0" applyFont="1" applyFill="1" applyBorder="1" applyAlignment="1" applyProtection="1">
      <alignment horizontal="center" vertical="center"/>
      <protection hidden="1"/>
    </xf>
    <xf numFmtId="0" fontId="29" fillId="0" borderId="185" xfId="0" applyFont="1" applyFill="1" applyBorder="1" applyAlignment="1" applyProtection="1">
      <alignment horizontal="center" vertical="center"/>
      <protection hidden="1"/>
    </xf>
    <xf numFmtId="167" fontId="63" fillId="0" borderId="119" xfId="0" applyNumberFormat="1" applyFont="1" applyBorder="1" applyAlignment="1" applyProtection="1">
      <alignment horizontal="center" vertical="center"/>
      <protection hidden="1"/>
    </xf>
    <xf numFmtId="4" fontId="63" fillId="23" borderId="22" xfId="0" applyNumberFormat="1" applyFont="1" applyFill="1" applyBorder="1" applyAlignment="1" applyProtection="1">
      <alignment horizontal="center" vertical="center"/>
      <protection locked="0"/>
    </xf>
    <xf numFmtId="0" fontId="32" fillId="14" borderId="103" xfId="0" applyFont="1" applyFill="1" applyBorder="1" applyAlignment="1" applyProtection="1">
      <alignment horizontal="center" vertical="center" readingOrder="2"/>
      <protection hidden="1"/>
    </xf>
    <xf numFmtId="0" fontId="32" fillId="14" borderId="140" xfId="0" applyFont="1" applyFill="1" applyBorder="1" applyAlignment="1" applyProtection="1">
      <alignment horizontal="center" vertical="center" readingOrder="2"/>
      <protection hidden="1"/>
    </xf>
    <xf numFmtId="0" fontId="13" fillId="0" borderId="16" xfId="0" applyFont="1" applyFill="1" applyBorder="1" applyAlignment="1" applyProtection="1">
      <alignment horizontal="center" vertical="center"/>
      <protection hidden="1"/>
    </xf>
    <xf numFmtId="0" fontId="13" fillId="0" borderId="12" xfId="0" applyFont="1" applyFill="1" applyBorder="1" applyAlignment="1" applyProtection="1">
      <alignment horizontal="center" vertical="center"/>
      <protection hidden="1"/>
    </xf>
    <xf numFmtId="0" fontId="13" fillId="0" borderId="17" xfId="0" applyFont="1" applyFill="1" applyBorder="1" applyAlignment="1" applyProtection="1">
      <alignment horizontal="center" vertical="center"/>
      <protection hidden="1"/>
    </xf>
    <xf numFmtId="0" fontId="13" fillId="0" borderId="50" xfId="0" applyFont="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42" xfId="0" applyFont="1" applyBorder="1" applyAlignment="1" applyProtection="1">
      <alignment horizontal="center" vertical="center" wrapText="1"/>
      <protection hidden="1"/>
    </xf>
    <xf numFmtId="0" fontId="13" fillId="0" borderId="126" xfId="0" applyFont="1" applyFill="1" applyBorder="1" applyAlignment="1" applyProtection="1">
      <alignment horizontal="center" vertical="center"/>
      <protection hidden="1"/>
    </xf>
    <xf numFmtId="0" fontId="13" fillId="0" borderId="22" xfId="0" applyFont="1" applyFill="1" applyBorder="1" applyAlignment="1" applyProtection="1">
      <alignment horizontal="center" vertical="center"/>
      <protection hidden="1"/>
    </xf>
    <xf numFmtId="0" fontId="13" fillId="0" borderId="23" xfId="0" applyFont="1" applyFill="1" applyBorder="1" applyAlignment="1" applyProtection="1">
      <alignment horizontal="center" vertical="center"/>
      <protection hidden="1"/>
    </xf>
    <xf numFmtId="0" fontId="13" fillId="0" borderId="21" xfId="0" applyFont="1" applyFill="1" applyBorder="1" applyAlignment="1" applyProtection="1">
      <alignment horizontal="center" vertical="center"/>
      <protection hidden="1"/>
    </xf>
    <xf numFmtId="0" fontId="13" fillId="0" borderId="156" xfId="0" applyFont="1" applyFill="1" applyBorder="1" applyAlignment="1" applyProtection="1">
      <alignment horizontal="center" vertical="center"/>
      <protection hidden="1"/>
    </xf>
    <xf numFmtId="3" fontId="63" fillId="23" borderId="81" xfId="0" applyNumberFormat="1" applyFont="1" applyFill="1" applyBorder="1" applyAlignment="1" applyProtection="1">
      <alignment horizontal="center" vertical="center"/>
      <protection locked="0"/>
    </xf>
    <xf numFmtId="3" fontId="63" fillId="23" borderId="12" xfId="0" applyNumberFormat="1" applyFont="1" applyFill="1" applyBorder="1" applyAlignment="1" applyProtection="1">
      <alignment horizontal="center" vertical="center"/>
      <protection locked="0"/>
    </xf>
    <xf numFmtId="3" fontId="63" fillId="23" borderId="17" xfId="0" applyNumberFormat="1" applyFont="1" applyFill="1" applyBorder="1" applyAlignment="1" applyProtection="1">
      <alignment horizontal="center" vertical="center"/>
      <protection locked="0"/>
    </xf>
    <xf numFmtId="0" fontId="13" fillId="23" borderId="176" xfId="0" applyFont="1" applyFill="1" applyBorder="1" applyAlignment="1" applyProtection="1">
      <alignment horizontal="center" vertical="center"/>
      <protection locked="0"/>
    </xf>
    <xf numFmtId="0" fontId="13" fillId="23" borderId="177" xfId="0" applyFont="1" applyFill="1" applyBorder="1" applyAlignment="1" applyProtection="1">
      <alignment horizontal="center" vertical="center"/>
      <protection locked="0"/>
    </xf>
    <xf numFmtId="165" fontId="63" fillId="0" borderId="169" xfId="0" applyNumberFormat="1" applyFont="1" applyBorder="1" applyAlignment="1" applyProtection="1">
      <alignment horizontal="center" vertical="center"/>
      <protection hidden="1"/>
    </xf>
    <xf numFmtId="165" fontId="63" fillId="0" borderId="119" xfId="0" applyNumberFormat="1" applyFont="1" applyBorder="1" applyAlignment="1" applyProtection="1">
      <alignment horizontal="center" vertical="center"/>
      <protection hidden="1"/>
    </xf>
    <xf numFmtId="165" fontId="63" fillId="0" borderId="56" xfId="0" applyNumberFormat="1" applyFont="1" applyBorder="1" applyAlignment="1" applyProtection="1">
      <alignment horizontal="center" vertical="center"/>
      <protection hidden="1"/>
    </xf>
    <xf numFmtId="0" fontId="63" fillId="0" borderId="100" xfId="0" applyFont="1" applyBorder="1" applyAlignment="1" applyProtection="1">
      <alignment horizontal="center" vertical="center"/>
      <protection hidden="1"/>
    </xf>
    <xf numFmtId="0" fontId="63" fillId="0" borderId="13" xfId="0" applyFont="1" applyBorder="1" applyAlignment="1" applyProtection="1">
      <alignment horizontal="center" vertical="center"/>
      <protection hidden="1"/>
    </xf>
    <xf numFmtId="0" fontId="63" fillId="0" borderId="101" xfId="0" applyFont="1" applyBorder="1" applyAlignment="1" applyProtection="1">
      <alignment horizontal="center" vertical="center"/>
      <protection hidden="1"/>
    </xf>
    <xf numFmtId="0" fontId="63" fillId="0" borderId="79" xfId="0" applyFont="1" applyBorder="1" applyAlignment="1" applyProtection="1">
      <alignment horizontal="center" vertical="center"/>
      <protection hidden="1"/>
    </xf>
    <xf numFmtId="0" fontId="63" fillId="0" borderId="8" xfId="0" applyFont="1" applyBorder="1" applyAlignment="1" applyProtection="1">
      <alignment horizontal="center" vertical="center"/>
      <protection hidden="1"/>
    </xf>
    <xf numFmtId="0" fontId="63" fillId="0" borderId="41" xfId="0" applyFont="1" applyBorder="1" applyAlignment="1" applyProtection="1">
      <alignment horizontal="center" vertical="center"/>
      <protection hidden="1"/>
    </xf>
    <xf numFmtId="165" fontId="63" fillId="0" borderId="78" xfId="0" applyNumberFormat="1" applyFont="1" applyBorder="1" applyAlignment="1" applyProtection="1">
      <alignment horizontal="center" vertical="center"/>
      <protection hidden="1"/>
    </xf>
    <xf numFmtId="0" fontId="35" fillId="27" borderId="124" xfId="0" applyFont="1" applyFill="1" applyBorder="1" applyAlignment="1" applyProtection="1">
      <alignment horizontal="center" vertical="top" wrapText="1"/>
      <protection hidden="1"/>
    </xf>
    <xf numFmtId="0" fontId="35" fillId="27" borderId="138" xfId="0" applyFont="1" applyFill="1" applyBorder="1" applyAlignment="1" applyProtection="1">
      <alignment horizontal="center" vertical="top" wrapText="1"/>
      <protection hidden="1"/>
    </xf>
    <xf numFmtId="0" fontId="29" fillId="0" borderId="281" xfId="0" applyFont="1" applyFill="1" applyBorder="1" applyAlignment="1" applyProtection="1">
      <alignment horizontal="center" vertical="center"/>
      <protection hidden="1"/>
    </xf>
    <xf numFmtId="0" fontId="79" fillId="0" borderId="19" xfId="0" applyFont="1" applyBorder="1" applyAlignment="1" applyProtection="1">
      <alignment horizontal="right" vertical="top"/>
      <protection hidden="1"/>
    </xf>
    <xf numFmtId="0" fontId="79" fillId="0" borderId="7" xfId="0" applyFont="1" applyBorder="1" applyAlignment="1" applyProtection="1">
      <alignment horizontal="right" vertical="top"/>
      <protection hidden="1"/>
    </xf>
    <xf numFmtId="0" fontId="79" fillId="0" borderId="51" xfId="0" applyFont="1" applyBorder="1" applyAlignment="1" applyProtection="1">
      <alignment horizontal="right" vertical="top"/>
      <protection hidden="1"/>
    </xf>
    <xf numFmtId="0" fontId="41" fillId="0" borderId="8" xfId="0" applyFont="1" applyBorder="1" applyAlignment="1" applyProtection="1">
      <alignment horizontal="center"/>
      <protection hidden="1"/>
    </xf>
    <xf numFmtId="2" fontId="63" fillId="0" borderId="278" xfId="0" applyNumberFormat="1" applyFont="1" applyBorder="1" applyAlignment="1" applyProtection="1">
      <alignment horizontal="center" vertical="center"/>
      <protection hidden="1"/>
    </xf>
    <xf numFmtId="2" fontId="63" fillId="0" borderId="279" xfId="0" applyNumberFormat="1" applyFont="1" applyBorder="1" applyAlignment="1" applyProtection="1">
      <alignment horizontal="center" vertical="center"/>
      <protection hidden="1"/>
    </xf>
    <xf numFmtId="2" fontId="63" fillId="0" borderId="280" xfId="0" applyNumberFormat="1" applyFont="1" applyBorder="1" applyAlignment="1" applyProtection="1">
      <alignment horizontal="center" vertical="center"/>
      <protection hidden="1"/>
    </xf>
    <xf numFmtId="0" fontId="10" fillId="0" borderId="60" xfId="0" applyFont="1" applyBorder="1" applyAlignment="1" applyProtection="1">
      <alignment horizontal="center" vertical="center" wrapText="1"/>
      <protection hidden="1"/>
    </xf>
    <xf numFmtId="0" fontId="10" fillId="0" borderId="59" xfId="0" applyFont="1" applyBorder="1" applyAlignment="1" applyProtection="1">
      <alignment horizontal="center" vertical="center" wrapText="1"/>
      <protection hidden="1"/>
    </xf>
    <xf numFmtId="0" fontId="35" fillId="14" borderId="105" xfId="0" applyFont="1" applyFill="1" applyBorder="1" applyAlignment="1" applyProtection="1">
      <alignment horizontal="center" vertical="center"/>
      <protection hidden="1"/>
    </xf>
    <xf numFmtId="0" fontId="35" fillId="14" borderId="151" xfId="0" applyFont="1" applyFill="1" applyBorder="1" applyAlignment="1" applyProtection="1">
      <alignment horizontal="center" vertical="center"/>
      <protection hidden="1"/>
    </xf>
    <xf numFmtId="0" fontId="35" fillId="14" borderId="130" xfId="0" applyFont="1" applyFill="1" applyBorder="1" applyAlignment="1" applyProtection="1">
      <alignment horizontal="center" vertical="center"/>
      <protection hidden="1"/>
    </xf>
    <xf numFmtId="0" fontId="41" fillId="22" borderId="54" xfId="0" applyFont="1" applyFill="1" applyBorder="1" applyAlignment="1" applyProtection="1">
      <alignment horizontal="center"/>
      <protection hidden="1"/>
    </xf>
    <xf numFmtId="0" fontId="41" fillId="22" borderId="1" xfId="0" applyFont="1" applyFill="1" applyBorder="1" applyAlignment="1" applyProtection="1">
      <alignment horizontal="center"/>
      <protection hidden="1"/>
    </xf>
    <xf numFmtId="0" fontId="41" fillId="22" borderId="113" xfId="0" applyFont="1" applyFill="1" applyBorder="1" applyAlignment="1" applyProtection="1">
      <alignment horizontal="center"/>
      <protection hidden="1"/>
    </xf>
    <xf numFmtId="0" fontId="63" fillId="23" borderId="113" xfId="0" applyFont="1" applyFill="1" applyBorder="1" applyAlignment="1" applyProtection="1">
      <alignment horizontal="center" vertical="center"/>
      <protection locked="0"/>
    </xf>
    <xf numFmtId="0" fontId="63" fillId="23" borderId="3" xfId="0" applyFont="1" applyFill="1" applyBorder="1" applyAlignment="1" applyProtection="1">
      <alignment horizontal="center" vertical="center"/>
      <protection locked="0"/>
    </xf>
    <xf numFmtId="0" fontId="63" fillId="23" borderId="91" xfId="0" applyFont="1" applyFill="1" applyBorder="1" applyAlignment="1" applyProtection="1">
      <alignment horizontal="center" vertical="center"/>
      <protection locked="0"/>
    </xf>
    <xf numFmtId="0" fontId="63" fillId="23" borderId="104" xfId="0" applyFont="1" applyFill="1" applyBorder="1" applyAlignment="1" applyProtection="1">
      <alignment horizontal="center" vertical="center"/>
      <protection locked="0"/>
    </xf>
    <xf numFmtId="0" fontId="13" fillId="23" borderId="137" xfId="0" applyFont="1" applyFill="1" applyBorder="1" applyAlignment="1" applyProtection="1">
      <alignment horizontal="center" vertical="center" wrapText="1"/>
      <protection locked="0"/>
    </xf>
    <xf numFmtId="0" fontId="13" fillId="23" borderId="7" xfId="0" applyFont="1" applyFill="1" applyBorder="1" applyAlignment="1" applyProtection="1">
      <alignment horizontal="center" vertical="center" wrapText="1"/>
      <protection locked="0"/>
    </xf>
    <xf numFmtId="0" fontId="13" fillId="23" borderId="51" xfId="0" applyFont="1" applyFill="1" applyBorder="1" applyAlignment="1" applyProtection="1">
      <alignment horizontal="center" vertical="center" wrapText="1"/>
      <protection locked="0"/>
    </xf>
    <xf numFmtId="0" fontId="36" fillId="14" borderId="103" xfId="0" applyFont="1" applyFill="1" applyBorder="1" applyAlignment="1" applyProtection="1">
      <alignment horizontal="center" vertical="center"/>
      <protection hidden="1"/>
    </xf>
    <xf numFmtId="0" fontId="36" fillId="14" borderId="140" xfId="0" applyFont="1" applyFill="1" applyBorder="1" applyAlignment="1" applyProtection="1">
      <alignment horizontal="center" vertical="center"/>
      <protection hidden="1"/>
    </xf>
    <xf numFmtId="0" fontId="13" fillId="22" borderId="1" xfId="0" applyFont="1" applyFill="1" applyBorder="1" applyAlignment="1" applyProtection="1">
      <alignment horizontal="right" vertical="center" wrapText="1"/>
      <protection hidden="1"/>
    </xf>
    <xf numFmtId="0" fontId="13" fillId="22" borderId="0" xfId="0" applyFont="1" applyFill="1" applyBorder="1" applyAlignment="1" applyProtection="1">
      <alignment horizontal="right" vertical="center" wrapText="1"/>
      <protection hidden="1"/>
    </xf>
    <xf numFmtId="0" fontId="13" fillId="22" borderId="63" xfId="0" applyFont="1" applyFill="1" applyBorder="1" applyAlignment="1" applyProtection="1">
      <alignment horizontal="right" vertical="center" wrapText="1"/>
      <protection hidden="1"/>
    </xf>
    <xf numFmtId="0" fontId="10" fillId="22" borderId="113" xfId="0" applyFont="1" applyFill="1" applyBorder="1" applyAlignment="1" applyProtection="1">
      <alignment horizontal="right" vertical="top" wrapText="1" indent="1" readingOrder="2"/>
      <protection hidden="1"/>
    </xf>
    <xf numFmtId="0" fontId="10" fillId="22" borderId="3" xfId="0" applyFont="1" applyFill="1" applyBorder="1" applyAlignment="1" applyProtection="1">
      <alignment horizontal="right" vertical="top" wrapText="1" indent="1" readingOrder="2"/>
      <protection hidden="1"/>
    </xf>
    <xf numFmtId="0" fontId="10" fillId="22" borderId="55" xfId="0" applyFont="1" applyFill="1" applyBorder="1" applyAlignment="1" applyProtection="1">
      <alignment horizontal="right" vertical="top" wrapText="1" indent="1" readingOrder="2"/>
      <protection hidden="1"/>
    </xf>
    <xf numFmtId="44" fontId="35" fillId="14" borderId="105" xfId="1" applyFont="1" applyFill="1" applyBorder="1" applyAlignment="1" applyProtection="1">
      <alignment horizontal="center" vertical="center"/>
      <protection hidden="1"/>
    </xf>
    <xf numFmtId="44" fontId="35" fillId="14" borderId="151" xfId="1" applyFont="1" applyFill="1" applyBorder="1" applyAlignment="1" applyProtection="1">
      <alignment horizontal="center" vertical="center"/>
      <protection hidden="1"/>
    </xf>
    <xf numFmtId="44" fontId="35" fillId="14" borderId="130" xfId="1" applyFont="1" applyFill="1" applyBorder="1" applyAlignment="1" applyProtection="1">
      <alignment horizontal="center" vertical="center"/>
      <protection hidden="1"/>
    </xf>
    <xf numFmtId="0" fontId="35" fillId="14" borderId="136" xfId="0" applyFont="1" applyFill="1" applyBorder="1" applyAlignment="1" applyProtection="1">
      <alignment horizontal="center" vertical="center"/>
      <protection hidden="1"/>
    </xf>
    <xf numFmtId="0" fontId="36" fillId="14" borderId="141" xfId="0" applyFont="1" applyFill="1" applyBorder="1" applyAlignment="1" applyProtection="1">
      <alignment horizontal="center" vertical="center"/>
      <protection hidden="1"/>
    </xf>
    <xf numFmtId="0" fontId="10" fillId="0" borderId="91" xfId="0" applyFont="1" applyBorder="1" applyAlignment="1" applyProtection="1">
      <alignment horizontal="center" vertical="center" wrapText="1"/>
      <protection hidden="1"/>
    </xf>
    <xf numFmtId="0" fontId="13" fillId="0" borderId="55" xfId="0" applyFont="1" applyBorder="1" applyAlignment="1" applyProtection="1">
      <alignment horizontal="center" vertical="center" wrapText="1"/>
      <protection hidden="1"/>
    </xf>
    <xf numFmtId="0" fontId="32" fillId="14" borderId="83" xfId="0" applyFont="1" applyFill="1" applyBorder="1" applyAlignment="1" applyProtection="1">
      <alignment horizontal="center" vertical="center" readingOrder="2"/>
      <protection hidden="1"/>
    </xf>
    <xf numFmtId="0" fontId="32" fillId="14" borderId="71" xfId="0" applyFont="1" applyFill="1" applyBorder="1" applyAlignment="1" applyProtection="1">
      <alignment horizontal="center" vertical="center" readingOrder="2"/>
      <protection hidden="1"/>
    </xf>
    <xf numFmtId="170" fontId="36" fillId="19" borderId="190" xfId="0" applyNumberFormat="1" applyFont="1" applyFill="1" applyBorder="1" applyAlignment="1" applyProtection="1">
      <alignment horizontal="center" vertical="center" wrapText="1"/>
      <protection hidden="1"/>
    </xf>
    <xf numFmtId="0" fontId="36" fillId="14" borderId="112" xfId="0" applyFont="1" applyFill="1" applyBorder="1" applyAlignment="1" applyProtection="1">
      <alignment horizontal="center" vertical="center" wrapText="1"/>
      <protection hidden="1"/>
    </xf>
    <xf numFmtId="0" fontId="36" fillId="14" borderId="123" xfId="0" applyFont="1" applyFill="1" applyBorder="1" applyAlignment="1" applyProtection="1">
      <alignment horizontal="center" vertical="center" wrapText="1"/>
      <protection hidden="1"/>
    </xf>
    <xf numFmtId="0" fontId="10" fillId="23" borderId="104" xfId="0" applyFont="1" applyFill="1" applyBorder="1" applyAlignment="1" applyProtection="1">
      <alignment horizontal="center" vertical="center" wrapText="1"/>
      <protection locked="0"/>
    </xf>
    <xf numFmtId="0" fontId="10" fillId="23" borderId="91" xfId="0" applyFont="1" applyFill="1" applyBorder="1" applyAlignment="1" applyProtection="1">
      <alignment horizontal="center" vertical="center" wrapText="1"/>
      <protection locked="0"/>
    </xf>
    <xf numFmtId="170" fontId="36" fillId="19" borderId="158" xfId="0" applyNumberFormat="1" applyFont="1" applyFill="1" applyBorder="1" applyAlignment="1" applyProtection="1">
      <alignment horizontal="center" vertical="center"/>
      <protection hidden="1"/>
    </xf>
    <xf numFmtId="0" fontId="63" fillId="0" borderId="21" xfId="0" applyFont="1" applyBorder="1" applyAlignment="1" applyProtection="1">
      <alignment horizontal="center" vertical="center"/>
      <protection hidden="1"/>
    </xf>
    <xf numFmtId="0" fontId="63" fillId="0" borderId="22" xfId="0" applyFont="1" applyBorder="1" applyAlignment="1" applyProtection="1">
      <alignment horizontal="center" vertical="center"/>
      <protection hidden="1"/>
    </xf>
    <xf numFmtId="0" fontId="63" fillId="0" borderId="23" xfId="0" applyFont="1" applyBorder="1" applyAlignment="1" applyProtection="1">
      <alignment horizontal="center" vertical="center"/>
      <protection hidden="1"/>
    </xf>
    <xf numFmtId="0" fontId="63" fillId="0" borderId="24" xfId="0" applyFont="1" applyBorder="1" applyAlignment="1" applyProtection="1">
      <alignment horizontal="center" vertical="center"/>
      <protection hidden="1"/>
    </xf>
    <xf numFmtId="0" fontId="63" fillId="0" borderId="0" xfId="0" applyFont="1" applyBorder="1" applyAlignment="1" applyProtection="1">
      <alignment horizontal="center" vertical="center"/>
      <protection hidden="1"/>
    </xf>
    <xf numFmtId="0" fontId="63" fillId="0" borderId="25" xfId="0" applyFont="1" applyBorder="1" applyAlignment="1" applyProtection="1">
      <alignment horizontal="center" vertical="center"/>
      <protection hidden="1"/>
    </xf>
    <xf numFmtId="0" fontId="63" fillId="0" borderId="16" xfId="0" applyFont="1" applyBorder="1" applyAlignment="1" applyProtection="1">
      <alignment horizontal="center" vertical="center"/>
      <protection hidden="1"/>
    </xf>
    <xf numFmtId="0" fontId="63" fillId="0" borderId="12" xfId="0" applyFont="1" applyBorder="1" applyAlignment="1" applyProtection="1">
      <alignment horizontal="center" vertical="center"/>
      <protection hidden="1"/>
    </xf>
    <xf numFmtId="0" fontId="63" fillId="0" borderId="17" xfId="0" applyFont="1" applyBorder="1" applyAlignment="1" applyProtection="1">
      <alignment horizontal="center" vertical="center"/>
      <protection hidden="1"/>
    </xf>
    <xf numFmtId="2" fontId="63" fillId="0" borderId="283" xfId="0" applyNumberFormat="1" applyFont="1" applyBorder="1" applyAlignment="1" applyProtection="1">
      <alignment horizontal="center" vertical="center"/>
      <protection hidden="1"/>
    </xf>
    <xf numFmtId="2" fontId="63" fillId="0" borderId="14" xfId="0" applyNumberFormat="1" applyFont="1" applyBorder="1" applyAlignment="1" applyProtection="1">
      <alignment horizontal="center" vertical="center"/>
      <protection hidden="1"/>
    </xf>
    <xf numFmtId="2" fontId="63" fillId="0" borderId="284" xfId="0" applyNumberFormat="1" applyFont="1" applyBorder="1" applyAlignment="1" applyProtection="1">
      <alignment horizontal="center" vertical="center"/>
      <protection hidden="1"/>
    </xf>
    <xf numFmtId="2" fontId="63" fillId="0" borderId="285" xfId="0" applyNumberFormat="1" applyFont="1" applyBorder="1" applyAlignment="1" applyProtection="1">
      <alignment horizontal="center" vertical="center"/>
      <protection hidden="1"/>
    </xf>
    <xf numFmtId="2" fontId="63" fillId="0" borderId="272" xfId="0" applyNumberFormat="1" applyFont="1" applyBorder="1" applyAlignment="1" applyProtection="1">
      <alignment horizontal="center" vertical="center"/>
      <protection hidden="1"/>
    </xf>
    <xf numFmtId="2" fontId="63" fillId="0" borderId="286" xfId="0" applyNumberFormat="1" applyFont="1" applyBorder="1" applyAlignment="1" applyProtection="1">
      <alignment horizontal="center" vertical="center"/>
      <protection hidden="1"/>
    </xf>
    <xf numFmtId="0" fontId="29" fillId="0" borderId="289" xfId="0" applyFont="1" applyFill="1" applyBorder="1" applyAlignment="1" applyProtection="1">
      <alignment horizontal="center" vertical="center"/>
      <protection hidden="1"/>
    </xf>
    <xf numFmtId="0" fontId="35" fillId="27" borderId="282" xfId="0" applyFont="1" applyFill="1" applyBorder="1" applyAlignment="1" applyProtection="1">
      <alignment horizontal="center" vertical="center" wrapText="1"/>
      <protection hidden="1"/>
    </xf>
    <xf numFmtId="0" fontId="35" fillId="27" borderId="110" xfId="0" applyFont="1" applyFill="1" applyBorder="1" applyAlignment="1" applyProtection="1">
      <alignment horizontal="center" vertical="center" wrapText="1"/>
      <protection hidden="1"/>
    </xf>
    <xf numFmtId="0" fontId="35" fillId="27" borderId="116" xfId="0" applyFont="1" applyFill="1" applyBorder="1" applyAlignment="1" applyProtection="1">
      <alignment horizontal="center" vertical="center" wrapText="1"/>
      <protection hidden="1"/>
    </xf>
    <xf numFmtId="0" fontId="35" fillId="27" borderId="114" xfId="0" applyFont="1" applyFill="1" applyBorder="1" applyAlignment="1" applyProtection="1">
      <alignment horizontal="center" vertical="center" wrapText="1"/>
      <protection hidden="1"/>
    </xf>
    <xf numFmtId="165" fontId="63" fillId="0" borderId="22" xfId="0" applyNumberFormat="1" applyFont="1" applyBorder="1" applyAlignment="1" applyProtection="1">
      <alignment horizontal="center" vertical="center"/>
      <protection hidden="1"/>
    </xf>
    <xf numFmtId="165" fontId="63" fillId="0" borderId="23" xfId="0" applyNumberFormat="1" applyFont="1" applyBorder="1" applyAlignment="1" applyProtection="1">
      <alignment horizontal="center" vertical="center"/>
      <protection hidden="1"/>
    </xf>
    <xf numFmtId="165" fontId="63" fillId="0" borderId="12" xfId="0" applyNumberFormat="1" applyFont="1" applyBorder="1" applyAlignment="1" applyProtection="1">
      <alignment horizontal="center" vertical="center"/>
      <protection hidden="1"/>
    </xf>
    <xf numFmtId="165" fontId="63" fillId="0" borderId="17" xfId="0" applyNumberFormat="1" applyFont="1" applyBorder="1" applyAlignment="1" applyProtection="1">
      <alignment horizontal="center" vertical="center"/>
      <protection hidden="1"/>
    </xf>
    <xf numFmtId="0" fontId="29" fillId="0" borderId="88" xfId="0" applyFont="1" applyFill="1" applyBorder="1" applyAlignment="1" applyProtection="1">
      <alignment horizontal="center" vertical="center"/>
      <protection hidden="1"/>
    </xf>
    <xf numFmtId="0" fontId="29" fillId="0" borderId="108" xfId="0" applyFont="1" applyFill="1" applyBorder="1" applyAlignment="1" applyProtection="1">
      <alignment horizontal="center" vertical="center"/>
      <protection hidden="1"/>
    </xf>
    <xf numFmtId="0" fontId="63" fillId="23" borderId="16" xfId="0" applyFont="1" applyFill="1" applyBorder="1" applyAlignment="1" applyProtection="1">
      <alignment horizontal="center" vertical="center"/>
      <protection locked="0"/>
    </xf>
    <xf numFmtId="0" fontId="63" fillId="23" borderId="17" xfId="0" applyFont="1" applyFill="1" applyBorder="1" applyAlignment="1" applyProtection="1">
      <alignment horizontal="center" vertical="center"/>
      <protection locked="0"/>
    </xf>
    <xf numFmtId="0" fontId="35" fillId="27" borderId="12" xfId="0" applyFont="1" applyFill="1" applyBorder="1" applyAlignment="1" applyProtection="1">
      <alignment horizontal="center" vertical="center" wrapText="1"/>
      <protection hidden="1"/>
    </xf>
    <xf numFmtId="0" fontId="63" fillId="23" borderId="13" xfId="0" applyFont="1" applyFill="1" applyBorder="1" applyAlignment="1" applyProtection="1">
      <alignment horizontal="center" vertical="center"/>
      <protection locked="0"/>
    </xf>
    <xf numFmtId="0" fontId="63" fillId="23" borderId="15" xfId="0" applyFont="1" applyFill="1" applyBorder="1" applyAlignment="1" applyProtection="1">
      <alignment horizontal="center" vertical="center"/>
      <protection locked="0"/>
    </xf>
    <xf numFmtId="3" fontId="64" fillId="23" borderId="22" xfId="0" applyNumberFormat="1" applyFont="1" applyFill="1" applyBorder="1" applyAlignment="1" applyProtection="1">
      <alignment horizontal="center" vertical="center"/>
      <protection locked="0"/>
    </xf>
    <xf numFmtId="3" fontId="64" fillId="23" borderId="21" xfId="0" applyNumberFormat="1" applyFont="1" applyFill="1" applyBorder="1" applyAlignment="1" applyProtection="1">
      <alignment horizontal="center" vertical="center"/>
      <protection locked="0"/>
    </xf>
    <xf numFmtId="0" fontId="10" fillId="23" borderId="113" xfId="0" applyFont="1" applyFill="1" applyBorder="1" applyAlignment="1" applyProtection="1">
      <alignment horizontal="right" vertical="top" wrapText="1" readingOrder="2"/>
      <protection locked="0"/>
    </xf>
    <xf numFmtId="0" fontId="10" fillId="23" borderId="3" xfId="0" applyFont="1" applyFill="1" applyBorder="1" applyAlignment="1" applyProtection="1">
      <alignment horizontal="right" vertical="top" wrapText="1" readingOrder="2"/>
      <protection locked="0"/>
    </xf>
    <xf numFmtId="0" fontId="10" fillId="23" borderId="55" xfId="0" applyFont="1" applyFill="1" applyBorder="1" applyAlignment="1" applyProtection="1">
      <alignment horizontal="right" vertical="top" wrapText="1" readingOrder="2"/>
      <protection locked="0"/>
    </xf>
    <xf numFmtId="0" fontId="41" fillId="9" borderId="19" xfId="0" applyFont="1" applyFill="1" applyBorder="1" applyAlignment="1" applyProtection="1">
      <alignment horizontal="center"/>
      <protection hidden="1"/>
    </xf>
    <xf numFmtId="0" fontId="41" fillId="9" borderId="7" xfId="0" applyFont="1" applyFill="1" applyBorder="1" applyAlignment="1" applyProtection="1">
      <alignment horizontal="center"/>
      <protection hidden="1"/>
    </xf>
    <xf numFmtId="0" fontId="41" fillId="9" borderId="51" xfId="0" applyFont="1" applyFill="1" applyBorder="1" applyAlignment="1" applyProtection="1">
      <alignment horizontal="center"/>
      <protection hidden="1"/>
    </xf>
    <xf numFmtId="0" fontId="66" fillId="22" borderId="61" xfId="0" applyFont="1" applyFill="1" applyBorder="1" applyAlignment="1" applyProtection="1">
      <alignment horizontal="right" vertical="center" wrapText="1"/>
      <protection hidden="1"/>
    </xf>
    <xf numFmtId="0" fontId="66" fillId="22" borderId="62" xfId="0" applyFont="1" applyFill="1" applyBorder="1" applyAlignment="1" applyProtection="1">
      <alignment horizontal="right" vertical="center" wrapText="1"/>
      <protection hidden="1"/>
    </xf>
    <xf numFmtId="0" fontId="35" fillId="19" borderId="115" xfId="0" applyFont="1" applyFill="1" applyBorder="1" applyAlignment="1" applyProtection="1">
      <alignment horizontal="center" vertical="center" wrapText="1" readingOrder="2"/>
      <protection hidden="1"/>
    </xf>
    <xf numFmtId="0" fontId="35" fillId="19" borderId="106" xfId="0" applyFont="1" applyFill="1" applyBorder="1" applyAlignment="1" applyProtection="1">
      <alignment horizontal="center" vertical="center" wrapText="1" readingOrder="2"/>
      <protection hidden="1"/>
    </xf>
    <xf numFmtId="0" fontId="35" fillId="19" borderId="118" xfId="0" applyFont="1" applyFill="1" applyBorder="1" applyAlignment="1" applyProtection="1">
      <alignment horizontal="center" vertical="center" wrapText="1" readingOrder="2"/>
      <protection hidden="1"/>
    </xf>
    <xf numFmtId="0" fontId="35" fillId="19" borderId="73" xfId="0" applyFont="1" applyFill="1" applyBorder="1" applyAlignment="1" applyProtection="1">
      <alignment horizontal="center" vertical="center" wrapText="1" readingOrder="2"/>
      <protection hidden="1"/>
    </xf>
    <xf numFmtId="0" fontId="35" fillId="19" borderId="103" xfId="0" applyFont="1" applyFill="1" applyBorder="1" applyAlignment="1" applyProtection="1">
      <alignment horizontal="center" vertical="center" wrapText="1" readingOrder="2"/>
      <protection hidden="1"/>
    </xf>
    <xf numFmtId="0" fontId="65" fillId="23" borderId="54" xfId="0" applyFont="1" applyFill="1" applyBorder="1" applyAlignment="1" applyProtection="1">
      <alignment horizontal="right" vertical="center" wrapText="1" readingOrder="2"/>
      <protection hidden="1"/>
    </xf>
    <xf numFmtId="0" fontId="65" fillId="23" borderId="61" xfId="0" applyFont="1" applyFill="1" applyBorder="1" applyAlignment="1" applyProtection="1">
      <alignment horizontal="right" vertical="center" wrapText="1" readingOrder="2"/>
      <protection hidden="1"/>
    </xf>
    <xf numFmtId="0" fontId="65" fillId="23" borderId="62" xfId="0" applyFont="1" applyFill="1" applyBorder="1" applyAlignment="1" applyProtection="1">
      <alignment horizontal="right" vertical="center" wrapText="1" readingOrder="2"/>
      <protection hidden="1"/>
    </xf>
    <xf numFmtId="0" fontId="35" fillId="19" borderId="182" xfId="0" applyFont="1" applyFill="1" applyBorder="1" applyAlignment="1" applyProtection="1">
      <alignment horizontal="center" vertical="center" textRotation="90" wrapText="1" readingOrder="2"/>
      <protection hidden="1"/>
    </xf>
    <xf numFmtId="0" fontId="35" fillId="19" borderId="94" xfId="0" applyFont="1" applyFill="1" applyBorder="1" applyAlignment="1" applyProtection="1">
      <alignment horizontal="center" vertical="center" wrapText="1" readingOrder="2"/>
      <protection hidden="1"/>
    </xf>
    <xf numFmtId="0" fontId="35" fillId="19" borderId="96" xfId="0" applyFont="1" applyFill="1" applyBorder="1" applyAlignment="1" applyProtection="1">
      <alignment horizontal="center" vertical="center" wrapText="1" readingOrder="2"/>
      <protection hidden="1"/>
    </xf>
    <xf numFmtId="0" fontId="35" fillId="19" borderId="83" xfId="0" applyFont="1" applyFill="1" applyBorder="1" applyAlignment="1" applyProtection="1">
      <alignment horizontal="center" vertical="center" textRotation="90" wrapText="1" readingOrder="2"/>
      <protection hidden="1"/>
    </xf>
    <xf numFmtId="0" fontId="32" fillId="19" borderId="130" xfId="0" applyFont="1" applyFill="1" applyBorder="1" applyAlignment="1" applyProtection="1">
      <alignment horizontal="center" vertical="center" wrapText="1" readingOrder="2"/>
      <protection hidden="1"/>
    </xf>
    <xf numFmtId="0" fontId="32" fillId="19" borderId="105" xfId="0" applyFont="1" applyFill="1" applyBorder="1" applyAlignment="1" applyProtection="1">
      <alignment horizontal="center" vertical="center" wrapText="1" readingOrder="2"/>
      <protection hidden="1"/>
    </xf>
    <xf numFmtId="0" fontId="32" fillId="19" borderId="83" xfId="0" applyFont="1" applyFill="1" applyBorder="1" applyAlignment="1" applyProtection="1">
      <alignment horizontal="center" vertical="center" wrapText="1" readingOrder="2"/>
      <protection hidden="1"/>
    </xf>
    <xf numFmtId="0" fontId="32" fillId="19" borderId="85" xfId="0" applyFont="1" applyFill="1" applyBorder="1" applyAlignment="1" applyProtection="1">
      <alignment horizontal="center" vertical="center" wrapText="1" readingOrder="2"/>
      <protection hidden="1"/>
    </xf>
    <xf numFmtId="0" fontId="35" fillId="19" borderId="182" xfId="0" applyFont="1" applyFill="1" applyBorder="1" applyAlignment="1" applyProtection="1">
      <alignment horizontal="center" vertical="center" wrapText="1" readingOrder="2"/>
      <protection hidden="1"/>
    </xf>
    <xf numFmtId="0" fontId="35" fillId="19" borderId="71" xfId="0" applyFont="1" applyFill="1" applyBorder="1" applyAlignment="1" applyProtection="1">
      <alignment horizontal="center" vertical="center" wrapText="1" readingOrder="2"/>
      <protection hidden="1"/>
    </xf>
    <xf numFmtId="0" fontId="35" fillId="19" borderId="83" xfId="0" applyFont="1" applyFill="1" applyBorder="1" applyAlignment="1" applyProtection="1">
      <alignment horizontal="center" vertical="center" wrapText="1" readingOrder="2"/>
      <protection hidden="1"/>
    </xf>
    <xf numFmtId="0" fontId="35" fillId="19" borderId="85" xfId="0" applyFont="1" applyFill="1" applyBorder="1" applyAlignment="1" applyProtection="1">
      <alignment horizontal="center" vertical="center" wrapText="1" readingOrder="2"/>
      <protection hidden="1"/>
    </xf>
    <xf numFmtId="0" fontId="35" fillId="19" borderId="183" xfId="0" applyFont="1" applyFill="1" applyBorder="1" applyAlignment="1" applyProtection="1">
      <alignment horizontal="center" vertical="center" wrapText="1" readingOrder="2"/>
      <protection hidden="1"/>
    </xf>
    <xf numFmtId="0" fontId="35" fillId="19" borderId="184" xfId="0" applyFont="1" applyFill="1" applyBorder="1" applyAlignment="1" applyProtection="1">
      <alignment horizontal="center" vertical="center" wrapText="1" readingOrder="2"/>
      <protection hidden="1"/>
    </xf>
    <xf numFmtId="0" fontId="35" fillId="19" borderId="185" xfId="0" applyFont="1" applyFill="1" applyBorder="1" applyAlignment="1" applyProtection="1">
      <alignment horizontal="center" vertical="center" wrapText="1" readingOrder="2"/>
      <protection hidden="1"/>
    </xf>
    <xf numFmtId="0" fontId="35" fillId="19" borderId="116" xfId="0" applyFont="1" applyFill="1" applyBorder="1" applyAlignment="1" applyProtection="1">
      <alignment horizontal="center" vertical="center" wrapText="1" readingOrder="2"/>
      <protection hidden="1"/>
    </xf>
    <xf numFmtId="0" fontId="35" fillId="19" borderId="186" xfId="0" applyFont="1" applyFill="1" applyBorder="1" applyAlignment="1" applyProtection="1">
      <alignment horizontal="center" vertical="center" wrapText="1" readingOrder="2"/>
      <protection hidden="1"/>
    </xf>
    <xf numFmtId="0" fontId="35" fillId="19" borderId="129" xfId="0" applyFont="1" applyFill="1" applyBorder="1" applyAlignment="1" applyProtection="1">
      <alignment horizontal="center" vertical="center" wrapText="1" readingOrder="2"/>
      <protection hidden="1"/>
    </xf>
    <xf numFmtId="0" fontId="13" fillId="14" borderId="99" xfId="0" applyFont="1" applyFill="1" applyBorder="1" applyAlignment="1" applyProtection="1">
      <alignment horizontal="right" vertical="center" wrapText="1" indent="1" readingOrder="2"/>
      <protection hidden="1"/>
    </xf>
    <xf numFmtId="0" fontId="13" fillId="14" borderId="68" xfId="0" applyFont="1" applyFill="1" applyBorder="1" applyAlignment="1" applyProtection="1">
      <alignment horizontal="right" vertical="center" wrapText="1" indent="1" readingOrder="2"/>
      <protection hidden="1"/>
    </xf>
    <xf numFmtId="0" fontId="13" fillId="23" borderId="68" xfId="0" applyFont="1" applyFill="1" applyBorder="1" applyAlignment="1" applyProtection="1">
      <alignment horizontal="right" vertical="center" wrapText="1" readingOrder="2"/>
      <protection locked="0"/>
    </xf>
    <xf numFmtId="0" fontId="13" fillId="23" borderId="69" xfId="0" applyFont="1" applyFill="1" applyBorder="1" applyAlignment="1" applyProtection="1">
      <alignment horizontal="right" vertical="center" wrapText="1" readingOrder="2"/>
      <protection locked="0"/>
    </xf>
    <xf numFmtId="0" fontId="13" fillId="14" borderId="75" xfId="0" applyFont="1" applyFill="1" applyBorder="1" applyAlignment="1" applyProtection="1">
      <alignment horizontal="right" vertical="center" wrapText="1" indent="1" readingOrder="2"/>
      <protection hidden="1"/>
    </xf>
    <xf numFmtId="0" fontId="13" fillId="14" borderId="76" xfId="0" applyFont="1" applyFill="1" applyBorder="1" applyAlignment="1" applyProtection="1">
      <alignment horizontal="right" vertical="center" wrapText="1" indent="1" readingOrder="2"/>
      <protection hidden="1"/>
    </xf>
    <xf numFmtId="0" fontId="13" fillId="23" borderId="76" xfId="0" applyFont="1" applyFill="1" applyBorder="1" applyAlignment="1" applyProtection="1">
      <alignment horizontal="center" vertical="center" wrapText="1" readingOrder="2"/>
      <protection locked="0"/>
    </xf>
    <xf numFmtId="0" fontId="13" fillId="23" borderId="90" xfId="0" applyFont="1" applyFill="1" applyBorder="1" applyAlignment="1" applyProtection="1">
      <alignment horizontal="center" vertical="center" wrapText="1" readingOrder="2"/>
      <protection locked="0"/>
    </xf>
    <xf numFmtId="0" fontId="13" fillId="14" borderId="100" xfId="0" applyFont="1" applyFill="1" applyBorder="1" applyAlignment="1" applyProtection="1">
      <alignment horizontal="center" vertical="center" wrapText="1" readingOrder="2"/>
      <protection hidden="1"/>
    </xf>
    <xf numFmtId="0" fontId="13" fillId="14" borderId="76" xfId="0" applyFont="1" applyFill="1" applyBorder="1" applyAlignment="1" applyProtection="1">
      <alignment horizontal="center" vertical="center" wrapText="1" readingOrder="2"/>
      <protection hidden="1"/>
    </xf>
    <xf numFmtId="0" fontId="13" fillId="23" borderId="77" xfId="0" applyFont="1" applyFill="1" applyBorder="1" applyAlignment="1" applyProtection="1">
      <alignment horizontal="center" vertical="center" wrapText="1" readingOrder="2"/>
      <protection locked="0"/>
    </xf>
    <xf numFmtId="0" fontId="13" fillId="14" borderId="98" xfId="0" applyFont="1" applyFill="1" applyBorder="1" applyAlignment="1" applyProtection="1">
      <alignment horizontal="right" vertical="center" wrapText="1" indent="1" readingOrder="2"/>
      <protection hidden="1"/>
    </xf>
    <xf numFmtId="0" fontId="13" fillId="14" borderId="14" xfId="0" applyFont="1" applyFill="1" applyBorder="1" applyAlignment="1" applyProtection="1">
      <alignment horizontal="right" vertical="center" wrapText="1" indent="1" readingOrder="2"/>
      <protection hidden="1"/>
    </xf>
    <xf numFmtId="0" fontId="13" fillId="23" borderId="14" xfId="0" applyFont="1" applyFill="1" applyBorder="1" applyAlignment="1" applyProtection="1">
      <alignment horizontal="center" vertical="center" wrapText="1" readingOrder="2"/>
      <protection locked="0"/>
    </xf>
    <xf numFmtId="0" fontId="13" fillId="23" borderId="53" xfId="0" applyFont="1" applyFill="1" applyBorder="1" applyAlignment="1" applyProtection="1">
      <alignment horizontal="center" vertical="center" wrapText="1" readingOrder="2"/>
      <protection locked="0"/>
    </xf>
    <xf numFmtId="0" fontId="41" fillId="9" borderId="142" xfId="0" applyFont="1" applyFill="1" applyBorder="1" applyAlignment="1" applyProtection="1">
      <alignment horizontal="center" vertical="center" wrapText="1"/>
      <protection hidden="1"/>
    </xf>
    <xf numFmtId="0" fontId="41" fillId="9" borderId="170" xfId="0" applyFont="1" applyFill="1" applyBorder="1" applyAlignment="1" applyProtection="1">
      <alignment horizontal="center" vertical="center" wrapText="1"/>
      <protection hidden="1"/>
    </xf>
    <xf numFmtId="0" fontId="41" fillId="9" borderId="100" xfId="0" applyFont="1" applyFill="1" applyBorder="1" applyAlignment="1" applyProtection="1">
      <alignment horizontal="center" vertical="center" wrapText="1"/>
      <protection hidden="1"/>
    </xf>
    <xf numFmtId="0" fontId="41" fillId="9" borderId="21" xfId="0" applyFont="1" applyFill="1" applyBorder="1" applyAlignment="1" applyProtection="1">
      <alignment horizontal="center" vertical="center" wrapText="1"/>
      <protection hidden="1"/>
    </xf>
    <xf numFmtId="0" fontId="41" fillId="9" borderId="79" xfId="0" applyFont="1" applyFill="1" applyBorder="1" applyAlignment="1" applyProtection="1">
      <alignment horizontal="center" vertical="center"/>
      <protection hidden="1"/>
    </xf>
    <xf numFmtId="0" fontId="41" fillId="9" borderId="9" xfId="0" applyFont="1" applyFill="1" applyBorder="1" applyAlignment="1" applyProtection="1">
      <alignment horizontal="center" vertical="center"/>
      <protection hidden="1"/>
    </xf>
    <xf numFmtId="0" fontId="41" fillId="9" borderId="79" xfId="0" applyFont="1" applyFill="1" applyBorder="1" applyAlignment="1" applyProtection="1">
      <alignment horizontal="center" vertical="center" wrapText="1"/>
      <protection hidden="1"/>
    </xf>
    <xf numFmtId="0" fontId="41" fillId="9" borderId="9" xfId="0" applyFont="1" applyFill="1" applyBorder="1" applyAlignment="1" applyProtection="1">
      <alignment horizontal="center" vertical="center" wrapText="1"/>
      <protection hidden="1"/>
    </xf>
    <xf numFmtId="0" fontId="41" fillId="9" borderId="169" xfId="0" applyFont="1" applyFill="1" applyBorder="1" applyAlignment="1" applyProtection="1">
      <alignment horizontal="center" vertical="center" wrapText="1"/>
      <protection hidden="1"/>
    </xf>
    <xf numFmtId="0" fontId="41" fillId="9" borderId="119" xfId="0" applyFont="1" applyFill="1" applyBorder="1" applyAlignment="1" applyProtection="1">
      <alignment horizontal="center" vertical="center" wrapText="1"/>
      <protection hidden="1"/>
    </xf>
    <xf numFmtId="0" fontId="41" fillId="9" borderId="54" xfId="0" applyFont="1" applyFill="1" applyBorder="1" applyAlignment="1" applyProtection="1">
      <alignment horizontal="center" vertical="center"/>
      <protection hidden="1"/>
    </xf>
    <xf numFmtId="0" fontId="41" fillId="9" borderId="1" xfId="0" applyFont="1" applyFill="1" applyBorder="1" applyAlignment="1" applyProtection="1">
      <alignment horizontal="center" vertical="center"/>
      <protection hidden="1"/>
    </xf>
    <xf numFmtId="0" fontId="41" fillId="9" borderId="80" xfId="0" applyFont="1" applyFill="1" applyBorder="1" applyAlignment="1" applyProtection="1">
      <alignment horizontal="center" vertical="center" wrapText="1"/>
      <protection hidden="1"/>
    </xf>
    <xf numFmtId="0" fontId="41" fillId="9" borderId="45" xfId="0" applyFont="1" applyFill="1" applyBorder="1" applyAlignment="1" applyProtection="1">
      <alignment horizontal="center" vertical="center" wrapText="1"/>
      <protection hidden="1"/>
    </xf>
    <xf numFmtId="0" fontId="41" fillId="9" borderId="19" xfId="0" applyFont="1" applyFill="1" applyBorder="1" applyAlignment="1" applyProtection="1">
      <alignment horizontal="center" vertical="center"/>
      <protection hidden="1"/>
    </xf>
    <xf numFmtId="0" fontId="41" fillId="9" borderId="7" xfId="0" applyFont="1" applyFill="1" applyBorder="1" applyAlignment="1" applyProtection="1">
      <alignment horizontal="center" vertical="center"/>
      <protection hidden="1"/>
    </xf>
    <xf numFmtId="0" fontId="41" fillId="9" borderId="51" xfId="0" applyFont="1" applyFill="1" applyBorder="1" applyAlignment="1" applyProtection="1">
      <alignment horizontal="center" vertical="center"/>
      <protection hidden="1"/>
    </xf>
    <xf numFmtId="0" fontId="41" fillId="9" borderId="78" xfId="0" applyFont="1" applyFill="1" applyBorder="1" applyAlignment="1" applyProtection="1">
      <alignment horizontal="center" vertical="center" wrapText="1"/>
      <protection hidden="1"/>
    </xf>
    <xf numFmtId="0" fontId="41" fillId="9" borderId="43" xfId="0" applyFont="1" applyFill="1" applyBorder="1" applyAlignment="1" applyProtection="1">
      <alignment horizontal="center" vertical="center" wrapText="1"/>
      <protection hidden="1"/>
    </xf>
    <xf numFmtId="0" fontId="41" fillId="9" borderId="47" xfId="0" applyFont="1" applyFill="1" applyBorder="1" applyAlignment="1" applyProtection="1">
      <alignment horizontal="center" vertical="center" wrapText="1"/>
      <protection hidden="1"/>
    </xf>
    <xf numFmtId="0" fontId="82" fillId="9" borderId="21" xfId="0" applyFont="1" applyFill="1" applyBorder="1" applyAlignment="1" applyProtection="1">
      <alignment horizontal="center" vertical="center"/>
      <protection hidden="1"/>
    </xf>
    <xf numFmtId="0" fontId="82" fillId="9" borderId="16" xfId="0" applyFont="1" applyFill="1" applyBorder="1" applyAlignment="1" applyProtection="1">
      <alignment horizontal="center" vertical="center"/>
      <protection hidden="1"/>
    </xf>
    <xf numFmtId="0" fontId="108" fillId="9" borderId="9" xfId="0" applyFont="1" applyFill="1" applyBorder="1" applyAlignment="1" applyProtection="1">
      <alignment horizontal="center" vertical="center" wrapText="1"/>
      <protection hidden="1"/>
    </xf>
    <xf numFmtId="0" fontId="109" fillId="9" borderId="11" xfId="0" applyFont="1" applyFill="1" applyBorder="1" applyAlignment="1" applyProtection="1">
      <alignment horizontal="center" vertical="center" wrapText="1"/>
      <protection hidden="1"/>
    </xf>
    <xf numFmtId="0" fontId="82" fillId="9" borderId="9" xfId="0" applyFont="1" applyFill="1" applyBorder="1" applyAlignment="1" applyProtection="1">
      <alignment horizontal="center" vertical="center" wrapText="1"/>
      <protection hidden="1"/>
    </xf>
    <xf numFmtId="0" fontId="82" fillId="9" borderId="11" xfId="0" applyFont="1" applyFill="1" applyBorder="1" applyAlignment="1" applyProtection="1">
      <alignment horizontal="center" vertical="center" wrapText="1"/>
      <protection hidden="1"/>
    </xf>
    <xf numFmtId="0" fontId="41" fillId="9" borderId="42" xfId="0" applyFont="1" applyFill="1" applyBorder="1" applyAlignment="1" applyProtection="1">
      <alignment horizontal="center" vertical="center" wrapText="1"/>
      <protection hidden="1"/>
    </xf>
    <xf numFmtId="0" fontId="13" fillId="9" borderId="8" xfId="0" applyFont="1" applyFill="1" applyBorder="1" applyAlignment="1" applyProtection="1">
      <alignment horizontal="center" vertical="center"/>
      <protection hidden="1"/>
    </xf>
    <xf numFmtId="0" fontId="13" fillId="9" borderId="13" xfId="0" applyFont="1" applyFill="1" applyBorder="1" applyAlignment="1" applyProtection="1">
      <alignment horizontal="center" vertical="center"/>
      <protection hidden="1"/>
    </xf>
    <xf numFmtId="0" fontId="13" fillId="9" borderId="42" xfId="0" applyFont="1" applyFill="1" applyBorder="1" applyAlignment="1" applyProtection="1">
      <alignment horizontal="center" vertical="center"/>
      <protection hidden="1"/>
    </xf>
    <xf numFmtId="0" fontId="13" fillId="9" borderId="44" xfId="0" applyFont="1" applyFill="1" applyBorder="1" applyAlignment="1" applyProtection="1">
      <alignment horizontal="center" vertical="center"/>
      <protection hidden="1"/>
    </xf>
    <xf numFmtId="0" fontId="41" fillId="9" borderId="41" xfId="0" applyFont="1" applyFill="1" applyBorder="1" applyAlignment="1" applyProtection="1">
      <alignment horizontal="center" vertical="center" wrapText="1"/>
      <protection hidden="1"/>
    </xf>
    <xf numFmtId="0" fontId="13" fillId="9" borderId="8" xfId="0" applyFont="1" applyFill="1" applyBorder="1" applyAlignment="1" applyProtection="1">
      <alignment horizontal="center" vertical="center" textRotation="90"/>
      <protection hidden="1"/>
    </xf>
    <xf numFmtId="0" fontId="13" fillId="9" borderId="41" xfId="0" applyFont="1" applyFill="1" applyBorder="1" applyAlignment="1" applyProtection="1">
      <alignment horizontal="center" vertical="center" textRotation="90"/>
      <protection hidden="1"/>
    </xf>
    <xf numFmtId="0" fontId="13" fillId="9" borderId="49" xfId="0" applyFont="1" applyFill="1" applyBorder="1" applyAlignment="1" applyProtection="1">
      <alignment horizontal="center" vertical="center"/>
      <protection hidden="1"/>
    </xf>
    <xf numFmtId="0" fontId="13" fillId="9" borderId="139" xfId="0" applyFont="1" applyFill="1" applyBorder="1" applyAlignment="1" applyProtection="1">
      <alignment horizontal="center" vertical="center"/>
      <protection hidden="1"/>
    </xf>
    <xf numFmtId="0" fontId="13" fillId="9" borderId="60" xfId="0" applyFont="1" applyFill="1" applyBorder="1" applyAlignment="1" applyProtection="1">
      <alignment horizontal="center" vertical="center"/>
      <protection hidden="1"/>
    </xf>
    <xf numFmtId="0" fontId="41" fillId="9" borderId="8" xfId="0" applyFont="1" applyFill="1" applyBorder="1" applyAlignment="1" applyProtection="1">
      <alignment horizontal="center" vertical="center" wrapText="1"/>
      <protection hidden="1"/>
    </xf>
    <xf numFmtId="0" fontId="104" fillId="23" borderId="8" xfId="0" applyFont="1" applyFill="1" applyBorder="1" applyAlignment="1" applyProtection="1">
      <alignment horizontal="center" vertical="center"/>
      <protection locked="0"/>
    </xf>
    <xf numFmtId="0" fontId="88" fillId="9" borderId="8" xfId="0" applyFont="1" applyFill="1" applyBorder="1" applyAlignment="1" applyProtection="1">
      <alignment horizontal="center" vertical="center" wrapText="1"/>
      <protection hidden="1"/>
    </xf>
    <xf numFmtId="0" fontId="88" fillId="9" borderId="21" xfId="0" applyFont="1" applyFill="1" applyBorder="1" applyAlignment="1" applyProtection="1">
      <alignment horizontal="center" vertical="center" wrapText="1" readingOrder="2"/>
      <protection hidden="1"/>
    </xf>
    <xf numFmtId="0" fontId="88" fillId="9" borderId="156" xfId="0" applyFont="1" applyFill="1" applyBorder="1" applyAlignment="1" applyProtection="1">
      <alignment horizontal="center" vertical="center" wrapText="1" readingOrder="2"/>
      <protection hidden="1"/>
    </xf>
    <xf numFmtId="0" fontId="88" fillId="9" borderId="16" xfId="0" applyFont="1" applyFill="1" applyBorder="1" applyAlignment="1" applyProtection="1">
      <alignment horizontal="center" vertical="center" wrapText="1" readingOrder="2"/>
      <protection hidden="1"/>
    </xf>
    <xf numFmtId="0" fontId="88" fillId="9" borderId="52" xfId="0" applyFont="1" applyFill="1" applyBorder="1" applyAlignment="1" applyProtection="1">
      <alignment horizontal="center" vertical="center" wrapText="1" readingOrder="2"/>
      <protection hidden="1"/>
    </xf>
    <xf numFmtId="0" fontId="104" fillId="9" borderId="14" xfId="0" applyFont="1" applyFill="1" applyBorder="1" applyAlignment="1" applyProtection="1">
      <alignment horizontal="center" vertical="center"/>
      <protection hidden="1"/>
    </xf>
    <xf numFmtId="0" fontId="104" fillId="9" borderId="53" xfId="0" applyFont="1" applyFill="1" applyBorder="1" applyAlignment="1" applyProtection="1">
      <alignment horizontal="center" vertical="center"/>
      <protection hidden="1"/>
    </xf>
    <xf numFmtId="0" fontId="13" fillId="9" borderId="43" xfId="0" applyFont="1" applyFill="1" applyBorder="1" applyAlignment="1" applyProtection="1">
      <alignment horizontal="center" vertical="center"/>
      <protection hidden="1"/>
    </xf>
    <xf numFmtId="0" fontId="13" fillId="9" borderId="15" xfId="0" applyFont="1" applyFill="1" applyBorder="1" applyAlignment="1" applyProtection="1">
      <alignment horizontal="center" vertical="center"/>
      <protection hidden="1"/>
    </xf>
    <xf numFmtId="0" fontId="41" fillId="9" borderId="113" xfId="0" applyFont="1" applyFill="1" applyBorder="1" applyAlignment="1" applyProtection="1">
      <alignment horizontal="center" vertical="center"/>
      <protection hidden="1"/>
    </xf>
    <xf numFmtId="0" fontId="41" fillId="9" borderId="101" xfId="0" applyFont="1" applyFill="1" applyBorder="1" applyAlignment="1" applyProtection="1">
      <alignment horizontal="center" vertical="center" wrapText="1"/>
      <protection hidden="1"/>
    </xf>
    <xf numFmtId="0" fontId="41" fillId="9" borderId="41" xfId="0" applyFont="1" applyFill="1" applyBorder="1" applyAlignment="1" applyProtection="1">
      <alignment horizontal="center" vertical="center"/>
      <protection hidden="1"/>
    </xf>
    <xf numFmtId="0" fontId="41" fillId="9" borderId="56" xfId="0" applyFont="1" applyFill="1" applyBorder="1" applyAlignment="1" applyProtection="1">
      <alignment horizontal="center" vertical="center" wrapText="1"/>
      <protection hidden="1"/>
    </xf>
    <xf numFmtId="0" fontId="41" fillId="9" borderId="54" xfId="0" applyFont="1" applyFill="1" applyBorder="1" applyAlignment="1" applyProtection="1">
      <alignment horizontal="center" vertical="center" readingOrder="2"/>
      <protection hidden="1"/>
    </xf>
    <xf numFmtId="0" fontId="41" fillId="9" borderId="61" xfId="0" applyFont="1" applyFill="1" applyBorder="1" applyAlignment="1" applyProtection="1">
      <alignment horizontal="center" vertical="center" readingOrder="2"/>
      <protection hidden="1"/>
    </xf>
    <xf numFmtId="0" fontId="41" fillId="9" borderId="62" xfId="0" applyFont="1" applyFill="1" applyBorder="1" applyAlignment="1" applyProtection="1">
      <alignment horizontal="center" vertical="center" readingOrder="2"/>
      <protection hidden="1"/>
    </xf>
    <xf numFmtId="0" fontId="41" fillId="9" borderId="113" xfId="0" applyFont="1" applyFill="1" applyBorder="1" applyAlignment="1" applyProtection="1">
      <alignment horizontal="center" vertical="center" readingOrder="2"/>
      <protection hidden="1"/>
    </xf>
    <xf numFmtId="0" fontId="41" fillId="9" borderId="3" xfId="0" applyFont="1" applyFill="1" applyBorder="1" applyAlignment="1" applyProtection="1">
      <alignment horizontal="center" vertical="center" readingOrder="2"/>
      <protection hidden="1"/>
    </xf>
    <xf numFmtId="0" fontId="41" fillId="9" borderId="55" xfId="0" applyFont="1" applyFill="1" applyBorder="1" applyAlignment="1" applyProtection="1">
      <alignment horizontal="center" vertical="center" readingOrder="2"/>
      <protection hidden="1"/>
    </xf>
    <xf numFmtId="0" fontId="13" fillId="9" borderId="9" xfId="0" applyFont="1" applyFill="1" applyBorder="1" applyAlignment="1" applyProtection="1">
      <alignment horizontal="center" vertical="center" textRotation="90"/>
      <protection hidden="1"/>
    </xf>
    <xf numFmtId="0" fontId="13" fillId="9" borderId="10" xfId="0" applyFont="1" applyFill="1" applyBorder="1" applyAlignment="1" applyProtection="1">
      <alignment horizontal="center" vertical="center" textRotation="90"/>
      <protection hidden="1"/>
    </xf>
    <xf numFmtId="0" fontId="13" fillId="9" borderId="59" xfId="0" applyFont="1" applyFill="1" applyBorder="1" applyAlignment="1" applyProtection="1">
      <alignment horizontal="center" vertical="center" textRotation="90"/>
      <protection hidden="1"/>
    </xf>
    <xf numFmtId="0" fontId="41" fillId="9" borderId="135" xfId="0" applyFont="1" applyFill="1" applyBorder="1" applyAlignment="1" applyProtection="1">
      <alignment horizontal="center" vertical="center" wrapText="1"/>
      <protection hidden="1"/>
    </xf>
    <xf numFmtId="166" fontId="63" fillId="9" borderId="8" xfId="0" applyNumberFormat="1" applyFont="1" applyFill="1" applyBorder="1" applyAlignment="1" applyProtection="1">
      <alignment horizontal="center" vertical="center"/>
      <protection hidden="1"/>
    </xf>
    <xf numFmtId="166" fontId="63" fillId="9" borderId="44" xfId="0" applyNumberFormat="1" applyFont="1" applyFill="1" applyBorder="1" applyAlignment="1" applyProtection="1">
      <alignment horizontal="center" vertical="center"/>
      <protection hidden="1"/>
    </xf>
    <xf numFmtId="166" fontId="63" fillId="9" borderId="13" xfId="0" applyNumberFormat="1" applyFont="1" applyFill="1" applyBorder="1" applyAlignment="1" applyProtection="1">
      <alignment horizontal="center" vertical="center"/>
      <protection hidden="1"/>
    </xf>
    <xf numFmtId="166" fontId="63" fillId="9" borderId="14" xfId="0" applyNumberFormat="1" applyFont="1" applyFill="1" applyBorder="1" applyAlignment="1" applyProtection="1">
      <alignment horizontal="center" vertical="center"/>
      <protection hidden="1"/>
    </xf>
    <xf numFmtId="166" fontId="63" fillId="9" borderId="53" xfId="0" applyNumberFormat="1" applyFont="1" applyFill="1" applyBorder="1" applyAlignment="1" applyProtection="1">
      <alignment horizontal="center" vertical="center"/>
      <protection hidden="1"/>
    </xf>
    <xf numFmtId="0" fontId="13" fillId="9" borderId="75" xfId="0" applyFont="1" applyFill="1" applyBorder="1" applyAlignment="1" applyProtection="1">
      <alignment horizontal="center" vertical="center"/>
      <protection hidden="1"/>
    </xf>
    <xf numFmtId="0" fontId="13" fillId="9" borderId="76" xfId="0" applyFont="1" applyFill="1" applyBorder="1" applyAlignment="1" applyProtection="1">
      <alignment horizontal="center" vertical="center"/>
      <protection hidden="1"/>
    </xf>
    <xf numFmtId="0" fontId="13" fillId="9" borderId="77" xfId="0" applyFont="1" applyFill="1" applyBorder="1" applyAlignment="1" applyProtection="1">
      <alignment horizontal="center" vertical="center"/>
      <protection hidden="1"/>
    </xf>
    <xf numFmtId="0" fontId="82" fillId="9" borderId="100" xfId="0" applyFont="1" applyFill="1" applyBorder="1" applyAlignment="1" applyProtection="1">
      <alignment horizontal="center" vertical="center"/>
      <protection hidden="1"/>
    </xf>
    <xf numFmtId="0" fontId="82" fillId="9" borderId="76" xfId="0" applyFont="1" applyFill="1" applyBorder="1" applyAlignment="1" applyProtection="1">
      <alignment horizontal="center" vertical="center"/>
      <protection hidden="1"/>
    </xf>
    <xf numFmtId="0" fontId="82" fillId="9" borderId="77" xfId="0" applyFont="1" applyFill="1" applyBorder="1" applyAlignment="1" applyProtection="1">
      <alignment horizontal="center" vertical="center"/>
      <protection hidden="1"/>
    </xf>
    <xf numFmtId="0" fontId="82" fillId="9" borderId="79" xfId="0" applyFont="1" applyFill="1" applyBorder="1" applyAlignment="1" applyProtection="1">
      <alignment horizontal="center" vertical="center"/>
      <protection hidden="1"/>
    </xf>
    <xf numFmtId="0" fontId="82" fillId="9" borderId="80" xfId="0" applyFont="1" applyFill="1" applyBorder="1" applyAlignment="1" applyProtection="1">
      <alignment horizontal="center" vertical="center"/>
      <protection hidden="1"/>
    </xf>
    <xf numFmtId="0" fontId="13" fillId="26" borderId="8" xfId="0" applyFont="1" applyFill="1" applyBorder="1" applyAlignment="1" applyProtection="1">
      <alignment horizontal="center" vertical="center"/>
      <protection hidden="1"/>
    </xf>
    <xf numFmtId="0" fontId="41" fillId="0" borderId="8" xfId="0" applyFont="1" applyFill="1" applyBorder="1" applyAlignment="1" applyProtection="1">
      <alignment horizontal="center" vertical="center"/>
      <protection hidden="1"/>
    </xf>
    <xf numFmtId="0" fontId="35" fillId="25" borderId="8" xfId="0" applyFont="1" applyFill="1" applyBorder="1" applyAlignment="1" applyProtection="1">
      <alignment horizontal="center" vertical="center"/>
      <protection hidden="1"/>
    </xf>
    <xf numFmtId="0" fontId="36" fillId="25" borderId="8" xfId="0" applyFont="1" applyFill="1" applyBorder="1" applyAlignment="1" applyProtection="1">
      <alignment horizontal="center" vertical="center"/>
      <protection hidden="1"/>
    </xf>
    <xf numFmtId="0" fontId="36" fillId="25" borderId="11" xfId="0" applyFont="1" applyFill="1" applyBorder="1" applyAlignment="1" applyProtection="1">
      <alignment horizontal="center" vertical="center"/>
      <protection hidden="1"/>
    </xf>
    <xf numFmtId="0" fontId="10" fillId="0" borderId="14" xfId="0" applyFont="1" applyFill="1" applyBorder="1" applyAlignment="1" applyProtection="1">
      <alignment horizontal="center" vertical="center"/>
      <protection hidden="1"/>
    </xf>
    <xf numFmtId="0" fontId="41" fillId="0" borderId="13" xfId="0" applyFont="1" applyFill="1" applyBorder="1" applyAlignment="1" applyProtection="1">
      <alignment horizontal="center" vertical="center"/>
      <protection hidden="1"/>
    </xf>
    <xf numFmtId="0" fontId="41" fillId="0" borderId="15" xfId="0" applyFont="1" applyFill="1" applyBorder="1" applyAlignment="1" applyProtection="1">
      <alignment horizontal="center" vertical="center"/>
      <protection hidden="1"/>
    </xf>
    <xf numFmtId="0" fontId="35" fillId="11" borderId="75" xfId="0" applyFont="1" applyFill="1" applyBorder="1" applyAlignment="1" applyProtection="1">
      <alignment horizontal="center" vertical="center"/>
      <protection hidden="1"/>
    </xf>
    <xf numFmtId="0" fontId="35" fillId="11" borderId="76" xfId="0" applyFont="1" applyFill="1" applyBorder="1" applyAlignment="1" applyProtection="1">
      <alignment horizontal="center" vertical="center"/>
      <protection hidden="1"/>
    </xf>
    <xf numFmtId="0" fontId="35" fillId="11" borderId="77" xfId="0" applyFont="1" applyFill="1" applyBorder="1" applyAlignment="1" applyProtection="1">
      <alignment horizontal="center" vertical="center"/>
      <protection hidden="1"/>
    </xf>
    <xf numFmtId="166" fontId="63" fillId="0" borderId="8" xfId="0" applyNumberFormat="1" applyFont="1" applyFill="1" applyBorder="1" applyAlignment="1" applyProtection="1">
      <alignment horizontal="center" vertical="center"/>
      <protection hidden="1"/>
    </xf>
    <xf numFmtId="166" fontId="63" fillId="0" borderId="44" xfId="0" applyNumberFormat="1" applyFont="1" applyFill="1" applyBorder="1" applyAlignment="1" applyProtection="1">
      <alignment horizontal="center" vertical="center"/>
      <protection hidden="1"/>
    </xf>
    <xf numFmtId="0" fontId="13" fillId="9" borderId="13" xfId="0" applyFont="1" applyFill="1" applyBorder="1" applyAlignment="1" applyProtection="1">
      <alignment horizontal="center" vertical="center" textRotation="90"/>
      <protection hidden="1"/>
    </xf>
    <xf numFmtId="0" fontId="94" fillId="26" borderId="8" xfId="0" applyFont="1" applyFill="1" applyBorder="1" applyAlignment="1" applyProtection="1">
      <alignment horizontal="center" vertical="center"/>
      <protection hidden="1"/>
    </xf>
    <xf numFmtId="0" fontId="13" fillId="26" borderId="13" xfId="0" applyFont="1" applyFill="1" applyBorder="1" applyAlignment="1" applyProtection="1">
      <alignment horizontal="center" vertical="center"/>
      <protection hidden="1"/>
    </xf>
    <xf numFmtId="0" fontId="13" fillId="26" borderId="14" xfId="0" applyFont="1" applyFill="1" applyBorder="1" applyAlignment="1" applyProtection="1">
      <alignment horizontal="center" vertical="center"/>
      <protection hidden="1"/>
    </xf>
    <xf numFmtId="0" fontId="13" fillId="26" borderId="15" xfId="0" applyFont="1" applyFill="1" applyBorder="1" applyAlignment="1" applyProtection="1">
      <alignment horizontal="center" vertical="center"/>
      <protection hidden="1"/>
    </xf>
    <xf numFmtId="0" fontId="13" fillId="4" borderId="8" xfId="0" applyFont="1" applyFill="1" applyBorder="1" applyAlignment="1" applyProtection="1">
      <alignment horizontal="center" vertical="center" textRotation="90"/>
      <protection hidden="1"/>
    </xf>
    <xf numFmtId="0" fontId="13" fillId="4" borderId="41" xfId="0" applyFont="1" applyFill="1" applyBorder="1" applyAlignment="1" applyProtection="1">
      <alignment horizontal="center" vertical="center" textRotation="90"/>
      <protection hidden="1"/>
    </xf>
    <xf numFmtId="0" fontId="13" fillId="4" borderId="42" xfId="0" applyFont="1" applyFill="1" applyBorder="1" applyAlignment="1" applyProtection="1">
      <alignment horizontal="center" vertical="center"/>
      <protection hidden="1"/>
    </xf>
    <xf numFmtId="0" fontId="13" fillId="4" borderId="43" xfId="0" applyFont="1" applyFill="1" applyBorder="1" applyAlignment="1" applyProtection="1">
      <alignment horizontal="center" vertical="center"/>
      <protection hidden="1"/>
    </xf>
    <xf numFmtId="0" fontId="36" fillId="11" borderId="8" xfId="0" applyFont="1" applyFill="1" applyBorder="1" applyAlignment="1" applyProtection="1">
      <alignment horizontal="center" vertical="center"/>
      <protection hidden="1"/>
    </xf>
    <xf numFmtId="0" fontId="36" fillId="11" borderId="44" xfId="0" applyFont="1" applyFill="1" applyBorder="1" applyAlignment="1" applyProtection="1">
      <alignment horizontal="center" vertical="center"/>
      <protection hidden="1"/>
    </xf>
    <xf numFmtId="0" fontId="35" fillId="11" borderId="42" xfId="0" applyFont="1" applyFill="1" applyBorder="1" applyAlignment="1" applyProtection="1">
      <alignment horizontal="center" vertical="center"/>
      <protection hidden="1"/>
    </xf>
    <xf numFmtId="0" fontId="35" fillId="11" borderId="8" xfId="0" applyFont="1" applyFill="1" applyBorder="1" applyAlignment="1" applyProtection="1">
      <alignment horizontal="center" vertical="center"/>
      <protection hidden="1"/>
    </xf>
    <xf numFmtId="0" fontId="35" fillId="11" borderId="44" xfId="0" applyFont="1" applyFill="1" applyBorder="1" applyAlignment="1" applyProtection="1">
      <alignment horizontal="center" vertical="center"/>
      <protection hidden="1"/>
    </xf>
    <xf numFmtId="0" fontId="36" fillId="11" borderId="9" xfId="0" applyFont="1" applyFill="1" applyBorder="1" applyAlignment="1" applyProtection="1">
      <alignment horizontal="center" vertical="center"/>
      <protection hidden="1"/>
    </xf>
    <xf numFmtId="0" fontId="36" fillId="11" borderId="11" xfId="0" applyFont="1" applyFill="1" applyBorder="1" applyAlignment="1" applyProtection="1">
      <alignment horizontal="center" vertical="center"/>
      <protection hidden="1"/>
    </xf>
    <xf numFmtId="0" fontId="36" fillId="11" borderId="45" xfId="0" applyFont="1" applyFill="1" applyBorder="1" applyAlignment="1" applyProtection="1">
      <alignment horizontal="center" vertical="center"/>
      <protection hidden="1"/>
    </xf>
    <xf numFmtId="0" fontId="36" fillId="11" borderId="46" xfId="0" applyFont="1" applyFill="1" applyBorder="1" applyAlignment="1" applyProtection="1">
      <alignment horizontal="center" vertical="center"/>
      <protection hidden="1"/>
    </xf>
    <xf numFmtId="0" fontId="35" fillId="11" borderId="54" xfId="0" applyFont="1" applyFill="1" applyBorder="1" applyAlignment="1" applyProtection="1">
      <alignment horizontal="right" vertical="center" wrapText="1"/>
      <protection hidden="1"/>
    </xf>
    <xf numFmtId="0" fontId="35" fillId="11" borderId="61" xfId="0" applyFont="1" applyFill="1" applyBorder="1" applyAlignment="1" applyProtection="1">
      <alignment horizontal="right" vertical="center"/>
      <protection hidden="1"/>
    </xf>
    <xf numFmtId="0" fontId="35" fillId="11" borderId="62" xfId="0" applyFont="1" applyFill="1" applyBorder="1" applyAlignment="1" applyProtection="1">
      <alignment horizontal="right" vertical="center"/>
      <protection hidden="1"/>
    </xf>
    <xf numFmtId="0" fontId="35" fillId="11" borderId="1" xfId="0" applyFont="1" applyFill="1" applyBorder="1" applyAlignment="1" applyProtection="1">
      <alignment horizontal="right" vertical="center"/>
      <protection hidden="1"/>
    </xf>
    <xf numFmtId="0" fontId="35" fillId="11" borderId="0" xfId="0" applyFont="1" applyFill="1" applyBorder="1" applyAlignment="1" applyProtection="1">
      <alignment horizontal="right" vertical="center"/>
      <protection hidden="1"/>
    </xf>
    <xf numFmtId="0" fontId="35" fillId="11" borderId="63" xfId="0" applyFont="1" applyFill="1" applyBorder="1" applyAlignment="1" applyProtection="1">
      <alignment horizontal="right" vertical="center"/>
      <protection hidden="1"/>
    </xf>
    <xf numFmtId="0" fontId="35" fillId="11" borderId="81" xfId="0" applyFont="1" applyFill="1" applyBorder="1" applyAlignment="1" applyProtection="1">
      <alignment horizontal="right" vertical="center"/>
      <protection hidden="1"/>
    </xf>
    <xf numFmtId="0" fontId="35" fillId="11" borderId="12" xfId="0" applyFont="1" applyFill="1" applyBorder="1" applyAlignment="1" applyProtection="1">
      <alignment horizontal="right" vertical="center"/>
      <protection hidden="1"/>
    </xf>
    <xf numFmtId="0" fontId="35" fillId="11" borderId="52" xfId="0" applyFont="1" applyFill="1" applyBorder="1" applyAlignment="1" applyProtection="1">
      <alignment horizontal="right" vertical="center"/>
      <protection hidden="1"/>
    </xf>
    <xf numFmtId="0" fontId="35" fillId="11" borderId="8" xfId="0" applyFont="1" applyFill="1" applyBorder="1" applyAlignment="1" applyProtection="1">
      <alignment horizontal="center" vertical="center" wrapText="1"/>
      <protection hidden="1"/>
    </xf>
    <xf numFmtId="0" fontId="35" fillId="11" borderId="44" xfId="0" applyFont="1" applyFill="1" applyBorder="1" applyAlignment="1" applyProtection="1">
      <alignment horizontal="center" vertical="center" wrapText="1"/>
      <protection hidden="1"/>
    </xf>
    <xf numFmtId="0" fontId="36" fillId="11" borderId="79" xfId="0" applyFont="1" applyFill="1" applyBorder="1" applyAlignment="1" applyProtection="1">
      <alignment horizontal="center" vertical="center"/>
      <protection hidden="1"/>
    </xf>
    <xf numFmtId="0" fontId="36" fillId="11" borderId="80" xfId="0" applyFont="1" applyFill="1" applyBorder="1" applyAlignment="1" applyProtection="1">
      <alignment horizontal="center" vertical="center"/>
      <protection hidden="1"/>
    </xf>
    <xf numFmtId="0" fontId="54" fillId="19" borderId="0" xfId="0" applyFont="1" applyFill="1" applyBorder="1" applyAlignment="1" applyProtection="1">
      <alignment horizontal="right" vertical="top"/>
      <protection hidden="1"/>
    </xf>
    <xf numFmtId="0" fontId="35" fillId="11" borderId="1" xfId="0" applyFont="1" applyFill="1" applyBorder="1" applyAlignment="1" applyProtection="1">
      <alignment horizontal="right" vertical="center" wrapText="1"/>
      <protection hidden="1"/>
    </xf>
    <xf numFmtId="0" fontId="35" fillId="11" borderId="0" xfId="0" applyFont="1" applyFill="1" applyBorder="1" applyAlignment="1" applyProtection="1">
      <alignment horizontal="right" vertical="center" wrapText="1"/>
      <protection hidden="1"/>
    </xf>
    <xf numFmtId="0" fontId="35" fillId="11" borderId="61" xfId="0" applyFont="1" applyFill="1" applyBorder="1" applyAlignment="1" applyProtection="1">
      <alignment horizontal="right" vertical="center" wrapText="1"/>
      <protection hidden="1"/>
    </xf>
    <xf numFmtId="0" fontId="35" fillId="11" borderId="62" xfId="0" applyFont="1" applyFill="1" applyBorder="1" applyAlignment="1" applyProtection="1">
      <alignment horizontal="right" vertical="center" wrapText="1"/>
      <protection hidden="1"/>
    </xf>
    <xf numFmtId="0" fontId="35" fillId="11" borderId="63" xfId="0" applyFont="1" applyFill="1" applyBorder="1" applyAlignment="1" applyProtection="1">
      <alignment horizontal="right" vertical="center" wrapText="1"/>
      <protection hidden="1"/>
    </xf>
    <xf numFmtId="0" fontId="41" fillId="9" borderId="44" xfId="0" applyFont="1" applyFill="1" applyBorder="1" applyAlignment="1" applyProtection="1">
      <alignment horizontal="center" vertical="center" wrapText="1"/>
      <protection hidden="1"/>
    </xf>
    <xf numFmtId="0" fontId="35" fillId="25" borderId="13" xfId="0" applyFont="1" applyFill="1" applyBorder="1" applyAlignment="1" applyProtection="1">
      <alignment horizontal="center" vertical="center"/>
      <protection hidden="1"/>
    </xf>
    <xf numFmtId="0" fontId="35" fillId="25" borderId="14" xfId="0" applyFont="1" applyFill="1" applyBorder="1" applyAlignment="1" applyProtection="1">
      <alignment horizontal="center" vertical="center"/>
      <protection hidden="1"/>
    </xf>
    <xf numFmtId="0" fontId="35" fillId="25" borderId="15" xfId="0" applyFont="1" applyFill="1" applyBorder="1" applyAlignment="1" applyProtection="1">
      <alignment horizontal="center" vertical="center"/>
      <protection hidden="1"/>
    </xf>
    <xf numFmtId="0" fontId="35" fillId="25" borderId="11" xfId="0" applyFont="1" applyFill="1" applyBorder="1" applyAlignment="1" applyProtection="1">
      <alignment horizontal="center" vertical="center"/>
      <protection hidden="1"/>
    </xf>
    <xf numFmtId="0" fontId="35" fillId="25" borderId="16" xfId="0" applyFont="1" applyFill="1" applyBorder="1" applyAlignment="1" applyProtection="1">
      <alignment horizontal="center" vertical="center"/>
      <protection hidden="1"/>
    </xf>
    <xf numFmtId="0" fontId="35" fillId="25" borderId="12" xfId="0" applyFont="1" applyFill="1" applyBorder="1" applyAlignment="1" applyProtection="1">
      <alignment horizontal="center" vertical="center"/>
      <protection hidden="1"/>
    </xf>
    <xf numFmtId="0" fontId="35" fillId="25" borderId="17" xfId="0" applyFont="1" applyFill="1" applyBorder="1" applyAlignment="1" applyProtection="1">
      <alignment horizontal="center" vertical="center"/>
      <protection hidden="1"/>
    </xf>
    <xf numFmtId="0" fontId="104" fillId="23" borderId="13" xfId="0" applyFont="1" applyFill="1" applyBorder="1" applyAlignment="1" applyProtection="1">
      <alignment horizontal="center" vertical="center"/>
      <protection locked="0"/>
    </xf>
    <xf numFmtId="0" fontId="104" fillId="23" borderId="15" xfId="0" applyFont="1" applyFill="1" applyBorder="1" applyAlignment="1" applyProtection="1">
      <alignment horizontal="center" vertical="center"/>
      <protection locked="0"/>
    </xf>
    <xf numFmtId="0" fontId="41" fillId="25" borderId="54" xfId="0" applyFont="1" applyFill="1" applyBorder="1" applyAlignment="1" applyProtection="1">
      <alignment horizontal="center" vertical="center"/>
      <protection hidden="1"/>
    </xf>
    <xf numFmtId="0" fontId="41" fillId="25" borderId="61" xfId="0" applyFont="1" applyFill="1" applyBorder="1" applyAlignment="1" applyProtection="1">
      <alignment horizontal="center" vertical="center"/>
      <protection hidden="1"/>
    </xf>
    <xf numFmtId="0" fontId="41" fillId="25" borderId="62" xfId="0" applyFont="1" applyFill="1" applyBorder="1" applyAlignment="1" applyProtection="1">
      <alignment horizontal="center" vertical="center"/>
      <protection hidden="1"/>
    </xf>
    <xf numFmtId="0" fontId="41" fillId="25" borderId="1" xfId="0" applyFont="1" applyFill="1" applyBorder="1" applyAlignment="1" applyProtection="1">
      <alignment horizontal="center" vertical="center"/>
      <protection hidden="1"/>
    </xf>
    <xf numFmtId="0" fontId="41" fillId="25" borderId="0" xfId="0" applyFont="1" applyFill="1" applyBorder="1" applyAlignment="1" applyProtection="1">
      <alignment horizontal="center" vertical="center"/>
      <protection hidden="1"/>
    </xf>
    <xf numFmtId="0" fontId="41" fillId="25" borderId="63" xfId="0" applyFont="1" applyFill="1" applyBorder="1" applyAlignment="1" applyProtection="1">
      <alignment horizontal="center" vertical="center"/>
      <protection hidden="1"/>
    </xf>
    <xf numFmtId="0" fontId="41" fillId="25" borderId="113" xfId="0" applyFont="1" applyFill="1" applyBorder="1" applyAlignment="1" applyProtection="1">
      <alignment horizontal="center" vertical="center"/>
      <protection hidden="1"/>
    </xf>
    <xf numFmtId="0" fontId="41" fillId="25" borderId="3" xfId="0" applyFont="1" applyFill="1" applyBorder="1" applyAlignment="1" applyProtection="1">
      <alignment horizontal="center" vertical="center"/>
      <protection hidden="1"/>
    </xf>
    <xf numFmtId="0" fontId="41" fillId="25" borderId="55" xfId="0" applyFont="1" applyFill="1" applyBorder="1" applyAlignment="1" applyProtection="1">
      <alignment horizontal="center" vertical="center"/>
      <protection hidden="1"/>
    </xf>
    <xf numFmtId="164" fontId="64" fillId="23" borderId="50" xfId="0" applyNumberFormat="1" applyFont="1" applyFill="1" applyBorder="1" applyAlignment="1" applyProtection="1">
      <alignment horizontal="center" vertical="center"/>
      <protection locked="0"/>
    </xf>
    <xf numFmtId="164" fontId="64" fillId="23" borderId="11" xfId="0" applyNumberFormat="1" applyFont="1" applyFill="1" applyBorder="1" applyAlignment="1" applyProtection="1">
      <alignment horizontal="center" vertical="center"/>
      <protection locked="0"/>
    </xf>
    <xf numFmtId="164" fontId="64" fillId="23" borderId="46" xfId="0" applyNumberFormat="1" applyFont="1" applyFill="1" applyBorder="1" applyAlignment="1" applyProtection="1">
      <alignment horizontal="center" vertical="center"/>
      <protection locked="0"/>
    </xf>
    <xf numFmtId="164" fontId="64" fillId="23" borderId="42" xfId="0" applyNumberFormat="1" applyFont="1" applyFill="1" applyBorder="1" applyAlignment="1" applyProtection="1">
      <alignment horizontal="center" vertical="center"/>
      <protection locked="0"/>
    </xf>
    <xf numFmtId="164" fontId="64" fillId="23" borderId="8" xfId="0" applyNumberFormat="1" applyFont="1" applyFill="1" applyBorder="1" applyAlignment="1" applyProtection="1">
      <alignment horizontal="center" vertical="center"/>
      <protection locked="0"/>
    </xf>
    <xf numFmtId="164" fontId="64" fillId="23" borderId="44" xfId="0" applyNumberFormat="1" applyFont="1" applyFill="1" applyBorder="1" applyAlignment="1" applyProtection="1">
      <alignment horizontal="center" vertical="center"/>
      <protection locked="0"/>
    </xf>
    <xf numFmtId="164" fontId="64" fillId="23" borderId="43" xfId="0" applyNumberFormat="1" applyFont="1" applyFill="1" applyBorder="1" applyAlignment="1" applyProtection="1">
      <alignment horizontal="center" vertical="center"/>
      <protection locked="0"/>
    </xf>
    <xf numFmtId="164" fontId="64" fillId="23" borderId="41" xfId="0" applyNumberFormat="1" applyFont="1" applyFill="1" applyBorder="1" applyAlignment="1" applyProtection="1">
      <alignment horizontal="center" vertical="center"/>
      <protection locked="0"/>
    </xf>
    <xf numFmtId="164" fontId="64" fillId="23" borderId="47" xfId="0" applyNumberFormat="1" applyFont="1" applyFill="1" applyBorder="1" applyAlignment="1" applyProtection="1">
      <alignment horizontal="center" vertical="center"/>
      <protection locked="0"/>
    </xf>
    <xf numFmtId="0" fontId="35" fillId="25" borderId="113" xfId="0" applyFont="1" applyFill="1" applyBorder="1" applyAlignment="1" applyProtection="1">
      <alignment horizontal="center" vertical="center"/>
      <protection hidden="1"/>
    </xf>
    <xf numFmtId="0" fontId="35" fillId="25" borderId="3" xfId="0" applyFont="1" applyFill="1" applyBorder="1" applyAlignment="1" applyProtection="1">
      <alignment horizontal="center" vertical="center"/>
      <protection hidden="1"/>
    </xf>
    <xf numFmtId="0" fontId="35" fillId="25" borderId="55" xfId="0" applyFont="1" applyFill="1" applyBorder="1" applyAlignment="1" applyProtection="1">
      <alignment horizontal="center" vertical="center"/>
      <protection hidden="1"/>
    </xf>
    <xf numFmtId="0" fontId="41" fillId="25" borderId="19" xfId="0" applyFont="1" applyFill="1" applyBorder="1" applyAlignment="1" applyProtection="1">
      <alignment horizontal="center" vertical="center"/>
      <protection hidden="1"/>
    </xf>
    <xf numFmtId="0" fontId="41" fillId="25" borderId="7" xfId="0" applyFont="1" applyFill="1" applyBorder="1" applyAlignment="1" applyProtection="1">
      <alignment horizontal="center" vertical="center"/>
      <protection hidden="1"/>
    </xf>
    <xf numFmtId="0" fontId="41" fillId="25" borderId="51" xfId="0" applyFont="1" applyFill="1" applyBorder="1" applyAlignment="1" applyProtection="1">
      <alignment horizontal="center" vertical="center"/>
      <protection hidden="1"/>
    </xf>
    <xf numFmtId="0" fontId="54" fillId="25" borderId="0" xfId="0" applyFont="1" applyFill="1" applyBorder="1" applyAlignment="1" applyProtection="1">
      <alignment horizontal="right" vertical="top"/>
      <protection hidden="1"/>
    </xf>
    <xf numFmtId="0" fontId="3" fillId="2" borderId="24" xfId="0" applyFont="1" applyFill="1" applyBorder="1" applyAlignment="1" applyProtection="1">
      <alignment horizontal="center" vertical="center" wrapText="1" readingOrder="2"/>
      <protection hidden="1"/>
    </xf>
    <xf numFmtId="0" fontId="0" fillId="0" borderId="8" xfId="0" applyBorder="1" applyAlignment="1" applyProtection="1">
      <alignment horizontal="center" vertical="center"/>
      <protection hidden="1"/>
    </xf>
    <xf numFmtId="166" fontId="0" fillId="0" borderId="8" xfId="0" applyNumberFormat="1" applyBorder="1" applyAlignment="1" applyProtection="1">
      <alignment horizontal="center" vertical="center"/>
      <protection hidden="1"/>
    </xf>
    <xf numFmtId="0" fontId="0" fillId="4" borderId="170" xfId="0" applyFill="1" applyBorder="1" applyAlignment="1" applyProtection="1">
      <alignment horizontal="center" vertical="center"/>
      <protection hidden="1"/>
    </xf>
    <xf numFmtId="0" fontId="0" fillId="4" borderId="20" xfId="0" applyFill="1" applyBorder="1" applyAlignment="1" applyProtection="1">
      <alignment horizontal="center" vertical="center"/>
      <protection hidden="1"/>
    </xf>
    <xf numFmtId="0" fontId="0" fillId="0" borderId="170" xfId="0" applyFill="1" applyBorder="1" applyAlignment="1" applyProtection="1">
      <alignment horizontal="center" vertical="center"/>
      <protection hidden="1"/>
    </xf>
    <xf numFmtId="0" fontId="0" fillId="0" borderId="20" xfId="0" applyFill="1" applyBorder="1" applyAlignment="1" applyProtection="1">
      <alignment horizontal="center" vertical="center"/>
      <protection hidden="1"/>
    </xf>
    <xf numFmtId="0" fontId="31" fillId="0" borderId="8" xfId="0" applyFont="1"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31" fillId="4" borderId="8" xfId="0" applyFont="1" applyFill="1" applyBorder="1" applyAlignment="1" applyProtection="1">
      <alignment horizontal="center" vertical="center"/>
      <protection hidden="1"/>
    </xf>
    <xf numFmtId="0" fontId="0" fillId="0" borderId="82" xfId="0" applyFill="1" applyBorder="1" applyAlignment="1" applyProtection="1">
      <alignment horizontal="center" vertical="center"/>
      <protection hidden="1"/>
    </xf>
    <xf numFmtId="0" fontId="0" fillId="4" borderId="82" xfId="0" applyFill="1" applyBorder="1" applyAlignment="1" applyProtection="1">
      <alignment horizontal="center" vertical="center"/>
      <protection hidden="1"/>
    </xf>
    <xf numFmtId="0" fontId="0" fillId="4" borderId="62" xfId="0" applyFill="1" applyBorder="1" applyAlignment="1" applyProtection="1">
      <alignment horizontal="center" vertical="center"/>
      <protection hidden="1"/>
    </xf>
    <xf numFmtId="0" fontId="0" fillId="4" borderId="55" xfId="0" applyFill="1" applyBorder="1" applyAlignment="1" applyProtection="1">
      <alignment horizontal="center" vertical="center"/>
      <protection hidden="1"/>
    </xf>
    <xf numFmtId="0" fontId="0" fillId="0" borderId="62" xfId="0" applyFill="1" applyBorder="1" applyAlignment="1" applyProtection="1">
      <alignment horizontal="center" vertical="center"/>
      <protection hidden="1"/>
    </xf>
    <xf numFmtId="0" fontId="0" fillId="0" borderId="55" xfId="0" applyFill="1" applyBorder="1" applyAlignment="1" applyProtection="1">
      <alignment horizontal="center" vertical="center"/>
      <protection hidden="1"/>
    </xf>
    <xf numFmtId="0" fontId="31" fillId="4" borderId="54" xfId="0" applyFont="1" applyFill="1" applyBorder="1" applyAlignment="1" applyProtection="1">
      <alignment horizontal="center" vertical="center"/>
      <protection hidden="1"/>
    </xf>
    <xf numFmtId="0" fontId="31" fillId="4" borderId="113" xfId="0" applyFont="1" applyFill="1" applyBorder="1" applyAlignment="1" applyProtection="1">
      <alignment horizontal="center" vertical="center"/>
      <protection hidden="1"/>
    </xf>
    <xf numFmtId="0" fontId="31" fillId="4" borderId="82" xfId="0" applyFont="1" applyFill="1" applyBorder="1" applyAlignment="1" applyProtection="1">
      <alignment horizontal="center" vertical="center"/>
      <protection hidden="1"/>
    </xf>
    <xf numFmtId="0" fontId="31" fillId="4" borderId="20" xfId="0" applyFont="1" applyFill="1" applyBorder="1" applyAlignment="1" applyProtection="1">
      <alignment horizontal="center" vertical="center"/>
      <protection hidden="1"/>
    </xf>
    <xf numFmtId="0" fontId="31" fillId="0" borderId="54" xfId="0" applyFont="1" applyFill="1" applyBorder="1" applyAlignment="1" applyProtection="1">
      <alignment horizontal="center" vertical="center"/>
      <protection hidden="1"/>
    </xf>
    <xf numFmtId="0" fontId="31" fillId="0" borderId="113" xfId="0" applyFont="1" applyFill="1" applyBorder="1" applyAlignment="1" applyProtection="1">
      <alignment horizontal="center" vertical="center"/>
      <protection hidden="1"/>
    </xf>
    <xf numFmtId="0" fontId="31" fillId="0" borderId="82" xfId="0" applyFont="1" applyFill="1" applyBorder="1" applyAlignment="1" applyProtection="1">
      <alignment horizontal="center" vertical="center"/>
      <protection hidden="1"/>
    </xf>
    <xf numFmtId="0" fontId="31" fillId="0" borderId="20" xfId="0" applyFont="1" applyFill="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3" fillId="0" borderId="14" xfId="0"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0" fontId="3" fillId="2" borderId="8" xfId="0" applyFont="1" applyFill="1" applyBorder="1" applyAlignment="1" applyProtection="1">
      <alignment horizontal="center" vertical="center" wrapText="1" readingOrder="2"/>
      <protection hidden="1"/>
    </xf>
    <xf numFmtId="0" fontId="13" fillId="0" borderId="8"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4" borderId="8" xfId="0" applyFont="1" applyFill="1" applyBorder="1" applyAlignment="1" applyProtection="1">
      <alignment horizontal="center" vertical="center"/>
      <protection hidden="1"/>
    </xf>
    <xf numFmtId="0" fontId="13" fillId="0" borderId="13" xfId="0" applyFont="1" applyBorder="1" applyAlignment="1" applyProtection="1">
      <alignment horizontal="center" vertical="center"/>
      <protection hidden="1"/>
    </xf>
    <xf numFmtId="0" fontId="13" fillId="0" borderId="14" xfId="0" applyFont="1" applyBorder="1" applyAlignment="1" applyProtection="1">
      <alignment horizontal="center" vertical="center"/>
      <protection hidden="1"/>
    </xf>
    <xf numFmtId="0" fontId="13" fillId="0" borderId="15" xfId="0" applyFont="1" applyBorder="1" applyAlignment="1" applyProtection="1">
      <alignment horizontal="center" vertical="center"/>
      <protection hidden="1"/>
    </xf>
    <xf numFmtId="0" fontId="3" fillId="4" borderId="13" xfId="0" applyFont="1" applyFill="1" applyBorder="1" applyAlignment="1" applyProtection="1">
      <alignment horizontal="center" vertical="center"/>
      <protection hidden="1"/>
    </xf>
    <xf numFmtId="0" fontId="3" fillId="4" borderId="14" xfId="0" applyFont="1" applyFill="1" applyBorder="1" applyAlignment="1" applyProtection="1">
      <alignment horizontal="center" vertical="center"/>
      <protection hidden="1"/>
    </xf>
    <xf numFmtId="0" fontId="3" fillId="4" borderId="15" xfId="0" applyFont="1" applyFill="1" applyBorder="1" applyAlignment="1" applyProtection="1">
      <alignment horizontal="center" vertical="center"/>
      <protection hidden="1"/>
    </xf>
    <xf numFmtId="0" fontId="3" fillId="4" borderId="21" xfId="0" applyFont="1" applyFill="1" applyBorder="1" applyAlignment="1" applyProtection="1">
      <alignment horizontal="center" vertical="center"/>
      <protection hidden="1"/>
    </xf>
    <xf numFmtId="0" fontId="3" fillId="4" borderId="22" xfId="0" applyFont="1" applyFill="1" applyBorder="1" applyAlignment="1" applyProtection="1">
      <alignment horizontal="center" vertical="center"/>
      <protection hidden="1"/>
    </xf>
    <xf numFmtId="0" fontId="3" fillId="4" borderId="23" xfId="0" applyFont="1" applyFill="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3" fillId="0" borderId="12" xfId="0" applyFont="1" applyBorder="1" applyAlignment="1" applyProtection="1">
      <alignment horizontal="center" vertical="center"/>
      <protection hidden="1"/>
    </xf>
    <xf numFmtId="0" fontId="3" fillId="0" borderId="17" xfId="0" applyFont="1" applyBorder="1" applyAlignment="1" applyProtection="1">
      <alignment horizontal="center" vertical="center"/>
      <protection hidden="1"/>
    </xf>
    <xf numFmtId="0" fontId="3" fillId="4" borderId="16" xfId="0" applyFont="1" applyFill="1" applyBorder="1" applyAlignment="1" applyProtection="1">
      <alignment horizontal="center" vertical="center"/>
      <protection hidden="1"/>
    </xf>
    <xf numFmtId="0" fontId="3" fillId="4" borderId="12" xfId="0" applyFont="1" applyFill="1" applyBorder="1" applyAlignment="1" applyProtection="1">
      <alignment horizontal="center" vertical="center"/>
      <protection hidden="1"/>
    </xf>
    <xf numFmtId="0" fontId="3" fillId="4" borderId="17" xfId="0" applyFont="1" applyFill="1" applyBorder="1" applyAlignment="1" applyProtection="1">
      <alignment horizontal="center" vertical="center"/>
      <protection hidden="1"/>
    </xf>
    <xf numFmtId="0" fontId="34" fillId="4" borderId="75" xfId="0" applyFont="1" applyFill="1" applyBorder="1" applyAlignment="1" applyProtection="1">
      <alignment horizontal="center" vertical="center"/>
      <protection hidden="1"/>
    </xf>
    <xf numFmtId="0" fontId="34" fillId="4" borderId="76" xfId="0" applyFont="1" applyFill="1" applyBorder="1" applyAlignment="1" applyProtection="1">
      <alignment horizontal="center" vertical="center"/>
      <protection hidden="1"/>
    </xf>
    <xf numFmtId="0" fontId="34" fillId="4" borderId="77" xfId="0" applyFont="1" applyFill="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8" fillId="0" borderId="14" xfId="0" applyFont="1" applyBorder="1" applyAlignment="1" applyProtection="1">
      <alignment horizontal="center" vertical="center"/>
      <protection hidden="1"/>
    </xf>
    <xf numFmtId="0" fontId="8" fillId="0" borderId="15" xfId="0" applyFont="1" applyBorder="1" applyAlignment="1" applyProtection="1">
      <alignment horizontal="center" vertical="center"/>
      <protection hidden="1"/>
    </xf>
    <xf numFmtId="0" fontId="3" fillId="0" borderId="8" xfId="0" applyFont="1" applyBorder="1" applyAlignment="1" applyProtection="1">
      <alignment horizontal="center" vertical="center" readingOrder="2"/>
      <protection hidden="1"/>
    </xf>
    <xf numFmtId="0" fontId="3" fillId="0" borderId="147" xfId="0" applyFont="1" applyBorder="1" applyAlignment="1" applyProtection="1">
      <alignment horizontal="center" vertical="center" wrapText="1" readingOrder="2"/>
      <protection hidden="1"/>
    </xf>
    <xf numFmtId="0" fontId="3" fillId="0" borderId="154" xfId="0" applyFont="1" applyBorder="1" applyAlignment="1" applyProtection="1">
      <alignment horizontal="center" vertical="center" wrapText="1" readingOrder="2"/>
      <protection hidden="1"/>
    </xf>
    <xf numFmtId="0" fontId="0" fillId="17" borderId="24" xfId="0" applyFill="1" applyBorder="1" applyAlignment="1" applyProtection="1">
      <alignment horizontal="center" vertical="center"/>
      <protection hidden="1"/>
    </xf>
    <xf numFmtId="0" fontId="0" fillId="8" borderId="24" xfId="0" applyFill="1" applyBorder="1" applyAlignment="1" applyProtection="1">
      <alignment horizontal="center" vertical="center"/>
      <protection hidden="1"/>
    </xf>
    <xf numFmtId="0" fontId="0" fillId="14" borderId="24" xfId="0" applyFill="1" applyBorder="1" applyAlignment="1" applyProtection="1">
      <alignment horizontal="center" vertical="center"/>
      <protection hidden="1"/>
    </xf>
    <xf numFmtId="0" fontId="13" fillId="7" borderId="78" xfId="0" applyFont="1" applyFill="1" applyBorder="1" applyAlignment="1" applyProtection="1">
      <alignment horizontal="center" vertical="center"/>
      <protection hidden="1"/>
    </xf>
    <xf numFmtId="0" fontId="13" fillId="7" borderId="79"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26" fillId="4" borderId="28" xfId="0" applyFont="1" applyFill="1" applyBorder="1" applyAlignment="1" applyProtection="1">
      <alignment horizontal="center" vertical="center" wrapText="1" readingOrder="2"/>
      <protection hidden="1"/>
    </xf>
    <xf numFmtId="0" fontId="26" fillId="4" borderId="30" xfId="0" applyFont="1" applyFill="1" applyBorder="1" applyAlignment="1" applyProtection="1">
      <alignment horizontal="center" vertical="center" wrapText="1" readingOrder="2"/>
      <protection hidden="1"/>
    </xf>
    <xf numFmtId="0" fontId="26" fillId="4" borderId="24" xfId="0" applyFont="1" applyFill="1" applyBorder="1" applyAlignment="1" applyProtection="1">
      <alignment horizontal="center" vertical="center" wrapText="1" readingOrder="2"/>
      <protection hidden="1"/>
    </xf>
    <xf numFmtId="0" fontId="26" fillId="4" borderId="25" xfId="0" applyFont="1" applyFill="1" applyBorder="1" applyAlignment="1" applyProtection="1">
      <alignment horizontal="center" vertical="center" wrapText="1" readingOrder="2"/>
      <protection hidden="1"/>
    </xf>
    <xf numFmtId="0" fontId="26" fillId="4" borderId="16" xfId="0" applyFont="1" applyFill="1" applyBorder="1" applyAlignment="1" applyProtection="1">
      <alignment horizontal="center" vertical="center" wrapText="1" readingOrder="2"/>
      <protection hidden="1"/>
    </xf>
    <xf numFmtId="0" fontId="26" fillId="4" borderId="17" xfId="0" applyFont="1" applyFill="1" applyBorder="1" applyAlignment="1" applyProtection="1">
      <alignment horizontal="center" vertical="center" wrapText="1" readingOrder="2"/>
      <protection hidden="1"/>
    </xf>
    <xf numFmtId="0" fontId="26" fillId="3" borderId="28" xfId="0" applyFont="1" applyFill="1" applyBorder="1" applyAlignment="1" applyProtection="1">
      <alignment horizontal="center" vertical="center" wrapText="1" readingOrder="2"/>
      <protection hidden="1"/>
    </xf>
    <xf numFmtId="0" fontId="26" fillId="3" borderId="29" xfId="0" applyFont="1" applyFill="1" applyBorder="1" applyAlignment="1" applyProtection="1">
      <alignment horizontal="center" vertical="center" wrapText="1" readingOrder="2"/>
      <protection hidden="1"/>
    </xf>
    <xf numFmtId="0" fontId="26" fillId="3" borderId="30" xfId="0" applyFont="1" applyFill="1" applyBorder="1" applyAlignment="1" applyProtection="1">
      <alignment horizontal="center" vertical="center" wrapText="1" readingOrder="2"/>
      <protection hidden="1"/>
    </xf>
    <xf numFmtId="0" fontId="26" fillId="3" borderId="24" xfId="0" applyFont="1" applyFill="1" applyBorder="1" applyAlignment="1" applyProtection="1">
      <alignment horizontal="center" vertical="center" wrapText="1" readingOrder="2"/>
      <protection hidden="1"/>
    </xf>
    <xf numFmtId="0" fontId="26" fillId="3" borderId="0" xfId="0" applyFont="1" applyFill="1" applyBorder="1" applyAlignment="1" applyProtection="1">
      <alignment horizontal="center" vertical="center" wrapText="1" readingOrder="2"/>
      <protection hidden="1"/>
    </xf>
    <xf numFmtId="0" fontId="26" fillId="3" borderId="25" xfId="0" applyFont="1" applyFill="1" applyBorder="1" applyAlignment="1" applyProtection="1">
      <alignment horizontal="center" vertical="center" wrapText="1" readingOrder="2"/>
      <protection hidden="1"/>
    </xf>
    <xf numFmtId="0" fontId="26" fillId="3" borderId="16" xfId="0" applyFont="1" applyFill="1" applyBorder="1" applyAlignment="1" applyProtection="1">
      <alignment horizontal="center" vertical="center" wrapText="1" readingOrder="2"/>
      <protection hidden="1"/>
    </xf>
    <xf numFmtId="0" fontId="26" fillId="3" borderId="12" xfId="0" applyFont="1" applyFill="1" applyBorder="1" applyAlignment="1" applyProtection="1">
      <alignment horizontal="center" vertical="center" wrapText="1" readingOrder="2"/>
      <protection hidden="1"/>
    </xf>
    <xf numFmtId="0" fontId="26" fillId="3" borderId="17" xfId="0" applyFont="1" applyFill="1" applyBorder="1" applyAlignment="1" applyProtection="1">
      <alignment horizontal="center" vertical="center" wrapText="1" readingOrder="2"/>
      <protection hidden="1"/>
    </xf>
    <xf numFmtId="0" fontId="28" fillId="5" borderId="2" xfId="0" applyFont="1" applyFill="1" applyBorder="1" applyAlignment="1" applyProtection="1">
      <alignment horizontal="center" vertical="center"/>
      <protection hidden="1"/>
    </xf>
    <xf numFmtId="0" fontId="28" fillId="5" borderId="0" xfId="0" applyFont="1" applyFill="1" applyBorder="1" applyAlignment="1" applyProtection="1">
      <alignment horizontal="center" vertical="center"/>
      <protection hidden="1"/>
    </xf>
    <xf numFmtId="0" fontId="28" fillId="5" borderId="25" xfId="0" applyFont="1" applyFill="1" applyBorder="1" applyAlignment="1" applyProtection="1">
      <alignment horizontal="center" vertical="center"/>
      <protection hidden="1"/>
    </xf>
    <xf numFmtId="0" fontId="26" fillId="3" borderId="31" xfId="0" applyFont="1" applyFill="1" applyBorder="1" applyAlignment="1" applyProtection="1">
      <alignment horizontal="center" vertical="center" wrapText="1" readingOrder="2"/>
      <protection hidden="1"/>
    </xf>
    <xf numFmtId="0" fontId="26" fillId="3" borderId="18" xfId="0" applyFont="1" applyFill="1" applyBorder="1" applyAlignment="1" applyProtection="1">
      <alignment horizontal="center" vertical="center" wrapText="1" readingOrder="2"/>
      <protection hidden="1"/>
    </xf>
    <xf numFmtId="0" fontId="26" fillId="3" borderId="36" xfId="0" applyFont="1" applyFill="1" applyBorder="1" applyAlignment="1" applyProtection="1">
      <alignment horizontal="center" vertical="center" wrapText="1" readingOrder="2"/>
      <protection hidden="1"/>
    </xf>
    <xf numFmtId="0" fontId="28" fillId="6" borderId="0" xfId="0" applyFont="1" applyFill="1" applyBorder="1" applyAlignment="1" applyProtection="1">
      <alignment horizontal="center" vertical="center"/>
      <protection hidden="1"/>
    </xf>
    <xf numFmtId="0" fontId="28" fillId="6" borderId="18" xfId="0" applyFont="1" applyFill="1" applyBorder="1" applyAlignment="1" applyProtection="1">
      <alignment horizontal="center" vertical="center"/>
      <protection hidden="1"/>
    </xf>
    <xf numFmtId="0" fontId="28" fillId="6" borderId="5" xfId="0" applyFont="1" applyFill="1" applyBorder="1" applyAlignment="1" applyProtection="1">
      <alignment horizontal="center" vertical="center"/>
      <protection hidden="1"/>
    </xf>
    <xf numFmtId="0" fontId="28" fillId="6" borderId="6" xfId="0" applyFont="1" applyFill="1" applyBorder="1" applyAlignment="1" applyProtection="1">
      <alignment horizontal="center" vertical="center"/>
      <protection hidden="1"/>
    </xf>
    <xf numFmtId="0" fontId="28" fillId="8" borderId="35" xfId="0" applyFont="1" applyFill="1" applyBorder="1" applyAlignment="1" applyProtection="1">
      <alignment horizontal="center" vertical="center"/>
      <protection hidden="1"/>
    </xf>
    <xf numFmtId="0" fontId="28" fillId="8" borderId="22" xfId="0" applyFont="1" applyFill="1" applyBorder="1" applyAlignment="1" applyProtection="1">
      <alignment horizontal="center" vertical="center"/>
      <protection hidden="1"/>
    </xf>
    <xf numFmtId="0" fontId="28" fillId="8" borderId="23" xfId="0" applyFont="1" applyFill="1" applyBorder="1" applyAlignment="1" applyProtection="1">
      <alignment horizontal="center" vertical="center"/>
      <protection hidden="1"/>
    </xf>
    <xf numFmtId="0" fontId="28" fillId="8" borderId="2" xfId="0" applyFont="1" applyFill="1" applyBorder="1" applyAlignment="1" applyProtection="1">
      <alignment horizontal="center" vertical="center"/>
      <protection hidden="1"/>
    </xf>
    <xf numFmtId="0" fontId="28" fillId="8" borderId="0" xfId="0" applyFont="1" applyFill="1" applyBorder="1" applyAlignment="1" applyProtection="1">
      <alignment horizontal="center" vertical="center"/>
      <protection hidden="1"/>
    </xf>
    <xf numFmtId="0" fontId="28" fillId="8" borderId="25" xfId="0" applyFont="1" applyFill="1" applyBorder="1" applyAlignment="1" applyProtection="1">
      <alignment horizontal="center" vertical="center"/>
      <protection hidden="1"/>
    </xf>
    <xf numFmtId="0" fontId="28" fillId="8" borderId="4" xfId="0" applyFont="1" applyFill="1" applyBorder="1" applyAlignment="1" applyProtection="1">
      <alignment horizontal="center" vertical="center"/>
      <protection hidden="1"/>
    </xf>
    <xf numFmtId="0" fontId="28" fillId="8" borderId="5" xfId="0" applyFont="1" applyFill="1" applyBorder="1" applyAlignment="1" applyProtection="1">
      <alignment horizontal="center" vertical="center"/>
      <protection hidden="1"/>
    </xf>
    <xf numFmtId="0" fontId="28" fillId="8" borderId="40" xfId="0" applyFont="1" applyFill="1" applyBorder="1" applyAlignment="1" applyProtection="1">
      <alignment horizontal="center" vertical="center"/>
      <protection hidden="1"/>
    </xf>
    <xf numFmtId="0" fontId="26" fillId="4" borderId="29" xfId="0" applyFont="1" applyFill="1" applyBorder="1" applyAlignment="1" applyProtection="1">
      <alignment horizontal="center" vertical="center" wrapText="1" readingOrder="2"/>
      <protection hidden="1"/>
    </xf>
    <xf numFmtId="0" fontId="26" fillId="4" borderId="0" xfId="0" applyFont="1" applyFill="1" applyBorder="1" applyAlignment="1" applyProtection="1">
      <alignment horizontal="center" vertical="center" wrapText="1" readingOrder="2"/>
      <protection hidden="1"/>
    </xf>
    <xf numFmtId="0" fontId="26" fillId="4" borderId="12" xfId="0" applyFont="1" applyFill="1" applyBorder="1" applyAlignment="1" applyProtection="1">
      <alignment horizontal="center" vertical="center" wrapText="1" readingOrder="2"/>
      <protection hidden="1"/>
    </xf>
    <xf numFmtId="0" fontId="8" fillId="0" borderId="16" xfId="0" applyFont="1" applyBorder="1" applyAlignment="1" applyProtection="1">
      <alignment horizontal="right" vertical="center" wrapText="1"/>
      <protection hidden="1"/>
    </xf>
    <xf numFmtId="0" fontId="8" fillId="0" borderId="12" xfId="0" applyFont="1" applyBorder="1" applyAlignment="1" applyProtection="1">
      <alignment horizontal="right" vertical="center" wrapText="1"/>
      <protection hidden="1"/>
    </xf>
    <xf numFmtId="0" fontId="8" fillId="0" borderId="36" xfId="0" applyFont="1" applyBorder="1" applyAlignment="1" applyProtection="1">
      <alignment horizontal="right" vertical="center" wrapText="1"/>
      <protection hidden="1"/>
    </xf>
    <xf numFmtId="0" fontId="8" fillId="0" borderId="8" xfId="0" applyFont="1" applyBorder="1" applyAlignment="1" applyProtection="1">
      <alignment horizontal="center" vertical="center" readingOrder="2"/>
      <protection hidden="1"/>
    </xf>
    <xf numFmtId="0" fontId="8" fillId="0" borderId="37" xfId="0" applyFont="1" applyBorder="1" applyAlignment="1" applyProtection="1">
      <alignment horizontal="center" vertical="center" readingOrder="2"/>
      <protection hidden="1"/>
    </xf>
    <xf numFmtId="0" fontId="8" fillId="13" borderId="8" xfId="0" applyFont="1" applyFill="1" applyBorder="1" applyAlignment="1" applyProtection="1">
      <alignment horizontal="center" vertical="center" wrapText="1" readingOrder="2"/>
      <protection hidden="1"/>
    </xf>
    <xf numFmtId="0" fontId="8" fillId="0" borderId="21" xfId="0" applyFont="1" applyBorder="1" applyAlignment="1" applyProtection="1">
      <alignment horizontal="right" vertical="center" wrapText="1" readingOrder="2"/>
      <protection hidden="1"/>
    </xf>
    <xf numFmtId="0" fontId="8" fillId="0" borderId="22" xfId="0" applyFont="1" applyBorder="1" applyAlignment="1" applyProtection="1">
      <alignment horizontal="right" vertical="center" wrapText="1" readingOrder="2"/>
      <protection hidden="1"/>
    </xf>
    <xf numFmtId="0" fontId="8" fillId="0" borderId="23" xfId="0" applyFont="1" applyBorder="1" applyAlignment="1" applyProtection="1">
      <alignment horizontal="right" vertical="center" wrapText="1" readingOrder="2"/>
      <protection hidden="1"/>
    </xf>
    <xf numFmtId="0" fontId="8" fillId="0" borderId="24" xfId="0" applyFont="1" applyBorder="1" applyAlignment="1" applyProtection="1">
      <alignment horizontal="justify" vertical="center" wrapText="1" readingOrder="2"/>
      <protection hidden="1"/>
    </xf>
    <xf numFmtId="0" fontId="8" fillId="0" borderId="0" xfId="0" applyFont="1" applyBorder="1" applyAlignment="1" applyProtection="1">
      <alignment horizontal="justify" vertical="center" wrapText="1" readingOrder="2"/>
      <protection hidden="1"/>
    </xf>
    <xf numFmtId="0" fontId="8" fillId="0" borderId="25" xfId="0" applyFont="1" applyBorder="1" applyAlignment="1" applyProtection="1">
      <alignment horizontal="justify" vertical="center" wrapText="1" readingOrder="2"/>
      <protection hidden="1"/>
    </xf>
    <xf numFmtId="0" fontId="3" fillId="0" borderId="8" xfId="0" applyFont="1" applyBorder="1" applyAlignment="1" applyProtection="1">
      <alignment horizontal="center" vertical="center" wrapText="1" readingOrder="2"/>
      <protection hidden="1"/>
    </xf>
    <xf numFmtId="0" fontId="3" fillId="0" borderId="37" xfId="0" applyFont="1" applyBorder="1" applyAlignment="1" applyProtection="1">
      <alignment horizontal="center" vertical="center" wrapText="1" readingOrder="2"/>
      <protection hidden="1"/>
    </xf>
    <xf numFmtId="0" fontId="8" fillId="0" borderId="39" xfId="0" applyFont="1" applyBorder="1" applyAlignment="1" applyProtection="1">
      <alignment horizontal="right" vertical="center" wrapText="1" readingOrder="2"/>
      <protection hidden="1"/>
    </xf>
    <xf numFmtId="0" fontId="8" fillId="0" borderId="16" xfId="0" applyFont="1" applyBorder="1" applyAlignment="1" applyProtection="1">
      <alignment horizontal="justify" vertical="center" wrapText="1" readingOrder="2"/>
      <protection hidden="1"/>
    </xf>
    <xf numFmtId="0" fontId="8" fillId="0" borderId="12" xfId="0" applyFont="1" applyBorder="1" applyAlignment="1" applyProtection="1">
      <alignment horizontal="justify" vertical="center" wrapText="1" readingOrder="2"/>
      <protection hidden="1"/>
    </xf>
    <xf numFmtId="0" fontId="8" fillId="0" borderId="17" xfId="0" applyFont="1" applyBorder="1" applyAlignment="1" applyProtection="1">
      <alignment horizontal="justify" vertical="center" wrapText="1" readingOrder="2"/>
      <protection hidden="1"/>
    </xf>
    <xf numFmtId="0" fontId="18" fillId="2" borderId="8" xfId="0" applyFont="1" applyFill="1" applyBorder="1" applyAlignment="1" applyProtection="1">
      <alignment horizontal="center" vertical="center" wrapText="1" readingOrder="2"/>
      <protection hidden="1"/>
    </xf>
    <xf numFmtId="0" fontId="9" fillId="0" borderId="8" xfId="0" applyFont="1" applyBorder="1" applyAlignment="1" applyProtection="1">
      <alignment horizontal="center" vertical="center" readingOrder="2"/>
      <protection hidden="1"/>
    </xf>
    <xf numFmtId="0" fontId="2" fillId="0" borderId="8" xfId="0" applyFont="1" applyBorder="1" applyAlignment="1" applyProtection="1">
      <alignment horizontal="center" vertical="center" wrapText="1" readingOrder="2"/>
      <protection hidden="1"/>
    </xf>
    <xf numFmtId="0" fontId="8" fillId="0" borderId="13" xfId="0" applyFont="1" applyBorder="1" applyAlignment="1" applyProtection="1">
      <alignment horizontal="center" vertical="center" readingOrder="2"/>
      <protection hidden="1"/>
    </xf>
    <xf numFmtId="0" fontId="8" fillId="0" borderId="14" xfId="0" applyFont="1" applyBorder="1" applyAlignment="1" applyProtection="1">
      <alignment horizontal="center" vertical="center" readingOrder="2"/>
      <protection hidden="1"/>
    </xf>
    <xf numFmtId="0" fontId="8" fillId="0" borderId="15" xfId="0" applyFont="1" applyBorder="1" applyAlignment="1" applyProtection="1">
      <alignment horizontal="center" vertical="center" readingOrder="2"/>
      <protection hidden="1"/>
    </xf>
    <xf numFmtId="0" fontId="22" fillId="2" borderId="8" xfId="0" applyFont="1" applyFill="1" applyBorder="1" applyAlignment="1" applyProtection="1">
      <alignment horizontal="center" vertical="center" wrapText="1" readingOrder="1"/>
      <protection hidden="1"/>
    </xf>
    <xf numFmtId="0" fontId="22" fillId="0" borderId="8" xfId="0" applyFont="1" applyBorder="1" applyAlignment="1" applyProtection="1">
      <alignment horizontal="center" vertical="center" readingOrder="1"/>
      <protection hidden="1"/>
    </xf>
    <xf numFmtId="0" fontId="22" fillId="0" borderId="13" xfId="0" applyFont="1" applyBorder="1" applyAlignment="1" applyProtection="1">
      <alignment horizontal="center" vertical="center" readingOrder="1"/>
      <protection hidden="1"/>
    </xf>
    <xf numFmtId="0" fontId="9" fillId="0" borderId="13" xfId="0" applyFont="1" applyBorder="1" applyAlignment="1" applyProtection="1">
      <alignment horizontal="center" vertical="center" readingOrder="2"/>
      <protection hidden="1"/>
    </xf>
    <xf numFmtId="0" fontId="22" fillId="0" borderId="8" xfId="0" applyFont="1" applyBorder="1" applyAlignment="1" applyProtection="1">
      <alignment horizontal="right" vertical="center" readingOrder="1"/>
      <protection hidden="1"/>
    </xf>
    <xf numFmtId="0" fontId="20" fillId="0" borderId="13" xfId="0" applyFont="1" applyFill="1" applyBorder="1" applyAlignment="1" applyProtection="1">
      <alignment horizontal="right" vertical="center" readingOrder="2"/>
      <protection hidden="1"/>
    </xf>
    <xf numFmtId="0" fontId="20" fillId="0" borderId="14" xfId="0" applyFont="1" applyFill="1" applyBorder="1" applyAlignment="1" applyProtection="1">
      <alignment horizontal="right" vertical="center" readingOrder="2"/>
      <protection hidden="1"/>
    </xf>
    <xf numFmtId="0" fontId="20" fillId="0" borderId="15" xfId="0" applyFont="1" applyFill="1" applyBorder="1" applyAlignment="1" applyProtection="1">
      <alignment horizontal="right" vertical="center" readingOrder="2"/>
      <protection hidden="1"/>
    </xf>
    <xf numFmtId="0" fontId="9" fillId="0" borderId="8" xfId="0" applyFont="1" applyBorder="1" applyAlignment="1" applyProtection="1">
      <alignment horizontal="center" vertical="center" wrapText="1" readingOrder="2"/>
      <protection hidden="1"/>
    </xf>
    <xf numFmtId="0" fontId="9" fillId="0" borderId="13" xfId="0" applyFont="1" applyBorder="1" applyAlignment="1" applyProtection="1">
      <alignment horizontal="center" vertical="center" wrapText="1" readingOrder="2"/>
      <protection hidden="1"/>
    </xf>
    <xf numFmtId="0" fontId="9" fillId="2" borderId="34" xfId="0" applyFont="1" applyFill="1" applyBorder="1" applyAlignment="1" applyProtection="1">
      <alignment horizontal="right" wrapText="1" readingOrder="2"/>
      <protection hidden="1"/>
    </xf>
    <xf numFmtId="0" fontId="9" fillId="2" borderId="12" xfId="0" applyFont="1" applyFill="1" applyBorder="1" applyAlignment="1" applyProtection="1">
      <alignment horizontal="right" wrapText="1" readingOrder="2"/>
      <protection hidden="1"/>
    </xf>
    <xf numFmtId="0" fontId="9" fillId="2" borderId="17" xfId="0" applyFont="1" applyFill="1" applyBorder="1" applyAlignment="1" applyProtection="1">
      <alignment horizontal="right" wrapText="1" readingOrder="2"/>
      <protection hidden="1"/>
    </xf>
    <xf numFmtId="0" fontId="8" fillId="0" borderId="8" xfId="0" applyFont="1" applyBorder="1" applyAlignment="1" applyProtection="1">
      <alignment horizontal="right" vertical="center" wrapText="1" readingOrder="2"/>
      <protection hidden="1"/>
    </xf>
    <xf numFmtId="0" fontId="26" fillId="4" borderId="35" xfId="0" applyFont="1" applyFill="1" applyBorder="1" applyAlignment="1" applyProtection="1">
      <alignment horizontal="center" vertical="center" wrapText="1" readingOrder="2"/>
      <protection hidden="1"/>
    </xf>
    <xf numFmtId="0" fontId="26" fillId="4" borderId="22" xfId="0" applyFont="1" applyFill="1" applyBorder="1" applyAlignment="1" applyProtection="1">
      <alignment horizontal="center" vertical="center" wrapText="1" readingOrder="2"/>
      <protection hidden="1"/>
    </xf>
    <xf numFmtId="0" fontId="26" fillId="4" borderId="23" xfId="0" applyFont="1" applyFill="1" applyBorder="1" applyAlignment="1" applyProtection="1">
      <alignment horizontal="center" vertical="center" wrapText="1" readingOrder="2"/>
      <protection hidden="1"/>
    </xf>
    <xf numFmtId="0" fontId="26" fillId="4" borderId="2" xfId="0" applyFont="1" applyFill="1" applyBorder="1" applyAlignment="1" applyProtection="1">
      <alignment horizontal="center" vertical="center" wrapText="1" readingOrder="2"/>
      <protection hidden="1"/>
    </xf>
    <xf numFmtId="0" fontId="26" fillId="4" borderId="34" xfId="0" applyFont="1" applyFill="1" applyBorder="1" applyAlignment="1" applyProtection="1">
      <alignment horizontal="center" vertical="center" wrapText="1" readingOrder="2"/>
      <protection hidden="1"/>
    </xf>
    <xf numFmtId="0" fontId="26" fillId="4" borderId="28" xfId="0" applyFont="1" applyFill="1" applyBorder="1" applyAlignment="1" applyProtection="1">
      <alignment horizontal="center" wrapText="1" readingOrder="2"/>
      <protection hidden="1"/>
    </xf>
    <xf numFmtId="0" fontId="26" fillId="4" borderId="29" xfId="0" applyFont="1" applyFill="1" applyBorder="1" applyAlignment="1" applyProtection="1">
      <alignment horizontal="center" wrapText="1" readingOrder="2"/>
      <protection hidden="1"/>
    </xf>
    <xf numFmtId="0" fontId="26" fillId="4" borderId="30" xfId="0" applyFont="1" applyFill="1" applyBorder="1" applyAlignment="1" applyProtection="1">
      <alignment horizontal="center" wrapText="1" readingOrder="2"/>
      <protection hidden="1"/>
    </xf>
    <xf numFmtId="0" fontId="26" fillId="4" borderId="24" xfId="0" applyFont="1" applyFill="1" applyBorder="1" applyAlignment="1" applyProtection="1">
      <alignment horizontal="center" wrapText="1" readingOrder="2"/>
      <protection hidden="1"/>
    </xf>
    <xf numFmtId="0" fontId="26" fillId="4" borderId="0" xfId="0" applyFont="1" applyFill="1" applyBorder="1" applyAlignment="1" applyProtection="1">
      <alignment horizontal="center" wrapText="1" readingOrder="2"/>
      <protection hidden="1"/>
    </xf>
    <xf numFmtId="0" fontId="26" fillId="4" borderId="25" xfId="0" applyFont="1" applyFill="1" applyBorder="1" applyAlignment="1" applyProtection="1">
      <alignment horizontal="center" wrapText="1" readingOrder="2"/>
      <protection hidden="1"/>
    </xf>
    <xf numFmtId="0" fontId="26" fillId="4" borderId="16" xfId="0" applyFont="1" applyFill="1" applyBorder="1" applyAlignment="1" applyProtection="1">
      <alignment horizontal="center" wrapText="1" readingOrder="2"/>
      <protection hidden="1"/>
    </xf>
    <xf numFmtId="0" fontId="26" fillId="4" borderId="12" xfId="0" applyFont="1" applyFill="1" applyBorder="1" applyAlignment="1" applyProtection="1">
      <alignment horizontal="center" wrapText="1" readingOrder="2"/>
      <protection hidden="1"/>
    </xf>
    <xf numFmtId="0" fontId="26" fillId="4" borderId="17" xfId="0" applyFont="1" applyFill="1" applyBorder="1" applyAlignment="1" applyProtection="1">
      <alignment horizontal="center" wrapText="1" readingOrder="2"/>
      <protection hidden="1"/>
    </xf>
    <xf numFmtId="0" fontId="6" fillId="2" borderId="32" xfId="0" applyFont="1" applyFill="1" applyBorder="1" applyAlignment="1" applyProtection="1">
      <alignment horizontal="right" vertical="center" wrapText="1" readingOrder="2"/>
      <protection hidden="1"/>
    </xf>
    <xf numFmtId="0" fontId="6" fillId="2" borderId="8" xfId="0" applyFont="1" applyFill="1" applyBorder="1" applyAlignment="1" applyProtection="1">
      <alignment horizontal="right" vertical="center" wrapText="1" readingOrder="2"/>
      <protection hidden="1"/>
    </xf>
    <xf numFmtId="0" fontId="12" fillId="0" borderId="9"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 fillId="2" borderId="8" xfId="0" applyFont="1" applyFill="1" applyBorder="1" applyAlignment="1" applyProtection="1">
      <alignment horizontal="center" vertical="center" wrapText="1" readingOrder="2"/>
      <protection hidden="1"/>
    </xf>
    <xf numFmtId="0" fontId="9" fillId="2" borderId="33" xfId="0" applyFont="1" applyFill="1" applyBorder="1" applyAlignment="1" applyProtection="1">
      <alignment horizontal="right" vertical="center" wrapText="1" readingOrder="2"/>
      <protection hidden="1"/>
    </xf>
    <xf numFmtId="0" fontId="9" fillId="2" borderId="9" xfId="0" applyFont="1" applyFill="1" applyBorder="1" applyAlignment="1" applyProtection="1">
      <alignment horizontal="right" vertical="center" wrapText="1" readingOrder="2"/>
      <protection hidden="1"/>
    </xf>
    <xf numFmtId="0" fontId="6" fillId="2" borderId="26" xfId="0" applyFont="1" applyFill="1" applyBorder="1" applyAlignment="1" applyProtection="1">
      <alignment horizontal="right" vertical="center" wrapText="1" readingOrder="2"/>
      <protection hidden="1"/>
    </xf>
    <xf numFmtId="0" fontId="6" fillId="2" borderId="27" xfId="0" applyFont="1" applyFill="1" applyBorder="1" applyAlignment="1" applyProtection="1">
      <alignment horizontal="right" vertical="center" wrapText="1" readingOrder="2"/>
      <protection hidden="1"/>
    </xf>
  </cellXfs>
  <cellStyles count="2">
    <cellStyle name="Currency" xfId="1" builtinId="4"/>
    <cellStyle name="Normal" xfId="0" builtinId="0"/>
  </cellStyles>
  <dxfs count="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B0505"/>
      <color rgb="FFEEF381"/>
      <color rgb="FFEFA7D5"/>
      <color rgb="FFBC1484"/>
      <color rgb="FF1ABC63"/>
      <color rgb="FF1148AB"/>
      <color rgb="FFA822D8"/>
      <color rgb="FFFBAFAF"/>
      <color rgb="FFED0D0D"/>
      <color rgb="FF43032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General!A46"/><Relationship Id="rId3" Type="http://schemas.openxmlformats.org/officeDocument/2006/relationships/hyperlink" Target="#General!A41"/><Relationship Id="rId7" Type="http://schemas.openxmlformats.org/officeDocument/2006/relationships/hyperlink" Target="#General!A45"/><Relationship Id="rId2" Type="http://schemas.openxmlformats.org/officeDocument/2006/relationships/hyperlink" Target="#General!A40"/><Relationship Id="rId1" Type="http://schemas.openxmlformats.org/officeDocument/2006/relationships/hyperlink" Target="#General!A39"/><Relationship Id="rId6" Type="http://schemas.openxmlformats.org/officeDocument/2006/relationships/hyperlink" Target="#General!A44"/><Relationship Id="rId11" Type="http://schemas.openxmlformats.org/officeDocument/2006/relationships/hyperlink" Target="#General!A1"/><Relationship Id="rId5" Type="http://schemas.openxmlformats.org/officeDocument/2006/relationships/hyperlink" Target="#General!A43"/><Relationship Id="rId10" Type="http://schemas.openxmlformats.org/officeDocument/2006/relationships/hyperlink" Target="#General!A48"/><Relationship Id="rId4" Type="http://schemas.openxmlformats.org/officeDocument/2006/relationships/hyperlink" Target="#General!A42"/><Relationship Id="rId9" Type="http://schemas.openxmlformats.org/officeDocument/2006/relationships/hyperlink" Target="#General!A47"/></Relationships>
</file>

<file path=xl/drawings/_rels/drawing10.xml.rels><?xml version="1.0" encoding="UTF-8" standalone="yes"?>
<Relationships xmlns="http://schemas.openxmlformats.org/package/2006/relationships"><Relationship Id="rId8" Type="http://schemas.openxmlformats.org/officeDocument/2006/relationships/hyperlink" Target="#'Fugitives (CoolingTowers)'!A1"/><Relationship Id="rId3" Type="http://schemas.openxmlformats.org/officeDocument/2006/relationships/hyperlink" Target="#'Fugitives (CoolingTowers)'!A9"/><Relationship Id="rId7" Type="http://schemas.openxmlformats.org/officeDocument/2006/relationships/hyperlink" Target="#'Fugitives (CoolingTowers)'!A31"/><Relationship Id="rId2" Type="http://schemas.openxmlformats.org/officeDocument/2006/relationships/hyperlink" Target="#'Fugitives (CoolingTowers)'!A23"/><Relationship Id="rId1" Type="http://schemas.openxmlformats.org/officeDocument/2006/relationships/hyperlink" Target="#'Fugitives (CoolingTowers)'!A16"/><Relationship Id="rId6" Type="http://schemas.openxmlformats.org/officeDocument/2006/relationships/hyperlink" Target="#'Fugitives (CoolingTowers)'!A42"/><Relationship Id="rId11" Type="http://schemas.openxmlformats.org/officeDocument/2006/relationships/hyperlink" Target="#'Fugitives (CoolingTowers)'!AC31"/><Relationship Id="rId5" Type="http://schemas.openxmlformats.org/officeDocument/2006/relationships/hyperlink" Target="#'Fugitives (CoolingTowers)'!A38"/><Relationship Id="rId10" Type="http://schemas.openxmlformats.org/officeDocument/2006/relationships/hyperlink" Target="#'Fugitives (CoolingTowers)'!AC2"/><Relationship Id="rId4" Type="http://schemas.openxmlformats.org/officeDocument/2006/relationships/hyperlink" Target="#'Fugitives (CoolingTowers)'!A33"/><Relationship Id="rId9"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Results!A1"/><Relationship Id="rId1" Type="http://schemas.openxmlformats.org/officeDocument/2006/relationships/hyperlink" Target="#Results!A25"/></Relationships>
</file>

<file path=xl/drawings/_rels/drawing12.xml.rels><?xml version="1.0" encoding="UTF-8" standalone="yes"?>
<Relationships xmlns="http://schemas.openxmlformats.org/package/2006/relationships"><Relationship Id="rId8" Type="http://schemas.openxmlformats.org/officeDocument/2006/relationships/hyperlink" Target="#Compositions!A172"/><Relationship Id="rId13" Type="http://schemas.openxmlformats.org/officeDocument/2006/relationships/hyperlink" Target="#Compositions!BJ79"/><Relationship Id="rId3" Type="http://schemas.openxmlformats.org/officeDocument/2006/relationships/hyperlink" Target="#Compositions!A92"/><Relationship Id="rId7" Type="http://schemas.openxmlformats.org/officeDocument/2006/relationships/hyperlink" Target="#Compositions!A168"/><Relationship Id="rId12" Type="http://schemas.openxmlformats.org/officeDocument/2006/relationships/hyperlink" Target="#Compositions!BJ12"/><Relationship Id="rId17" Type="http://schemas.openxmlformats.org/officeDocument/2006/relationships/hyperlink" Target="#Compositions!A73"/><Relationship Id="rId2" Type="http://schemas.openxmlformats.org/officeDocument/2006/relationships/hyperlink" Target="#Compositions!A74"/><Relationship Id="rId16" Type="http://schemas.openxmlformats.org/officeDocument/2006/relationships/hyperlink" Target="#Compositions!BJ160"/><Relationship Id="rId1" Type="http://schemas.openxmlformats.org/officeDocument/2006/relationships/hyperlink" Target="#Compositions!B12"/><Relationship Id="rId6" Type="http://schemas.openxmlformats.org/officeDocument/2006/relationships/hyperlink" Target="#Combustion!A1"/><Relationship Id="rId11" Type="http://schemas.openxmlformats.org/officeDocument/2006/relationships/hyperlink" Target="#Compositions!B71"/><Relationship Id="rId5" Type="http://schemas.openxmlformats.org/officeDocument/2006/relationships/hyperlink" Target="#Compositions!A160"/><Relationship Id="rId15" Type="http://schemas.openxmlformats.org/officeDocument/2006/relationships/hyperlink" Target="#Compositions!D11"/><Relationship Id="rId10" Type="http://schemas.openxmlformats.org/officeDocument/2006/relationships/hyperlink" Target="#Compositions!B89"/><Relationship Id="rId4" Type="http://schemas.openxmlformats.org/officeDocument/2006/relationships/hyperlink" Target="#Compositions!A1"/><Relationship Id="rId9" Type="http://schemas.openxmlformats.org/officeDocument/2006/relationships/hyperlink" Target="#Flare!A1"/><Relationship Id="rId14" Type="http://schemas.openxmlformats.org/officeDocument/2006/relationships/hyperlink" Target="#Compositions!BJ92"/></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hyperlink" Target="#Combustion!A82"/><Relationship Id="rId13" Type="http://schemas.openxmlformats.org/officeDocument/2006/relationships/hyperlink" Target="#Combustion!A62"/><Relationship Id="rId3" Type="http://schemas.openxmlformats.org/officeDocument/2006/relationships/hyperlink" Target="#Combustion!A154"/><Relationship Id="rId7" Type="http://schemas.openxmlformats.org/officeDocument/2006/relationships/hyperlink" Target="#Combustion!A44"/><Relationship Id="rId12" Type="http://schemas.openxmlformats.org/officeDocument/2006/relationships/hyperlink" Target="#Combustion!A43"/><Relationship Id="rId17" Type="http://schemas.openxmlformats.org/officeDocument/2006/relationships/hyperlink" Target="#Combustion!AD2"/><Relationship Id="rId2" Type="http://schemas.openxmlformats.org/officeDocument/2006/relationships/hyperlink" Target="#Combustion!A81"/><Relationship Id="rId16" Type="http://schemas.openxmlformats.org/officeDocument/2006/relationships/hyperlink" Target="#Combustion!AD145"/><Relationship Id="rId1" Type="http://schemas.openxmlformats.org/officeDocument/2006/relationships/hyperlink" Target="#Combustion!A9"/><Relationship Id="rId6" Type="http://schemas.openxmlformats.org/officeDocument/2006/relationships/hyperlink" Target="#Combustion!A10"/><Relationship Id="rId11" Type="http://schemas.openxmlformats.org/officeDocument/2006/relationships/hyperlink" Target="#Compositions!A1"/><Relationship Id="rId5" Type="http://schemas.openxmlformats.org/officeDocument/2006/relationships/hyperlink" Target="#Combustion!A166"/><Relationship Id="rId15" Type="http://schemas.openxmlformats.org/officeDocument/2006/relationships/hyperlink" Target="#Combustion!A162"/><Relationship Id="rId10" Type="http://schemas.openxmlformats.org/officeDocument/2006/relationships/hyperlink" Target="#Combustion!A1"/><Relationship Id="rId4" Type="http://schemas.openxmlformats.org/officeDocument/2006/relationships/hyperlink" Target="#Combustion!A158"/><Relationship Id="rId9" Type="http://schemas.openxmlformats.org/officeDocument/2006/relationships/hyperlink" Target="#Combustion!A145"/><Relationship Id="rId14" Type="http://schemas.openxmlformats.org/officeDocument/2006/relationships/hyperlink" Target="#Combustion!A63"/></Relationships>
</file>

<file path=xl/drawings/_rels/drawing3.xml.rels><?xml version="1.0" encoding="UTF-8" standalone="yes"?>
<Relationships xmlns="http://schemas.openxmlformats.org/package/2006/relationships"><Relationship Id="rId8" Type="http://schemas.openxmlformats.org/officeDocument/2006/relationships/hyperlink" Target="#Flare!A42"/><Relationship Id="rId3" Type="http://schemas.openxmlformats.org/officeDocument/2006/relationships/hyperlink" Target="#Flare!A45"/><Relationship Id="rId7" Type="http://schemas.openxmlformats.org/officeDocument/2006/relationships/hyperlink" Target="#Flare!A1"/><Relationship Id="rId12" Type="http://schemas.openxmlformats.org/officeDocument/2006/relationships/hyperlink" Target="#Flare!AB43"/><Relationship Id="rId2" Type="http://schemas.openxmlformats.org/officeDocument/2006/relationships/hyperlink" Target="#Flare!A23"/><Relationship Id="rId1" Type="http://schemas.openxmlformats.org/officeDocument/2006/relationships/hyperlink" Target="#Flare!A9"/><Relationship Id="rId6" Type="http://schemas.openxmlformats.org/officeDocument/2006/relationships/hyperlink" Target="#Flare!A24"/><Relationship Id="rId11" Type="http://schemas.openxmlformats.org/officeDocument/2006/relationships/hyperlink" Target="#Flare!AB2"/><Relationship Id="rId5" Type="http://schemas.openxmlformats.org/officeDocument/2006/relationships/hyperlink" Target="#Flare!A10"/><Relationship Id="rId10" Type="http://schemas.openxmlformats.org/officeDocument/2006/relationships/hyperlink" Target="#Combustion!AD145"/><Relationship Id="rId4" Type="http://schemas.openxmlformats.org/officeDocument/2006/relationships/hyperlink" Target="#Flare!A50"/><Relationship Id="rId9" Type="http://schemas.openxmlformats.org/officeDocument/2006/relationships/hyperlink" Target="#Compositions!A1"/></Relationships>
</file>

<file path=xl/drawings/_rels/drawing4.xml.rels><?xml version="1.0" encoding="UTF-8" standalone="yes"?>
<Relationships xmlns="http://schemas.openxmlformats.org/package/2006/relationships"><Relationship Id="rId8" Type="http://schemas.openxmlformats.org/officeDocument/2006/relationships/hyperlink" Target="#'WasteBurner&amp;BurnPit'!A48"/><Relationship Id="rId13" Type="http://schemas.openxmlformats.org/officeDocument/2006/relationships/hyperlink" Target="#'WasteBurner&amp;BurnPit'!A19"/><Relationship Id="rId3" Type="http://schemas.openxmlformats.org/officeDocument/2006/relationships/hyperlink" Target="#'WasteBurner&amp;BurnPit'!A88"/><Relationship Id="rId7" Type="http://schemas.openxmlformats.org/officeDocument/2006/relationships/hyperlink" Target="#'WasteBurner&amp;BurnPit'!A31"/><Relationship Id="rId12" Type="http://schemas.openxmlformats.org/officeDocument/2006/relationships/hyperlink" Target="#'WasteBurner&amp;BurnPit'!AA2"/><Relationship Id="rId2" Type="http://schemas.openxmlformats.org/officeDocument/2006/relationships/hyperlink" Target="#'WasteBurner&amp;BurnPit'!A91"/><Relationship Id="rId1" Type="http://schemas.openxmlformats.org/officeDocument/2006/relationships/hyperlink" Target="#'WasteBurner&amp;BurnPit'!A94"/><Relationship Id="rId6" Type="http://schemas.openxmlformats.org/officeDocument/2006/relationships/hyperlink" Target="#'WasteBurner&amp;BurnPit'!A56"/><Relationship Id="rId11" Type="http://schemas.openxmlformats.org/officeDocument/2006/relationships/hyperlink" Target="#'WasteBurner&amp;BurnPit'!AA84"/><Relationship Id="rId5" Type="http://schemas.openxmlformats.org/officeDocument/2006/relationships/hyperlink" Target="#'WasteBurner&amp;BurnPit'!A47"/><Relationship Id="rId10" Type="http://schemas.openxmlformats.org/officeDocument/2006/relationships/hyperlink" Target="#'WasteBurner&amp;BurnPit'!A84"/><Relationship Id="rId4" Type="http://schemas.openxmlformats.org/officeDocument/2006/relationships/hyperlink" Target="#'WasteBurner&amp;BurnPit'!A12"/><Relationship Id="rId9" Type="http://schemas.openxmlformats.org/officeDocument/2006/relationships/hyperlink" Target="#'WasteBurner&amp;BurnPit'!A1"/><Relationship Id="rId14" Type="http://schemas.openxmlformats.org/officeDocument/2006/relationships/hyperlink" Target="#'WasteBurner&amp;BurnPit'!A57"/></Relationships>
</file>

<file path=xl/drawings/_rels/drawing5.xml.rels><?xml version="1.0" encoding="UTF-8" standalone="yes"?>
<Relationships xmlns="http://schemas.openxmlformats.org/package/2006/relationships"><Relationship Id="rId13" Type="http://schemas.openxmlformats.org/officeDocument/2006/relationships/hyperlink" Target="#'Vent (Process)'!A22"/><Relationship Id="rId18" Type="http://schemas.openxmlformats.org/officeDocument/2006/relationships/hyperlink" Target="#'Vent (Process)'!A138"/><Relationship Id="rId26" Type="http://schemas.openxmlformats.org/officeDocument/2006/relationships/hyperlink" Target="#'Vent (Process)'!A153"/><Relationship Id="rId39" Type="http://schemas.openxmlformats.org/officeDocument/2006/relationships/hyperlink" Target="#'Vent (Process)'!B99"/><Relationship Id="rId3" Type="http://schemas.openxmlformats.org/officeDocument/2006/relationships/hyperlink" Target="#'Vent (Process)'!A51"/><Relationship Id="rId21" Type="http://schemas.openxmlformats.org/officeDocument/2006/relationships/hyperlink" Target="#'Vent (Process)'!A144"/><Relationship Id="rId34" Type="http://schemas.openxmlformats.org/officeDocument/2006/relationships/hyperlink" Target="#'Vent (Process)'!B63"/><Relationship Id="rId42" Type="http://schemas.openxmlformats.org/officeDocument/2006/relationships/hyperlink" Target="#'Vent (Process)'!B119"/><Relationship Id="rId47" Type="http://schemas.openxmlformats.org/officeDocument/2006/relationships/hyperlink" Target="#'Vent (Process)'!AB129"/><Relationship Id="rId50" Type="http://schemas.openxmlformats.org/officeDocument/2006/relationships/hyperlink" Target="#'Vent (Process)'!AC41"/><Relationship Id="rId7" Type="http://schemas.openxmlformats.org/officeDocument/2006/relationships/hyperlink" Target="#'Vent (Process)'!A81"/><Relationship Id="rId12" Type="http://schemas.openxmlformats.org/officeDocument/2006/relationships/hyperlink" Target="#'Vent (Process)'!A111"/><Relationship Id="rId17" Type="http://schemas.openxmlformats.org/officeDocument/2006/relationships/hyperlink" Target="#'Vent (Process)'!A134"/><Relationship Id="rId25" Type="http://schemas.openxmlformats.org/officeDocument/2006/relationships/hyperlink" Target="#'Vent (Process)'!A168"/><Relationship Id="rId33" Type="http://schemas.openxmlformats.org/officeDocument/2006/relationships/hyperlink" Target="#'Vent (Process)'!B57"/><Relationship Id="rId38" Type="http://schemas.openxmlformats.org/officeDocument/2006/relationships/hyperlink" Target="#'Vent (Process)'!B93"/><Relationship Id="rId46" Type="http://schemas.openxmlformats.org/officeDocument/2006/relationships/hyperlink" Target="#'Vent (Process)'!AB126"/><Relationship Id="rId2" Type="http://schemas.openxmlformats.org/officeDocument/2006/relationships/hyperlink" Target="#'Vent (Process)'!A40"/><Relationship Id="rId16" Type="http://schemas.openxmlformats.org/officeDocument/2006/relationships/hyperlink" Target="#'Vent (Process)'!A131"/><Relationship Id="rId20" Type="http://schemas.openxmlformats.org/officeDocument/2006/relationships/hyperlink" Target="#'Vent (Process)'!A147"/><Relationship Id="rId29" Type="http://schemas.openxmlformats.org/officeDocument/2006/relationships/hyperlink" Target="#'Vent (Process)'!B22"/><Relationship Id="rId41" Type="http://schemas.openxmlformats.org/officeDocument/2006/relationships/hyperlink" Target="#'Vent (Process)'!B111"/><Relationship Id="rId1" Type="http://schemas.openxmlformats.org/officeDocument/2006/relationships/hyperlink" Target="#'Vent (Process)'!A34"/><Relationship Id="rId6" Type="http://schemas.openxmlformats.org/officeDocument/2006/relationships/hyperlink" Target="#'Vent (Process)'!A69"/><Relationship Id="rId11" Type="http://schemas.openxmlformats.org/officeDocument/2006/relationships/hyperlink" Target="#'Vent (Process)'!A105"/><Relationship Id="rId24" Type="http://schemas.openxmlformats.org/officeDocument/2006/relationships/hyperlink" Target="#'Vent (Process)'!A165"/><Relationship Id="rId32" Type="http://schemas.openxmlformats.org/officeDocument/2006/relationships/hyperlink" Target="#'Vent (Process)'!B51"/><Relationship Id="rId37" Type="http://schemas.openxmlformats.org/officeDocument/2006/relationships/hyperlink" Target="#'Vent (Process)'!B87"/><Relationship Id="rId40" Type="http://schemas.openxmlformats.org/officeDocument/2006/relationships/hyperlink" Target="#'Vent (Process)'!B105"/><Relationship Id="rId45" Type="http://schemas.openxmlformats.org/officeDocument/2006/relationships/hyperlink" Target="#Combustion!AD145"/><Relationship Id="rId5" Type="http://schemas.openxmlformats.org/officeDocument/2006/relationships/hyperlink" Target="#'Vent (Process)'!A63"/><Relationship Id="rId15" Type="http://schemas.openxmlformats.org/officeDocument/2006/relationships/hyperlink" Target="#'Vent (Process)'!A128"/><Relationship Id="rId23" Type="http://schemas.openxmlformats.org/officeDocument/2006/relationships/hyperlink" Target="#'Vent (Process)'!A159"/><Relationship Id="rId28" Type="http://schemas.openxmlformats.org/officeDocument/2006/relationships/hyperlink" Target="#'Vent (Process)'!A162"/><Relationship Id="rId36" Type="http://schemas.openxmlformats.org/officeDocument/2006/relationships/hyperlink" Target="#'Vent (Process)'!B81"/><Relationship Id="rId49" Type="http://schemas.openxmlformats.org/officeDocument/2006/relationships/hyperlink" Target="#'WasteBurner&amp;BurnPit'!AA2"/><Relationship Id="rId10" Type="http://schemas.openxmlformats.org/officeDocument/2006/relationships/hyperlink" Target="#'Vent (Process)'!A99"/><Relationship Id="rId19" Type="http://schemas.openxmlformats.org/officeDocument/2006/relationships/hyperlink" Target="#'Vent (Process)'!A141"/><Relationship Id="rId31" Type="http://schemas.openxmlformats.org/officeDocument/2006/relationships/hyperlink" Target="#'Vent (Process)'!B40"/><Relationship Id="rId44" Type="http://schemas.openxmlformats.org/officeDocument/2006/relationships/hyperlink" Target="#'Vent (Process)'!A1"/><Relationship Id="rId4" Type="http://schemas.openxmlformats.org/officeDocument/2006/relationships/hyperlink" Target="#'Vent (Process)'!A57"/><Relationship Id="rId9" Type="http://schemas.openxmlformats.org/officeDocument/2006/relationships/hyperlink" Target="#'Vent (Process)'!A93"/><Relationship Id="rId14" Type="http://schemas.openxmlformats.org/officeDocument/2006/relationships/hyperlink" Target="#'Vent (Process)'!C120"/><Relationship Id="rId22" Type="http://schemas.openxmlformats.org/officeDocument/2006/relationships/hyperlink" Target="#'Vent (Process)'!A156"/><Relationship Id="rId27" Type="http://schemas.openxmlformats.org/officeDocument/2006/relationships/hyperlink" Target="#'Vent (Process)'!A150"/><Relationship Id="rId30" Type="http://schemas.openxmlformats.org/officeDocument/2006/relationships/hyperlink" Target="#'Vent (Process)'!B34"/><Relationship Id="rId35" Type="http://schemas.openxmlformats.org/officeDocument/2006/relationships/hyperlink" Target="#'Vent (Process)'!B69"/><Relationship Id="rId43" Type="http://schemas.openxmlformats.org/officeDocument/2006/relationships/hyperlink" Target="#'Vent (Process)'!A126"/><Relationship Id="rId48" Type="http://schemas.openxmlformats.org/officeDocument/2006/relationships/hyperlink" Target="#'Vent (Process)'!AB2"/><Relationship Id="rId8" Type="http://schemas.openxmlformats.org/officeDocument/2006/relationships/hyperlink" Target="#'Vent (Process)'!A87"/><Relationship Id="rId51" Type="http://schemas.openxmlformats.org/officeDocument/2006/relationships/hyperlink" Target="#'Vent (Process)'!A119"/></Relationships>
</file>

<file path=xl/drawings/_rels/drawing6.xml.rels><?xml version="1.0" encoding="UTF-8" standalone="yes"?>
<Relationships xmlns="http://schemas.openxmlformats.org/package/2006/relationships"><Relationship Id="rId8" Type="http://schemas.openxmlformats.org/officeDocument/2006/relationships/hyperlink" Target="#'Vent (Storage tanks)'!A76"/><Relationship Id="rId3" Type="http://schemas.openxmlformats.org/officeDocument/2006/relationships/hyperlink" Target="#'Vent (Storage tanks)'!B35"/><Relationship Id="rId7" Type="http://schemas.openxmlformats.org/officeDocument/2006/relationships/hyperlink" Target="#'Vent (Storage tanks)'!A78"/><Relationship Id="rId2" Type="http://schemas.openxmlformats.org/officeDocument/2006/relationships/hyperlink" Target="#'Vent (Storage tanks)'!B15"/><Relationship Id="rId1" Type="http://schemas.openxmlformats.org/officeDocument/2006/relationships/hyperlink" Target="#'Vent (Storage tanks)'!A14"/><Relationship Id="rId6" Type="http://schemas.openxmlformats.org/officeDocument/2006/relationships/hyperlink" Target="#'Vent (Storage tanks)'!A56"/><Relationship Id="rId11" Type="http://schemas.openxmlformats.org/officeDocument/2006/relationships/hyperlink" Target="#'Vent (Storage Tanks)'!AB2"/><Relationship Id="rId5" Type="http://schemas.openxmlformats.org/officeDocument/2006/relationships/hyperlink" Target="#'Vent (Storage tanks)'!A35"/><Relationship Id="rId10" Type="http://schemas.openxmlformats.org/officeDocument/2006/relationships/hyperlink" Target="#'Vent (Storage Tanks)'!AB76"/><Relationship Id="rId4" Type="http://schemas.openxmlformats.org/officeDocument/2006/relationships/hyperlink" Target="#'Vent (Storage tanks)'!A57"/><Relationship Id="rId9" Type="http://schemas.openxmlformats.org/officeDocument/2006/relationships/hyperlink" Target="#'Vent (Storage tanks)'!A1"/></Relationships>
</file>

<file path=xl/drawings/_rels/drawing7.xml.rels><?xml version="1.0" encoding="UTF-8" standalone="yes"?>
<Relationships xmlns="http://schemas.openxmlformats.org/package/2006/relationships"><Relationship Id="rId8" Type="http://schemas.openxmlformats.org/officeDocument/2006/relationships/hyperlink" Target="#'Vent (Loading)'!AB79"/><Relationship Id="rId3" Type="http://schemas.openxmlformats.org/officeDocument/2006/relationships/hyperlink" Target="#'Vent (Loading)'!A36"/><Relationship Id="rId7" Type="http://schemas.openxmlformats.org/officeDocument/2006/relationships/hyperlink" Target="#'Vent (Loading)'!AB76"/><Relationship Id="rId2" Type="http://schemas.openxmlformats.org/officeDocument/2006/relationships/hyperlink" Target="#'Vent (Loading)'!A15"/><Relationship Id="rId1" Type="http://schemas.openxmlformats.org/officeDocument/2006/relationships/hyperlink" Target="#'Vent (Loading)'!A59"/><Relationship Id="rId6" Type="http://schemas.openxmlformats.org/officeDocument/2006/relationships/hyperlink" Target="#'Vent (Loading)'!A1"/><Relationship Id="rId5" Type="http://schemas.openxmlformats.org/officeDocument/2006/relationships/hyperlink" Target="#'Vent (Loading)'!A76"/><Relationship Id="rId10" Type="http://schemas.openxmlformats.org/officeDocument/2006/relationships/hyperlink" Target="#'Vent (Loading)'!AG61"/><Relationship Id="rId4" Type="http://schemas.openxmlformats.org/officeDocument/2006/relationships/hyperlink" Target="#'Vent (Loading)'!A78"/><Relationship Id="rId9" Type="http://schemas.openxmlformats.org/officeDocument/2006/relationships/hyperlink" Target="#'Vent (Loading)'!AB2"/></Relationships>
</file>

<file path=xl/drawings/_rels/drawing8.xml.rels><?xml version="1.0" encoding="UTF-8" standalone="yes"?>
<Relationships xmlns="http://schemas.openxmlformats.org/package/2006/relationships"><Relationship Id="rId8" Type="http://schemas.openxmlformats.org/officeDocument/2006/relationships/hyperlink" Target="#'Fugitives (Equipment Leaks)'!A1"/><Relationship Id="rId3" Type="http://schemas.openxmlformats.org/officeDocument/2006/relationships/hyperlink" Target="#'Fugitives (Equipment Leaks)'!B142"/><Relationship Id="rId7" Type="http://schemas.openxmlformats.org/officeDocument/2006/relationships/hyperlink" Target="#'Fugitives (Equipment Leaks)'!A400"/><Relationship Id="rId2" Type="http://schemas.openxmlformats.org/officeDocument/2006/relationships/hyperlink" Target="#'Fugitives (Equipment Leaks)'!A402"/><Relationship Id="rId1" Type="http://schemas.openxmlformats.org/officeDocument/2006/relationships/hyperlink" Target="#'Fugitives (Equipment Leaks)'!A18"/><Relationship Id="rId6" Type="http://schemas.openxmlformats.org/officeDocument/2006/relationships/hyperlink" Target="#'Fugitives (Equipment Leaks)'!A408"/><Relationship Id="rId5" Type="http://schemas.openxmlformats.org/officeDocument/2006/relationships/hyperlink" Target="#'Fugitives (Equipment Leaks)'!B158"/><Relationship Id="rId10" Type="http://schemas.openxmlformats.org/officeDocument/2006/relationships/hyperlink" Target="#'Fugitives (Equipment Leaks)'!AH2"/><Relationship Id="rId4" Type="http://schemas.openxmlformats.org/officeDocument/2006/relationships/hyperlink" Target="#'Fugitives (Equipment Leaks)'!B281"/><Relationship Id="rId9" Type="http://schemas.openxmlformats.org/officeDocument/2006/relationships/hyperlink" Target="#'Fugitives (Equipment Leaks)'!AH401"/></Relationships>
</file>

<file path=xl/drawings/_rels/drawing9.xml.rels><?xml version="1.0" encoding="UTF-8" standalone="yes"?>
<Relationships xmlns="http://schemas.openxmlformats.org/package/2006/relationships"><Relationship Id="rId3" Type="http://schemas.openxmlformats.org/officeDocument/2006/relationships/hyperlink" Target="#'Fugitives (WastewaterTreatment)'!A1"/><Relationship Id="rId7" Type="http://schemas.openxmlformats.org/officeDocument/2006/relationships/hyperlink" Target="#'Fugitives (WastewaterTreatment)'!AC20"/><Relationship Id="rId2" Type="http://schemas.openxmlformats.org/officeDocument/2006/relationships/hyperlink" Target="#'Fugitives (WastewaterTreatment)'!A20"/><Relationship Id="rId1" Type="http://schemas.openxmlformats.org/officeDocument/2006/relationships/hyperlink" Target="#'Fugitives (WastewaterTreatment)'!A11"/><Relationship Id="rId6" Type="http://schemas.openxmlformats.org/officeDocument/2006/relationships/hyperlink" Target="#'Fugitives (WastewaterTreatment)'!AC2"/><Relationship Id="rId5" Type="http://schemas.openxmlformats.org/officeDocument/2006/relationships/hyperlink" Target="#'Fugitives (WastewaterTreatment)'!AC18"/><Relationship Id="rId4" Type="http://schemas.openxmlformats.org/officeDocument/2006/relationships/hyperlink" Target="#'Fugitives (WastewaterTreatment)'!A18"/></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37234</xdr:rowOff>
    </xdr:from>
    <xdr:to>
      <xdr:col>0</xdr:col>
      <xdr:colOff>1101725</xdr:colOff>
      <xdr:row>0</xdr:row>
      <xdr:rowOff>323273</xdr:rowOff>
    </xdr:to>
    <xdr:sp macro="" textlink="">
      <xdr:nvSpPr>
        <xdr:cNvPr id="2" name="Rounded Rectangle 1">
          <a:hlinkClick xmlns:r="http://schemas.openxmlformats.org/officeDocument/2006/relationships" r:id="rId1"/>
        </xdr:cNvPr>
        <xdr:cNvSpPr/>
      </xdr:nvSpPr>
      <xdr:spPr>
        <a:xfrm>
          <a:off x="10786509184" y="37234"/>
          <a:ext cx="996950" cy="28603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a:t>
          </a:r>
        </a:p>
      </xdr:txBody>
    </xdr:sp>
    <xdr:clientData/>
  </xdr:twoCellAnchor>
  <xdr:twoCellAnchor>
    <xdr:from>
      <xdr:col>0</xdr:col>
      <xdr:colOff>1990725</xdr:colOff>
      <xdr:row>8</xdr:row>
      <xdr:rowOff>34925</xdr:rowOff>
    </xdr:from>
    <xdr:to>
      <xdr:col>1</xdr:col>
      <xdr:colOff>971550</xdr:colOff>
      <xdr:row>8</xdr:row>
      <xdr:rowOff>390525</xdr:rowOff>
    </xdr:to>
    <xdr:sp macro="" textlink="">
      <xdr:nvSpPr>
        <xdr:cNvPr id="3" name="Rounded Rectangle 2">
          <a:hlinkClick xmlns:r="http://schemas.openxmlformats.org/officeDocument/2006/relationships" r:id="rId2"/>
        </xdr:cNvPr>
        <xdr:cNvSpPr/>
      </xdr:nvSpPr>
      <xdr:spPr>
        <a:xfrm>
          <a:off x="10926441825" y="2574925"/>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2</a:t>
          </a:r>
        </a:p>
      </xdr:txBody>
    </xdr:sp>
    <xdr:clientData/>
  </xdr:twoCellAnchor>
  <xdr:twoCellAnchor>
    <xdr:from>
      <xdr:col>0</xdr:col>
      <xdr:colOff>2010065</xdr:colOff>
      <xdr:row>9</xdr:row>
      <xdr:rowOff>34925</xdr:rowOff>
    </xdr:from>
    <xdr:to>
      <xdr:col>1</xdr:col>
      <xdr:colOff>986560</xdr:colOff>
      <xdr:row>9</xdr:row>
      <xdr:rowOff>390525</xdr:rowOff>
    </xdr:to>
    <xdr:sp macro="" textlink="">
      <xdr:nvSpPr>
        <xdr:cNvPr id="4" name="Rounded Rectangle 3">
          <a:hlinkClick xmlns:r="http://schemas.openxmlformats.org/officeDocument/2006/relationships" r:id="rId3"/>
        </xdr:cNvPr>
        <xdr:cNvSpPr/>
      </xdr:nvSpPr>
      <xdr:spPr>
        <a:xfrm>
          <a:off x="10784603894" y="3094470"/>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3</a:t>
          </a:r>
        </a:p>
      </xdr:txBody>
    </xdr:sp>
    <xdr:clientData/>
  </xdr:twoCellAnchor>
  <xdr:twoCellAnchor>
    <xdr:from>
      <xdr:col>1</xdr:col>
      <xdr:colOff>808215</xdr:colOff>
      <xdr:row>10</xdr:row>
      <xdr:rowOff>34925</xdr:rowOff>
    </xdr:from>
    <xdr:to>
      <xdr:col>1</xdr:col>
      <xdr:colOff>1815844</xdr:colOff>
      <xdr:row>10</xdr:row>
      <xdr:rowOff>390525</xdr:rowOff>
    </xdr:to>
    <xdr:sp macro="" textlink="">
      <xdr:nvSpPr>
        <xdr:cNvPr id="5" name="Rounded Rectangle 4">
          <a:hlinkClick xmlns:r="http://schemas.openxmlformats.org/officeDocument/2006/relationships" r:id="rId4"/>
        </xdr:cNvPr>
        <xdr:cNvSpPr/>
      </xdr:nvSpPr>
      <xdr:spPr>
        <a:xfrm>
          <a:off x="10783774610" y="3556289"/>
          <a:ext cx="10076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4</a:t>
          </a:r>
        </a:p>
      </xdr:txBody>
    </xdr:sp>
    <xdr:clientData/>
  </xdr:twoCellAnchor>
  <xdr:twoCellAnchor>
    <xdr:from>
      <xdr:col>1</xdr:col>
      <xdr:colOff>1506974</xdr:colOff>
      <xdr:row>13</xdr:row>
      <xdr:rowOff>44163</xdr:rowOff>
    </xdr:from>
    <xdr:to>
      <xdr:col>1</xdr:col>
      <xdr:colOff>2508254</xdr:colOff>
      <xdr:row>13</xdr:row>
      <xdr:rowOff>399763</xdr:rowOff>
    </xdr:to>
    <xdr:sp macro="" textlink="">
      <xdr:nvSpPr>
        <xdr:cNvPr id="6" name="Rounded Rectangle 5">
          <a:hlinkClick xmlns:r="http://schemas.openxmlformats.org/officeDocument/2006/relationships" r:id="rId5"/>
        </xdr:cNvPr>
        <xdr:cNvSpPr/>
      </xdr:nvSpPr>
      <xdr:spPr>
        <a:xfrm>
          <a:off x="10783647927" y="4950981"/>
          <a:ext cx="100128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5</a:t>
          </a:r>
        </a:p>
      </xdr:txBody>
    </xdr:sp>
    <xdr:clientData/>
  </xdr:twoCellAnchor>
  <xdr:twoCellAnchor>
    <xdr:from>
      <xdr:col>1</xdr:col>
      <xdr:colOff>578427</xdr:colOff>
      <xdr:row>14</xdr:row>
      <xdr:rowOff>69561</xdr:rowOff>
    </xdr:from>
    <xdr:to>
      <xdr:col>1</xdr:col>
      <xdr:colOff>1586056</xdr:colOff>
      <xdr:row>14</xdr:row>
      <xdr:rowOff>425161</xdr:rowOff>
    </xdr:to>
    <xdr:sp macro="" textlink="">
      <xdr:nvSpPr>
        <xdr:cNvPr id="7" name="Rounded Rectangle 6">
          <a:hlinkClick xmlns:r="http://schemas.openxmlformats.org/officeDocument/2006/relationships" r:id="rId6"/>
        </xdr:cNvPr>
        <xdr:cNvSpPr/>
      </xdr:nvSpPr>
      <xdr:spPr>
        <a:xfrm>
          <a:off x="10784004398" y="5438197"/>
          <a:ext cx="10076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6</a:t>
          </a:r>
        </a:p>
      </xdr:txBody>
    </xdr:sp>
    <xdr:clientData/>
  </xdr:twoCellAnchor>
  <xdr:twoCellAnchor>
    <xdr:from>
      <xdr:col>1</xdr:col>
      <xdr:colOff>577850</xdr:colOff>
      <xdr:row>15</xdr:row>
      <xdr:rowOff>34925</xdr:rowOff>
    </xdr:from>
    <xdr:to>
      <xdr:col>1</xdr:col>
      <xdr:colOff>1574800</xdr:colOff>
      <xdr:row>15</xdr:row>
      <xdr:rowOff>390525</xdr:rowOff>
    </xdr:to>
    <xdr:sp macro="" textlink="">
      <xdr:nvSpPr>
        <xdr:cNvPr id="8" name="Rounded Rectangle 7">
          <a:hlinkClick xmlns:r="http://schemas.openxmlformats.org/officeDocument/2006/relationships" r:id="rId7"/>
        </xdr:cNvPr>
        <xdr:cNvSpPr/>
      </xdr:nvSpPr>
      <xdr:spPr>
        <a:xfrm>
          <a:off x="10925838575" y="5797550"/>
          <a:ext cx="9969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7</a:t>
          </a:r>
        </a:p>
      </xdr:txBody>
    </xdr:sp>
    <xdr:clientData/>
  </xdr:twoCellAnchor>
  <xdr:twoCellAnchor>
    <xdr:from>
      <xdr:col>1</xdr:col>
      <xdr:colOff>565150</xdr:colOff>
      <xdr:row>16</xdr:row>
      <xdr:rowOff>56862</xdr:rowOff>
    </xdr:from>
    <xdr:to>
      <xdr:col>1</xdr:col>
      <xdr:colOff>1566429</xdr:colOff>
      <xdr:row>16</xdr:row>
      <xdr:rowOff>412462</xdr:rowOff>
    </xdr:to>
    <xdr:sp macro="" textlink="">
      <xdr:nvSpPr>
        <xdr:cNvPr id="9" name="Rounded Rectangle 8">
          <a:hlinkClick xmlns:r="http://schemas.openxmlformats.org/officeDocument/2006/relationships" r:id="rId8"/>
        </xdr:cNvPr>
        <xdr:cNvSpPr/>
      </xdr:nvSpPr>
      <xdr:spPr>
        <a:xfrm>
          <a:off x="10784024025" y="6349135"/>
          <a:ext cx="100127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8</a:t>
          </a:r>
        </a:p>
      </xdr:txBody>
    </xdr:sp>
    <xdr:clientData/>
  </xdr:twoCellAnchor>
  <xdr:twoCellAnchor>
    <xdr:from>
      <xdr:col>1</xdr:col>
      <xdr:colOff>547832</xdr:colOff>
      <xdr:row>17</xdr:row>
      <xdr:rowOff>34925</xdr:rowOff>
    </xdr:from>
    <xdr:to>
      <xdr:col>1</xdr:col>
      <xdr:colOff>1568161</xdr:colOff>
      <xdr:row>17</xdr:row>
      <xdr:rowOff>390525</xdr:rowOff>
    </xdr:to>
    <xdr:sp macro="" textlink="">
      <xdr:nvSpPr>
        <xdr:cNvPr id="10" name="Rounded Rectangle 9">
          <a:hlinkClick xmlns:r="http://schemas.openxmlformats.org/officeDocument/2006/relationships" r:id="rId9"/>
        </xdr:cNvPr>
        <xdr:cNvSpPr/>
      </xdr:nvSpPr>
      <xdr:spPr>
        <a:xfrm>
          <a:off x="10784022293" y="6789016"/>
          <a:ext cx="102032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514927</xdr:colOff>
      <xdr:row>24</xdr:row>
      <xdr:rowOff>62028</xdr:rowOff>
    </xdr:from>
    <xdr:to>
      <xdr:col>1</xdr:col>
      <xdr:colOff>1528906</xdr:colOff>
      <xdr:row>24</xdr:row>
      <xdr:rowOff>423978</xdr:rowOff>
    </xdr:to>
    <xdr:sp macro="" textlink="">
      <xdr:nvSpPr>
        <xdr:cNvPr id="11" name="Rounded Rectangle 10">
          <a:hlinkClick xmlns:r="http://schemas.openxmlformats.org/officeDocument/2006/relationships" r:id="rId10"/>
        </xdr:cNvPr>
        <xdr:cNvSpPr/>
      </xdr:nvSpPr>
      <xdr:spPr>
        <a:xfrm>
          <a:off x="10784061548" y="10048846"/>
          <a:ext cx="1013979"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10</a:t>
          </a:r>
        </a:p>
      </xdr:txBody>
    </xdr:sp>
    <xdr:clientData/>
  </xdr:twoCellAnchor>
  <xdr:twoCellAnchor>
    <xdr:from>
      <xdr:col>1</xdr:col>
      <xdr:colOff>535132</xdr:colOff>
      <xdr:row>18</xdr:row>
      <xdr:rowOff>47625</xdr:rowOff>
    </xdr:from>
    <xdr:to>
      <xdr:col>1</xdr:col>
      <xdr:colOff>1551132</xdr:colOff>
      <xdr:row>18</xdr:row>
      <xdr:rowOff>403225</xdr:rowOff>
    </xdr:to>
    <xdr:sp macro="" textlink="">
      <xdr:nvSpPr>
        <xdr:cNvPr id="12" name="Rounded Rectangle 11">
          <a:hlinkClick xmlns:r="http://schemas.openxmlformats.org/officeDocument/2006/relationships" r:id="rId9"/>
        </xdr:cNvPr>
        <xdr:cNvSpPr/>
      </xdr:nvSpPr>
      <xdr:spPr>
        <a:xfrm>
          <a:off x="10784039322" y="7263534"/>
          <a:ext cx="101600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535132</xdr:colOff>
      <xdr:row>19</xdr:row>
      <xdr:rowOff>34925</xdr:rowOff>
    </xdr:from>
    <xdr:to>
      <xdr:col>1</xdr:col>
      <xdr:colOff>1551132</xdr:colOff>
      <xdr:row>19</xdr:row>
      <xdr:rowOff>390525</xdr:rowOff>
    </xdr:to>
    <xdr:sp macro="" textlink="">
      <xdr:nvSpPr>
        <xdr:cNvPr id="13" name="Rounded Rectangle 12">
          <a:hlinkClick xmlns:r="http://schemas.openxmlformats.org/officeDocument/2006/relationships" r:id="rId9"/>
        </xdr:cNvPr>
        <xdr:cNvSpPr/>
      </xdr:nvSpPr>
      <xdr:spPr>
        <a:xfrm>
          <a:off x="10784039322" y="7712652"/>
          <a:ext cx="101600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503959</xdr:colOff>
      <xdr:row>20</xdr:row>
      <xdr:rowOff>45316</xdr:rowOff>
    </xdr:from>
    <xdr:to>
      <xdr:col>1</xdr:col>
      <xdr:colOff>1513609</xdr:colOff>
      <xdr:row>20</xdr:row>
      <xdr:rowOff>400916</xdr:rowOff>
    </xdr:to>
    <xdr:sp macro="" textlink="">
      <xdr:nvSpPr>
        <xdr:cNvPr id="14" name="Rounded Rectangle 13">
          <a:hlinkClick xmlns:r="http://schemas.openxmlformats.org/officeDocument/2006/relationships" r:id="rId9"/>
        </xdr:cNvPr>
        <xdr:cNvSpPr/>
      </xdr:nvSpPr>
      <xdr:spPr>
        <a:xfrm>
          <a:off x="10784076845" y="8184861"/>
          <a:ext cx="100965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542059</xdr:colOff>
      <xdr:row>21</xdr:row>
      <xdr:rowOff>47626</xdr:rowOff>
    </xdr:from>
    <xdr:to>
      <xdr:col>1</xdr:col>
      <xdr:colOff>1539009</xdr:colOff>
      <xdr:row>21</xdr:row>
      <xdr:rowOff>415926</xdr:rowOff>
    </xdr:to>
    <xdr:sp macro="" textlink="">
      <xdr:nvSpPr>
        <xdr:cNvPr id="15" name="Rounded Rectangle 14">
          <a:hlinkClick xmlns:r="http://schemas.openxmlformats.org/officeDocument/2006/relationships" r:id="rId9"/>
        </xdr:cNvPr>
        <xdr:cNvSpPr/>
      </xdr:nvSpPr>
      <xdr:spPr>
        <a:xfrm>
          <a:off x="10784051445" y="8648990"/>
          <a:ext cx="996950" cy="3683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1494844</xdr:colOff>
      <xdr:row>22</xdr:row>
      <xdr:rowOff>59173</xdr:rowOff>
    </xdr:from>
    <xdr:to>
      <xdr:col>1</xdr:col>
      <xdr:colOff>2502474</xdr:colOff>
      <xdr:row>22</xdr:row>
      <xdr:rowOff>414773</xdr:rowOff>
    </xdr:to>
    <xdr:sp macro="" textlink="">
      <xdr:nvSpPr>
        <xdr:cNvPr id="16" name="Rounded Rectangle 15">
          <a:hlinkClick xmlns:r="http://schemas.openxmlformats.org/officeDocument/2006/relationships" r:id="rId9"/>
        </xdr:cNvPr>
        <xdr:cNvSpPr/>
      </xdr:nvSpPr>
      <xdr:spPr>
        <a:xfrm>
          <a:off x="10783653707" y="9122355"/>
          <a:ext cx="1007630"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1</xdr:col>
      <xdr:colOff>514927</xdr:colOff>
      <xdr:row>23</xdr:row>
      <xdr:rowOff>55678</xdr:rowOff>
    </xdr:from>
    <xdr:to>
      <xdr:col>1</xdr:col>
      <xdr:colOff>1528906</xdr:colOff>
      <xdr:row>23</xdr:row>
      <xdr:rowOff>411278</xdr:rowOff>
    </xdr:to>
    <xdr:sp macro="" textlink="">
      <xdr:nvSpPr>
        <xdr:cNvPr id="17" name="Rounded Rectangle 16">
          <a:hlinkClick xmlns:r="http://schemas.openxmlformats.org/officeDocument/2006/relationships" r:id="rId9"/>
        </xdr:cNvPr>
        <xdr:cNvSpPr/>
      </xdr:nvSpPr>
      <xdr:spPr>
        <a:xfrm>
          <a:off x="10784061548" y="9580678"/>
          <a:ext cx="1013979" cy="3556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راهنما 9</a:t>
          </a:r>
        </a:p>
      </xdr:txBody>
    </xdr:sp>
    <xdr:clientData/>
  </xdr:twoCellAnchor>
  <xdr:twoCellAnchor>
    <xdr:from>
      <xdr:col>0</xdr:col>
      <xdr:colOff>1968500</xdr:colOff>
      <xdr:row>38</xdr:row>
      <xdr:rowOff>74083</xdr:rowOff>
    </xdr:from>
    <xdr:to>
      <xdr:col>2</xdr:col>
      <xdr:colOff>1873250</xdr:colOff>
      <xdr:row>38</xdr:row>
      <xdr:rowOff>360122</xdr:rowOff>
    </xdr:to>
    <xdr:sp macro="" textlink="">
      <xdr:nvSpPr>
        <xdr:cNvPr id="18" name="Rounded Rectangle 17">
          <a:hlinkClick xmlns:r="http://schemas.openxmlformats.org/officeDocument/2006/relationships" r:id="rId11"/>
        </xdr:cNvPr>
        <xdr:cNvSpPr/>
      </xdr:nvSpPr>
      <xdr:spPr>
        <a:xfrm>
          <a:off x="10750179583" y="16647583"/>
          <a:ext cx="4508500" cy="28603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برگشت به بالاي صفحه</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494446</xdr:colOff>
      <xdr:row>5</xdr:row>
      <xdr:rowOff>75046</xdr:rowOff>
    </xdr:from>
    <xdr:to>
      <xdr:col>19</xdr:col>
      <xdr:colOff>450862</xdr:colOff>
      <xdr:row>6</xdr:row>
      <xdr:rowOff>284308</xdr:rowOff>
    </xdr:to>
    <xdr:sp macro="" textlink="">
      <xdr:nvSpPr>
        <xdr:cNvPr id="3" name="Rounded Rectangle 2">
          <a:hlinkClick xmlns:r="http://schemas.openxmlformats.org/officeDocument/2006/relationships" r:id="rId1"/>
        </xdr:cNvPr>
        <xdr:cNvSpPr/>
      </xdr:nvSpPr>
      <xdr:spPr>
        <a:xfrm>
          <a:off x="10808036538" y="3046846"/>
          <a:ext cx="2775816"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(ب): سنجش غلظت </a:t>
          </a:r>
          <a:r>
            <a:rPr lang="en-US" sz="1200" b="1">
              <a:solidFill>
                <a:sysClr val="windowText" lastClr="000000"/>
              </a:solidFill>
              <a:cs typeface="B Titr" panose="00000700000000000000" pitchFamily="2" charset="-78"/>
            </a:rPr>
            <a:t>VOC</a:t>
          </a:r>
          <a:r>
            <a:rPr lang="en-US" sz="1200">
              <a:solidFill>
                <a:sysClr val="windowText" lastClr="000000"/>
              </a:solidFill>
              <a:cs typeface="B Titr" panose="00000700000000000000" pitchFamily="2" charset="-78"/>
            </a:rPr>
            <a:t> </a:t>
          </a:r>
          <a:r>
            <a:rPr lang="fa-IR" sz="1200">
              <a:solidFill>
                <a:sysClr val="windowText" lastClr="000000"/>
              </a:solidFill>
              <a:cs typeface="B Titr" panose="00000700000000000000" pitchFamily="2" charset="-78"/>
            </a:rPr>
            <a:t>آب خنک‎کن</a:t>
          </a:r>
          <a:endParaRPr lang="fa-IR" sz="1200" u="sng">
            <a:solidFill>
              <a:sysClr val="windowText" lastClr="000000"/>
            </a:solidFill>
            <a:cs typeface="B Titr" panose="00000700000000000000" pitchFamily="2" charset="-78"/>
          </a:endParaRPr>
        </a:p>
      </xdr:txBody>
    </xdr:sp>
    <xdr:clientData/>
  </xdr:twoCellAnchor>
  <xdr:twoCellAnchor>
    <xdr:from>
      <xdr:col>19</xdr:col>
      <xdr:colOff>545247</xdr:colOff>
      <xdr:row>5</xdr:row>
      <xdr:rowOff>68696</xdr:rowOff>
    </xdr:from>
    <xdr:to>
      <xdr:col>23</xdr:col>
      <xdr:colOff>423442</xdr:colOff>
      <xdr:row>6</xdr:row>
      <xdr:rowOff>277958</xdr:rowOff>
    </xdr:to>
    <xdr:sp macro="" textlink="">
      <xdr:nvSpPr>
        <xdr:cNvPr id="4" name="Rounded Rectangle 3">
          <a:hlinkClick xmlns:r="http://schemas.openxmlformats.org/officeDocument/2006/relationships" r:id="rId2"/>
        </xdr:cNvPr>
        <xdr:cNvSpPr/>
      </xdr:nvSpPr>
      <xdr:spPr>
        <a:xfrm>
          <a:off x="10805168358" y="3040496"/>
          <a:ext cx="2773795"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(ج):  استفاده از ضرایب انتشار </a:t>
          </a:r>
          <a:r>
            <a:rPr lang="en-US" sz="1200" b="1">
              <a:solidFill>
                <a:sysClr val="windowText" lastClr="000000"/>
              </a:solidFill>
              <a:cs typeface="B Titr" panose="00000700000000000000" pitchFamily="2" charset="-78"/>
            </a:rPr>
            <a:t>VOC</a:t>
          </a:r>
          <a:r>
            <a:rPr lang="fa-IR" sz="1200" b="1">
              <a:solidFill>
                <a:sysClr val="windowText" lastClr="000000"/>
              </a:solidFill>
              <a:cs typeface="B Titr" panose="00000700000000000000" pitchFamily="2" charset="-78"/>
            </a:rPr>
            <a:t> </a:t>
          </a:r>
          <a:endParaRPr lang="fa-IR" sz="1200" b="1" u="sng">
            <a:solidFill>
              <a:sysClr val="windowText" lastClr="000000"/>
            </a:solidFill>
            <a:cs typeface="B Titr" panose="00000700000000000000" pitchFamily="2" charset="-78"/>
          </a:endParaRPr>
        </a:p>
      </xdr:txBody>
    </xdr:sp>
    <xdr:clientData/>
  </xdr:twoCellAnchor>
  <xdr:twoCellAnchor>
    <xdr:from>
      <xdr:col>1</xdr:col>
      <xdr:colOff>476250</xdr:colOff>
      <xdr:row>36</xdr:row>
      <xdr:rowOff>337911</xdr:rowOff>
    </xdr:from>
    <xdr:to>
      <xdr:col>9</xdr:col>
      <xdr:colOff>269875</xdr:colOff>
      <xdr:row>36</xdr:row>
      <xdr:rowOff>716643</xdr:rowOff>
    </xdr:to>
    <xdr:sp macro="" textlink="">
      <xdr:nvSpPr>
        <xdr:cNvPr id="9" name="Rounded Rectangle 8">
          <a:hlinkClick xmlns:r="http://schemas.openxmlformats.org/officeDocument/2006/relationships" r:id="rId3"/>
        </xdr:cNvPr>
        <xdr:cNvSpPr/>
      </xdr:nvSpPr>
      <xdr:spPr>
        <a:xfrm>
          <a:off x="10846019983" y="20521840"/>
          <a:ext cx="4782910" cy="37873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سنجش يا تخمين </a:t>
          </a:r>
          <a:r>
            <a:rPr lang="en-US" sz="1050" b="1">
              <a:solidFill>
                <a:sysClr val="windowText" lastClr="000000"/>
              </a:solidFill>
              <a:cs typeface="+mj-cs"/>
            </a:rPr>
            <a:t>TDS</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 آب خنک‎کن</a:t>
          </a:r>
          <a:endParaRPr lang="fa-IR" sz="1050" u="sng">
            <a:solidFill>
              <a:sysClr val="windowText" lastClr="000000"/>
            </a:solidFill>
            <a:cs typeface="B Titr" panose="00000700000000000000" pitchFamily="2" charset="-78"/>
          </a:endParaRPr>
        </a:p>
      </xdr:txBody>
    </xdr:sp>
    <xdr:clientData/>
  </xdr:twoCellAnchor>
  <xdr:twoCellAnchor>
    <xdr:from>
      <xdr:col>0</xdr:col>
      <xdr:colOff>20412</xdr:colOff>
      <xdr:row>9</xdr:row>
      <xdr:rowOff>104359</xdr:rowOff>
    </xdr:from>
    <xdr:to>
      <xdr:col>0</xdr:col>
      <xdr:colOff>328387</xdr:colOff>
      <xdr:row>12</xdr:row>
      <xdr:rowOff>322075</xdr:rowOff>
    </xdr:to>
    <xdr:sp macro="" textlink="">
      <xdr:nvSpPr>
        <xdr:cNvPr id="10" name="Rounded Rectangle 9">
          <a:hlinkClick xmlns:r="http://schemas.openxmlformats.org/officeDocument/2006/relationships" r:id="rId4"/>
        </xdr:cNvPr>
        <xdr:cNvSpPr/>
      </xdr:nvSpPr>
      <xdr:spPr>
        <a:xfrm rot="16200000">
          <a:off x="10856243707" y="6032765"/>
          <a:ext cx="207735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11</xdr:col>
      <xdr:colOff>224290</xdr:colOff>
      <xdr:row>5</xdr:row>
      <xdr:rowOff>75046</xdr:rowOff>
    </xdr:from>
    <xdr:to>
      <xdr:col>15</xdr:col>
      <xdr:colOff>402671</xdr:colOff>
      <xdr:row>6</xdr:row>
      <xdr:rowOff>284308</xdr:rowOff>
    </xdr:to>
    <xdr:sp macro="" textlink="">
      <xdr:nvSpPr>
        <xdr:cNvPr id="11" name="Rounded Rectangle 10">
          <a:hlinkClick xmlns:r="http://schemas.openxmlformats.org/officeDocument/2006/relationships" r:id="rId3"/>
        </xdr:cNvPr>
        <xdr:cNvSpPr/>
      </xdr:nvSpPr>
      <xdr:spPr>
        <a:xfrm>
          <a:off x="10810904129" y="3046846"/>
          <a:ext cx="3708981" cy="8188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(الف): سنجش يا تخمين </a:t>
          </a:r>
          <a:r>
            <a:rPr lang="en-US" sz="1200" b="1">
              <a:solidFill>
                <a:sysClr val="windowText" lastClr="000000"/>
              </a:solidFill>
              <a:cs typeface="+mj-cs"/>
            </a:rPr>
            <a:t>TDS</a:t>
          </a:r>
          <a:r>
            <a:rPr lang="en-US" sz="1200">
              <a:solidFill>
                <a:sysClr val="windowText" lastClr="000000"/>
              </a:solidFill>
              <a:cs typeface="B Titr" panose="00000700000000000000" pitchFamily="2" charset="-78"/>
            </a:rPr>
            <a:t> </a:t>
          </a:r>
          <a:r>
            <a:rPr lang="fa-IR" sz="1200">
              <a:solidFill>
                <a:sysClr val="windowText" lastClr="000000"/>
              </a:solidFill>
              <a:cs typeface="B Titr" panose="00000700000000000000" pitchFamily="2" charset="-78"/>
            </a:rPr>
            <a:t> آب خنک‎کن</a:t>
          </a:r>
          <a:endParaRPr lang="fa-IR" sz="1200" u="sng">
            <a:solidFill>
              <a:sysClr val="windowText" lastClr="000000"/>
            </a:solidFill>
            <a:cs typeface="B Titr" panose="00000700000000000000" pitchFamily="2" charset="-78"/>
          </a:endParaRPr>
        </a:p>
      </xdr:txBody>
    </xdr:sp>
    <xdr:clientData/>
  </xdr:twoCellAnchor>
  <xdr:twoCellAnchor>
    <xdr:from>
      <xdr:col>0</xdr:col>
      <xdr:colOff>20412</xdr:colOff>
      <xdr:row>16</xdr:row>
      <xdr:rowOff>249502</xdr:rowOff>
    </xdr:from>
    <xdr:to>
      <xdr:col>0</xdr:col>
      <xdr:colOff>328387</xdr:colOff>
      <xdr:row>19</xdr:row>
      <xdr:rowOff>369700</xdr:rowOff>
    </xdr:to>
    <xdr:sp macro="" textlink="">
      <xdr:nvSpPr>
        <xdr:cNvPr id="12" name="Rounded Rectangle 11">
          <a:hlinkClick xmlns:r="http://schemas.openxmlformats.org/officeDocument/2006/relationships" r:id="rId5"/>
        </xdr:cNvPr>
        <xdr:cNvSpPr/>
      </xdr:nvSpPr>
      <xdr:spPr>
        <a:xfrm rot="16200000">
          <a:off x="10856247109" y="11363363"/>
          <a:ext cx="2070556"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xdr:col>
      <xdr:colOff>818695</xdr:colOff>
      <xdr:row>40</xdr:row>
      <xdr:rowOff>367393</xdr:rowOff>
    </xdr:from>
    <xdr:to>
      <xdr:col>9</xdr:col>
      <xdr:colOff>564695</xdr:colOff>
      <xdr:row>40</xdr:row>
      <xdr:rowOff>671286</xdr:rowOff>
    </xdr:to>
    <xdr:sp macro="" textlink="">
      <xdr:nvSpPr>
        <xdr:cNvPr id="13" name="Rounded Rectangle 12">
          <a:hlinkClick xmlns:r="http://schemas.openxmlformats.org/officeDocument/2006/relationships" r:id="rId1"/>
        </xdr:cNvPr>
        <xdr:cNvSpPr/>
      </xdr:nvSpPr>
      <xdr:spPr>
        <a:xfrm>
          <a:off x="10845725163" y="22719393"/>
          <a:ext cx="4735285" cy="3038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(ب): سنجش غلظت </a:t>
          </a:r>
          <a:r>
            <a:rPr lang="en-US" sz="1050">
              <a:solidFill>
                <a:sysClr val="windowText" lastClr="000000"/>
              </a:solidFill>
              <a:cs typeface="B Titr" panose="00000700000000000000" pitchFamily="2" charset="-78"/>
            </a:rPr>
            <a:t>VOC </a:t>
          </a:r>
          <a:r>
            <a:rPr lang="fa-IR" sz="1050">
              <a:solidFill>
                <a:sysClr val="windowText" lastClr="000000"/>
              </a:solidFill>
              <a:cs typeface="B Titr" panose="00000700000000000000" pitchFamily="2" charset="-78"/>
            </a:rPr>
            <a:t>آب خنک‎کن</a:t>
          </a:r>
          <a:endParaRPr lang="fa-IR" sz="1050" u="sng">
            <a:solidFill>
              <a:sysClr val="windowText" lastClr="000000"/>
            </a:solidFill>
            <a:cs typeface="B Titr" panose="00000700000000000000" pitchFamily="2" charset="-78"/>
          </a:endParaRPr>
        </a:p>
      </xdr:txBody>
    </xdr:sp>
    <xdr:clientData/>
  </xdr:twoCellAnchor>
  <xdr:twoCellAnchor>
    <xdr:from>
      <xdr:col>0</xdr:col>
      <xdr:colOff>29937</xdr:colOff>
      <xdr:row>24</xdr:row>
      <xdr:rowOff>176930</xdr:rowOff>
    </xdr:from>
    <xdr:to>
      <xdr:col>0</xdr:col>
      <xdr:colOff>325212</xdr:colOff>
      <xdr:row>26</xdr:row>
      <xdr:rowOff>404625</xdr:rowOff>
    </xdr:to>
    <xdr:sp macro="" textlink="">
      <xdr:nvSpPr>
        <xdr:cNvPr id="15" name="Rounded Rectangle 14">
          <a:hlinkClick xmlns:r="http://schemas.openxmlformats.org/officeDocument/2006/relationships" r:id="rId6"/>
        </xdr:cNvPr>
        <xdr:cNvSpPr/>
      </xdr:nvSpPr>
      <xdr:spPr>
        <a:xfrm rot="16200000">
          <a:off x="10856244614" y="17102176"/>
          <a:ext cx="2069195"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050">
              <a:solidFill>
                <a:sysClr val="windowText" lastClr="000000"/>
              </a:solidFill>
              <a:cs typeface="B Titr" panose="00000700000000000000" pitchFamily="2" charset="-78"/>
            </a:rPr>
            <a:t>راهنما</a:t>
          </a:r>
        </a:p>
      </xdr:txBody>
    </xdr:sp>
    <xdr:clientData/>
  </xdr:twoCellAnchor>
  <xdr:twoCellAnchor>
    <xdr:from>
      <xdr:col>1</xdr:col>
      <xdr:colOff>650875</xdr:colOff>
      <xdr:row>44</xdr:row>
      <xdr:rowOff>421821</xdr:rowOff>
    </xdr:from>
    <xdr:to>
      <xdr:col>9</xdr:col>
      <xdr:colOff>313418</xdr:colOff>
      <xdr:row>44</xdr:row>
      <xdr:rowOff>725714</xdr:rowOff>
    </xdr:to>
    <xdr:sp macro="" textlink="">
      <xdr:nvSpPr>
        <xdr:cNvPr id="16" name="Rounded Rectangle 15">
          <a:hlinkClick xmlns:r="http://schemas.openxmlformats.org/officeDocument/2006/relationships" r:id="rId2"/>
        </xdr:cNvPr>
        <xdr:cNvSpPr/>
      </xdr:nvSpPr>
      <xdr:spPr>
        <a:xfrm>
          <a:off x="10845976440" y="25050750"/>
          <a:ext cx="4651828" cy="3038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روش (ج):  استفاده از ضرایب انتشار </a:t>
          </a:r>
          <a:endParaRPr lang="fa-IR" sz="1050" u="sng">
            <a:solidFill>
              <a:sysClr val="windowText" lastClr="000000"/>
            </a:solidFill>
            <a:cs typeface="B Titr" panose="00000700000000000000" pitchFamily="2" charset="-78"/>
          </a:endParaRPr>
        </a:p>
      </xdr:txBody>
    </xdr:sp>
    <xdr:clientData/>
  </xdr:twoCellAnchor>
  <xdr:twoCellAnchor>
    <xdr:from>
      <xdr:col>11</xdr:col>
      <xdr:colOff>212737</xdr:colOff>
      <xdr:row>2</xdr:row>
      <xdr:rowOff>2021</xdr:rowOff>
    </xdr:from>
    <xdr:to>
      <xdr:col>23</xdr:col>
      <xdr:colOff>471068</xdr:colOff>
      <xdr:row>3</xdr:row>
      <xdr:rowOff>49646</xdr:rowOff>
    </xdr:to>
    <xdr:sp macro="" textlink="">
      <xdr:nvSpPr>
        <xdr:cNvPr id="14" name="Rounded Rectangle 13">
          <a:hlinkClick xmlns:r="http://schemas.openxmlformats.org/officeDocument/2006/relationships" r:id="rId7"/>
        </xdr:cNvPr>
        <xdr:cNvSpPr/>
      </xdr:nvSpPr>
      <xdr:spPr>
        <a:xfrm>
          <a:off x="10805120732" y="1145021"/>
          <a:ext cx="9503931" cy="6572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b="1">
              <a:solidFill>
                <a:sysClr val="windowText" lastClr="000000"/>
              </a:solidFill>
              <a:cs typeface="B Titr" panose="00000700000000000000" pitchFamily="2" charset="-78"/>
            </a:rPr>
            <a:t>راهنماي كلي بخش منابع فرار</a:t>
          </a:r>
          <a:r>
            <a:rPr lang="fa-IR" sz="1600" b="1" baseline="0">
              <a:solidFill>
                <a:sysClr val="windowText" lastClr="000000"/>
              </a:solidFill>
              <a:cs typeface="B Titr" panose="00000700000000000000" pitchFamily="2" charset="-78"/>
            </a:rPr>
            <a:t>  برج خنك كن</a:t>
          </a:r>
          <a:endParaRPr lang="fa-IR" sz="1600" b="1">
            <a:solidFill>
              <a:sysClr val="windowText" lastClr="000000"/>
            </a:solidFill>
            <a:cs typeface="B Titr" panose="00000700000000000000" pitchFamily="2" charset="-78"/>
          </a:endParaRPr>
        </a:p>
      </xdr:txBody>
    </xdr:sp>
    <xdr:clientData/>
  </xdr:twoCellAnchor>
  <xdr:twoCellAnchor>
    <xdr:from>
      <xdr:col>4</xdr:col>
      <xdr:colOff>43996</xdr:colOff>
      <xdr:row>31</xdr:row>
      <xdr:rowOff>1335769</xdr:rowOff>
    </xdr:from>
    <xdr:to>
      <xdr:col>9</xdr:col>
      <xdr:colOff>346982</xdr:colOff>
      <xdr:row>31</xdr:row>
      <xdr:rowOff>1723573</xdr:rowOff>
    </xdr:to>
    <xdr:sp macro="" textlink="">
      <xdr:nvSpPr>
        <xdr:cNvPr id="17" name="Rounded Rectangle 16">
          <a:hlinkClick xmlns:r="http://schemas.openxmlformats.org/officeDocument/2006/relationships" r:id="rId8"/>
        </xdr:cNvPr>
        <xdr:cNvSpPr/>
      </xdr:nvSpPr>
      <xdr:spPr>
        <a:xfrm>
          <a:off x="10845942876" y="17537340"/>
          <a:ext cx="3595914" cy="38780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بالاي صفحه</a:t>
          </a:r>
          <a:endParaRPr lang="fa-IR" sz="1050">
            <a:solidFill>
              <a:sysClr val="windowText" lastClr="000000"/>
            </a:solidFill>
            <a:cs typeface="B Titr" panose="00000700000000000000" pitchFamily="2" charset="-78"/>
          </a:endParaRPr>
        </a:p>
      </xdr:txBody>
    </xdr:sp>
    <xdr:clientData/>
  </xdr:twoCellAnchor>
  <xdr:twoCellAnchor>
    <xdr:from>
      <xdr:col>11</xdr:col>
      <xdr:colOff>230909</xdr:colOff>
      <xdr:row>3</xdr:row>
      <xdr:rowOff>271896</xdr:rowOff>
    </xdr:from>
    <xdr:to>
      <xdr:col>15</xdr:col>
      <xdr:colOff>346364</xdr:colOff>
      <xdr:row>4</xdr:row>
      <xdr:rowOff>608638</xdr:rowOff>
    </xdr:to>
    <xdr:sp macro="" textlink="">
      <xdr:nvSpPr>
        <xdr:cNvPr id="18" name="Down Arrow Callout 17"/>
        <xdr:cNvSpPr/>
      </xdr:nvSpPr>
      <xdr:spPr>
        <a:xfrm>
          <a:off x="10773594727" y="2026805"/>
          <a:ext cx="3636819" cy="948651"/>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en-US" sz="1200" b="1" baseline="0">
              <a:solidFill>
                <a:sysClr val="windowText" lastClr="000000"/>
              </a:solidFill>
              <a:effectLst/>
              <a:latin typeface="+mn-lt"/>
              <a:ea typeface="+mn-ea"/>
              <a:cs typeface="B Titr" panose="00000700000000000000" pitchFamily="2" charset="-78"/>
            </a:rPr>
            <a:t>PM</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از برج‌هاي خنك كن</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7</xdr:col>
      <xdr:colOff>791347</xdr:colOff>
      <xdr:row>35</xdr:row>
      <xdr:rowOff>572034</xdr:rowOff>
    </xdr:from>
    <xdr:to>
      <xdr:col>9</xdr:col>
      <xdr:colOff>552083</xdr:colOff>
      <xdr:row>35</xdr:row>
      <xdr:rowOff>835106</xdr:rowOff>
    </xdr:to>
    <xdr:pic>
      <xdr:nvPicPr>
        <xdr:cNvPr id="20" name="Picture 19"/>
        <xdr:cNvPicPr>
          <a:picLocks noChangeAspect="1" noChangeArrowheads="1"/>
        </xdr:cNvPicPr>
      </xdr:nvPicPr>
      <xdr:blipFill>
        <a:blip xmlns:r="http://schemas.openxmlformats.org/officeDocument/2006/relationships" r:embed="rId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6739505" y="21153505"/>
          <a:ext cx="1292206" cy="263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473364</xdr:colOff>
      <xdr:row>3</xdr:row>
      <xdr:rowOff>260350</xdr:rowOff>
    </xdr:from>
    <xdr:to>
      <xdr:col>23</xdr:col>
      <xdr:colOff>461818</xdr:colOff>
      <xdr:row>4</xdr:row>
      <xdr:rowOff>597092</xdr:rowOff>
    </xdr:to>
    <xdr:sp macro="" textlink="">
      <xdr:nvSpPr>
        <xdr:cNvPr id="19" name="Down Arrow Callout 18"/>
        <xdr:cNvSpPr/>
      </xdr:nvSpPr>
      <xdr:spPr>
        <a:xfrm>
          <a:off x="10767487182" y="2015259"/>
          <a:ext cx="5980545" cy="948651"/>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en-US" sz="1200" b="1" baseline="0">
              <a:solidFill>
                <a:sysClr val="windowText" lastClr="000000"/>
              </a:solidFill>
              <a:effectLst/>
              <a:latin typeface="+mn-lt"/>
              <a:ea typeface="+mn-ea"/>
              <a:cs typeface="B Titr" panose="00000700000000000000" pitchFamily="2" charset="-78"/>
            </a:rPr>
            <a:t>VOC</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از برج‌هاي خنك كن</a:t>
          </a:r>
          <a:r>
            <a:rPr lang="fa-IR" sz="1200" b="1" baseline="0">
              <a:solidFill>
                <a:sysClr val="windowText" lastClr="000000"/>
              </a:solidFill>
              <a:effectLst/>
              <a:latin typeface="+mn-lt"/>
              <a:ea typeface="+mn-ea"/>
              <a:cs typeface="B Titr" panose="00000700000000000000" pitchFamily="2" charset="-78"/>
            </a:rPr>
            <a:t> </a:t>
          </a:r>
          <a:r>
            <a:rPr lang="fa-IR" sz="1200" b="1">
              <a:solidFill>
                <a:sysClr val="windowText" lastClr="000000"/>
              </a:solidFill>
              <a:effectLst/>
              <a:latin typeface="+mn-lt"/>
              <a:ea typeface="+mn-ea"/>
              <a:cs typeface="B Titr" panose="00000700000000000000" pitchFamily="2" charset="-78"/>
            </a:rPr>
            <a:t>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30</xdr:col>
      <xdr:colOff>1104900</xdr:colOff>
      <xdr:row>31</xdr:row>
      <xdr:rowOff>1016000</xdr:rowOff>
    </xdr:from>
    <xdr:to>
      <xdr:col>38</xdr:col>
      <xdr:colOff>30963</xdr:colOff>
      <xdr:row>31</xdr:row>
      <xdr:rowOff>1428750</xdr:rowOff>
    </xdr:to>
    <xdr:sp macro="" textlink="">
      <xdr:nvSpPr>
        <xdr:cNvPr id="23" name="Rounded Rectangle 22">
          <a:hlinkClick xmlns:r="http://schemas.openxmlformats.org/officeDocument/2006/relationships" r:id="rId10"/>
        </xdr:cNvPr>
        <xdr:cNvSpPr/>
      </xdr:nvSpPr>
      <xdr:spPr>
        <a:xfrm>
          <a:off x="10902030037" y="17494250"/>
          <a:ext cx="7768438"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29</xdr:col>
      <xdr:colOff>698500</xdr:colOff>
      <xdr:row>7</xdr:row>
      <xdr:rowOff>3176</xdr:rowOff>
    </xdr:from>
    <xdr:to>
      <xdr:col>37</xdr:col>
      <xdr:colOff>587375</xdr:colOff>
      <xdr:row>7</xdr:row>
      <xdr:rowOff>460376</xdr:rowOff>
    </xdr:to>
    <xdr:sp macro="" textlink="">
      <xdr:nvSpPr>
        <xdr:cNvPr id="24" name="Rounded Rectangle 23">
          <a:hlinkClick xmlns:r="http://schemas.openxmlformats.org/officeDocument/2006/relationships" r:id="rId11"/>
        </xdr:cNvPr>
        <xdr:cNvSpPr/>
      </xdr:nvSpPr>
      <xdr:spPr>
        <a:xfrm>
          <a:off x="10900743375" y="4162426"/>
          <a:ext cx="10445750" cy="4572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برج هاي خنك‌كن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241300</xdr:colOff>
      <xdr:row>0</xdr:row>
      <xdr:rowOff>304800</xdr:rowOff>
    </xdr:from>
    <xdr:to>
      <xdr:col>7</xdr:col>
      <xdr:colOff>1162050</xdr:colOff>
      <xdr:row>0</xdr:row>
      <xdr:rowOff>1028700</xdr:rowOff>
    </xdr:to>
    <xdr:sp macro="" textlink="">
      <xdr:nvSpPr>
        <xdr:cNvPr id="2" name="Rounded Rectangle 1">
          <a:hlinkClick xmlns:r="http://schemas.openxmlformats.org/officeDocument/2006/relationships" r:id="rId1"/>
        </xdr:cNvPr>
        <xdr:cNvSpPr/>
      </xdr:nvSpPr>
      <xdr:spPr>
        <a:xfrm>
          <a:off x="10818844250" y="304800"/>
          <a:ext cx="5683250" cy="7239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2400" b="1">
              <a:solidFill>
                <a:sysClr val="windowText" lastClr="000000"/>
              </a:solidFill>
              <a:cs typeface="B Titr" panose="00000700000000000000" pitchFamily="2" charset="-78"/>
            </a:rPr>
            <a:t>راهنماي كلي صفحه نتايج </a:t>
          </a:r>
        </a:p>
      </xdr:txBody>
    </xdr:sp>
    <xdr:clientData/>
  </xdr:twoCellAnchor>
  <xdr:twoCellAnchor>
    <xdr:from>
      <xdr:col>4</xdr:col>
      <xdr:colOff>335643</xdr:colOff>
      <xdr:row>25</xdr:row>
      <xdr:rowOff>909411</xdr:rowOff>
    </xdr:from>
    <xdr:to>
      <xdr:col>8</xdr:col>
      <xdr:colOff>144236</xdr:colOff>
      <xdr:row>25</xdr:row>
      <xdr:rowOff>1315357</xdr:rowOff>
    </xdr:to>
    <xdr:sp macro="" textlink="">
      <xdr:nvSpPr>
        <xdr:cNvPr id="3" name="Rounded Rectangle 2">
          <a:hlinkClick xmlns:r="http://schemas.openxmlformats.org/officeDocument/2006/relationships" r:id="rId2"/>
        </xdr:cNvPr>
        <xdr:cNvSpPr/>
      </xdr:nvSpPr>
      <xdr:spPr>
        <a:xfrm>
          <a:off x="10845619478" y="18299340"/>
          <a:ext cx="3800022" cy="4059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b="1">
              <a:solidFill>
                <a:sysClr val="windowText" lastClr="000000"/>
              </a:solidFill>
              <a:cs typeface="B Titr" panose="00000700000000000000" pitchFamily="2" charset="-78"/>
            </a:rPr>
            <a:t>بازگشت به بالاي صفحه</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62182</xdr:colOff>
      <xdr:row>2</xdr:row>
      <xdr:rowOff>88939</xdr:rowOff>
    </xdr:from>
    <xdr:to>
      <xdr:col>2</xdr:col>
      <xdr:colOff>562345</xdr:colOff>
      <xdr:row>3</xdr:row>
      <xdr:rowOff>335643</xdr:rowOff>
    </xdr:to>
    <xdr:sp macro="" textlink="">
      <xdr:nvSpPr>
        <xdr:cNvPr id="2" name="Rounded Rectangle 1">
          <a:hlinkClick xmlns:r="http://schemas.openxmlformats.org/officeDocument/2006/relationships" r:id="rId1"/>
        </xdr:cNvPr>
        <xdr:cNvSpPr/>
      </xdr:nvSpPr>
      <xdr:spPr>
        <a:xfrm>
          <a:off x="10868270012" y="587868"/>
          <a:ext cx="4337377" cy="491632"/>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تركيب درصد سوخت‌هاي</a:t>
          </a:r>
          <a:r>
            <a:rPr lang="fa-IR" sz="1600" baseline="0">
              <a:solidFill>
                <a:schemeClr val="tx1"/>
              </a:solidFill>
              <a:cs typeface="B Titr" panose="00000700000000000000" pitchFamily="2" charset="-78"/>
            </a:rPr>
            <a:t> </a:t>
          </a:r>
          <a:r>
            <a:rPr lang="fa-IR" sz="1600">
              <a:solidFill>
                <a:schemeClr val="tx1"/>
              </a:solidFill>
              <a:cs typeface="B Titr" panose="00000700000000000000" pitchFamily="2" charset="-78"/>
            </a:rPr>
            <a:t>گازي</a:t>
          </a:r>
        </a:p>
      </xdr:txBody>
    </xdr:sp>
    <xdr:clientData/>
  </xdr:twoCellAnchor>
  <xdr:twoCellAnchor>
    <xdr:from>
      <xdr:col>3</xdr:col>
      <xdr:colOff>116575</xdr:colOff>
      <xdr:row>2</xdr:row>
      <xdr:rowOff>96155</xdr:rowOff>
    </xdr:from>
    <xdr:to>
      <xdr:col>6</xdr:col>
      <xdr:colOff>3008093</xdr:colOff>
      <xdr:row>3</xdr:row>
      <xdr:rowOff>334574</xdr:rowOff>
    </xdr:to>
    <xdr:sp macro="" textlink="">
      <xdr:nvSpPr>
        <xdr:cNvPr id="4" name="Rounded Rectangle 3">
          <a:hlinkClick xmlns:r="http://schemas.openxmlformats.org/officeDocument/2006/relationships" r:id="rId2"/>
        </xdr:cNvPr>
        <xdr:cNvSpPr/>
      </xdr:nvSpPr>
      <xdr:spPr>
        <a:xfrm>
          <a:off x="10864536121" y="1066798"/>
          <a:ext cx="4714875" cy="483347"/>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مشخصات سوخت‌هاي مايع</a:t>
          </a:r>
        </a:p>
      </xdr:txBody>
    </xdr:sp>
    <xdr:clientData/>
  </xdr:twoCellAnchor>
  <xdr:twoCellAnchor>
    <xdr:from>
      <xdr:col>6</xdr:col>
      <xdr:colOff>3144158</xdr:colOff>
      <xdr:row>2</xdr:row>
      <xdr:rowOff>96155</xdr:rowOff>
    </xdr:from>
    <xdr:to>
      <xdr:col>12</xdr:col>
      <xdr:colOff>1260476</xdr:colOff>
      <xdr:row>3</xdr:row>
      <xdr:rowOff>334574</xdr:rowOff>
    </xdr:to>
    <xdr:sp macro="" textlink="">
      <xdr:nvSpPr>
        <xdr:cNvPr id="6" name="Rounded Rectangle 5">
          <a:hlinkClick xmlns:r="http://schemas.openxmlformats.org/officeDocument/2006/relationships" r:id="rId3"/>
        </xdr:cNvPr>
        <xdr:cNvSpPr/>
      </xdr:nvSpPr>
      <xdr:spPr>
        <a:xfrm>
          <a:off x="10858872381" y="595084"/>
          <a:ext cx="4384675" cy="483347"/>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وارد كردن مشخصات گاز ارسالي به فلر</a:t>
          </a:r>
        </a:p>
      </xdr:txBody>
    </xdr:sp>
    <xdr:clientData/>
  </xdr:twoCellAnchor>
  <xdr:twoCellAnchor>
    <xdr:from>
      <xdr:col>0</xdr:col>
      <xdr:colOff>2694217</xdr:colOff>
      <xdr:row>73</xdr:row>
      <xdr:rowOff>88446</xdr:rowOff>
    </xdr:from>
    <xdr:to>
      <xdr:col>3</xdr:col>
      <xdr:colOff>585113</xdr:colOff>
      <xdr:row>73</xdr:row>
      <xdr:rowOff>501196</xdr:rowOff>
    </xdr:to>
    <xdr:sp macro="" textlink="">
      <xdr:nvSpPr>
        <xdr:cNvPr id="7" name="Rounded Rectangle 6">
          <a:hlinkClick xmlns:r="http://schemas.openxmlformats.org/officeDocument/2006/relationships" r:id="rId4"/>
        </xdr:cNvPr>
        <xdr:cNvSpPr/>
      </xdr:nvSpPr>
      <xdr:spPr>
        <a:xfrm>
          <a:off x="10868782458" y="15709446"/>
          <a:ext cx="246289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1</xdr:col>
      <xdr:colOff>453572</xdr:colOff>
      <xdr:row>91</xdr:row>
      <xdr:rowOff>47625</xdr:rowOff>
    </xdr:from>
    <xdr:to>
      <xdr:col>5</xdr:col>
      <xdr:colOff>63501</xdr:colOff>
      <xdr:row>93</xdr:row>
      <xdr:rowOff>111125</xdr:rowOff>
    </xdr:to>
    <xdr:sp macro="" textlink="">
      <xdr:nvSpPr>
        <xdr:cNvPr id="8" name="Rounded Rectangle 7">
          <a:hlinkClick xmlns:r="http://schemas.openxmlformats.org/officeDocument/2006/relationships" r:id="rId4"/>
        </xdr:cNvPr>
        <xdr:cNvSpPr/>
      </xdr:nvSpPr>
      <xdr:spPr>
        <a:xfrm>
          <a:off x="10868088499" y="20939125"/>
          <a:ext cx="2041071"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2</xdr:col>
      <xdr:colOff>79375</xdr:colOff>
      <xdr:row>11</xdr:row>
      <xdr:rowOff>47625</xdr:rowOff>
    </xdr:from>
    <xdr:to>
      <xdr:col>5</xdr:col>
      <xdr:colOff>31750</xdr:colOff>
      <xdr:row>13</xdr:row>
      <xdr:rowOff>111125</xdr:rowOff>
    </xdr:to>
    <xdr:sp macro="" textlink="">
      <xdr:nvSpPr>
        <xdr:cNvPr id="9" name="Rounded Rectangle 8">
          <a:hlinkClick xmlns:r="http://schemas.openxmlformats.org/officeDocument/2006/relationships" r:id="rId4"/>
        </xdr:cNvPr>
        <xdr:cNvSpPr/>
      </xdr:nvSpPr>
      <xdr:spPr>
        <a:xfrm>
          <a:off x="10940891250" y="2063750"/>
          <a:ext cx="214312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بالاي صفحه</a:t>
          </a:r>
          <a:endParaRPr lang="fa-IR" sz="1600" u="sng">
            <a:solidFill>
              <a:sysClr val="windowText" lastClr="000000"/>
            </a:solidFill>
            <a:cs typeface="B Titr" panose="00000700000000000000" pitchFamily="2" charset="-78"/>
          </a:endParaRPr>
        </a:p>
      </xdr:txBody>
    </xdr:sp>
    <xdr:clientData/>
  </xdr:twoCellAnchor>
  <xdr:twoCellAnchor>
    <xdr:from>
      <xdr:col>5</xdr:col>
      <xdr:colOff>222250</xdr:colOff>
      <xdr:row>11</xdr:row>
      <xdr:rowOff>47625</xdr:rowOff>
    </xdr:from>
    <xdr:to>
      <xdr:col>6</xdr:col>
      <xdr:colOff>2921000</xdr:colOff>
      <xdr:row>13</xdr:row>
      <xdr:rowOff>111125</xdr:rowOff>
    </xdr:to>
    <xdr:sp macro="" textlink="">
      <xdr:nvSpPr>
        <xdr:cNvPr id="11" name="Rounded Rectangle 10">
          <a:hlinkClick xmlns:r="http://schemas.openxmlformats.org/officeDocument/2006/relationships" r:id="rId5"/>
        </xdr:cNvPr>
        <xdr:cNvSpPr/>
      </xdr:nvSpPr>
      <xdr:spPr>
        <a:xfrm>
          <a:off x="10936843125" y="2063750"/>
          <a:ext cx="385762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سوخت هاي گازي</a:t>
          </a:r>
          <a:endParaRPr lang="fa-IR" sz="1600" u="sng">
            <a:solidFill>
              <a:sysClr val="windowText" lastClr="000000"/>
            </a:solidFill>
            <a:cs typeface="B Titr" panose="00000700000000000000" pitchFamily="2" charset="-78"/>
          </a:endParaRPr>
        </a:p>
      </xdr:txBody>
    </xdr:sp>
    <xdr:clientData/>
  </xdr:twoCellAnchor>
  <xdr:twoCellAnchor>
    <xdr:from>
      <xdr:col>6</xdr:col>
      <xdr:colOff>3159125</xdr:colOff>
      <xdr:row>11</xdr:row>
      <xdr:rowOff>47625</xdr:rowOff>
    </xdr:from>
    <xdr:to>
      <xdr:col>12</xdr:col>
      <xdr:colOff>381000</xdr:colOff>
      <xdr:row>13</xdr:row>
      <xdr:rowOff>111125</xdr:rowOff>
    </xdr:to>
    <xdr:sp macro="" textlink="">
      <xdr:nvSpPr>
        <xdr:cNvPr id="12" name="Rounded Rectangle 11">
          <a:hlinkClick xmlns:r="http://schemas.openxmlformats.org/officeDocument/2006/relationships" r:id="rId6"/>
        </xdr:cNvPr>
        <xdr:cNvSpPr/>
      </xdr:nvSpPr>
      <xdr:spPr>
        <a:xfrm>
          <a:off x="10860767857" y="2560411"/>
          <a:ext cx="3617232"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0</xdr:col>
      <xdr:colOff>2674920</xdr:colOff>
      <xdr:row>74</xdr:row>
      <xdr:rowOff>0</xdr:rowOff>
    </xdr:from>
    <xdr:to>
      <xdr:col>5</xdr:col>
      <xdr:colOff>541115</xdr:colOff>
      <xdr:row>74</xdr:row>
      <xdr:rowOff>412750</xdr:rowOff>
    </xdr:to>
    <xdr:sp macro="" textlink="">
      <xdr:nvSpPr>
        <xdr:cNvPr id="13" name="Rounded Rectangle 12">
          <a:hlinkClick xmlns:r="http://schemas.openxmlformats.org/officeDocument/2006/relationships" r:id="rId7"/>
        </xdr:cNvPr>
        <xdr:cNvSpPr/>
      </xdr:nvSpPr>
      <xdr:spPr>
        <a:xfrm>
          <a:off x="10867610885" y="16228786"/>
          <a:ext cx="365376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سوخت‌هاي مايع</a:t>
          </a:r>
          <a:endParaRPr lang="fa-IR" sz="1600" u="sng">
            <a:solidFill>
              <a:sysClr val="windowText" lastClr="000000"/>
            </a:solidFill>
            <a:cs typeface="B Titr" panose="00000700000000000000" pitchFamily="2" charset="-78"/>
          </a:endParaRPr>
        </a:p>
      </xdr:txBody>
    </xdr:sp>
    <xdr:clientData/>
  </xdr:twoCellAnchor>
  <xdr:twoCellAnchor>
    <xdr:from>
      <xdr:col>0</xdr:col>
      <xdr:colOff>2670383</xdr:colOff>
      <xdr:row>74</xdr:row>
      <xdr:rowOff>523875</xdr:rowOff>
    </xdr:from>
    <xdr:to>
      <xdr:col>5</xdr:col>
      <xdr:colOff>536578</xdr:colOff>
      <xdr:row>75</xdr:row>
      <xdr:rowOff>333375</xdr:rowOff>
    </xdr:to>
    <xdr:sp macro="" textlink="">
      <xdr:nvSpPr>
        <xdr:cNvPr id="14" name="Rounded Rectangle 13">
          <a:hlinkClick xmlns:r="http://schemas.openxmlformats.org/officeDocument/2006/relationships" r:id="rId6"/>
        </xdr:cNvPr>
        <xdr:cNvSpPr/>
      </xdr:nvSpPr>
      <xdr:spPr>
        <a:xfrm>
          <a:off x="10867615422" y="16752661"/>
          <a:ext cx="3653766" cy="41728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5</xdr:col>
      <xdr:colOff>235854</xdr:colOff>
      <xdr:row>91</xdr:row>
      <xdr:rowOff>63500</xdr:rowOff>
    </xdr:from>
    <xdr:to>
      <xdr:col>7</xdr:col>
      <xdr:colOff>140582</xdr:colOff>
      <xdr:row>93</xdr:row>
      <xdr:rowOff>127000</xdr:rowOff>
    </xdr:to>
    <xdr:sp macro="" textlink="">
      <xdr:nvSpPr>
        <xdr:cNvPr id="15" name="Rounded Rectangle 14">
          <a:hlinkClick xmlns:r="http://schemas.openxmlformats.org/officeDocument/2006/relationships" r:id="rId8"/>
        </xdr:cNvPr>
        <xdr:cNvSpPr/>
      </xdr:nvSpPr>
      <xdr:spPr>
        <a:xfrm>
          <a:off x="10864047203" y="20955000"/>
          <a:ext cx="3868943"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راهنماي تركيب درصد گاز ارسالي به فلر</a:t>
          </a:r>
          <a:endParaRPr lang="fa-IR" sz="1600" u="sng">
            <a:solidFill>
              <a:sysClr val="windowText" lastClr="000000"/>
            </a:solidFill>
            <a:cs typeface="B Titr" panose="00000700000000000000" pitchFamily="2" charset="-78"/>
          </a:endParaRPr>
        </a:p>
      </xdr:txBody>
    </xdr:sp>
    <xdr:clientData/>
  </xdr:twoCellAnchor>
  <xdr:twoCellAnchor>
    <xdr:from>
      <xdr:col>7</xdr:col>
      <xdr:colOff>287996</xdr:colOff>
      <xdr:row>91</xdr:row>
      <xdr:rowOff>63500</xdr:rowOff>
    </xdr:from>
    <xdr:to>
      <xdr:col>11</xdr:col>
      <xdr:colOff>210889</xdr:colOff>
      <xdr:row>93</xdr:row>
      <xdr:rowOff>127000</xdr:rowOff>
    </xdr:to>
    <xdr:sp macro="" textlink="">
      <xdr:nvSpPr>
        <xdr:cNvPr id="16" name="Rounded Rectangle 15">
          <a:hlinkClick xmlns:r="http://schemas.openxmlformats.org/officeDocument/2006/relationships" r:id="rId9"/>
        </xdr:cNvPr>
        <xdr:cNvSpPr/>
      </xdr:nvSpPr>
      <xdr:spPr>
        <a:xfrm>
          <a:off x="10861545753" y="20955000"/>
          <a:ext cx="2354036" cy="42635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Flare</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2</xdr:col>
      <xdr:colOff>575829</xdr:colOff>
      <xdr:row>166</xdr:row>
      <xdr:rowOff>353579</xdr:rowOff>
    </xdr:from>
    <xdr:to>
      <xdr:col>10</xdr:col>
      <xdr:colOff>369454</xdr:colOff>
      <xdr:row>166</xdr:row>
      <xdr:rowOff>907142</xdr:rowOff>
    </xdr:to>
    <xdr:sp macro="" textlink="">
      <xdr:nvSpPr>
        <xdr:cNvPr id="17" name="Rounded Rectangle 16">
          <a:hlinkClick xmlns:r="http://schemas.openxmlformats.org/officeDocument/2006/relationships" r:id="rId1"/>
        </xdr:cNvPr>
        <xdr:cNvSpPr/>
      </xdr:nvSpPr>
      <xdr:spPr>
        <a:xfrm>
          <a:off x="10861994974" y="39905008"/>
          <a:ext cx="7404554" cy="5535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تركيب درصد سوخت‌هاي گازي</a:t>
          </a:r>
        </a:p>
      </xdr:txBody>
    </xdr:sp>
    <xdr:clientData/>
  </xdr:twoCellAnchor>
  <xdr:twoCellAnchor>
    <xdr:from>
      <xdr:col>2</xdr:col>
      <xdr:colOff>541193</xdr:colOff>
      <xdr:row>178</xdr:row>
      <xdr:rowOff>453579</xdr:rowOff>
    </xdr:from>
    <xdr:to>
      <xdr:col>10</xdr:col>
      <xdr:colOff>334818</xdr:colOff>
      <xdr:row>178</xdr:row>
      <xdr:rowOff>986970</xdr:rowOff>
    </xdr:to>
    <xdr:sp macro="" textlink="">
      <xdr:nvSpPr>
        <xdr:cNvPr id="20" name="Rounded Rectangle 19">
          <a:hlinkClick xmlns:r="http://schemas.openxmlformats.org/officeDocument/2006/relationships" r:id="rId10"/>
        </xdr:cNvPr>
        <xdr:cNvSpPr/>
      </xdr:nvSpPr>
      <xdr:spPr>
        <a:xfrm>
          <a:off x="10862029610" y="46327793"/>
          <a:ext cx="7404554" cy="53339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تركيب درصد گاز ارسالي به فلر</a:t>
          </a:r>
        </a:p>
      </xdr:txBody>
    </xdr:sp>
    <xdr:clientData/>
  </xdr:twoCellAnchor>
  <xdr:twoCellAnchor>
    <xdr:from>
      <xdr:col>3</xdr:col>
      <xdr:colOff>24730</xdr:colOff>
      <xdr:row>170</xdr:row>
      <xdr:rowOff>250289</xdr:rowOff>
    </xdr:from>
    <xdr:to>
      <xdr:col>10</xdr:col>
      <xdr:colOff>434305</xdr:colOff>
      <xdr:row>170</xdr:row>
      <xdr:rowOff>803852</xdr:rowOff>
    </xdr:to>
    <xdr:sp macro="" textlink="">
      <xdr:nvSpPr>
        <xdr:cNvPr id="23" name="Rounded Rectangle 22">
          <a:hlinkClick xmlns:r="http://schemas.openxmlformats.org/officeDocument/2006/relationships" r:id="rId11"/>
        </xdr:cNvPr>
        <xdr:cNvSpPr/>
      </xdr:nvSpPr>
      <xdr:spPr>
        <a:xfrm>
          <a:off x="10861930123" y="41942575"/>
          <a:ext cx="7412718" cy="5535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بخش ورود مشخصات سوخت‌هاي مايع</a:t>
          </a:r>
        </a:p>
      </xdr:txBody>
    </xdr:sp>
    <xdr:clientData/>
  </xdr:twoCellAnchor>
  <xdr:twoCellAnchor>
    <xdr:from>
      <xdr:col>0</xdr:col>
      <xdr:colOff>0</xdr:colOff>
      <xdr:row>9</xdr:row>
      <xdr:rowOff>190495</xdr:rowOff>
    </xdr:from>
    <xdr:to>
      <xdr:col>3</xdr:col>
      <xdr:colOff>603250</xdr:colOff>
      <xdr:row>10</xdr:row>
      <xdr:rowOff>294610</xdr:rowOff>
    </xdr:to>
    <xdr:sp macro="" textlink="">
      <xdr:nvSpPr>
        <xdr:cNvPr id="18" name="Rounded Rectangle 17"/>
        <xdr:cNvSpPr/>
      </xdr:nvSpPr>
      <xdr:spPr>
        <a:xfrm>
          <a:off x="10867621321" y="2694209"/>
          <a:ext cx="5048250" cy="457901"/>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گازي</a:t>
          </a:r>
        </a:p>
      </xdr:txBody>
    </xdr:sp>
    <xdr:clientData/>
  </xdr:twoCellAnchor>
  <xdr:twoCellAnchor>
    <xdr:from>
      <xdr:col>0</xdr:col>
      <xdr:colOff>0</xdr:colOff>
      <xdr:row>69</xdr:row>
      <xdr:rowOff>192033</xdr:rowOff>
    </xdr:from>
    <xdr:to>
      <xdr:col>3</xdr:col>
      <xdr:colOff>600075</xdr:colOff>
      <xdr:row>72</xdr:row>
      <xdr:rowOff>113179</xdr:rowOff>
    </xdr:to>
    <xdr:sp macro="" textlink="">
      <xdr:nvSpPr>
        <xdr:cNvPr id="19" name="Rounded Rectangle 18"/>
        <xdr:cNvSpPr/>
      </xdr:nvSpPr>
      <xdr:spPr>
        <a:xfrm>
          <a:off x="10867624496" y="16910676"/>
          <a:ext cx="5045075" cy="51986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مايع</a:t>
          </a:r>
        </a:p>
      </xdr:txBody>
    </xdr:sp>
    <xdr:clientData/>
  </xdr:twoCellAnchor>
  <xdr:twoCellAnchor>
    <xdr:from>
      <xdr:col>0</xdr:col>
      <xdr:colOff>15875</xdr:colOff>
      <xdr:row>89</xdr:row>
      <xdr:rowOff>159957</xdr:rowOff>
    </xdr:from>
    <xdr:to>
      <xdr:col>3</xdr:col>
      <xdr:colOff>600075</xdr:colOff>
      <xdr:row>90</xdr:row>
      <xdr:rowOff>281000</xdr:rowOff>
    </xdr:to>
    <xdr:sp macro="" textlink="">
      <xdr:nvSpPr>
        <xdr:cNvPr id="21" name="Rounded Rectangle 20"/>
        <xdr:cNvSpPr/>
      </xdr:nvSpPr>
      <xdr:spPr>
        <a:xfrm>
          <a:off x="10867624496" y="23618671"/>
          <a:ext cx="5029200" cy="456686"/>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گاز ارسالي به فلر</a:t>
          </a:r>
        </a:p>
      </xdr:txBody>
    </xdr:sp>
    <xdr:clientData/>
  </xdr:twoCellAnchor>
  <xdr:twoCellAnchor>
    <xdr:from>
      <xdr:col>61</xdr:col>
      <xdr:colOff>62181</xdr:colOff>
      <xdr:row>2</xdr:row>
      <xdr:rowOff>25439</xdr:rowOff>
    </xdr:from>
    <xdr:to>
      <xdr:col>65</xdr:col>
      <xdr:colOff>63499</xdr:colOff>
      <xdr:row>3</xdr:row>
      <xdr:rowOff>523875</xdr:rowOff>
    </xdr:to>
    <xdr:sp macro="" textlink="">
      <xdr:nvSpPr>
        <xdr:cNvPr id="24" name="Rounded Rectangle 23">
          <a:hlinkClick xmlns:r="http://schemas.openxmlformats.org/officeDocument/2006/relationships" r:id="rId12"/>
        </xdr:cNvPr>
        <xdr:cNvSpPr/>
      </xdr:nvSpPr>
      <xdr:spPr>
        <a:xfrm>
          <a:off x="10985134876" y="993814"/>
          <a:ext cx="3208068" cy="736561"/>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سوخت‌هاي</a:t>
          </a:r>
          <a:r>
            <a:rPr lang="fa-IR" sz="1600" baseline="0">
              <a:solidFill>
                <a:schemeClr val="tx1"/>
              </a:solidFill>
              <a:cs typeface="B Titr" panose="00000700000000000000" pitchFamily="2" charset="-78"/>
            </a:rPr>
            <a:t> </a:t>
          </a:r>
          <a:r>
            <a:rPr lang="fa-IR" sz="1600">
              <a:solidFill>
                <a:schemeClr val="tx1"/>
              </a:solidFill>
              <a:cs typeface="B Titr" panose="00000700000000000000" pitchFamily="2" charset="-78"/>
            </a:rPr>
            <a:t>گازي</a:t>
          </a:r>
        </a:p>
      </xdr:txBody>
    </xdr:sp>
    <xdr:clientData/>
  </xdr:twoCellAnchor>
  <xdr:twoCellAnchor>
    <xdr:from>
      <xdr:col>65</xdr:col>
      <xdr:colOff>180075</xdr:colOff>
      <xdr:row>2</xdr:row>
      <xdr:rowOff>32655</xdr:rowOff>
    </xdr:from>
    <xdr:to>
      <xdr:col>69</xdr:col>
      <xdr:colOff>723204</xdr:colOff>
      <xdr:row>3</xdr:row>
      <xdr:rowOff>518504</xdr:rowOff>
    </xdr:to>
    <xdr:sp macro="" textlink="">
      <xdr:nvSpPr>
        <xdr:cNvPr id="25" name="Rounded Rectangle 24">
          <a:hlinkClick xmlns:r="http://schemas.openxmlformats.org/officeDocument/2006/relationships" r:id="rId13"/>
        </xdr:cNvPr>
        <xdr:cNvSpPr/>
      </xdr:nvSpPr>
      <xdr:spPr>
        <a:xfrm>
          <a:off x="10981744671" y="1001030"/>
          <a:ext cx="3273629" cy="723974"/>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سوخت‌هاي مايع</a:t>
          </a:r>
        </a:p>
      </xdr:txBody>
    </xdr:sp>
    <xdr:clientData/>
  </xdr:twoCellAnchor>
  <xdr:twoCellAnchor>
    <xdr:from>
      <xdr:col>69</xdr:col>
      <xdr:colOff>952501</xdr:colOff>
      <xdr:row>2</xdr:row>
      <xdr:rowOff>16780</xdr:rowOff>
    </xdr:from>
    <xdr:to>
      <xdr:col>74</xdr:col>
      <xdr:colOff>650876</xdr:colOff>
      <xdr:row>3</xdr:row>
      <xdr:rowOff>502629</xdr:rowOff>
    </xdr:to>
    <xdr:sp macro="" textlink="">
      <xdr:nvSpPr>
        <xdr:cNvPr id="26" name="Rounded Rectangle 25">
          <a:hlinkClick xmlns:r="http://schemas.openxmlformats.org/officeDocument/2006/relationships" r:id="rId14"/>
        </xdr:cNvPr>
        <xdr:cNvSpPr/>
      </xdr:nvSpPr>
      <xdr:spPr>
        <a:xfrm>
          <a:off x="10978133999" y="985155"/>
          <a:ext cx="3381375" cy="723974"/>
        </a:xfrm>
        <a:prstGeom prst="roundRect">
          <a:avLst/>
        </a:prstGeom>
        <a:solidFill>
          <a:srgbClr val="EEF381"/>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algn="ctr" rtl="1"/>
          <a:r>
            <a:rPr lang="fa-IR" sz="1600">
              <a:solidFill>
                <a:schemeClr val="tx1"/>
              </a:solidFill>
              <a:cs typeface="B Titr" panose="00000700000000000000" pitchFamily="2" charset="-78"/>
            </a:rPr>
            <a:t>عدم قطعيت گاز ارسالي به فلر</a:t>
          </a:r>
        </a:p>
      </xdr:txBody>
    </xdr:sp>
    <xdr:clientData/>
  </xdr:twoCellAnchor>
  <xdr:twoCellAnchor>
    <xdr:from>
      <xdr:col>61</xdr:col>
      <xdr:colOff>47625</xdr:colOff>
      <xdr:row>9</xdr:row>
      <xdr:rowOff>142875</xdr:rowOff>
    </xdr:from>
    <xdr:to>
      <xdr:col>68</xdr:col>
      <xdr:colOff>15875</xdr:colOff>
      <xdr:row>10</xdr:row>
      <xdr:rowOff>246990</xdr:rowOff>
    </xdr:to>
    <xdr:sp macro="" textlink="">
      <xdr:nvSpPr>
        <xdr:cNvPr id="27" name="Rounded Rectangle 26"/>
        <xdr:cNvSpPr/>
      </xdr:nvSpPr>
      <xdr:spPr>
        <a:xfrm>
          <a:off x="10983118750" y="1936750"/>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گازي</a:t>
          </a:r>
        </a:p>
      </xdr:txBody>
    </xdr:sp>
    <xdr:clientData/>
  </xdr:twoCellAnchor>
  <xdr:twoCellAnchor>
    <xdr:from>
      <xdr:col>61</xdr:col>
      <xdr:colOff>92364</xdr:colOff>
      <xdr:row>11</xdr:row>
      <xdr:rowOff>15875</xdr:rowOff>
    </xdr:from>
    <xdr:to>
      <xdr:col>66</xdr:col>
      <xdr:colOff>207818</xdr:colOff>
      <xdr:row>13</xdr:row>
      <xdr:rowOff>79375</xdr:rowOff>
    </xdr:to>
    <xdr:sp macro="" textlink="">
      <xdr:nvSpPr>
        <xdr:cNvPr id="30" name="Rounded Rectangle 29">
          <a:hlinkClick xmlns:r="http://schemas.openxmlformats.org/officeDocument/2006/relationships" r:id="rId15"/>
        </xdr:cNvPr>
        <xdr:cNvSpPr/>
      </xdr:nvSpPr>
      <xdr:spPr>
        <a:xfrm>
          <a:off x="10843698727" y="2498148"/>
          <a:ext cx="4040909"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و تركيب درصد ها</a:t>
          </a:r>
          <a:endParaRPr lang="fa-IR" sz="1600" u="sng">
            <a:solidFill>
              <a:sysClr val="windowText" lastClr="000000"/>
            </a:solidFill>
            <a:cs typeface="B Titr" panose="00000700000000000000" pitchFamily="2" charset="-78"/>
          </a:endParaRPr>
        </a:p>
      </xdr:txBody>
    </xdr:sp>
    <xdr:clientData/>
  </xdr:twoCellAnchor>
  <xdr:twoCellAnchor>
    <xdr:from>
      <xdr:col>66</xdr:col>
      <xdr:colOff>363612</xdr:colOff>
      <xdr:row>11</xdr:row>
      <xdr:rowOff>15875</xdr:rowOff>
    </xdr:from>
    <xdr:to>
      <xdr:col>68</xdr:col>
      <xdr:colOff>196273</xdr:colOff>
      <xdr:row>13</xdr:row>
      <xdr:rowOff>79375</xdr:rowOff>
    </xdr:to>
    <xdr:sp macro="" textlink="">
      <xdr:nvSpPr>
        <xdr:cNvPr id="31" name="Rounded Rectangle 30">
          <a:hlinkClick xmlns:r="http://schemas.openxmlformats.org/officeDocument/2006/relationships" r:id="rId16"/>
        </xdr:cNvPr>
        <xdr:cNvSpPr/>
      </xdr:nvSpPr>
      <xdr:spPr>
        <a:xfrm>
          <a:off x="10842394091" y="2498148"/>
          <a:ext cx="1148842"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endParaRPr lang="fa-IR" sz="1600" u="sng">
            <a:solidFill>
              <a:sysClr val="windowText" lastClr="000000"/>
            </a:solidFill>
            <a:cs typeface="B Titr" panose="00000700000000000000" pitchFamily="2" charset="-78"/>
          </a:endParaRPr>
        </a:p>
      </xdr:txBody>
    </xdr:sp>
    <xdr:clientData/>
  </xdr:twoCellAnchor>
  <xdr:twoCellAnchor>
    <xdr:from>
      <xdr:col>68</xdr:col>
      <xdr:colOff>404092</xdr:colOff>
      <xdr:row>11</xdr:row>
      <xdr:rowOff>15875</xdr:rowOff>
    </xdr:from>
    <xdr:to>
      <xdr:col>75</xdr:col>
      <xdr:colOff>567125</xdr:colOff>
      <xdr:row>13</xdr:row>
      <xdr:rowOff>79375</xdr:rowOff>
    </xdr:to>
    <xdr:sp macro="" textlink="">
      <xdr:nvSpPr>
        <xdr:cNvPr id="32" name="Rounded Rectangle 31">
          <a:hlinkClick xmlns:r="http://schemas.openxmlformats.org/officeDocument/2006/relationships" r:id="rId6"/>
        </xdr:cNvPr>
        <xdr:cNvSpPr/>
      </xdr:nvSpPr>
      <xdr:spPr>
        <a:xfrm>
          <a:off x="10837058693" y="2498148"/>
          <a:ext cx="5127579"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60</xdr:col>
      <xdr:colOff>619125</xdr:colOff>
      <xdr:row>76</xdr:row>
      <xdr:rowOff>317500</xdr:rowOff>
    </xdr:from>
    <xdr:to>
      <xdr:col>67</xdr:col>
      <xdr:colOff>587375</xdr:colOff>
      <xdr:row>77</xdr:row>
      <xdr:rowOff>326365</xdr:rowOff>
    </xdr:to>
    <xdr:sp macro="" textlink="">
      <xdr:nvSpPr>
        <xdr:cNvPr id="33" name="Rounded Rectangle 32"/>
        <xdr:cNvSpPr/>
      </xdr:nvSpPr>
      <xdr:spPr>
        <a:xfrm>
          <a:off x="10983214000" y="18176875"/>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سوخت مايع</a:t>
          </a:r>
        </a:p>
      </xdr:txBody>
    </xdr:sp>
    <xdr:clientData/>
  </xdr:twoCellAnchor>
  <xdr:twoCellAnchor>
    <xdr:from>
      <xdr:col>61</xdr:col>
      <xdr:colOff>476250</xdr:colOff>
      <xdr:row>78</xdr:row>
      <xdr:rowOff>142875</xdr:rowOff>
    </xdr:from>
    <xdr:to>
      <xdr:col>66</xdr:col>
      <xdr:colOff>334818</xdr:colOff>
      <xdr:row>78</xdr:row>
      <xdr:rowOff>555625</xdr:rowOff>
    </xdr:to>
    <xdr:sp macro="" textlink="">
      <xdr:nvSpPr>
        <xdr:cNvPr id="34" name="Rounded Rectangle 33">
          <a:hlinkClick xmlns:r="http://schemas.openxmlformats.org/officeDocument/2006/relationships" r:id="rId17"/>
        </xdr:cNvPr>
        <xdr:cNvSpPr/>
      </xdr:nvSpPr>
      <xdr:spPr>
        <a:xfrm>
          <a:off x="10843571727" y="18869602"/>
          <a:ext cx="3784023"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سوخت مايع</a:t>
          </a:r>
        </a:p>
      </xdr:txBody>
    </xdr:sp>
    <xdr:clientData/>
  </xdr:twoCellAnchor>
  <xdr:twoCellAnchor>
    <xdr:from>
      <xdr:col>66</xdr:col>
      <xdr:colOff>473363</xdr:colOff>
      <xdr:row>78</xdr:row>
      <xdr:rowOff>142875</xdr:rowOff>
    </xdr:from>
    <xdr:to>
      <xdr:col>68</xdr:col>
      <xdr:colOff>460375</xdr:colOff>
      <xdr:row>78</xdr:row>
      <xdr:rowOff>555625</xdr:rowOff>
    </xdr:to>
    <xdr:sp macro="" textlink="">
      <xdr:nvSpPr>
        <xdr:cNvPr id="35" name="Rounded Rectangle 34">
          <a:hlinkClick xmlns:r="http://schemas.openxmlformats.org/officeDocument/2006/relationships" r:id="rId16"/>
        </xdr:cNvPr>
        <xdr:cNvSpPr/>
      </xdr:nvSpPr>
      <xdr:spPr>
        <a:xfrm>
          <a:off x="10842129989" y="18869602"/>
          <a:ext cx="1303193"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endParaRPr lang="fa-IR" sz="1600" u="sng">
            <a:solidFill>
              <a:sysClr val="windowText" lastClr="000000"/>
            </a:solidFill>
            <a:cs typeface="B Titr" panose="00000700000000000000" pitchFamily="2" charset="-78"/>
          </a:endParaRPr>
        </a:p>
      </xdr:txBody>
    </xdr:sp>
    <xdr:clientData/>
  </xdr:twoCellAnchor>
  <xdr:twoCellAnchor>
    <xdr:from>
      <xdr:col>69</xdr:col>
      <xdr:colOff>31750</xdr:colOff>
      <xdr:row>78</xdr:row>
      <xdr:rowOff>142875</xdr:rowOff>
    </xdr:from>
    <xdr:to>
      <xdr:col>73</xdr:col>
      <xdr:colOff>603250</xdr:colOff>
      <xdr:row>78</xdr:row>
      <xdr:rowOff>555625</xdr:rowOff>
    </xdr:to>
    <xdr:sp macro="" textlink="">
      <xdr:nvSpPr>
        <xdr:cNvPr id="36" name="Rounded Rectangle 35">
          <a:hlinkClick xmlns:r="http://schemas.openxmlformats.org/officeDocument/2006/relationships" r:id="rId6"/>
        </xdr:cNvPr>
        <xdr:cNvSpPr/>
      </xdr:nvSpPr>
      <xdr:spPr>
        <a:xfrm>
          <a:off x="10978848375" y="18891250"/>
          <a:ext cx="3587750"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Combustion</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61</xdr:col>
      <xdr:colOff>79375</xdr:colOff>
      <xdr:row>89</xdr:row>
      <xdr:rowOff>127000</xdr:rowOff>
    </xdr:from>
    <xdr:to>
      <xdr:col>68</xdr:col>
      <xdr:colOff>47625</xdr:colOff>
      <xdr:row>90</xdr:row>
      <xdr:rowOff>246990</xdr:rowOff>
    </xdr:to>
    <xdr:sp macro="" textlink="">
      <xdr:nvSpPr>
        <xdr:cNvPr id="37" name="Rounded Rectangle 36"/>
        <xdr:cNvSpPr/>
      </xdr:nvSpPr>
      <xdr:spPr>
        <a:xfrm>
          <a:off x="10983087000" y="20939125"/>
          <a:ext cx="5238750" cy="453365"/>
        </a:xfrm>
        <a:prstGeom prst="roundRect">
          <a:avLst/>
        </a:prstGeom>
        <a:solidFill>
          <a:schemeClr val="accent2">
            <a:lumMod val="75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18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گاز ارسالي به فلر</a:t>
          </a:r>
        </a:p>
      </xdr:txBody>
    </xdr:sp>
    <xdr:clientData/>
  </xdr:twoCellAnchor>
  <xdr:twoCellAnchor>
    <xdr:from>
      <xdr:col>66</xdr:col>
      <xdr:colOff>508006</xdr:colOff>
      <xdr:row>91</xdr:row>
      <xdr:rowOff>31750</xdr:rowOff>
    </xdr:from>
    <xdr:to>
      <xdr:col>68</xdr:col>
      <xdr:colOff>565727</xdr:colOff>
      <xdr:row>93</xdr:row>
      <xdr:rowOff>95250</xdr:rowOff>
    </xdr:to>
    <xdr:sp macro="" textlink="">
      <xdr:nvSpPr>
        <xdr:cNvPr id="39" name="Rounded Rectangle 38">
          <a:hlinkClick xmlns:r="http://schemas.openxmlformats.org/officeDocument/2006/relationships" r:id="rId16"/>
        </xdr:cNvPr>
        <xdr:cNvSpPr/>
      </xdr:nvSpPr>
      <xdr:spPr>
        <a:xfrm>
          <a:off x="10842024637" y="21737205"/>
          <a:ext cx="1373902"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راهنما</a:t>
          </a:r>
        </a:p>
      </xdr:txBody>
    </xdr:sp>
    <xdr:clientData/>
  </xdr:twoCellAnchor>
  <xdr:twoCellAnchor>
    <xdr:from>
      <xdr:col>69</xdr:col>
      <xdr:colOff>93810</xdr:colOff>
      <xdr:row>91</xdr:row>
      <xdr:rowOff>31750</xdr:rowOff>
    </xdr:from>
    <xdr:to>
      <xdr:col>73</xdr:col>
      <xdr:colOff>656651</xdr:colOff>
      <xdr:row>93</xdr:row>
      <xdr:rowOff>95250</xdr:rowOff>
    </xdr:to>
    <xdr:sp macro="" textlink="">
      <xdr:nvSpPr>
        <xdr:cNvPr id="40" name="Rounded Rectangle 39">
          <a:hlinkClick xmlns:r="http://schemas.openxmlformats.org/officeDocument/2006/relationships" r:id="rId9"/>
        </xdr:cNvPr>
        <xdr:cNvSpPr/>
      </xdr:nvSpPr>
      <xdr:spPr>
        <a:xfrm>
          <a:off x="10838285349" y="21737205"/>
          <a:ext cx="3553114" cy="40986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صفحه  </a:t>
          </a:r>
          <a:r>
            <a:rPr lang="en-US" sz="1600" b="1" baseline="0">
              <a:solidFill>
                <a:sysClr val="windowText" lastClr="000000"/>
              </a:solidFill>
              <a:latin typeface="+mj-lt"/>
              <a:cs typeface="B Titr" panose="00000700000000000000" pitchFamily="2" charset="-78"/>
            </a:rPr>
            <a:t>Flare</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62</xdr:col>
      <xdr:colOff>593125</xdr:colOff>
      <xdr:row>161</xdr:row>
      <xdr:rowOff>199448</xdr:rowOff>
    </xdr:from>
    <xdr:to>
      <xdr:col>66</xdr:col>
      <xdr:colOff>436709</xdr:colOff>
      <xdr:row>162</xdr:row>
      <xdr:rowOff>265546</xdr:rowOff>
    </xdr:to>
    <xdr:sp macro="" textlink="">
      <xdr:nvSpPr>
        <xdr:cNvPr id="42" name="Rounded Rectangle 41">
          <a:hlinkClick xmlns:r="http://schemas.openxmlformats.org/officeDocument/2006/relationships" r:id="rId12"/>
        </xdr:cNvPr>
        <xdr:cNvSpPr/>
      </xdr:nvSpPr>
      <xdr:spPr>
        <a:xfrm>
          <a:off x="10984031416" y="38569323"/>
          <a:ext cx="2764584"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سوخت هاي گازي</a:t>
          </a:r>
          <a:endParaRPr lang="fa-IR" sz="1200">
            <a:solidFill>
              <a:sysClr val="windowText" lastClr="000000"/>
            </a:solidFill>
            <a:cs typeface="B Titr" panose="00000700000000000000" pitchFamily="2" charset="-78"/>
          </a:endParaRPr>
        </a:p>
      </xdr:txBody>
    </xdr:sp>
    <xdr:clientData/>
  </xdr:twoCellAnchor>
  <xdr:twoCellAnchor>
    <xdr:from>
      <xdr:col>66</xdr:col>
      <xdr:colOff>477647</xdr:colOff>
      <xdr:row>161</xdr:row>
      <xdr:rowOff>199448</xdr:rowOff>
    </xdr:from>
    <xdr:to>
      <xdr:col>70</xdr:col>
      <xdr:colOff>212148</xdr:colOff>
      <xdr:row>162</xdr:row>
      <xdr:rowOff>265546</xdr:rowOff>
    </xdr:to>
    <xdr:sp macro="" textlink="">
      <xdr:nvSpPr>
        <xdr:cNvPr id="43" name="Rounded Rectangle 42">
          <a:hlinkClick xmlns:r="http://schemas.openxmlformats.org/officeDocument/2006/relationships" r:id="rId13"/>
        </xdr:cNvPr>
        <xdr:cNvSpPr/>
      </xdr:nvSpPr>
      <xdr:spPr>
        <a:xfrm>
          <a:off x="10981239727" y="38569323"/>
          <a:ext cx="2750751"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سوخت هاي مايع</a:t>
          </a:r>
          <a:endParaRPr lang="fa-IR" sz="1200">
            <a:solidFill>
              <a:sysClr val="windowText" lastClr="000000"/>
            </a:solidFill>
            <a:cs typeface="B Titr" panose="00000700000000000000" pitchFamily="2" charset="-78"/>
          </a:endParaRPr>
        </a:p>
      </xdr:txBody>
    </xdr:sp>
    <xdr:clientData/>
  </xdr:twoCellAnchor>
  <xdr:twoCellAnchor>
    <xdr:from>
      <xdr:col>70</xdr:col>
      <xdr:colOff>258261</xdr:colOff>
      <xdr:row>161</xdr:row>
      <xdr:rowOff>199448</xdr:rowOff>
    </xdr:from>
    <xdr:to>
      <xdr:col>73</xdr:col>
      <xdr:colOff>482888</xdr:colOff>
      <xdr:row>162</xdr:row>
      <xdr:rowOff>265546</xdr:rowOff>
    </xdr:to>
    <xdr:sp macro="" textlink="">
      <xdr:nvSpPr>
        <xdr:cNvPr id="44" name="Rounded Rectangle 43">
          <a:hlinkClick xmlns:r="http://schemas.openxmlformats.org/officeDocument/2006/relationships" r:id="rId14"/>
        </xdr:cNvPr>
        <xdr:cNvSpPr/>
      </xdr:nvSpPr>
      <xdr:spPr>
        <a:xfrm>
          <a:off x="10978968737" y="38569323"/>
          <a:ext cx="2224877" cy="447098"/>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عدم قطعيت فلرها</a:t>
          </a:r>
          <a:endParaRPr lang="fa-IR" sz="1200">
            <a:solidFill>
              <a:sysClr val="windowText" lastClr="000000"/>
            </a:solidFill>
            <a:cs typeface="B Titr" panose="00000700000000000000" pitchFamily="2" charset="-78"/>
          </a:endParaRPr>
        </a:p>
      </xdr:txBody>
    </xdr:sp>
    <xdr:clientData/>
  </xdr:twoCellAnchor>
  <xdr:twoCellAnchor>
    <xdr:from>
      <xdr:col>61</xdr:col>
      <xdr:colOff>496435</xdr:colOff>
      <xdr:row>91</xdr:row>
      <xdr:rowOff>23090</xdr:rowOff>
    </xdr:from>
    <xdr:to>
      <xdr:col>66</xdr:col>
      <xdr:colOff>355003</xdr:colOff>
      <xdr:row>93</xdr:row>
      <xdr:rowOff>89477</xdr:rowOff>
    </xdr:to>
    <xdr:sp macro="" textlink="">
      <xdr:nvSpPr>
        <xdr:cNvPr id="45" name="Rounded Rectangle 44">
          <a:hlinkClick xmlns:r="http://schemas.openxmlformats.org/officeDocument/2006/relationships" r:id="rId3"/>
        </xdr:cNvPr>
        <xdr:cNvSpPr/>
      </xdr:nvSpPr>
      <xdr:spPr>
        <a:xfrm>
          <a:off x="10843551542" y="21728545"/>
          <a:ext cx="3784023"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 به بخش ورود مشخصات گاز ارسالي به فلر</a:t>
          </a:r>
        </a:p>
      </xdr:txBody>
    </xdr:sp>
    <xdr:clientData/>
  </xdr:twoCellAnchor>
  <xdr:twoCellAnchor>
    <xdr:from>
      <xdr:col>11</xdr:col>
      <xdr:colOff>317499</xdr:colOff>
      <xdr:row>91</xdr:row>
      <xdr:rowOff>47625</xdr:rowOff>
    </xdr:from>
    <xdr:to>
      <xdr:col>13</xdr:col>
      <xdr:colOff>539750</xdr:colOff>
      <xdr:row>93</xdr:row>
      <xdr:rowOff>111125</xdr:rowOff>
    </xdr:to>
    <xdr:sp macro="" textlink="">
      <xdr:nvSpPr>
        <xdr:cNvPr id="46" name="Rounded Rectangle 45">
          <a:hlinkClick xmlns:r="http://schemas.openxmlformats.org/officeDocument/2006/relationships" r:id="rId14"/>
        </xdr:cNvPr>
        <xdr:cNvSpPr/>
      </xdr:nvSpPr>
      <xdr:spPr>
        <a:xfrm>
          <a:off x="11036109500" y="21971000"/>
          <a:ext cx="4175126"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گازهاي ارسالي به فلر</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0</xdr:col>
      <xdr:colOff>2698751</xdr:colOff>
      <xdr:row>75</xdr:row>
      <xdr:rowOff>381000</xdr:rowOff>
    </xdr:from>
    <xdr:to>
      <xdr:col>5</xdr:col>
      <xdr:colOff>555626</xdr:colOff>
      <xdr:row>75</xdr:row>
      <xdr:rowOff>793750</xdr:rowOff>
    </xdr:to>
    <xdr:sp macro="" textlink="">
      <xdr:nvSpPr>
        <xdr:cNvPr id="47" name="Rounded Rectangle 46">
          <a:hlinkClick xmlns:r="http://schemas.openxmlformats.org/officeDocument/2006/relationships" r:id="rId13"/>
        </xdr:cNvPr>
        <xdr:cNvSpPr/>
      </xdr:nvSpPr>
      <xdr:spPr>
        <a:xfrm>
          <a:off x="11046412374" y="17637125"/>
          <a:ext cx="369887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سوخت هاي مايع</a:t>
          </a:r>
          <a:endParaRPr lang="fa-IR" sz="1600" b="1" u="sng">
            <a:solidFill>
              <a:sysClr val="windowText" lastClr="000000"/>
            </a:solidFill>
            <a:latin typeface="+mj-lt"/>
            <a:cs typeface="B Titr" panose="00000700000000000000" pitchFamily="2" charset="-78"/>
          </a:endParaRPr>
        </a:p>
      </xdr:txBody>
    </xdr:sp>
    <xdr:clientData/>
  </xdr:twoCellAnchor>
  <xdr:twoCellAnchor>
    <xdr:from>
      <xdr:col>12</xdr:col>
      <xdr:colOff>444500</xdr:colOff>
      <xdr:row>11</xdr:row>
      <xdr:rowOff>63500</xdr:rowOff>
    </xdr:from>
    <xdr:to>
      <xdr:col>14</xdr:col>
      <xdr:colOff>190500</xdr:colOff>
      <xdr:row>13</xdr:row>
      <xdr:rowOff>127000</xdr:rowOff>
    </xdr:to>
    <xdr:sp macro="" textlink="">
      <xdr:nvSpPr>
        <xdr:cNvPr id="48" name="Rounded Rectangle 47">
          <a:hlinkClick xmlns:r="http://schemas.openxmlformats.org/officeDocument/2006/relationships" r:id="rId12"/>
        </xdr:cNvPr>
        <xdr:cNvSpPr/>
      </xdr:nvSpPr>
      <xdr:spPr>
        <a:xfrm>
          <a:off x="11035855500" y="2555875"/>
          <a:ext cx="3698875" cy="4127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بازگشت</a:t>
          </a:r>
          <a:r>
            <a:rPr lang="fa-IR" sz="1600" baseline="0">
              <a:solidFill>
                <a:sysClr val="windowText" lastClr="000000"/>
              </a:solidFill>
              <a:cs typeface="B Titr" panose="00000700000000000000" pitchFamily="2" charset="-78"/>
            </a:rPr>
            <a:t> به بخش عدم قطعيت  </a:t>
          </a:r>
          <a:r>
            <a:rPr lang="fa-IR" sz="1600" b="1" baseline="0">
              <a:solidFill>
                <a:sysClr val="windowText" lastClr="000000"/>
              </a:solidFill>
              <a:latin typeface="+mj-lt"/>
              <a:cs typeface="B Titr" panose="00000700000000000000" pitchFamily="2" charset="-78"/>
            </a:rPr>
            <a:t>سوخت هاي گازي</a:t>
          </a:r>
          <a:endParaRPr lang="fa-IR" sz="1600" b="1" u="sng">
            <a:solidFill>
              <a:sysClr val="windowText" lastClr="000000"/>
            </a:solidFill>
            <a:latin typeface="+mj-lt"/>
            <a:cs typeface="B Titr" panose="00000700000000000000" pitchFamily="2" charset="-7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35</xdr:col>
      <xdr:colOff>460376</xdr:colOff>
      <xdr:row>44</xdr:row>
      <xdr:rowOff>119784</xdr:rowOff>
    </xdr:from>
    <xdr:to>
      <xdr:col>46</xdr:col>
      <xdr:colOff>409576</xdr:colOff>
      <xdr:row>44</xdr:row>
      <xdr:rowOff>804141</xdr:rowOff>
    </xdr:to>
    <xdr:pic>
      <xdr:nvPicPr>
        <xdr:cNvPr id="2" name="Picture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5761424" y="9217602"/>
          <a:ext cx="3239654" cy="684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27421</xdr:colOff>
      <xdr:row>44</xdr:row>
      <xdr:rowOff>347806</xdr:rowOff>
    </xdr:from>
    <xdr:to>
      <xdr:col>35</xdr:col>
      <xdr:colOff>167121</xdr:colOff>
      <xdr:row>44</xdr:row>
      <xdr:rowOff>633556</xdr:rowOff>
    </xdr:to>
    <xdr:pic>
      <xdr:nvPicPr>
        <xdr:cNvPr id="3" name="Picture 2"/>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69294333" y="9445624"/>
          <a:ext cx="2113973"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62056</xdr:colOff>
      <xdr:row>44</xdr:row>
      <xdr:rowOff>464705</xdr:rowOff>
    </xdr:from>
    <xdr:to>
      <xdr:col>25</xdr:col>
      <xdr:colOff>506556</xdr:colOff>
      <xdr:row>44</xdr:row>
      <xdr:rowOff>610755</xdr:rowOff>
    </xdr:to>
    <xdr:pic>
      <xdr:nvPicPr>
        <xdr:cNvPr id="4" name="Picture 3"/>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771587262" y="9562523"/>
          <a:ext cx="1760682" cy="14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19</xdr:col>
      <xdr:colOff>546090</xdr:colOff>
      <xdr:row>111</xdr:row>
      <xdr:rowOff>239566</xdr:rowOff>
    </xdr:from>
    <xdr:ext cx="914400" cy="410369"/>
    <mc:AlternateContent xmlns:mc="http://schemas.openxmlformats.org/markup-compatibility/2006" xmlns:a14="http://schemas.microsoft.com/office/drawing/2010/main">
      <mc:Choice Requires="a14">
        <xdr:sp macro="" textlink="">
          <xdr:nvSpPr>
            <xdr:cNvPr id="3" name="TextBox 2"/>
            <xdr:cNvSpPr txBox="1"/>
          </xdr:nvSpPr>
          <xdr:spPr>
            <a:xfrm>
              <a:off x="10769986783" y="34391021"/>
              <a:ext cx="91440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f>
                      <m:fPr>
                        <m:ctrlPr>
                          <a:rPr lang="fa-IR" sz="1100" i="1">
                            <a:latin typeface="Cambria Math"/>
                          </a:rPr>
                        </m:ctrlPr>
                      </m:fPr>
                      <m:num>
                        <m:r>
                          <a:rPr lang="en-US" sz="1100" b="0" i="1">
                            <a:latin typeface="Cambria Math"/>
                          </a:rPr>
                          <m:t>32</m:t>
                        </m:r>
                      </m:num>
                      <m:den>
                        <m:r>
                          <a:rPr lang="en-US" sz="1100" b="0" i="1">
                            <a:latin typeface="Cambria Math"/>
                          </a:rPr>
                          <m:t>23</m:t>
                        </m:r>
                        <m:r>
                          <a:rPr lang="en-US" sz="1100" b="0" i="1">
                            <a:latin typeface="Cambria Math"/>
                          </a:rPr>
                          <m:t>.</m:t>
                        </m:r>
                        <m:r>
                          <a:rPr lang="en-US" sz="1100" b="0" i="1">
                            <a:latin typeface="Cambria Math"/>
                          </a:rPr>
                          <m:t>7</m:t>
                        </m:r>
                      </m:den>
                    </m:f>
                  </m:oMath>
                </m:oMathPara>
              </a14:m>
              <a:endParaRPr lang="fa-IR" sz="1100"/>
            </a:p>
          </xdr:txBody>
        </xdr:sp>
      </mc:Choice>
      <mc:Fallback xmlns="">
        <xdr:sp macro="" textlink="">
          <xdr:nvSpPr>
            <xdr:cNvPr id="3" name="TextBox 2"/>
            <xdr:cNvSpPr txBox="1"/>
          </xdr:nvSpPr>
          <xdr:spPr>
            <a:xfrm>
              <a:off x="10769986783" y="34391021"/>
              <a:ext cx="91440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en-US" sz="1100" b="0" i="0">
                  <a:latin typeface="Cambria Math"/>
                </a:rPr>
                <a:t>32</a:t>
              </a:r>
              <a:r>
                <a:rPr lang="fa-IR" sz="1100" b="0" i="0">
                  <a:latin typeface="Cambria Math"/>
                </a:rPr>
                <a:t>/</a:t>
              </a:r>
              <a:r>
                <a:rPr lang="en-US" sz="1100" b="0" i="0">
                  <a:latin typeface="Cambria Math"/>
                </a:rPr>
                <a:t>23.7</a:t>
              </a:r>
              <a:endParaRPr lang="fa-IR" sz="1100"/>
            </a:p>
          </xdr:txBody>
        </xdr:sp>
      </mc:Fallback>
    </mc:AlternateContent>
    <xdr:clientData/>
  </xdr:oneCellAnchor>
  <xdr:twoCellAnchor>
    <xdr:from>
      <xdr:col>13</xdr:col>
      <xdr:colOff>1902340</xdr:colOff>
      <xdr:row>4</xdr:row>
      <xdr:rowOff>140607</xdr:rowOff>
    </xdr:from>
    <xdr:to>
      <xdr:col>16</xdr:col>
      <xdr:colOff>195084</xdr:colOff>
      <xdr:row>5</xdr:row>
      <xdr:rowOff>251732</xdr:rowOff>
    </xdr:to>
    <xdr:sp macro="" textlink="">
      <xdr:nvSpPr>
        <xdr:cNvPr id="5" name="Rounded Rectangle 4">
          <a:hlinkClick xmlns:r="http://schemas.openxmlformats.org/officeDocument/2006/relationships" r:id="rId1"/>
        </xdr:cNvPr>
        <xdr:cNvSpPr/>
      </xdr:nvSpPr>
      <xdr:spPr>
        <a:xfrm>
          <a:off x="10841858416" y="1619250"/>
          <a:ext cx="3526959" cy="437696"/>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 از ضرایب انتشار </a:t>
          </a:r>
        </a:p>
      </xdr:txBody>
    </xdr:sp>
    <xdr:clientData/>
  </xdr:twoCellAnchor>
  <xdr:twoCellAnchor>
    <xdr:from>
      <xdr:col>13</xdr:col>
      <xdr:colOff>1869124</xdr:colOff>
      <xdr:row>2</xdr:row>
      <xdr:rowOff>93887</xdr:rowOff>
    </xdr:from>
    <xdr:to>
      <xdr:col>16</xdr:col>
      <xdr:colOff>240021</xdr:colOff>
      <xdr:row>3</xdr:row>
      <xdr:rowOff>211362</xdr:rowOff>
    </xdr:to>
    <xdr:sp macro="" textlink="">
      <xdr:nvSpPr>
        <xdr:cNvPr id="7" name="Rounded Rectangle 6">
          <a:hlinkClick xmlns:r="http://schemas.openxmlformats.org/officeDocument/2006/relationships" r:id="rId2"/>
        </xdr:cNvPr>
        <xdr:cNvSpPr/>
      </xdr:nvSpPr>
      <xdr:spPr>
        <a:xfrm>
          <a:off x="10841813479" y="919387"/>
          <a:ext cx="3605112" cy="4440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(ج): موازنه جرم </a:t>
          </a:r>
        </a:p>
      </xdr:txBody>
    </xdr:sp>
    <xdr:clientData/>
  </xdr:twoCellAnchor>
  <xdr:twoCellAnchor>
    <xdr:from>
      <xdr:col>0</xdr:col>
      <xdr:colOff>18142</xdr:colOff>
      <xdr:row>11</xdr:row>
      <xdr:rowOff>142850</xdr:rowOff>
    </xdr:from>
    <xdr:to>
      <xdr:col>0</xdr:col>
      <xdr:colOff>217713</xdr:colOff>
      <xdr:row>22</xdr:row>
      <xdr:rowOff>209751</xdr:rowOff>
    </xdr:to>
    <xdr:sp macro="" textlink="">
      <xdr:nvSpPr>
        <xdr:cNvPr id="9" name="Rounded Rectangle 8">
          <a:hlinkClick xmlns:r="http://schemas.openxmlformats.org/officeDocument/2006/relationships" r:id="rId3"/>
        </xdr:cNvPr>
        <xdr:cNvSpPr/>
      </xdr:nvSpPr>
      <xdr:spPr>
        <a:xfrm rot="16200000">
          <a:off x="10855155479" y="6081801"/>
          <a:ext cx="3368901" cy="199571"/>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1</xdr:colOff>
      <xdr:row>44</xdr:row>
      <xdr:rowOff>129261</xdr:rowOff>
    </xdr:from>
    <xdr:to>
      <xdr:col>0</xdr:col>
      <xdr:colOff>207818</xdr:colOff>
      <xdr:row>60</xdr:row>
      <xdr:rowOff>175751</xdr:rowOff>
    </xdr:to>
    <xdr:sp macro="" textlink="">
      <xdr:nvSpPr>
        <xdr:cNvPr id="11" name="Rounded Rectangle 10">
          <a:hlinkClick xmlns:r="http://schemas.openxmlformats.org/officeDocument/2006/relationships" r:id="rId4"/>
        </xdr:cNvPr>
        <xdr:cNvSpPr/>
      </xdr:nvSpPr>
      <xdr:spPr>
        <a:xfrm rot="16200000">
          <a:off x="10854834988" y="15705883"/>
          <a:ext cx="4037919" cy="207817"/>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13609</xdr:colOff>
      <xdr:row>83</xdr:row>
      <xdr:rowOff>63500</xdr:rowOff>
    </xdr:from>
    <xdr:to>
      <xdr:col>0</xdr:col>
      <xdr:colOff>226334</xdr:colOff>
      <xdr:row>138</xdr:row>
      <xdr:rowOff>134937</xdr:rowOff>
    </xdr:to>
    <xdr:sp macro="" textlink="">
      <xdr:nvSpPr>
        <xdr:cNvPr id="12" name="Rounded Rectangle 11">
          <a:hlinkClick xmlns:r="http://schemas.openxmlformats.org/officeDocument/2006/relationships" r:id="rId5"/>
        </xdr:cNvPr>
        <xdr:cNvSpPr/>
      </xdr:nvSpPr>
      <xdr:spPr>
        <a:xfrm rot="16200000">
          <a:off x="10848937239" y="33611570"/>
          <a:ext cx="15801294" cy="2127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3</xdr:col>
      <xdr:colOff>136978</xdr:colOff>
      <xdr:row>156</xdr:row>
      <xdr:rowOff>1211044</xdr:rowOff>
    </xdr:from>
    <xdr:to>
      <xdr:col>8</xdr:col>
      <xdr:colOff>771070</xdr:colOff>
      <xdr:row>156</xdr:row>
      <xdr:rowOff>1544419</xdr:rowOff>
    </xdr:to>
    <xdr:sp macro="" textlink="">
      <xdr:nvSpPr>
        <xdr:cNvPr id="14" name="Rounded Rectangle 13">
          <a:hlinkClick xmlns:r="http://schemas.openxmlformats.org/officeDocument/2006/relationships" r:id="rId6"/>
        </xdr:cNvPr>
        <xdr:cNvSpPr/>
      </xdr:nvSpPr>
      <xdr:spPr>
        <a:xfrm>
          <a:off x="10850798359" y="50877115"/>
          <a:ext cx="6684734" cy="33337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بين‌المللي (بویلر، کوره‌های فرایندی و گرمکن‌ها )</a:t>
          </a:r>
        </a:p>
      </xdr:txBody>
    </xdr:sp>
    <xdr:clientData/>
  </xdr:twoCellAnchor>
  <xdr:twoCellAnchor>
    <xdr:from>
      <xdr:col>3</xdr:col>
      <xdr:colOff>193132</xdr:colOff>
      <xdr:row>160</xdr:row>
      <xdr:rowOff>651894</xdr:rowOff>
    </xdr:from>
    <xdr:to>
      <xdr:col>8</xdr:col>
      <xdr:colOff>768497</xdr:colOff>
      <xdr:row>160</xdr:row>
      <xdr:rowOff>953519</xdr:rowOff>
    </xdr:to>
    <xdr:sp macro="" textlink="">
      <xdr:nvSpPr>
        <xdr:cNvPr id="15" name="Rounded Rectangle 14">
          <a:hlinkClick xmlns:r="http://schemas.openxmlformats.org/officeDocument/2006/relationships" r:id="rId7"/>
        </xdr:cNvPr>
        <xdr:cNvSpPr/>
      </xdr:nvSpPr>
      <xdr:spPr>
        <a:xfrm>
          <a:off x="10783401866" y="53934167"/>
          <a:ext cx="6613638" cy="3016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بين المللي (توربين)</a:t>
          </a:r>
        </a:p>
      </xdr:txBody>
    </xdr:sp>
    <xdr:clientData/>
  </xdr:twoCellAnchor>
  <xdr:twoCellAnchor>
    <xdr:from>
      <xdr:col>3</xdr:col>
      <xdr:colOff>9070</xdr:colOff>
      <xdr:row>173</xdr:row>
      <xdr:rowOff>283482</xdr:rowOff>
    </xdr:from>
    <xdr:to>
      <xdr:col>8</xdr:col>
      <xdr:colOff>471714</xdr:colOff>
      <xdr:row>173</xdr:row>
      <xdr:rowOff>580571</xdr:rowOff>
    </xdr:to>
    <xdr:sp macro="" textlink="">
      <xdr:nvSpPr>
        <xdr:cNvPr id="16" name="Rounded Rectangle 15">
          <a:hlinkClick xmlns:r="http://schemas.openxmlformats.org/officeDocument/2006/relationships" r:id="rId8"/>
        </xdr:cNvPr>
        <xdr:cNvSpPr/>
      </xdr:nvSpPr>
      <xdr:spPr>
        <a:xfrm>
          <a:off x="10848920572" y="52843339"/>
          <a:ext cx="6513286" cy="29708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(ج): موازنه جرم (تمام تجهيزات احتراقي)</a:t>
          </a:r>
        </a:p>
      </xdr:txBody>
    </xdr:sp>
    <xdr:clientData/>
  </xdr:twoCellAnchor>
  <xdr:twoCellAnchor>
    <xdr:from>
      <xdr:col>9</xdr:col>
      <xdr:colOff>502554</xdr:colOff>
      <xdr:row>2</xdr:row>
      <xdr:rowOff>42868</xdr:rowOff>
    </xdr:from>
    <xdr:to>
      <xdr:col>13</xdr:col>
      <xdr:colOff>1824493</xdr:colOff>
      <xdr:row>3</xdr:row>
      <xdr:rowOff>234956</xdr:rowOff>
    </xdr:to>
    <xdr:sp macro="" textlink="">
      <xdr:nvSpPr>
        <xdr:cNvPr id="13" name="Down Arrow Callout 12"/>
        <xdr:cNvSpPr/>
      </xdr:nvSpPr>
      <xdr:spPr>
        <a:xfrm rot="5400000">
          <a:off x="10847620183" y="-1288593"/>
          <a:ext cx="518659" cy="4832581"/>
        </a:xfrm>
        <a:prstGeom prst="downArrowCallout">
          <a:avLst>
            <a:gd name="adj1" fmla="val 25000"/>
            <a:gd name="adj2" fmla="val 25000"/>
            <a:gd name="adj3" fmla="val 25000"/>
            <a:gd name="adj4" fmla="val 9163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آلاينده </a:t>
          </a:r>
          <a:r>
            <a:rPr lang="en-US" sz="1200" b="1" baseline="0">
              <a:solidFill>
                <a:sysClr val="windowText" lastClr="000000"/>
              </a:solidFill>
              <a:effectLst/>
              <a:latin typeface="+mn-lt"/>
              <a:ea typeface="+mn-ea"/>
              <a:cs typeface="+mj-cs"/>
            </a:rPr>
            <a:t>SO2</a:t>
          </a:r>
          <a:r>
            <a:rPr lang="fa-IR" sz="1200" b="1" baseline="0">
              <a:solidFill>
                <a:sysClr val="windowText" lastClr="000000"/>
              </a:solidFill>
              <a:effectLst/>
              <a:latin typeface="+mn-lt"/>
              <a:ea typeface="+mn-ea"/>
              <a:cs typeface="+mj-cs"/>
            </a:rPr>
            <a:t> </a:t>
          </a:r>
          <a:r>
            <a:rPr lang="fa-IR" sz="1400" b="1" baseline="0">
              <a:solidFill>
                <a:sysClr val="windowText" lastClr="000000"/>
              </a:solidFill>
              <a:effectLst/>
              <a:latin typeface="+mn-lt"/>
              <a:ea typeface="+mn-ea"/>
              <a:cs typeface="B Nazanin" panose="00000400000000000000" pitchFamily="2" charset="-78"/>
            </a:rPr>
            <a:t>از تمام تجهيزات احتراقي</a:t>
          </a:r>
          <a:endParaRPr lang="fa-IR" sz="1400" b="1">
            <a:solidFill>
              <a:sysClr val="windowText" lastClr="000000"/>
            </a:solidFill>
            <a:effectLst/>
            <a:cs typeface="B Nazanin" panose="00000400000000000000" pitchFamily="2" charset="-78"/>
          </a:endParaRPr>
        </a:p>
      </xdr:txBody>
    </xdr:sp>
    <xdr:clientData/>
  </xdr:twoCellAnchor>
  <xdr:twoCellAnchor>
    <xdr:from>
      <xdr:col>9</xdr:col>
      <xdr:colOff>510490</xdr:colOff>
      <xdr:row>3</xdr:row>
      <xdr:rowOff>317500</xdr:rowOff>
    </xdr:from>
    <xdr:to>
      <xdr:col>13</xdr:col>
      <xdr:colOff>1832430</xdr:colOff>
      <xdr:row>6</xdr:row>
      <xdr:rowOff>45354</xdr:rowOff>
    </xdr:to>
    <xdr:sp macro="" textlink="">
      <xdr:nvSpPr>
        <xdr:cNvPr id="17" name="Down Arrow Callout 16"/>
        <xdr:cNvSpPr/>
      </xdr:nvSpPr>
      <xdr:spPr>
        <a:xfrm rot="5400000">
          <a:off x="10847517791" y="-592935"/>
          <a:ext cx="707569" cy="4832582"/>
        </a:xfrm>
        <a:prstGeom prst="downArrowCallout">
          <a:avLst>
            <a:gd name="adj1" fmla="val 25000"/>
            <a:gd name="adj2" fmla="val 25000"/>
            <a:gd name="adj3" fmla="val 25000"/>
            <a:gd name="adj4" fmla="val 91067"/>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آلاينده‌ها به جز </a:t>
          </a:r>
          <a:r>
            <a:rPr lang="en-US" sz="1200" b="1" baseline="0">
              <a:solidFill>
                <a:sysClr val="windowText" lastClr="000000"/>
              </a:solidFill>
              <a:effectLst/>
              <a:latin typeface="+mn-lt"/>
              <a:ea typeface="+mn-ea"/>
              <a:cs typeface="+mn-cs"/>
            </a:rPr>
            <a:t>SO2</a:t>
          </a:r>
          <a:r>
            <a:rPr lang="fa-IR" sz="1200" b="1" baseline="0">
              <a:solidFill>
                <a:sysClr val="windowText" lastClr="000000"/>
              </a:solidFill>
              <a:effectLst/>
              <a:latin typeface="+mn-lt"/>
              <a:ea typeface="+mn-ea"/>
              <a:cs typeface="+mn-cs"/>
            </a:rPr>
            <a:t> </a:t>
          </a:r>
          <a:r>
            <a:rPr lang="fa-IR" sz="1400" b="1" baseline="0">
              <a:solidFill>
                <a:sysClr val="windowText" lastClr="000000"/>
              </a:solidFill>
              <a:effectLst/>
              <a:latin typeface="+mn-lt"/>
              <a:ea typeface="+mn-ea"/>
              <a:cs typeface="B Nazanin" panose="00000400000000000000" pitchFamily="2" charset="-78"/>
            </a:rPr>
            <a:t>از تمام تجهيزات احتراقي به جز توربين ها</a:t>
          </a:r>
          <a:endParaRPr lang="fa-IR" sz="1400">
            <a:solidFill>
              <a:sysClr val="windowText" lastClr="000000"/>
            </a:solidFill>
            <a:effectLst/>
            <a:cs typeface="B Nazanin" panose="00000400000000000000" pitchFamily="2" charset="-78"/>
          </a:endParaRPr>
        </a:p>
      </xdr:txBody>
    </xdr:sp>
    <xdr:clientData/>
  </xdr:twoCellAnchor>
  <xdr:twoCellAnchor>
    <xdr:from>
      <xdr:col>9</xdr:col>
      <xdr:colOff>142875</xdr:colOff>
      <xdr:row>1</xdr:row>
      <xdr:rowOff>57149</xdr:rowOff>
    </xdr:from>
    <xdr:to>
      <xdr:col>17</xdr:col>
      <xdr:colOff>127000</xdr:colOff>
      <xdr:row>1</xdr:row>
      <xdr:rowOff>523874</xdr:rowOff>
    </xdr:to>
    <xdr:sp macro="" textlink="">
      <xdr:nvSpPr>
        <xdr:cNvPr id="18" name="Rounded Rectangle 17">
          <a:hlinkClick xmlns:r="http://schemas.openxmlformats.org/officeDocument/2006/relationships" r:id="rId9"/>
        </xdr:cNvPr>
        <xdr:cNvSpPr/>
      </xdr:nvSpPr>
      <xdr:spPr>
        <a:xfrm>
          <a:off x="10915507125" y="342899"/>
          <a:ext cx="9334500"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احتراقي</a:t>
          </a:r>
          <a:endParaRPr lang="fa-IR" sz="1800">
            <a:solidFill>
              <a:sysClr val="windowText" lastClr="000000"/>
            </a:solidFill>
            <a:cs typeface="B Titr" panose="00000700000000000000" pitchFamily="2" charset="-78"/>
          </a:endParaRPr>
        </a:p>
      </xdr:txBody>
    </xdr:sp>
    <xdr:clientData/>
  </xdr:twoCellAnchor>
  <xdr:twoCellAnchor>
    <xdr:from>
      <xdr:col>3</xdr:col>
      <xdr:colOff>55340</xdr:colOff>
      <xdr:row>152</xdr:row>
      <xdr:rowOff>283940</xdr:rowOff>
    </xdr:from>
    <xdr:to>
      <xdr:col>8</xdr:col>
      <xdr:colOff>698500</xdr:colOff>
      <xdr:row>152</xdr:row>
      <xdr:rowOff>547465</xdr:rowOff>
    </xdr:to>
    <xdr:sp macro="" textlink="">
      <xdr:nvSpPr>
        <xdr:cNvPr id="19" name="Rounded Rectangle 18">
          <a:hlinkClick xmlns:r="http://schemas.openxmlformats.org/officeDocument/2006/relationships" r:id="rId10"/>
        </xdr:cNvPr>
        <xdr:cNvSpPr/>
      </xdr:nvSpPr>
      <xdr:spPr>
        <a:xfrm>
          <a:off x="10848693786" y="46992726"/>
          <a:ext cx="6693802" cy="2635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xdr:col>
      <xdr:colOff>53976</xdr:colOff>
      <xdr:row>155</xdr:row>
      <xdr:rowOff>533402</xdr:rowOff>
    </xdr:from>
    <xdr:to>
      <xdr:col>8</xdr:col>
      <xdr:colOff>678998</xdr:colOff>
      <xdr:row>155</xdr:row>
      <xdr:rowOff>789215</xdr:rowOff>
    </xdr:to>
    <xdr:sp macro="" textlink="">
      <xdr:nvSpPr>
        <xdr:cNvPr id="21" name="Rounded Rectangle 20">
          <a:hlinkClick xmlns:r="http://schemas.openxmlformats.org/officeDocument/2006/relationships" r:id="rId11"/>
        </xdr:cNvPr>
        <xdr:cNvSpPr/>
      </xdr:nvSpPr>
      <xdr:spPr>
        <a:xfrm>
          <a:off x="10848713288" y="45745402"/>
          <a:ext cx="6675664" cy="25581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و يا</a:t>
          </a:r>
          <a:r>
            <a:rPr lang="fa-IR" sz="1200" baseline="0">
              <a:solidFill>
                <a:sysClr val="windowText" lastClr="000000"/>
              </a:solidFill>
              <a:cs typeface="B Titr" panose="00000700000000000000" pitchFamily="2" charset="-78"/>
            </a:rPr>
            <a:t> مشخصات سوخت مايع 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3</xdr:col>
      <xdr:colOff>72120</xdr:colOff>
      <xdr:row>159</xdr:row>
      <xdr:rowOff>593725</xdr:rowOff>
    </xdr:from>
    <xdr:to>
      <xdr:col>8</xdr:col>
      <xdr:colOff>662670</xdr:colOff>
      <xdr:row>159</xdr:row>
      <xdr:rowOff>916214</xdr:rowOff>
    </xdr:to>
    <xdr:sp macro="" textlink="">
      <xdr:nvSpPr>
        <xdr:cNvPr id="22" name="Rounded Rectangle 21">
          <a:hlinkClick xmlns:r="http://schemas.openxmlformats.org/officeDocument/2006/relationships" r:id="rId11"/>
        </xdr:cNvPr>
        <xdr:cNvSpPr/>
      </xdr:nvSpPr>
      <xdr:spPr>
        <a:xfrm>
          <a:off x="10848729616" y="47774225"/>
          <a:ext cx="6641192" cy="32248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و يا</a:t>
          </a:r>
          <a:r>
            <a:rPr lang="fa-IR" sz="1200" baseline="0">
              <a:solidFill>
                <a:sysClr val="windowText" lastClr="000000"/>
              </a:solidFill>
              <a:cs typeface="B Titr" panose="00000700000000000000" pitchFamily="2" charset="-78"/>
            </a:rPr>
            <a:t> مشخصات سوخت مايع 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13</xdr:col>
      <xdr:colOff>1871532</xdr:colOff>
      <xdr:row>6</xdr:row>
      <xdr:rowOff>202967</xdr:rowOff>
    </xdr:from>
    <xdr:to>
      <xdr:col>16</xdr:col>
      <xdr:colOff>236766</xdr:colOff>
      <xdr:row>7</xdr:row>
      <xdr:rowOff>320442</xdr:rowOff>
    </xdr:to>
    <xdr:sp macro="" textlink="">
      <xdr:nvSpPr>
        <xdr:cNvPr id="23" name="Rounded Rectangle 22">
          <a:hlinkClick xmlns:r="http://schemas.openxmlformats.org/officeDocument/2006/relationships" r:id="rId12"/>
        </xdr:cNvPr>
        <xdr:cNvSpPr/>
      </xdr:nvSpPr>
      <xdr:spPr>
        <a:xfrm>
          <a:off x="10841816734" y="2334753"/>
          <a:ext cx="3599449" cy="44404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a:t>
          </a:r>
          <a:r>
            <a:rPr lang="fa-IR" sz="1600" baseline="0">
              <a:solidFill>
                <a:sysClr val="windowText" lastClr="000000"/>
              </a:solidFill>
              <a:cs typeface="B Titr" panose="00000700000000000000" pitchFamily="2" charset="-78"/>
            </a:rPr>
            <a:t> از ضرايب انتشار</a:t>
          </a:r>
          <a:endParaRPr lang="fa-IR" sz="1600">
            <a:solidFill>
              <a:sysClr val="windowText" lastClr="000000"/>
            </a:solidFill>
            <a:cs typeface="B Titr" panose="00000700000000000000" pitchFamily="2" charset="-78"/>
          </a:endParaRPr>
        </a:p>
      </xdr:txBody>
    </xdr:sp>
    <xdr:clientData/>
  </xdr:twoCellAnchor>
  <xdr:twoCellAnchor>
    <xdr:from>
      <xdr:col>9</xdr:col>
      <xdr:colOff>502557</xdr:colOff>
      <xdr:row>6</xdr:row>
      <xdr:rowOff>124735</xdr:rowOff>
    </xdr:from>
    <xdr:to>
      <xdr:col>13</xdr:col>
      <xdr:colOff>1824494</xdr:colOff>
      <xdr:row>7</xdr:row>
      <xdr:rowOff>316823</xdr:rowOff>
    </xdr:to>
    <xdr:sp macro="" textlink="">
      <xdr:nvSpPr>
        <xdr:cNvPr id="24" name="Down Arrow Callout 23"/>
        <xdr:cNvSpPr/>
      </xdr:nvSpPr>
      <xdr:spPr>
        <a:xfrm rot="5400000">
          <a:off x="10847620181" y="99561"/>
          <a:ext cx="518659" cy="4832579"/>
        </a:xfrm>
        <a:prstGeom prst="downArrowCallout">
          <a:avLst>
            <a:gd name="adj1" fmla="val 25000"/>
            <a:gd name="adj2" fmla="val 25000"/>
            <a:gd name="adj3" fmla="val 25000"/>
            <a:gd name="adj4" fmla="val 9163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انتشارآلاينده‌ها به جز </a:t>
          </a:r>
          <a:r>
            <a:rPr lang="en-US" sz="1200" b="1">
              <a:solidFill>
                <a:sysClr val="windowText" lastClr="000000"/>
              </a:solidFill>
              <a:effectLst/>
              <a:latin typeface="+mn-lt"/>
              <a:ea typeface="+mn-ea"/>
              <a:cs typeface="+mj-cs"/>
            </a:rPr>
            <a:t>SO2</a:t>
          </a:r>
          <a:r>
            <a:rPr lang="fa-IR" sz="1200" b="1">
              <a:solidFill>
                <a:sysClr val="windowText" lastClr="000000"/>
              </a:solidFill>
              <a:effectLst/>
              <a:latin typeface="+mn-lt"/>
              <a:ea typeface="+mn-ea"/>
              <a:cs typeface="+mj-cs"/>
            </a:rPr>
            <a:t> </a:t>
          </a:r>
          <a:r>
            <a:rPr lang="fa-IR" sz="1400" b="1">
              <a:solidFill>
                <a:sysClr val="windowText" lastClr="000000"/>
              </a:solidFill>
              <a:effectLst/>
              <a:latin typeface="+mn-lt"/>
              <a:ea typeface="+mn-ea"/>
              <a:cs typeface="B Nazanin" panose="00000400000000000000" pitchFamily="2" charset="-78"/>
            </a:rPr>
            <a:t>از</a:t>
          </a:r>
          <a:r>
            <a:rPr lang="fa-IR" sz="1400" b="1" baseline="0">
              <a:solidFill>
                <a:sysClr val="windowText" lastClr="000000"/>
              </a:solidFill>
              <a:effectLst/>
              <a:latin typeface="+mn-lt"/>
              <a:ea typeface="+mn-ea"/>
              <a:cs typeface="B Nazanin" panose="00000400000000000000" pitchFamily="2" charset="-78"/>
            </a:rPr>
            <a:t> </a:t>
          </a:r>
          <a:r>
            <a:rPr lang="fa-IR" sz="1400" b="1">
              <a:solidFill>
                <a:sysClr val="windowText" lastClr="000000"/>
              </a:solidFill>
              <a:effectLst/>
              <a:latin typeface="+mn-lt"/>
              <a:ea typeface="+mn-ea"/>
              <a:cs typeface="B Nazanin" panose="00000400000000000000" pitchFamily="2" charset="-78"/>
            </a:rPr>
            <a:t>توربين ها</a:t>
          </a:r>
        </a:p>
      </xdr:txBody>
    </xdr:sp>
    <xdr:clientData/>
  </xdr:twoCellAnchor>
  <xdr:twoCellAnchor>
    <xdr:from>
      <xdr:col>13</xdr:col>
      <xdr:colOff>1889450</xdr:colOff>
      <xdr:row>7</xdr:row>
      <xdr:rowOff>542013</xdr:rowOff>
    </xdr:from>
    <xdr:to>
      <xdr:col>16</xdr:col>
      <xdr:colOff>199183</xdr:colOff>
      <xdr:row>7</xdr:row>
      <xdr:rowOff>1016231</xdr:rowOff>
    </xdr:to>
    <xdr:sp macro="" textlink="">
      <xdr:nvSpPr>
        <xdr:cNvPr id="26" name="Rounded Rectangle 25">
          <a:hlinkClick xmlns:r="http://schemas.openxmlformats.org/officeDocument/2006/relationships" r:id="rId13"/>
        </xdr:cNvPr>
        <xdr:cNvSpPr/>
      </xdr:nvSpPr>
      <xdr:spPr>
        <a:xfrm>
          <a:off x="10841854317" y="3000370"/>
          <a:ext cx="3543948" cy="47421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(د): استفاده از ضرایب انتشار </a:t>
          </a:r>
        </a:p>
      </xdr:txBody>
    </xdr:sp>
    <xdr:clientData/>
  </xdr:twoCellAnchor>
  <xdr:twoCellAnchor>
    <xdr:from>
      <xdr:col>9</xdr:col>
      <xdr:colOff>504825</xdr:colOff>
      <xdr:row>7</xdr:row>
      <xdr:rowOff>420691</xdr:rowOff>
    </xdr:from>
    <xdr:to>
      <xdr:col>13</xdr:col>
      <xdr:colOff>1826761</xdr:colOff>
      <xdr:row>7</xdr:row>
      <xdr:rowOff>1115781</xdr:rowOff>
    </xdr:to>
    <xdr:sp macro="" textlink="">
      <xdr:nvSpPr>
        <xdr:cNvPr id="27" name="Down Arrow Callout 26"/>
        <xdr:cNvSpPr/>
      </xdr:nvSpPr>
      <xdr:spPr>
        <a:xfrm rot="5400000">
          <a:off x="10847529698" y="810304"/>
          <a:ext cx="695090" cy="4832578"/>
        </a:xfrm>
        <a:prstGeom prst="downArrowCallout">
          <a:avLst>
            <a:gd name="adj1" fmla="val 25000"/>
            <a:gd name="adj2" fmla="val 25000"/>
            <a:gd name="adj3" fmla="val 25000"/>
            <a:gd name="adj4" fmla="val 91067"/>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a:t>
          </a:r>
          <a:r>
            <a:rPr lang="fa-IR" sz="1400" b="1" baseline="0">
              <a:solidFill>
                <a:sysClr val="windowText" lastClr="000000"/>
              </a:solidFill>
              <a:effectLst/>
              <a:latin typeface="+mn-lt"/>
              <a:ea typeface="+mn-ea"/>
              <a:cs typeface="B Nazanin" panose="00000400000000000000" pitchFamily="2" charset="-78"/>
            </a:rPr>
            <a:t>محاسبه انتشارآلاينده‌ها به جز </a:t>
          </a:r>
          <a:r>
            <a:rPr lang="en-US" sz="1400" b="1" baseline="0">
              <a:solidFill>
                <a:sysClr val="windowText" lastClr="000000"/>
              </a:solidFill>
              <a:effectLst/>
              <a:latin typeface="+mn-lt"/>
              <a:ea typeface="+mn-ea"/>
              <a:cs typeface="B Nazanin" panose="00000400000000000000" pitchFamily="2" charset="-78"/>
            </a:rPr>
            <a:t>SO2</a:t>
          </a:r>
          <a:r>
            <a:rPr lang="fa-IR" sz="1400" b="1" baseline="0">
              <a:solidFill>
                <a:sysClr val="windowText" lastClr="000000"/>
              </a:solidFill>
              <a:effectLst/>
              <a:latin typeface="+mn-lt"/>
              <a:ea typeface="+mn-ea"/>
              <a:cs typeface="B Nazanin" panose="00000400000000000000" pitchFamily="2" charset="-78"/>
            </a:rPr>
            <a:t> از تجهيزات احتراقي با سوخت گازي در شركت‌هاي تابعه شركت ملي نفت</a:t>
          </a:r>
          <a:endParaRPr lang="fa-IR" sz="1400" b="1">
            <a:solidFill>
              <a:sysClr val="windowText" lastClr="000000"/>
            </a:solidFill>
            <a:effectLst/>
            <a:cs typeface="B Nazanin" panose="00000400000000000000" pitchFamily="2" charset="-78"/>
          </a:endParaRPr>
        </a:p>
      </xdr:txBody>
    </xdr:sp>
    <xdr:clientData/>
  </xdr:twoCellAnchor>
  <xdr:twoCellAnchor>
    <xdr:from>
      <xdr:col>3</xdr:col>
      <xdr:colOff>55340</xdr:colOff>
      <xdr:row>150</xdr:row>
      <xdr:rowOff>828200</xdr:rowOff>
    </xdr:from>
    <xdr:to>
      <xdr:col>8</xdr:col>
      <xdr:colOff>698500</xdr:colOff>
      <xdr:row>150</xdr:row>
      <xdr:rowOff>1091725</xdr:rowOff>
    </xdr:to>
    <xdr:sp macro="" textlink="">
      <xdr:nvSpPr>
        <xdr:cNvPr id="31" name="Rounded Rectangle 30">
          <a:hlinkClick xmlns:r="http://schemas.openxmlformats.org/officeDocument/2006/relationships" r:id="rId10"/>
        </xdr:cNvPr>
        <xdr:cNvSpPr/>
      </xdr:nvSpPr>
      <xdr:spPr>
        <a:xfrm>
          <a:off x="10848693786" y="47101557"/>
          <a:ext cx="6693802" cy="2635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xdr:col>
      <xdr:colOff>72120</xdr:colOff>
      <xdr:row>163</xdr:row>
      <xdr:rowOff>521157</xdr:rowOff>
    </xdr:from>
    <xdr:to>
      <xdr:col>8</xdr:col>
      <xdr:colOff>662670</xdr:colOff>
      <xdr:row>163</xdr:row>
      <xdr:rowOff>789214</xdr:rowOff>
    </xdr:to>
    <xdr:sp macro="" textlink="">
      <xdr:nvSpPr>
        <xdr:cNvPr id="32" name="Rounded Rectangle 31">
          <a:hlinkClick xmlns:r="http://schemas.openxmlformats.org/officeDocument/2006/relationships" r:id="rId11"/>
        </xdr:cNvPr>
        <xdr:cNvSpPr/>
      </xdr:nvSpPr>
      <xdr:spPr>
        <a:xfrm>
          <a:off x="10848729616" y="53942800"/>
          <a:ext cx="6641192" cy="268057"/>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ورود تركيب درصد سوخت گازي </a:t>
          </a:r>
          <a:r>
            <a:rPr lang="fa-IR" sz="1200" baseline="0">
              <a:solidFill>
                <a:sysClr val="windowText" lastClr="000000"/>
              </a:solidFill>
              <a:cs typeface="B Titr" panose="00000700000000000000" pitchFamily="2" charset="-78"/>
            </a:rPr>
            <a:t>در صفحه </a:t>
          </a:r>
          <a:r>
            <a:rPr lang="en-US" sz="1200" b="1" baseline="0">
              <a:solidFill>
                <a:sysClr val="windowText" lastClr="000000"/>
              </a:solidFill>
              <a:cs typeface="B Titr" panose="00000700000000000000" pitchFamily="2" charset="-78"/>
            </a:rPr>
            <a:t>Compositions</a:t>
          </a:r>
          <a:endParaRPr lang="fa-IR" sz="1200" b="1">
            <a:solidFill>
              <a:sysClr val="windowText" lastClr="000000"/>
            </a:solidFill>
            <a:cs typeface="B Titr" panose="00000700000000000000" pitchFamily="2" charset="-78"/>
          </a:endParaRPr>
        </a:p>
      </xdr:txBody>
    </xdr:sp>
    <xdr:clientData/>
  </xdr:twoCellAnchor>
  <xdr:twoCellAnchor>
    <xdr:from>
      <xdr:col>3</xdr:col>
      <xdr:colOff>193132</xdr:colOff>
      <xdr:row>164</xdr:row>
      <xdr:rowOff>340179</xdr:rowOff>
    </xdr:from>
    <xdr:to>
      <xdr:col>8</xdr:col>
      <xdr:colOff>768497</xdr:colOff>
      <xdr:row>164</xdr:row>
      <xdr:rowOff>641804</xdr:rowOff>
    </xdr:to>
    <xdr:sp macro="" textlink="">
      <xdr:nvSpPr>
        <xdr:cNvPr id="33" name="Rounded Rectangle 32">
          <a:hlinkClick xmlns:r="http://schemas.openxmlformats.org/officeDocument/2006/relationships" r:id="rId14"/>
        </xdr:cNvPr>
        <xdr:cNvSpPr/>
      </xdr:nvSpPr>
      <xdr:spPr>
        <a:xfrm>
          <a:off x="10848623789" y="52246893"/>
          <a:ext cx="6626007" cy="30162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 روش (د): استفاده از ضرایب انتشار بومي </a:t>
          </a:r>
        </a:p>
      </xdr:txBody>
    </xdr:sp>
    <xdr:clientData/>
  </xdr:twoCellAnchor>
  <xdr:twoCellAnchor>
    <xdr:from>
      <xdr:col>0</xdr:col>
      <xdr:colOff>1</xdr:colOff>
      <xdr:row>63</xdr:row>
      <xdr:rowOff>629214</xdr:rowOff>
    </xdr:from>
    <xdr:to>
      <xdr:col>0</xdr:col>
      <xdr:colOff>207818</xdr:colOff>
      <xdr:row>75</xdr:row>
      <xdr:rowOff>236978</xdr:rowOff>
    </xdr:to>
    <xdr:sp macro="" textlink="">
      <xdr:nvSpPr>
        <xdr:cNvPr id="34" name="Rounded Rectangle 33">
          <a:hlinkClick xmlns:r="http://schemas.openxmlformats.org/officeDocument/2006/relationships" r:id="rId15"/>
        </xdr:cNvPr>
        <xdr:cNvSpPr/>
      </xdr:nvSpPr>
      <xdr:spPr>
        <a:xfrm rot="16200000">
          <a:off x="10854904673" y="21034723"/>
          <a:ext cx="3898550" cy="207817"/>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30</xdr:col>
      <xdr:colOff>152400</xdr:colOff>
      <xdr:row>7</xdr:row>
      <xdr:rowOff>381000</xdr:rowOff>
    </xdr:from>
    <xdr:to>
      <xdr:col>39</xdr:col>
      <xdr:colOff>720725</xdr:colOff>
      <xdr:row>7</xdr:row>
      <xdr:rowOff>847725</xdr:rowOff>
    </xdr:to>
    <xdr:sp macro="" textlink="">
      <xdr:nvSpPr>
        <xdr:cNvPr id="25" name="Rounded Rectangle 24">
          <a:hlinkClick xmlns:r="http://schemas.openxmlformats.org/officeDocument/2006/relationships" r:id="rId16"/>
        </xdr:cNvPr>
        <xdr:cNvSpPr/>
      </xdr:nvSpPr>
      <xdr:spPr>
        <a:xfrm>
          <a:off x="10786354475" y="2870200"/>
          <a:ext cx="9407525"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31</xdr:col>
      <xdr:colOff>669637</xdr:colOff>
      <xdr:row>147</xdr:row>
      <xdr:rowOff>115455</xdr:rowOff>
    </xdr:from>
    <xdr:to>
      <xdr:col>39</xdr:col>
      <xdr:colOff>354525</xdr:colOff>
      <xdr:row>148</xdr:row>
      <xdr:rowOff>332798</xdr:rowOff>
    </xdr:to>
    <xdr:sp macro="" textlink="">
      <xdr:nvSpPr>
        <xdr:cNvPr id="28" name="Rounded Rectangle 27">
          <a:hlinkClick xmlns:r="http://schemas.openxmlformats.org/officeDocument/2006/relationships" r:id="rId17"/>
        </xdr:cNvPr>
        <xdr:cNvSpPr/>
      </xdr:nvSpPr>
      <xdr:spPr>
        <a:xfrm>
          <a:off x="10761740929" y="44530819"/>
          <a:ext cx="6681434" cy="51752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11499</xdr:colOff>
      <xdr:row>3</xdr:row>
      <xdr:rowOff>6049</xdr:rowOff>
    </xdr:from>
    <xdr:to>
      <xdr:col>16</xdr:col>
      <xdr:colOff>413955</xdr:colOff>
      <xdr:row>4</xdr:row>
      <xdr:rowOff>3449</xdr:rowOff>
    </xdr:to>
    <xdr:sp macro="" textlink="">
      <xdr:nvSpPr>
        <xdr:cNvPr id="2" name="Rounded Rectangle 1">
          <a:hlinkClick xmlns:r="http://schemas.openxmlformats.org/officeDocument/2006/relationships" r:id="rId1"/>
        </xdr:cNvPr>
        <xdr:cNvSpPr/>
      </xdr:nvSpPr>
      <xdr:spPr>
        <a:xfrm>
          <a:off x="10907647795" y="1371299"/>
          <a:ext cx="5180831" cy="34665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cs typeface="B Titr" panose="00000700000000000000" pitchFamily="2" charset="-78"/>
            </a:rPr>
            <a:t>روش (الف): استفاده از دبی و ترکیب گاز ارسالی و راندمان احتراق</a:t>
          </a:r>
        </a:p>
      </xdr:txBody>
    </xdr:sp>
    <xdr:clientData/>
  </xdr:twoCellAnchor>
  <xdr:twoCellAnchor>
    <xdr:from>
      <xdr:col>12</xdr:col>
      <xdr:colOff>9382</xdr:colOff>
      <xdr:row>5</xdr:row>
      <xdr:rowOff>6927</xdr:rowOff>
    </xdr:from>
    <xdr:to>
      <xdr:col>16</xdr:col>
      <xdr:colOff>426307</xdr:colOff>
      <xdr:row>6</xdr:row>
      <xdr:rowOff>33676</xdr:rowOff>
    </xdr:to>
    <xdr:sp macro="" textlink="">
      <xdr:nvSpPr>
        <xdr:cNvPr id="5" name="Rounded Rectangle 4">
          <a:hlinkClick xmlns:r="http://schemas.openxmlformats.org/officeDocument/2006/relationships" r:id="rId2"/>
        </xdr:cNvPr>
        <xdr:cNvSpPr/>
      </xdr:nvSpPr>
      <xdr:spPr>
        <a:xfrm>
          <a:off x="10907635443" y="2070677"/>
          <a:ext cx="5195300" cy="37599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r" rtl="1"/>
          <a:r>
            <a:rPr lang="fa-IR" sz="1600">
              <a:solidFill>
                <a:sysClr val="windowText" lastClr="000000"/>
              </a:solidFill>
              <a:latin typeface="+mn-lt"/>
              <a:ea typeface="+mn-ea"/>
              <a:cs typeface="B Titr" panose="00000700000000000000" pitchFamily="2" charset="-78"/>
            </a:rPr>
            <a:t>روش (ب): استفاده از ضرایب نشر بين المللي و بومي </a:t>
          </a:r>
        </a:p>
      </xdr:txBody>
    </xdr:sp>
    <xdr:clientData/>
  </xdr:twoCellAnchor>
  <xdr:twoCellAnchor>
    <xdr:from>
      <xdr:col>0</xdr:col>
      <xdr:colOff>48489</xdr:colOff>
      <xdr:row>10</xdr:row>
      <xdr:rowOff>9013</xdr:rowOff>
    </xdr:from>
    <xdr:to>
      <xdr:col>0</xdr:col>
      <xdr:colOff>299314</xdr:colOff>
      <xdr:row>17</xdr:row>
      <xdr:rowOff>93295</xdr:rowOff>
    </xdr:to>
    <xdr:sp macro="" textlink="">
      <xdr:nvSpPr>
        <xdr:cNvPr id="7" name="Rounded Rectangle 6">
          <a:hlinkClick xmlns:r="http://schemas.openxmlformats.org/officeDocument/2006/relationships" r:id="rId3"/>
        </xdr:cNvPr>
        <xdr:cNvSpPr/>
      </xdr:nvSpPr>
      <xdr:spPr>
        <a:xfrm rot="16200000">
          <a:off x="10930443770" y="4934304"/>
          <a:ext cx="2925907"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0</xdr:col>
      <xdr:colOff>23091</xdr:colOff>
      <xdr:row>24</xdr:row>
      <xdr:rowOff>191701</xdr:rowOff>
    </xdr:from>
    <xdr:to>
      <xdr:col>0</xdr:col>
      <xdr:colOff>277090</xdr:colOff>
      <xdr:row>33</xdr:row>
      <xdr:rowOff>184341</xdr:rowOff>
    </xdr:to>
    <xdr:sp macro="" textlink="">
      <xdr:nvSpPr>
        <xdr:cNvPr id="8" name="Rounded Rectangle 7">
          <a:hlinkClick xmlns:r="http://schemas.openxmlformats.org/officeDocument/2006/relationships" r:id="rId4"/>
        </xdr:cNvPr>
        <xdr:cNvSpPr/>
      </xdr:nvSpPr>
      <xdr:spPr>
        <a:xfrm rot="16200000">
          <a:off x="10783660272" y="16011067"/>
          <a:ext cx="5338185" cy="253999"/>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200">
              <a:solidFill>
                <a:sysClr val="windowText" lastClr="000000"/>
              </a:solidFill>
              <a:cs typeface="B Titr" panose="00000700000000000000" pitchFamily="2" charset="-78"/>
            </a:rPr>
            <a:t>راهنما</a:t>
          </a:r>
        </a:p>
      </xdr:txBody>
    </xdr:sp>
    <xdr:clientData/>
  </xdr:twoCellAnchor>
  <xdr:twoCellAnchor>
    <xdr:from>
      <xdr:col>2</xdr:col>
      <xdr:colOff>714375</xdr:colOff>
      <xdr:row>48</xdr:row>
      <xdr:rowOff>269888</xdr:rowOff>
    </xdr:from>
    <xdr:to>
      <xdr:col>9</xdr:col>
      <xdr:colOff>920750</xdr:colOff>
      <xdr:row>48</xdr:row>
      <xdr:rowOff>734798</xdr:rowOff>
    </xdr:to>
    <xdr:sp macro="" textlink="">
      <xdr:nvSpPr>
        <xdr:cNvPr id="9" name="Rounded Rectangle 8">
          <a:hlinkClick xmlns:r="http://schemas.openxmlformats.org/officeDocument/2006/relationships" r:id="rId5"/>
        </xdr:cNvPr>
        <xdr:cNvSpPr/>
      </xdr:nvSpPr>
      <xdr:spPr>
        <a:xfrm>
          <a:off x="10921904750" y="21669388"/>
          <a:ext cx="8731250" cy="46491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 روش (الف): استفاده از دبی و ترکیب گاز ارسالی و راندمان احتراق</a:t>
          </a:r>
        </a:p>
      </xdr:txBody>
    </xdr:sp>
    <xdr:clientData/>
  </xdr:twoCellAnchor>
  <xdr:twoCellAnchor>
    <xdr:from>
      <xdr:col>2</xdr:col>
      <xdr:colOff>691284</xdr:colOff>
      <xdr:row>54</xdr:row>
      <xdr:rowOff>304510</xdr:rowOff>
    </xdr:from>
    <xdr:to>
      <xdr:col>9</xdr:col>
      <xdr:colOff>961571</xdr:colOff>
      <xdr:row>54</xdr:row>
      <xdr:rowOff>773544</xdr:rowOff>
    </xdr:to>
    <xdr:sp macro="" textlink="">
      <xdr:nvSpPr>
        <xdr:cNvPr id="10" name="Rounded Rectangle 9">
          <a:hlinkClick xmlns:r="http://schemas.openxmlformats.org/officeDocument/2006/relationships" r:id="rId6"/>
        </xdr:cNvPr>
        <xdr:cNvSpPr/>
      </xdr:nvSpPr>
      <xdr:spPr>
        <a:xfrm>
          <a:off x="10847641500" y="25260010"/>
          <a:ext cx="8788359" cy="46903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 روش (ب): استفاده از ضرایب نشر </a:t>
          </a:r>
        </a:p>
      </xdr:txBody>
    </xdr:sp>
    <xdr:clientData/>
  </xdr:twoCellAnchor>
  <xdr:twoCellAnchor>
    <xdr:from>
      <xdr:col>9</xdr:col>
      <xdr:colOff>173821</xdr:colOff>
      <xdr:row>2</xdr:row>
      <xdr:rowOff>355306</xdr:rowOff>
    </xdr:from>
    <xdr:to>
      <xdr:col>11</xdr:col>
      <xdr:colOff>1438168</xdr:colOff>
      <xdr:row>3</xdr:row>
      <xdr:rowOff>355760</xdr:rowOff>
    </xdr:to>
    <xdr:sp macro="" textlink="">
      <xdr:nvSpPr>
        <xdr:cNvPr id="11" name="Down Arrow Callout 10"/>
        <xdr:cNvSpPr/>
      </xdr:nvSpPr>
      <xdr:spPr>
        <a:xfrm rot="5400000">
          <a:off x="10747034445" y="-668224"/>
          <a:ext cx="360288" cy="4270014"/>
        </a:xfrm>
        <a:prstGeom prst="downArrowCallout">
          <a:avLst>
            <a:gd name="adj1" fmla="val 25000"/>
            <a:gd name="adj2" fmla="val 25000"/>
            <a:gd name="adj3" fmla="val 25000"/>
            <a:gd name="adj4" fmla="val 90165"/>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آلاينده  </a:t>
          </a:r>
          <a:r>
            <a:rPr lang="en-US" sz="1400" b="1" baseline="0">
              <a:solidFill>
                <a:sysClr val="windowText" lastClr="000000"/>
              </a:solidFill>
              <a:effectLst/>
              <a:latin typeface="+mn-lt"/>
              <a:ea typeface="+mn-ea"/>
              <a:cs typeface="+mj-cs"/>
            </a:rPr>
            <a:t>SO2</a:t>
          </a:r>
          <a:r>
            <a:rPr lang="fa-IR" sz="1400" b="1" baseline="0">
              <a:solidFill>
                <a:sysClr val="windowText" lastClr="000000"/>
              </a:solidFill>
              <a:effectLst/>
              <a:latin typeface="+mn-lt"/>
              <a:ea typeface="+mn-ea"/>
              <a:cs typeface="+mj-cs"/>
            </a:rPr>
            <a:t> </a:t>
          </a:r>
          <a:r>
            <a:rPr lang="fa-IR" sz="1400" b="1" baseline="0">
              <a:solidFill>
                <a:sysClr val="windowText" lastClr="000000"/>
              </a:solidFill>
              <a:effectLst/>
              <a:latin typeface="+mn-lt"/>
              <a:ea typeface="+mn-ea"/>
              <a:cs typeface="B Nazanin" panose="00000400000000000000" pitchFamily="2" charset="-78"/>
            </a:rPr>
            <a:t>و </a:t>
          </a:r>
          <a:r>
            <a:rPr lang="en-US" sz="1400" b="1" baseline="0">
              <a:solidFill>
                <a:sysClr val="windowText" lastClr="000000"/>
              </a:solidFill>
              <a:effectLst/>
              <a:latin typeface="+mn-lt"/>
              <a:ea typeface="+mn-ea"/>
              <a:cs typeface="+mj-cs"/>
            </a:rPr>
            <a:t>VOC</a:t>
          </a:r>
          <a:endParaRPr lang="fa-IR" sz="1400" b="1">
            <a:solidFill>
              <a:sysClr val="windowText" lastClr="000000"/>
            </a:solidFill>
            <a:effectLst/>
            <a:cs typeface="+mj-cs"/>
          </a:endParaRPr>
        </a:p>
      </xdr:txBody>
    </xdr:sp>
    <xdr:clientData/>
  </xdr:twoCellAnchor>
  <xdr:twoCellAnchor>
    <xdr:from>
      <xdr:col>9</xdr:col>
      <xdr:colOff>183071</xdr:colOff>
      <xdr:row>4</xdr:row>
      <xdr:rowOff>355307</xdr:rowOff>
    </xdr:from>
    <xdr:to>
      <xdr:col>11</xdr:col>
      <xdr:colOff>1439334</xdr:colOff>
      <xdr:row>5</xdr:row>
      <xdr:rowOff>355761</xdr:rowOff>
    </xdr:to>
    <xdr:sp macro="" textlink="">
      <xdr:nvSpPr>
        <xdr:cNvPr id="12" name="Down Arrow Callout 11"/>
        <xdr:cNvSpPr/>
      </xdr:nvSpPr>
      <xdr:spPr>
        <a:xfrm rot="5400000">
          <a:off x="10747029237" y="55486"/>
          <a:ext cx="360287" cy="4261930"/>
        </a:xfrm>
        <a:prstGeom prst="downArrowCallout">
          <a:avLst>
            <a:gd name="adj1" fmla="val 25000"/>
            <a:gd name="adj2" fmla="val 25000"/>
            <a:gd name="adj3" fmla="val 25000"/>
            <a:gd name="adj4" fmla="val 90871"/>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b="1">
              <a:solidFill>
                <a:sysClr val="windowText" lastClr="000000"/>
              </a:solidFill>
              <a:effectLst/>
              <a:latin typeface="+mn-lt"/>
              <a:ea typeface="+mn-ea"/>
              <a:cs typeface="B Nazanin" panose="00000400000000000000" pitchFamily="2" charset="-78"/>
            </a:rPr>
            <a:t>جهت محاسبه انتشار</a:t>
          </a:r>
          <a:r>
            <a:rPr lang="fa-IR" sz="1400" b="1" baseline="0">
              <a:solidFill>
                <a:sysClr val="windowText" lastClr="000000"/>
              </a:solidFill>
              <a:effectLst/>
              <a:latin typeface="+mn-lt"/>
              <a:ea typeface="+mn-ea"/>
              <a:cs typeface="B Nazanin" panose="00000400000000000000" pitchFamily="2" charset="-78"/>
            </a:rPr>
            <a:t> ساير آلاينده‌ها </a:t>
          </a:r>
          <a:endParaRPr lang="fa-IR" sz="1400" b="1">
            <a:solidFill>
              <a:sysClr val="windowText" lastClr="000000"/>
            </a:solidFill>
            <a:effectLst/>
            <a:cs typeface="B Nazanin" panose="00000400000000000000" pitchFamily="2" charset="-78"/>
          </a:endParaRPr>
        </a:p>
      </xdr:txBody>
    </xdr:sp>
    <xdr:clientData/>
  </xdr:twoCellAnchor>
  <xdr:twoCellAnchor>
    <xdr:from>
      <xdr:col>2</xdr:col>
      <xdr:colOff>654109</xdr:colOff>
      <xdr:row>43</xdr:row>
      <xdr:rowOff>386009</xdr:rowOff>
    </xdr:from>
    <xdr:to>
      <xdr:col>9</xdr:col>
      <xdr:colOff>1133533</xdr:colOff>
      <xdr:row>43</xdr:row>
      <xdr:rowOff>943448</xdr:rowOff>
    </xdr:to>
    <xdr:sp macro="" textlink="">
      <xdr:nvSpPr>
        <xdr:cNvPr id="13" name="Rounded Rectangle 12">
          <a:hlinkClick xmlns:r="http://schemas.openxmlformats.org/officeDocument/2006/relationships" r:id="rId7"/>
        </xdr:cNvPr>
        <xdr:cNvSpPr/>
      </xdr:nvSpPr>
      <xdr:spPr>
        <a:xfrm>
          <a:off x="10847469538" y="18410938"/>
          <a:ext cx="8933996" cy="55743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بازگشت به</a:t>
          </a:r>
          <a:r>
            <a:rPr lang="fa-IR" sz="1100" b="1" baseline="0">
              <a:solidFill>
                <a:sysClr val="windowText" lastClr="000000"/>
              </a:solidFill>
              <a:cs typeface="B Titr" panose="00000700000000000000" pitchFamily="2" charset="-78"/>
            </a:rPr>
            <a:t> بالاي صفحه</a:t>
          </a:r>
          <a:endParaRPr lang="fa-IR" sz="1100" b="1">
            <a:solidFill>
              <a:sysClr val="windowText" lastClr="000000"/>
            </a:solidFill>
            <a:cs typeface="B Titr" panose="00000700000000000000" pitchFamily="2" charset="-78"/>
          </a:endParaRPr>
        </a:p>
      </xdr:txBody>
    </xdr:sp>
    <xdr:clientData/>
  </xdr:twoCellAnchor>
  <xdr:twoCellAnchor>
    <xdr:from>
      <xdr:col>9</xdr:col>
      <xdr:colOff>141979</xdr:colOff>
      <xdr:row>1</xdr:row>
      <xdr:rowOff>127000</xdr:rowOff>
    </xdr:from>
    <xdr:to>
      <xdr:col>16</xdr:col>
      <xdr:colOff>428625</xdr:colOff>
      <xdr:row>2</xdr:row>
      <xdr:rowOff>4234</xdr:rowOff>
    </xdr:to>
    <xdr:sp macro="" textlink="">
      <xdr:nvSpPr>
        <xdr:cNvPr id="14" name="Rounded Rectangle 13">
          <a:hlinkClick xmlns:r="http://schemas.openxmlformats.org/officeDocument/2006/relationships" r:id="rId8"/>
        </xdr:cNvPr>
        <xdr:cNvSpPr/>
      </xdr:nvSpPr>
      <xdr:spPr>
        <a:xfrm>
          <a:off x="10907633125" y="539750"/>
          <a:ext cx="9541771" cy="48048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فلر</a:t>
          </a:r>
          <a:endParaRPr lang="fa-IR" sz="1800">
            <a:solidFill>
              <a:sysClr val="windowText" lastClr="000000"/>
            </a:solidFill>
            <a:cs typeface="B Titr" panose="00000700000000000000" pitchFamily="2" charset="-78"/>
          </a:endParaRPr>
        </a:p>
      </xdr:txBody>
    </xdr:sp>
    <xdr:clientData/>
  </xdr:twoCellAnchor>
  <xdr:twoCellAnchor>
    <xdr:from>
      <xdr:col>2</xdr:col>
      <xdr:colOff>641350</xdr:colOff>
      <xdr:row>50</xdr:row>
      <xdr:rowOff>312524</xdr:rowOff>
    </xdr:from>
    <xdr:to>
      <xdr:col>9</xdr:col>
      <xdr:colOff>914400</xdr:colOff>
      <xdr:row>50</xdr:row>
      <xdr:rowOff>718924</xdr:rowOff>
    </xdr:to>
    <xdr:sp macro="" textlink="">
      <xdr:nvSpPr>
        <xdr:cNvPr id="15" name="Rounded Rectangle 14">
          <a:hlinkClick xmlns:r="http://schemas.openxmlformats.org/officeDocument/2006/relationships" r:id="rId9"/>
        </xdr:cNvPr>
        <xdr:cNvSpPr/>
      </xdr:nvSpPr>
      <xdr:spPr>
        <a:xfrm>
          <a:off x="10921911100" y="22870899"/>
          <a:ext cx="8797925" cy="4064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ورود تركيب درصد گاز ارسالي به فلر </a:t>
          </a:r>
          <a:r>
            <a:rPr lang="fa-IR" sz="1100" b="1" baseline="0">
              <a:solidFill>
                <a:sysClr val="windowText" lastClr="000000"/>
              </a:solidFill>
              <a:cs typeface="B Titr" panose="00000700000000000000" pitchFamily="2" charset="-78"/>
            </a:rPr>
            <a:t>در صفحه </a:t>
          </a:r>
          <a:r>
            <a:rPr lang="en-US" sz="1100" b="1" baseline="0">
              <a:solidFill>
                <a:sysClr val="windowText" lastClr="000000"/>
              </a:solidFill>
              <a:cs typeface="B Titr" panose="00000700000000000000" pitchFamily="2" charset="-78"/>
            </a:rPr>
            <a:t>Compositions</a:t>
          </a:r>
          <a:endParaRPr lang="fa-IR" sz="1100" b="1">
            <a:solidFill>
              <a:sysClr val="windowText" lastClr="000000"/>
            </a:solidFill>
            <a:cs typeface="B Titr" panose="00000700000000000000" pitchFamily="2" charset="-78"/>
          </a:endParaRPr>
        </a:p>
      </xdr:txBody>
    </xdr:sp>
    <xdr:clientData/>
  </xdr:twoCellAnchor>
  <xdr:twoCellAnchor>
    <xdr:from>
      <xdr:col>2</xdr:col>
      <xdr:colOff>698500</xdr:colOff>
      <xdr:row>45</xdr:row>
      <xdr:rowOff>428625</xdr:rowOff>
    </xdr:from>
    <xdr:to>
      <xdr:col>9</xdr:col>
      <xdr:colOff>971550</xdr:colOff>
      <xdr:row>45</xdr:row>
      <xdr:rowOff>835025</xdr:rowOff>
    </xdr:to>
    <xdr:sp macro="" textlink="">
      <xdr:nvSpPr>
        <xdr:cNvPr id="16" name="Rounded Rectangle 15">
          <a:hlinkClick xmlns:r="http://schemas.openxmlformats.org/officeDocument/2006/relationships" r:id="rId9"/>
        </xdr:cNvPr>
        <xdr:cNvSpPr/>
      </xdr:nvSpPr>
      <xdr:spPr>
        <a:xfrm>
          <a:off x="10921853950" y="19859625"/>
          <a:ext cx="8797925" cy="4064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b="1">
              <a:solidFill>
                <a:sysClr val="windowText" lastClr="000000"/>
              </a:solidFill>
              <a:cs typeface="B Titr" panose="00000700000000000000" pitchFamily="2" charset="-78"/>
            </a:rPr>
            <a:t>ورود تركيب درصد گاز ارسالي به فلر </a:t>
          </a:r>
          <a:r>
            <a:rPr lang="fa-IR" sz="1100" b="1" baseline="0">
              <a:solidFill>
                <a:sysClr val="windowText" lastClr="000000"/>
              </a:solidFill>
              <a:cs typeface="B Titr" panose="00000700000000000000" pitchFamily="2" charset="-78"/>
            </a:rPr>
            <a:t>در صفحه </a:t>
          </a:r>
          <a:r>
            <a:rPr lang="en-US" sz="1100" b="1" baseline="0">
              <a:solidFill>
                <a:sysClr val="windowText" lastClr="000000"/>
              </a:solidFill>
              <a:cs typeface="B Titr" panose="00000700000000000000" pitchFamily="2" charset="-78"/>
            </a:rPr>
            <a:t>Compositions</a:t>
          </a:r>
          <a:endParaRPr lang="fa-IR" sz="1100" b="1">
            <a:solidFill>
              <a:sysClr val="windowText" lastClr="000000"/>
            </a:solidFill>
            <a:cs typeface="B Titr" panose="00000700000000000000" pitchFamily="2" charset="-78"/>
          </a:endParaRPr>
        </a:p>
      </xdr:txBody>
    </xdr:sp>
    <xdr:clientData/>
  </xdr:twoCellAnchor>
  <xdr:twoCellAnchor>
    <xdr:from>
      <xdr:col>28</xdr:col>
      <xdr:colOff>152400</xdr:colOff>
      <xdr:row>7</xdr:row>
      <xdr:rowOff>381000</xdr:rowOff>
    </xdr:from>
    <xdr:to>
      <xdr:col>38</xdr:col>
      <xdr:colOff>720725</xdr:colOff>
      <xdr:row>7</xdr:row>
      <xdr:rowOff>847725</xdr:rowOff>
    </xdr:to>
    <xdr:sp macro="" textlink="">
      <xdr:nvSpPr>
        <xdr:cNvPr id="17" name="Rounded Rectangle 16">
          <a:hlinkClick xmlns:r="http://schemas.openxmlformats.org/officeDocument/2006/relationships" r:id="rId10"/>
        </xdr:cNvPr>
        <xdr:cNvSpPr/>
      </xdr:nvSpPr>
      <xdr:spPr>
        <a:xfrm>
          <a:off x="10786360825" y="2825750"/>
          <a:ext cx="9420225" cy="4667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29</xdr:col>
      <xdr:colOff>762000</xdr:colOff>
      <xdr:row>43</xdr:row>
      <xdr:rowOff>901988</xdr:rowOff>
    </xdr:from>
    <xdr:to>
      <xdr:col>37</xdr:col>
      <xdr:colOff>446888</xdr:colOff>
      <xdr:row>44</xdr:row>
      <xdr:rowOff>127865</xdr:rowOff>
    </xdr:to>
    <xdr:sp macro="" textlink="">
      <xdr:nvSpPr>
        <xdr:cNvPr id="18" name="Rounded Rectangle 17">
          <a:hlinkClick xmlns:r="http://schemas.openxmlformats.org/officeDocument/2006/relationships" r:id="rId11"/>
        </xdr:cNvPr>
        <xdr:cNvSpPr/>
      </xdr:nvSpPr>
      <xdr:spPr>
        <a:xfrm>
          <a:off x="10906170237" y="19174113"/>
          <a:ext cx="10337013" cy="3212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32</xdr:col>
      <xdr:colOff>565727</xdr:colOff>
      <xdr:row>1</xdr:row>
      <xdr:rowOff>138546</xdr:rowOff>
    </xdr:from>
    <xdr:to>
      <xdr:col>41</xdr:col>
      <xdr:colOff>127000</xdr:colOff>
      <xdr:row>1</xdr:row>
      <xdr:rowOff>476250</xdr:rowOff>
    </xdr:to>
    <xdr:sp macro="" textlink="">
      <xdr:nvSpPr>
        <xdr:cNvPr id="19" name="Rounded Rectangle 18">
          <a:hlinkClick xmlns:r="http://schemas.openxmlformats.org/officeDocument/2006/relationships" r:id="rId12"/>
        </xdr:cNvPr>
        <xdr:cNvSpPr/>
      </xdr:nvSpPr>
      <xdr:spPr>
        <a:xfrm>
          <a:off x="10896187250" y="551296"/>
          <a:ext cx="8229023" cy="33770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فلر</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4538</xdr:colOff>
      <xdr:row>56</xdr:row>
      <xdr:rowOff>380999</xdr:rowOff>
    </xdr:from>
    <xdr:to>
      <xdr:col>0</xdr:col>
      <xdr:colOff>261713</xdr:colOff>
      <xdr:row>77</xdr:row>
      <xdr:rowOff>39686</xdr:rowOff>
    </xdr:to>
    <xdr:sp macro="" textlink="">
      <xdr:nvSpPr>
        <xdr:cNvPr id="2" name="Rounded Rectangle 1">
          <a:hlinkClick xmlns:r="http://schemas.openxmlformats.org/officeDocument/2006/relationships" r:id="rId1"/>
        </xdr:cNvPr>
        <xdr:cNvSpPr/>
      </xdr:nvSpPr>
      <xdr:spPr>
        <a:xfrm rot="16200000">
          <a:off x="10851085352" y="12042434"/>
          <a:ext cx="3024187" cy="2571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20409</xdr:colOff>
      <xdr:row>47</xdr:row>
      <xdr:rowOff>254000</xdr:rowOff>
    </xdr:from>
    <xdr:to>
      <xdr:col>0</xdr:col>
      <xdr:colOff>264884</xdr:colOff>
      <xdr:row>55</xdr:row>
      <xdr:rowOff>0</xdr:rowOff>
    </xdr:to>
    <xdr:sp macro="" textlink="">
      <xdr:nvSpPr>
        <xdr:cNvPr id="3" name="Rounded Rectangle 2">
          <a:hlinkClick xmlns:r="http://schemas.openxmlformats.org/officeDocument/2006/relationships" r:id="rId2"/>
        </xdr:cNvPr>
        <xdr:cNvSpPr/>
      </xdr:nvSpPr>
      <xdr:spPr>
        <a:xfrm rot="16200000">
          <a:off x="10851839532" y="8990012"/>
          <a:ext cx="1496786" cy="2444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20412</xdr:colOff>
      <xdr:row>12</xdr:row>
      <xdr:rowOff>142875</xdr:rowOff>
    </xdr:from>
    <xdr:to>
      <xdr:col>0</xdr:col>
      <xdr:colOff>264887</xdr:colOff>
      <xdr:row>17</xdr:row>
      <xdr:rowOff>15875</xdr:rowOff>
    </xdr:to>
    <xdr:sp macro="" textlink="">
      <xdr:nvSpPr>
        <xdr:cNvPr id="4" name="Rounded Rectangle 3">
          <a:hlinkClick xmlns:r="http://schemas.openxmlformats.org/officeDocument/2006/relationships" r:id="rId3"/>
        </xdr:cNvPr>
        <xdr:cNvSpPr/>
      </xdr:nvSpPr>
      <xdr:spPr>
        <a:xfrm rot="16200000">
          <a:off x="10851839529" y="5159601"/>
          <a:ext cx="1496786" cy="2444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11</xdr:col>
      <xdr:colOff>116895</xdr:colOff>
      <xdr:row>5</xdr:row>
      <xdr:rowOff>89496</xdr:rowOff>
    </xdr:from>
    <xdr:to>
      <xdr:col>15</xdr:col>
      <xdr:colOff>362176</xdr:colOff>
      <xdr:row>8</xdr:row>
      <xdr:rowOff>450278</xdr:rowOff>
    </xdr:to>
    <xdr:sp macro="" textlink="">
      <xdr:nvSpPr>
        <xdr:cNvPr id="5" name="Rounded Rectangle 4">
          <a:hlinkClick xmlns:r="http://schemas.openxmlformats.org/officeDocument/2006/relationships" r:id="rId4"/>
        </xdr:cNvPr>
        <xdr:cNvSpPr/>
      </xdr:nvSpPr>
      <xdr:spPr>
        <a:xfrm>
          <a:off x="10774052279" y="1521132"/>
          <a:ext cx="3224008" cy="119205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(ج): استفاده از ضرایب انتشاربراي اكسيدايزر واحد بازیابی گوگرد</a:t>
          </a:r>
          <a:r>
            <a:rPr lang="fa-IR" sz="1600" baseline="0">
              <a:solidFill>
                <a:sysClr val="windowText" lastClr="000000"/>
              </a:solidFill>
              <a:cs typeface="B Titr" panose="00000700000000000000" pitchFamily="2" charset="-78"/>
            </a:rPr>
            <a:t> (</a:t>
          </a:r>
          <a:r>
            <a:rPr lang="en-US" sz="1600" baseline="0">
              <a:solidFill>
                <a:sysClr val="windowText" lastClr="000000"/>
              </a:solidFill>
              <a:cs typeface="B Titr" panose="00000700000000000000" pitchFamily="2" charset="-78"/>
            </a:rPr>
            <a:t>SRU</a:t>
          </a:r>
          <a:r>
            <a:rPr lang="fa-IR" sz="1600" baseline="0">
              <a:solidFill>
                <a:sysClr val="windowText" lastClr="000000"/>
              </a:solidFill>
              <a:cs typeface="B Titr" panose="00000700000000000000" pitchFamily="2" charset="-78"/>
            </a:rPr>
            <a:t>)</a:t>
          </a:r>
          <a:endParaRPr lang="fa-IR" sz="1600">
            <a:solidFill>
              <a:sysClr val="windowText" lastClr="000000"/>
            </a:solidFill>
            <a:cs typeface="B Titr" panose="00000700000000000000" pitchFamily="2" charset="-78"/>
          </a:endParaRPr>
        </a:p>
      </xdr:txBody>
    </xdr:sp>
    <xdr:clientData/>
  </xdr:twoCellAnchor>
  <xdr:twoCellAnchor>
    <xdr:from>
      <xdr:col>19</xdr:col>
      <xdr:colOff>261189</xdr:colOff>
      <xdr:row>5</xdr:row>
      <xdr:rowOff>64945</xdr:rowOff>
    </xdr:from>
    <xdr:to>
      <xdr:col>21</xdr:col>
      <xdr:colOff>865848</xdr:colOff>
      <xdr:row>8</xdr:row>
      <xdr:rowOff>434398</xdr:rowOff>
    </xdr:to>
    <xdr:sp macro="" textlink="">
      <xdr:nvSpPr>
        <xdr:cNvPr id="6" name="Rounded Rectangle 5">
          <a:hlinkClick xmlns:r="http://schemas.openxmlformats.org/officeDocument/2006/relationships" r:id="rId5"/>
        </xdr:cNvPr>
        <xdr:cNvSpPr/>
      </xdr:nvSpPr>
      <xdr:spPr>
        <a:xfrm>
          <a:off x="10875839024" y="1547381"/>
          <a:ext cx="2059387" cy="11591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(الف): استفاده از ضرایب انتشار بومي</a:t>
          </a:r>
        </a:p>
      </xdr:txBody>
    </xdr:sp>
    <xdr:clientData/>
  </xdr:twoCellAnchor>
  <xdr:twoCellAnchor>
    <xdr:from>
      <xdr:col>21</xdr:col>
      <xdr:colOff>943575</xdr:colOff>
      <xdr:row>5</xdr:row>
      <xdr:rowOff>80820</xdr:rowOff>
    </xdr:from>
    <xdr:to>
      <xdr:col>24</xdr:col>
      <xdr:colOff>102542</xdr:colOff>
      <xdr:row>8</xdr:row>
      <xdr:rowOff>450273</xdr:rowOff>
    </xdr:to>
    <xdr:sp macro="" textlink="">
      <xdr:nvSpPr>
        <xdr:cNvPr id="7" name="Rounded Rectangle 6">
          <a:hlinkClick xmlns:r="http://schemas.openxmlformats.org/officeDocument/2006/relationships" r:id="rId6"/>
        </xdr:cNvPr>
        <xdr:cNvSpPr/>
      </xdr:nvSpPr>
      <xdr:spPr>
        <a:xfrm>
          <a:off x="10873207967" y="1563256"/>
          <a:ext cx="2553330" cy="11591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(ب):  استفاده از موازنه جرم براي چاله سوخت</a:t>
          </a:r>
        </a:p>
      </xdr:txBody>
    </xdr:sp>
    <xdr:clientData/>
  </xdr:twoCellAnchor>
  <xdr:twoCellAnchor>
    <xdr:from>
      <xdr:col>19</xdr:col>
      <xdr:colOff>378284</xdr:colOff>
      <xdr:row>2</xdr:row>
      <xdr:rowOff>0</xdr:rowOff>
    </xdr:from>
    <xdr:to>
      <xdr:col>24</xdr:col>
      <xdr:colOff>224462</xdr:colOff>
      <xdr:row>5</xdr:row>
      <xdr:rowOff>33194</xdr:rowOff>
    </xdr:to>
    <xdr:sp macro="" textlink="">
      <xdr:nvSpPr>
        <xdr:cNvPr id="9" name="Down Arrow Callout 8"/>
        <xdr:cNvSpPr/>
      </xdr:nvSpPr>
      <xdr:spPr>
        <a:xfrm>
          <a:off x="10873086047" y="955964"/>
          <a:ext cx="4695269" cy="559666"/>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10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روش‌هاي</a:t>
          </a:r>
          <a:r>
            <a:rPr lang="fa-IR" sz="1400" baseline="0">
              <a:solidFill>
                <a:sysClr val="windowText" lastClr="000000"/>
              </a:solidFill>
              <a:effectLst/>
              <a:latin typeface="+mn-lt"/>
              <a:ea typeface="+mn-ea"/>
              <a:cs typeface="B Titr" panose="00000700000000000000" pitchFamily="2" charset="-78"/>
            </a:rPr>
            <a:t> محاسبه انتشارات چاله سوخت</a:t>
          </a:r>
          <a:endParaRPr lang="fa-IR" sz="1400">
            <a:solidFill>
              <a:sysClr val="windowText" lastClr="000000"/>
            </a:solidFill>
            <a:effectLst/>
            <a:cs typeface="B Titr" panose="00000700000000000000" pitchFamily="2" charset="-78"/>
          </a:endParaRPr>
        </a:p>
      </xdr:txBody>
    </xdr:sp>
    <xdr:clientData/>
  </xdr:twoCellAnchor>
  <xdr:twoCellAnchor>
    <xdr:from>
      <xdr:col>11</xdr:col>
      <xdr:colOff>150090</xdr:colOff>
      <xdr:row>2</xdr:row>
      <xdr:rowOff>0</xdr:rowOff>
    </xdr:from>
    <xdr:to>
      <xdr:col>19</xdr:col>
      <xdr:colOff>124690</xdr:colOff>
      <xdr:row>5</xdr:row>
      <xdr:rowOff>56300</xdr:rowOff>
    </xdr:to>
    <xdr:sp macro="" textlink="">
      <xdr:nvSpPr>
        <xdr:cNvPr id="10" name="Down Arrow Callout 9"/>
        <xdr:cNvSpPr/>
      </xdr:nvSpPr>
      <xdr:spPr>
        <a:xfrm>
          <a:off x="10878034910" y="955964"/>
          <a:ext cx="6333836" cy="582772"/>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روش‌</a:t>
          </a:r>
          <a:r>
            <a:rPr lang="fa-IR" sz="1400" baseline="0">
              <a:solidFill>
                <a:sysClr val="windowText" lastClr="000000"/>
              </a:solidFill>
              <a:effectLst/>
              <a:latin typeface="+mn-lt"/>
              <a:ea typeface="+mn-ea"/>
              <a:cs typeface="B Titr" panose="00000700000000000000" pitchFamily="2" charset="-78"/>
            </a:rPr>
            <a:t> محاسبه انتشارات پسماندسوز و اکسیدایزر</a:t>
          </a:r>
          <a:endParaRPr lang="fa-IR" sz="1400">
            <a:solidFill>
              <a:sysClr val="windowText" lastClr="000000"/>
            </a:solidFill>
            <a:effectLst/>
            <a:cs typeface="B Titr" panose="00000700000000000000" pitchFamily="2" charset="-78"/>
          </a:endParaRPr>
        </a:p>
      </xdr:txBody>
    </xdr:sp>
    <xdr:clientData/>
  </xdr:twoCellAnchor>
  <xdr:twoCellAnchor>
    <xdr:from>
      <xdr:col>1</xdr:col>
      <xdr:colOff>23159</xdr:colOff>
      <xdr:row>89</xdr:row>
      <xdr:rowOff>332441</xdr:rowOff>
    </xdr:from>
    <xdr:to>
      <xdr:col>11</xdr:col>
      <xdr:colOff>435162</xdr:colOff>
      <xdr:row>89</xdr:row>
      <xdr:rowOff>772304</xdr:rowOff>
    </xdr:to>
    <xdr:sp macro="" textlink="">
      <xdr:nvSpPr>
        <xdr:cNvPr id="11" name="Rounded Rectangle 10">
          <a:hlinkClick xmlns:r="http://schemas.openxmlformats.org/officeDocument/2006/relationships" r:id="rId4"/>
        </xdr:cNvPr>
        <xdr:cNvSpPr/>
      </xdr:nvSpPr>
      <xdr:spPr>
        <a:xfrm>
          <a:off x="10918643838" y="21223941"/>
          <a:ext cx="9286128"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ضرایب انتشاربين المللي براي اكسيدايزر واحد بازیابی گوگرد  </a:t>
          </a:r>
        </a:p>
      </xdr:txBody>
    </xdr:sp>
    <xdr:clientData/>
  </xdr:twoCellAnchor>
  <xdr:twoCellAnchor>
    <xdr:from>
      <xdr:col>1</xdr:col>
      <xdr:colOff>332924</xdr:colOff>
      <xdr:row>96</xdr:row>
      <xdr:rowOff>328421</xdr:rowOff>
    </xdr:from>
    <xdr:to>
      <xdr:col>12</xdr:col>
      <xdr:colOff>75295</xdr:colOff>
      <xdr:row>96</xdr:row>
      <xdr:rowOff>768284</xdr:rowOff>
    </xdr:to>
    <xdr:sp macro="" textlink="">
      <xdr:nvSpPr>
        <xdr:cNvPr id="12" name="Rounded Rectangle 11">
          <a:hlinkClick xmlns:r="http://schemas.openxmlformats.org/officeDocument/2006/relationships" r:id="rId7"/>
        </xdr:cNvPr>
        <xdr:cNvSpPr/>
      </xdr:nvSpPr>
      <xdr:spPr>
        <a:xfrm>
          <a:off x="10867612248" y="31113221"/>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براي( پسماندسوز و اکسیدایزر)</a:t>
          </a:r>
        </a:p>
      </xdr:txBody>
    </xdr:sp>
    <xdr:clientData/>
  </xdr:twoCellAnchor>
  <xdr:twoCellAnchor>
    <xdr:from>
      <xdr:col>1</xdr:col>
      <xdr:colOff>747</xdr:colOff>
      <xdr:row>92</xdr:row>
      <xdr:rowOff>369762</xdr:rowOff>
    </xdr:from>
    <xdr:to>
      <xdr:col>11</xdr:col>
      <xdr:colOff>412750</xdr:colOff>
      <xdr:row>92</xdr:row>
      <xdr:rowOff>809625</xdr:rowOff>
    </xdr:to>
    <xdr:sp macro="" textlink="">
      <xdr:nvSpPr>
        <xdr:cNvPr id="13" name="Rounded Rectangle 12">
          <a:hlinkClick xmlns:r="http://schemas.openxmlformats.org/officeDocument/2006/relationships" r:id="rId8"/>
        </xdr:cNvPr>
        <xdr:cNvSpPr/>
      </xdr:nvSpPr>
      <xdr:spPr>
        <a:xfrm>
          <a:off x="10918666250" y="23325012"/>
          <a:ext cx="9286128"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(الف): استفاده از ضرایب انتشار بومي(چاله سوخت)</a:t>
          </a:r>
        </a:p>
      </xdr:txBody>
    </xdr:sp>
    <xdr:clientData/>
  </xdr:twoCellAnchor>
  <xdr:twoCellAnchor>
    <xdr:from>
      <xdr:col>1</xdr:col>
      <xdr:colOff>381000</xdr:colOff>
      <xdr:row>84</xdr:row>
      <xdr:rowOff>1057835</xdr:rowOff>
    </xdr:from>
    <xdr:to>
      <xdr:col>11</xdr:col>
      <xdr:colOff>511175</xdr:colOff>
      <xdr:row>84</xdr:row>
      <xdr:rowOff>1514475</xdr:rowOff>
    </xdr:to>
    <xdr:sp macro="" textlink="">
      <xdr:nvSpPr>
        <xdr:cNvPr id="14" name="Rounded Rectangle 13">
          <a:hlinkClick xmlns:r="http://schemas.openxmlformats.org/officeDocument/2006/relationships" r:id="rId9"/>
        </xdr:cNvPr>
        <xdr:cNvSpPr/>
      </xdr:nvSpPr>
      <xdr:spPr>
        <a:xfrm>
          <a:off x="10857379225" y="24097129"/>
          <a:ext cx="8996269" cy="45664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11</xdr:col>
      <xdr:colOff>126999</xdr:colOff>
      <xdr:row>1</xdr:row>
      <xdr:rowOff>34649</xdr:rowOff>
    </xdr:from>
    <xdr:to>
      <xdr:col>24</xdr:col>
      <xdr:colOff>180108</xdr:colOff>
      <xdr:row>1</xdr:row>
      <xdr:rowOff>463272</xdr:rowOff>
    </xdr:to>
    <xdr:sp macro="" textlink="">
      <xdr:nvSpPr>
        <xdr:cNvPr id="15" name="Rounded Rectangle 14">
          <a:hlinkClick xmlns:r="http://schemas.openxmlformats.org/officeDocument/2006/relationships" r:id="rId10"/>
        </xdr:cNvPr>
        <xdr:cNvSpPr/>
      </xdr:nvSpPr>
      <xdr:spPr>
        <a:xfrm>
          <a:off x="10873130401" y="450285"/>
          <a:ext cx="11261436" cy="428623"/>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a:t>
          </a:r>
          <a:r>
            <a:rPr lang="fa-IR" sz="1800" baseline="0">
              <a:solidFill>
                <a:sysClr val="windowText" lastClr="000000"/>
              </a:solidFill>
              <a:cs typeface="B Titr" panose="00000700000000000000" pitchFamily="2" charset="-78"/>
            </a:rPr>
            <a:t> پسماندسوز و اکسیدایزر و چاله سوخت</a:t>
          </a:r>
          <a:endParaRPr lang="fa-IR" sz="1800">
            <a:solidFill>
              <a:sysClr val="windowText" lastClr="000000"/>
            </a:solidFill>
            <a:cs typeface="B Titr" panose="00000700000000000000" pitchFamily="2" charset="-78"/>
          </a:endParaRPr>
        </a:p>
      </xdr:txBody>
    </xdr:sp>
    <xdr:clientData/>
  </xdr:twoCellAnchor>
  <xdr:twoCellAnchor>
    <xdr:from>
      <xdr:col>0</xdr:col>
      <xdr:colOff>410029</xdr:colOff>
      <xdr:row>9</xdr:row>
      <xdr:rowOff>61686</xdr:rowOff>
    </xdr:from>
    <xdr:to>
      <xdr:col>7</xdr:col>
      <xdr:colOff>448129</xdr:colOff>
      <xdr:row>9</xdr:row>
      <xdr:rowOff>658586</xdr:rowOff>
    </xdr:to>
    <xdr:sp macro="" textlink="">
      <xdr:nvSpPr>
        <xdr:cNvPr id="16" name="Rounded Rectangle 15"/>
        <xdr:cNvSpPr/>
      </xdr:nvSpPr>
      <xdr:spPr>
        <a:xfrm>
          <a:off x="10847628799" y="2837543"/>
          <a:ext cx="5471886" cy="59690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احتراقي پسماندسوز و اکسیدایزر</a:t>
          </a:r>
        </a:p>
      </xdr:txBody>
    </xdr:sp>
    <xdr:clientData/>
  </xdr:twoCellAnchor>
  <xdr:twoCellAnchor>
    <xdr:from>
      <xdr:col>0</xdr:col>
      <xdr:colOff>67310</xdr:colOff>
      <xdr:row>43</xdr:row>
      <xdr:rowOff>69275</xdr:rowOff>
    </xdr:from>
    <xdr:to>
      <xdr:col>7</xdr:col>
      <xdr:colOff>245110</xdr:colOff>
      <xdr:row>44</xdr:row>
      <xdr:rowOff>284813</xdr:rowOff>
    </xdr:to>
    <xdr:sp macro="" textlink="">
      <xdr:nvSpPr>
        <xdr:cNvPr id="17" name="Rounded Rectangle 16"/>
        <xdr:cNvSpPr/>
      </xdr:nvSpPr>
      <xdr:spPr>
        <a:xfrm>
          <a:off x="10888333108" y="12538366"/>
          <a:ext cx="5885873" cy="56190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احتراقي</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چاله سوخت</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28</xdr:col>
      <xdr:colOff>343477</xdr:colOff>
      <xdr:row>8</xdr:row>
      <xdr:rowOff>138546</xdr:rowOff>
    </xdr:from>
    <xdr:to>
      <xdr:col>36</xdr:col>
      <xdr:colOff>571500</xdr:colOff>
      <xdr:row>8</xdr:row>
      <xdr:rowOff>476250</xdr:rowOff>
    </xdr:to>
    <xdr:sp macro="" textlink="">
      <xdr:nvSpPr>
        <xdr:cNvPr id="22" name="Rounded Rectangle 21">
          <a:hlinkClick xmlns:r="http://schemas.openxmlformats.org/officeDocument/2006/relationships" r:id="rId11"/>
        </xdr:cNvPr>
        <xdr:cNvSpPr/>
      </xdr:nvSpPr>
      <xdr:spPr>
        <a:xfrm>
          <a:off x="10899457500" y="2440421"/>
          <a:ext cx="5562023" cy="337704"/>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پسماندسوز و اکسیدایزر و چاله سوخت</a:t>
          </a:r>
        </a:p>
      </xdr:txBody>
    </xdr:sp>
    <xdr:clientData/>
  </xdr:twoCellAnchor>
  <xdr:twoCellAnchor>
    <xdr:from>
      <xdr:col>29</xdr:col>
      <xdr:colOff>762000</xdr:colOff>
      <xdr:row>84</xdr:row>
      <xdr:rowOff>1031875</xdr:rowOff>
    </xdr:from>
    <xdr:to>
      <xdr:col>37</xdr:col>
      <xdr:colOff>862813</xdr:colOff>
      <xdr:row>84</xdr:row>
      <xdr:rowOff>1353127</xdr:rowOff>
    </xdr:to>
    <xdr:sp macro="" textlink="">
      <xdr:nvSpPr>
        <xdr:cNvPr id="19" name="Rounded Rectangle 18">
          <a:hlinkClick xmlns:r="http://schemas.openxmlformats.org/officeDocument/2006/relationships" r:id="rId12"/>
        </xdr:cNvPr>
        <xdr:cNvSpPr/>
      </xdr:nvSpPr>
      <xdr:spPr>
        <a:xfrm>
          <a:off x="10899324937" y="18446750"/>
          <a:ext cx="8498688" cy="3212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15</xdr:col>
      <xdr:colOff>422366</xdr:colOff>
      <xdr:row>5</xdr:row>
      <xdr:rowOff>117566</xdr:rowOff>
    </xdr:from>
    <xdr:to>
      <xdr:col>19</xdr:col>
      <xdr:colOff>138545</xdr:colOff>
      <xdr:row>8</xdr:row>
      <xdr:rowOff>487019</xdr:rowOff>
    </xdr:to>
    <xdr:sp macro="" textlink="">
      <xdr:nvSpPr>
        <xdr:cNvPr id="20" name="Rounded Rectangle 19">
          <a:hlinkClick xmlns:r="http://schemas.openxmlformats.org/officeDocument/2006/relationships" r:id="rId13"/>
        </xdr:cNvPr>
        <xdr:cNvSpPr/>
      </xdr:nvSpPr>
      <xdr:spPr>
        <a:xfrm>
          <a:off x="10878021055" y="1600002"/>
          <a:ext cx="3068979" cy="115916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600">
              <a:solidFill>
                <a:sysClr val="windowText" lastClr="000000"/>
              </a:solidFill>
              <a:cs typeface="B Titr" panose="00000700000000000000" pitchFamily="2" charset="-78"/>
            </a:rPr>
            <a:t>روش (ب):  استفاده از موازنه جرم براي پسماندسوز و اکسیدایزر</a:t>
          </a:r>
        </a:p>
      </xdr:txBody>
    </xdr:sp>
    <xdr:clientData/>
  </xdr:twoCellAnchor>
  <xdr:twoCellAnchor>
    <xdr:from>
      <xdr:col>1</xdr:col>
      <xdr:colOff>332921</xdr:colOff>
      <xdr:row>96</xdr:row>
      <xdr:rowOff>916245</xdr:rowOff>
    </xdr:from>
    <xdr:to>
      <xdr:col>12</xdr:col>
      <xdr:colOff>75292</xdr:colOff>
      <xdr:row>96</xdr:row>
      <xdr:rowOff>1356108</xdr:rowOff>
    </xdr:to>
    <xdr:sp macro="" textlink="">
      <xdr:nvSpPr>
        <xdr:cNvPr id="21" name="Rounded Rectangle 20">
          <a:hlinkClick xmlns:r="http://schemas.openxmlformats.org/officeDocument/2006/relationships" r:id="rId7"/>
        </xdr:cNvPr>
        <xdr:cNvSpPr/>
      </xdr:nvSpPr>
      <xdr:spPr>
        <a:xfrm>
          <a:off x="10867612251" y="31701045"/>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(چاله سوخت)</a:t>
          </a:r>
        </a:p>
      </xdr:txBody>
    </xdr:sp>
    <xdr:clientData/>
  </xdr:twoCellAnchor>
  <xdr:twoCellAnchor>
    <xdr:from>
      <xdr:col>1</xdr:col>
      <xdr:colOff>332921</xdr:colOff>
      <xdr:row>96</xdr:row>
      <xdr:rowOff>1003330</xdr:rowOff>
    </xdr:from>
    <xdr:to>
      <xdr:col>12</xdr:col>
      <xdr:colOff>75292</xdr:colOff>
      <xdr:row>96</xdr:row>
      <xdr:rowOff>1443193</xdr:rowOff>
    </xdr:to>
    <xdr:sp macro="" textlink="">
      <xdr:nvSpPr>
        <xdr:cNvPr id="23" name="Rounded Rectangle 22">
          <a:hlinkClick xmlns:r="http://schemas.openxmlformats.org/officeDocument/2006/relationships" r:id="rId14"/>
        </xdr:cNvPr>
        <xdr:cNvSpPr/>
      </xdr:nvSpPr>
      <xdr:spPr>
        <a:xfrm>
          <a:off x="10867612251" y="31788130"/>
          <a:ext cx="9278257" cy="43986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موازنه جرم براي  (چاله سوخت)</a:t>
          </a:r>
        </a:p>
      </xdr:txBody>
    </xdr:sp>
    <xdr:clientData/>
  </xdr:twoCellAnchor>
  <xdr:twoCellAnchor>
    <xdr:from>
      <xdr:col>0</xdr:col>
      <xdr:colOff>1</xdr:colOff>
      <xdr:row>19</xdr:row>
      <xdr:rowOff>228600</xdr:rowOff>
    </xdr:from>
    <xdr:to>
      <xdr:col>0</xdr:col>
      <xdr:colOff>257176</xdr:colOff>
      <xdr:row>38</xdr:row>
      <xdr:rowOff>181201</xdr:rowOff>
    </xdr:to>
    <xdr:sp macro="" textlink="">
      <xdr:nvSpPr>
        <xdr:cNvPr id="24" name="Rounded Rectangle 23">
          <a:hlinkClick xmlns:r="http://schemas.openxmlformats.org/officeDocument/2006/relationships" r:id="rId1"/>
        </xdr:cNvPr>
        <xdr:cNvSpPr/>
      </xdr:nvSpPr>
      <xdr:spPr>
        <a:xfrm rot="16200000">
          <a:off x="10875061140" y="8969941"/>
          <a:ext cx="4655230" cy="2571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9</xdr:col>
      <xdr:colOff>323273</xdr:colOff>
      <xdr:row>41</xdr:row>
      <xdr:rowOff>8081</xdr:rowOff>
    </xdr:from>
    <xdr:ext cx="914400" cy="332912"/>
    <mc:AlternateContent xmlns:mc="http://schemas.openxmlformats.org/markup-compatibility/2006" xmlns:a14="http://schemas.microsoft.com/office/drawing/2010/main">
      <mc:Choice Requires="a14">
        <xdr:sp macro="" textlink="">
          <xdr:nvSpPr>
            <xdr:cNvPr id="10" name="TextBox 9"/>
            <xdr:cNvSpPr txBox="1"/>
          </xdr:nvSpPr>
          <xdr:spPr>
            <a:xfrm>
              <a:off x="10922524452" y="21661581"/>
              <a:ext cx="914400" cy="33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r>
                      <a:rPr lang="fa-IR" sz="1600" i="1">
                        <a:solidFill>
                          <a:schemeClr val="bg1"/>
                        </a:solidFill>
                        <a:latin typeface="Cambria Math"/>
                        <a:ea typeface="Cambria Math"/>
                      </a:rPr>
                      <m:t>℃</m:t>
                    </m:r>
                  </m:oMath>
                </m:oMathPara>
              </a14:m>
              <a:endParaRPr lang="fa-IR" sz="1600" i="1">
                <a:solidFill>
                  <a:schemeClr val="bg1"/>
                </a:solidFill>
                <a:latin typeface="Cambria Math"/>
              </a:endParaRPr>
            </a:p>
          </xdr:txBody>
        </xdr:sp>
      </mc:Choice>
      <mc:Fallback xmlns="">
        <xdr:sp macro="" textlink="">
          <xdr:nvSpPr>
            <xdr:cNvPr id="10" name="TextBox 9"/>
            <xdr:cNvSpPr txBox="1"/>
          </xdr:nvSpPr>
          <xdr:spPr>
            <a:xfrm>
              <a:off x="10922524452" y="21661581"/>
              <a:ext cx="914400" cy="332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fa-IR" sz="1600" i="0">
                  <a:solidFill>
                    <a:schemeClr val="bg1"/>
                  </a:solidFill>
                  <a:latin typeface="Cambria Math"/>
                  <a:ea typeface="Cambria Math"/>
                </a:rPr>
                <a:t>℃</a:t>
              </a:r>
              <a:endParaRPr lang="fa-IR" sz="1600" i="1">
                <a:solidFill>
                  <a:schemeClr val="bg1"/>
                </a:solidFill>
                <a:latin typeface="Cambria Math"/>
              </a:endParaRPr>
            </a:p>
          </xdr:txBody>
        </xdr:sp>
      </mc:Fallback>
    </mc:AlternateContent>
    <xdr:clientData/>
  </xdr:oneCellAnchor>
  <xdr:twoCellAnchor>
    <xdr:from>
      <xdr:col>0</xdr:col>
      <xdr:colOff>190499</xdr:colOff>
      <xdr:row>77</xdr:row>
      <xdr:rowOff>111125</xdr:rowOff>
    </xdr:from>
    <xdr:to>
      <xdr:col>7</xdr:col>
      <xdr:colOff>1092199</xdr:colOff>
      <xdr:row>77</xdr:row>
      <xdr:rowOff>692152</xdr:rowOff>
    </xdr:to>
    <xdr:sp macro="" textlink="">
      <xdr:nvSpPr>
        <xdr:cNvPr id="12" name="Rounded Rectangle 11"/>
        <xdr:cNvSpPr/>
      </xdr:nvSpPr>
      <xdr:spPr>
        <a:xfrm>
          <a:off x="10926638676" y="28321000"/>
          <a:ext cx="5934075" cy="5810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پتروشیمی</a:t>
          </a:r>
        </a:p>
      </xdr:txBody>
    </xdr:sp>
    <xdr:clientData/>
  </xdr:twoCellAnchor>
  <xdr:twoCellAnchor>
    <xdr:from>
      <xdr:col>12</xdr:col>
      <xdr:colOff>1070841</xdr:colOff>
      <xdr:row>7</xdr:row>
      <xdr:rowOff>84780</xdr:rowOff>
    </xdr:from>
    <xdr:to>
      <xdr:col>15</xdr:col>
      <xdr:colOff>1099703</xdr:colOff>
      <xdr:row>8</xdr:row>
      <xdr:rowOff>113932</xdr:rowOff>
    </xdr:to>
    <xdr:sp macro="" textlink="">
      <xdr:nvSpPr>
        <xdr:cNvPr id="11" name="Rounded Rectangle 10">
          <a:hlinkClick xmlns:r="http://schemas.openxmlformats.org/officeDocument/2006/relationships" r:id="rId1"/>
        </xdr:cNvPr>
        <xdr:cNvSpPr/>
      </xdr:nvSpPr>
      <xdr:spPr>
        <a:xfrm>
          <a:off x="10917741172" y="2307280"/>
          <a:ext cx="4283362"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شکست کاتالیستی بستر سیال</a:t>
          </a:r>
        </a:p>
      </xdr:txBody>
    </xdr:sp>
    <xdr:clientData/>
  </xdr:twoCellAnchor>
  <xdr:twoCellAnchor>
    <xdr:from>
      <xdr:col>12</xdr:col>
      <xdr:colOff>1070841</xdr:colOff>
      <xdr:row>4</xdr:row>
      <xdr:rowOff>55627</xdr:rowOff>
    </xdr:from>
    <xdr:to>
      <xdr:col>15</xdr:col>
      <xdr:colOff>1105477</xdr:colOff>
      <xdr:row>6</xdr:row>
      <xdr:rowOff>257672</xdr:rowOff>
    </xdr:to>
    <xdr:sp macro="" textlink="">
      <xdr:nvSpPr>
        <xdr:cNvPr id="15" name="Down Arrow Callout 14"/>
        <xdr:cNvSpPr/>
      </xdr:nvSpPr>
      <xdr:spPr>
        <a:xfrm>
          <a:off x="10917735398" y="1468502"/>
          <a:ext cx="4289136" cy="74179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 واحدهاي پالایش نفت</a:t>
          </a:r>
        </a:p>
      </xdr:txBody>
    </xdr:sp>
    <xdr:clientData/>
  </xdr:twoCellAnchor>
  <xdr:twoCellAnchor>
    <xdr:from>
      <xdr:col>9</xdr:col>
      <xdr:colOff>190501</xdr:colOff>
      <xdr:row>4</xdr:row>
      <xdr:rowOff>58610</xdr:rowOff>
    </xdr:from>
    <xdr:to>
      <xdr:col>12</xdr:col>
      <xdr:colOff>932300</xdr:colOff>
      <xdr:row>6</xdr:row>
      <xdr:rowOff>260655</xdr:rowOff>
    </xdr:to>
    <xdr:sp macro="" textlink="">
      <xdr:nvSpPr>
        <xdr:cNvPr id="16" name="Down Arrow Callout 15"/>
        <xdr:cNvSpPr/>
      </xdr:nvSpPr>
      <xdr:spPr>
        <a:xfrm>
          <a:off x="10922163075" y="1471485"/>
          <a:ext cx="3408799" cy="74179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a:t>
          </a:r>
          <a:r>
            <a:rPr lang="fa-IR" sz="1400" baseline="0">
              <a:solidFill>
                <a:sysClr val="windowText" lastClr="000000"/>
              </a:solidFill>
              <a:effectLst/>
              <a:latin typeface="+mn-lt"/>
              <a:ea typeface="+mn-ea"/>
              <a:cs typeface="B Titr" panose="00000700000000000000" pitchFamily="2" charset="-78"/>
            </a:rPr>
            <a:t> واحدهاي </a:t>
          </a:r>
          <a:r>
            <a:rPr lang="fa-IR" sz="1400">
              <a:solidFill>
                <a:sysClr val="windowText" lastClr="000000"/>
              </a:solidFill>
              <a:effectLst/>
              <a:latin typeface="+mn-lt"/>
              <a:ea typeface="+mn-ea"/>
              <a:cs typeface="B Titr" panose="00000700000000000000" pitchFamily="2" charset="-78"/>
            </a:rPr>
            <a:t>پالایش گاز</a:t>
          </a:r>
        </a:p>
      </xdr:txBody>
    </xdr:sp>
    <xdr:clientData/>
  </xdr:twoCellAnchor>
  <xdr:twoCellAnchor>
    <xdr:from>
      <xdr:col>0</xdr:col>
      <xdr:colOff>139700</xdr:colOff>
      <xdr:row>30</xdr:row>
      <xdr:rowOff>63501</xdr:rowOff>
    </xdr:from>
    <xdr:to>
      <xdr:col>7</xdr:col>
      <xdr:colOff>1079500</xdr:colOff>
      <xdr:row>30</xdr:row>
      <xdr:rowOff>571503</xdr:rowOff>
    </xdr:to>
    <xdr:sp macro="" textlink="">
      <xdr:nvSpPr>
        <xdr:cNvPr id="18" name="Rounded Rectangle 17"/>
        <xdr:cNvSpPr/>
      </xdr:nvSpPr>
      <xdr:spPr>
        <a:xfrm>
          <a:off x="10926651375" y="10779126"/>
          <a:ext cx="5972175" cy="50800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پالایش نفت</a:t>
          </a:r>
        </a:p>
      </xdr:txBody>
    </xdr:sp>
    <xdr:clientData/>
  </xdr:twoCellAnchor>
  <xdr:twoCellAnchor>
    <xdr:from>
      <xdr:col>15</xdr:col>
      <xdr:colOff>1248395</xdr:colOff>
      <xdr:row>4</xdr:row>
      <xdr:rowOff>59253</xdr:rowOff>
    </xdr:from>
    <xdr:to>
      <xdr:col>18</xdr:col>
      <xdr:colOff>851477</xdr:colOff>
      <xdr:row>6</xdr:row>
      <xdr:rowOff>261298</xdr:rowOff>
    </xdr:to>
    <xdr:sp macro="" textlink="">
      <xdr:nvSpPr>
        <xdr:cNvPr id="20" name="Down Arrow Callout 19"/>
        <xdr:cNvSpPr/>
      </xdr:nvSpPr>
      <xdr:spPr>
        <a:xfrm>
          <a:off x="10914211148" y="1472128"/>
          <a:ext cx="3381332" cy="741795"/>
        </a:xfrm>
        <a:prstGeom prst="downArrowCallout">
          <a:avLst>
            <a:gd name="adj1" fmla="val 25000"/>
            <a:gd name="adj2" fmla="val 25000"/>
            <a:gd name="adj3" fmla="val 25000"/>
            <a:gd name="adj4" fmla="val 63402"/>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400">
              <a:solidFill>
                <a:sysClr val="windowText" lastClr="000000"/>
              </a:solidFill>
              <a:effectLst/>
              <a:latin typeface="+mn-lt"/>
              <a:ea typeface="+mn-ea"/>
              <a:cs typeface="B Titr" panose="00000700000000000000" pitchFamily="2" charset="-78"/>
            </a:rPr>
            <a:t>انتشارات ونت فرآيندي واحدهاي پتروشیمی</a:t>
          </a:r>
        </a:p>
      </xdr:txBody>
    </xdr:sp>
    <xdr:clientData/>
  </xdr:twoCellAnchor>
  <xdr:twoCellAnchor>
    <xdr:from>
      <xdr:col>12</xdr:col>
      <xdr:colOff>1053978</xdr:colOff>
      <xdr:row>8</xdr:row>
      <xdr:rowOff>180030</xdr:rowOff>
    </xdr:from>
    <xdr:to>
      <xdr:col>15</xdr:col>
      <xdr:colOff>1087003</xdr:colOff>
      <xdr:row>9</xdr:row>
      <xdr:rowOff>209182</xdr:rowOff>
    </xdr:to>
    <xdr:sp macro="" textlink="">
      <xdr:nvSpPr>
        <xdr:cNvPr id="21" name="Rounded Rectangle 20">
          <a:hlinkClick xmlns:r="http://schemas.openxmlformats.org/officeDocument/2006/relationships" r:id="rId2"/>
        </xdr:cNvPr>
        <xdr:cNvSpPr/>
      </xdr:nvSpPr>
      <xdr:spPr>
        <a:xfrm>
          <a:off x="10917753872" y="2672405"/>
          <a:ext cx="4287525"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کک‌سازی تاخیری</a:t>
          </a:r>
        </a:p>
      </xdr:txBody>
    </xdr:sp>
    <xdr:clientData/>
  </xdr:twoCellAnchor>
  <xdr:twoCellAnchor>
    <xdr:from>
      <xdr:col>12</xdr:col>
      <xdr:colOff>1052992</xdr:colOff>
      <xdr:row>10</xdr:row>
      <xdr:rowOff>11546</xdr:rowOff>
    </xdr:from>
    <xdr:to>
      <xdr:col>15</xdr:col>
      <xdr:colOff>1090179</xdr:colOff>
      <xdr:row>11</xdr:row>
      <xdr:rowOff>44613</xdr:rowOff>
    </xdr:to>
    <xdr:sp macro="" textlink="">
      <xdr:nvSpPr>
        <xdr:cNvPr id="22" name="Rounded Rectangle 21">
          <a:hlinkClick xmlns:r="http://schemas.openxmlformats.org/officeDocument/2006/relationships" r:id="rId3"/>
        </xdr:cNvPr>
        <xdr:cNvSpPr/>
      </xdr:nvSpPr>
      <xdr:spPr>
        <a:xfrm>
          <a:off x="10917750696" y="3043671"/>
          <a:ext cx="4291687" cy="30294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ریفورمینگ کاتالیستی</a:t>
          </a:r>
        </a:p>
      </xdr:txBody>
    </xdr:sp>
    <xdr:clientData/>
  </xdr:twoCellAnchor>
  <xdr:twoCellAnchor>
    <xdr:from>
      <xdr:col>12</xdr:col>
      <xdr:colOff>1070841</xdr:colOff>
      <xdr:row>11</xdr:row>
      <xdr:rowOff>110465</xdr:rowOff>
    </xdr:from>
    <xdr:to>
      <xdr:col>15</xdr:col>
      <xdr:colOff>1099703</xdr:colOff>
      <xdr:row>12</xdr:row>
      <xdr:rowOff>150091</xdr:rowOff>
    </xdr:to>
    <xdr:sp macro="" textlink="">
      <xdr:nvSpPr>
        <xdr:cNvPr id="23" name="Rounded Rectangle 22">
          <a:hlinkClick xmlns:r="http://schemas.openxmlformats.org/officeDocument/2006/relationships" r:id="rId4"/>
        </xdr:cNvPr>
        <xdr:cNvSpPr/>
      </xdr:nvSpPr>
      <xdr:spPr>
        <a:xfrm>
          <a:off x="10917741172" y="3412465"/>
          <a:ext cx="4283362" cy="30950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آسفالت سازی</a:t>
          </a:r>
        </a:p>
      </xdr:txBody>
    </xdr:sp>
    <xdr:clientData/>
  </xdr:twoCellAnchor>
  <xdr:twoCellAnchor>
    <xdr:from>
      <xdr:col>12</xdr:col>
      <xdr:colOff>1053978</xdr:colOff>
      <xdr:row>12</xdr:row>
      <xdr:rowOff>220150</xdr:rowOff>
    </xdr:from>
    <xdr:to>
      <xdr:col>15</xdr:col>
      <xdr:colOff>1087003</xdr:colOff>
      <xdr:row>12</xdr:row>
      <xdr:rowOff>523875</xdr:rowOff>
    </xdr:to>
    <xdr:sp macro="" textlink="">
      <xdr:nvSpPr>
        <xdr:cNvPr id="24" name="Rounded Rectangle 23">
          <a:hlinkClick xmlns:r="http://schemas.openxmlformats.org/officeDocument/2006/relationships" r:id="rId5"/>
        </xdr:cNvPr>
        <xdr:cNvSpPr/>
      </xdr:nvSpPr>
      <xdr:spPr>
        <a:xfrm>
          <a:off x="10924246747" y="3855525"/>
          <a:ext cx="4287525" cy="30372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سیستم‌های</a:t>
          </a:r>
          <a:r>
            <a:rPr lang="en-US" sz="1400" b="1">
              <a:solidFill>
                <a:sysClr val="windowText" lastClr="000000"/>
              </a:solidFill>
              <a:cs typeface="+mj-cs"/>
            </a:rPr>
            <a:t>Blowdown </a:t>
          </a:r>
          <a:endParaRPr lang="fa-IR" sz="1400" b="1">
            <a:solidFill>
              <a:sysClr val="windowText" lastClr="000000"/>
            </a:solidFill>
            <a:cs typeface="+mj-cs"/>
          </a:endParaRPr>
        </a:p>
      </xdr:txBody>
    </xdr:sp>
    <xdr:clientData/>
  </xdr:twoCellAnchor>
  <xdr:twoCellAnchor>
    <xdr:from>
      <xdr:col>12</xdr:col>
      <xdr:colOff>1052992</xdr:colOff>
      <xdr:row>12</xdr:row>
      <xdr:rowOff>593062</xdr:rowOff>
    </xdr:from>
    <xdr:to>
      <xdr:col>15</xdr:col>
      <xdr:colOff>1090179</xdr:colOff>
      <xdr:row>13</xdr:row>
      <xdr:rowOff>161646</xdr:rowOff>
    </xdr:to>
    <xdr:sp macro="" textlink="">
      <xdr:nvSpPr>
        <xdr:cNvPr id="25" name="Rounded Rectangle 24">
          <a:hlinkClick xmlns:r="http://schemas.openxmlformats.org/officeDocument/2006/relationships" r:id="rId6"/>
        </xdr:cNvPr>
        <xdr:cNvSpPr/>
      </xdr:nvSpPr>
      <xdr:spPr>
        <a:xfrm>
          <a:off x="10924243571" y="4228437"/>
          <a:ext cx="4291687" cy="28295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واحد تقطیر خلاء</a:t>
          </a:r>
        </a:p>
      </xdr:txBody>
    </xdr:sp>
    <xdr:clientData/>
  </xdr:twoCellAnchor>
  <xdr:twoCellAnchor>
    <xdr:from>
      <xdr:col>15</xdr:col>
      <xdr:colOff>1191491</xdr:colOff>
      <xdr:row>7</xdr:row>
      <xdr:rowOff>89188</xdr:rowOff>
    </xdr:from>
    <xdr:to>
      <xdr:col>18</xdr:col>
      <xdr:colOff>863024</xdr:colOff>
      <xdr:row>8</xdr:row>
      <xdr:rowOff>118340</xdr:rowOff>
    </xdr:to>
    <xdr:sp macro="" textlink="">
      <xdr:nvSpPr>
        <xdr:cNvPr id="26" name="Rounded Rectangle 25">
          <a:hlinkClick xmlns:r="http://schemas.openxmlformats.org/officeDocument/2006/relationships" r:id="rId7"/>
        </xdr:cNvPr>
        <xdr:cNvSpPr/>
      </xdr:nvSpPr>
      <xdr:spPr>
        <a:xfrm>
          <a:off x="10914199601" y="2311688"/>
          <a:ext cx="3449783"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اتیلن سنگین</a:t>
          </a:r>
        </a:p>
      </xdr:txBody>
    </xdr:sp>
    <xdr:clientData/>
  </xdr:twoCellAnchor>
  <xdr:twoCellAnchor>
    <xdr:from>
      <xdr:col>15</xdr:col>
      <xdr:colOff>1178792</xdr:colOff>
      <xdr:row>8</xdr:row>
      <xdr:rowOff>184438</xdr:rowOff>
    </xdr:from>
    <xdr:to>
      <xdr:col>18</xdr:col>
      <xdr:colOff>850325</xdr:colOff>
      <xdr:row>9</xdr:row>
      <xdr:rowOff>213590</xdr:rowOff>
    </xdr:to>
    <xdr:sp macro="" textlink="">
      <xdr:nvSpPr>
        <xdr:cNvPr id="27" name="Rounded Rectangle 26">
          <a:hlinkClick xmlns:r="http://schemas.openxmlformats.org/officeDocument/2006/relationships" r:id="rId8"/>
        </xdr:cNvPr>
        <xdr:cNvSpPr/>
      </xdr:nvSpPr>
      <xdr:spPr>
        <a:xfrm>
          <a:off x="10914212300" y="2676813"/>
          <a:ext cx="3449783" cy="29902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lnSpc>
              <a:spcPct val="80000"/>
            </a:lnSpc>
          </a:pPr>
          <a:r>
            <a:rPr lang="fa-IR" sz="1400">
              <a:solidFill>
                <a:sysClr val="windowText" lastClr="000000"/>
              </a:solidFill>
              <a:cs typeface="B Titr" panose="00000700000000000000" pitchFamily="2" charset="-78"/>
            </a:rPr>
            <a:t>روش (ب): استفاده از ضرایب،</a:t>
          </a:r>
          <a:r>
            <a:rPr lang="fa-IR" sz="1400" baseline="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واحد ونیل کلراید مونومر</a:t>
          </a:r>
        </a:p>
      </xdr:txBody>
    </xdr:sp>
    <xdr:clientData/>
  </xdr:twoCellAnchor>
  <xdr:twoCellAnchor>
    <xdr:from>
      <xdr:col>15</xdr:col>
      <xdr:colOff>1181968</xdr:colOff>
      <xdr:row>10</xdr:row>
      <xdr:rowOff>12699</xdr:rowOff>
    </xdr:from>
    <xdr:to>
      <xdr:col>18</xdr:col>
      <xdr:colOff>849187</xdr:colOff>
      <xdr:row>11</xdr:row>
      <xdr:rowOff>46183</xdr:rowOff>
    </xdr:to>
    <xdr:sp macro="" textlink="">
      <xdr:nvSpPr>
        <xdr:cNvPr id="28" name="Rounded Rectangle 27">
          <a:hlinkClick xmlns:r="http://schemas.openxmlformats.org/officeDocument/2006/relationships" r:id="rId9"/>
        </xdr:cNvPr>
        <xdr:cNvSpPr/>
      </xdr:nvSpPr>
      <xdr:spPr>
        <a:xfrm>
          <a:off x="10914213438" y="3044824"/>
          <a:ext cx="3445469" cy="30335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ونیل کلراید</a:t>
          </a:r>
        </a:p>
      </xdr:txBody>
    </xdr:sp>
    <xdr:clientData/>
  </xdr:twoCellAnchor>
  <xdr:twoCellAnchor>
    <xdr:from>
      <xdr:col>15</xdr:col>
      <xdr:colOff>1191491</xdr:colOff>
      <xdr:row>11</xdr:row>
      <xdr:rowOff>115453</xdr:rowOff>
    </xdr:from>
    <xdr:to>
      <xdr:col>18</xdr:col>
      <xdr:colOff>863024</xdr:colOff>
      <xdr:row>12</xdr:row>
      <xdr:rowOff>138545</xdr:rowOff>
    </xdr:to>
    <xdr:sp macro="" textlink="">
      <xdr:nvSpPr>
        <xdr:cNvPr id="29" name="Rounded Rectangle 28">
          <a:hlinkClick xmlns:r="http://schemas.openxmlformats.org/officeDocument/2006/relationships" r:id="rId10"/>
        </xdr:cNvPr>
        <xdr:cNvSpPr/>
      </xdr:nvSpPr>
      <xdr:spPr>
        <a:xfrm>
          <a:off x="10914199601" y="3417453"/>
          <a:ext cx="3449783" cy="29296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پروپیلن</a:t>
          </a:r>
        </a:p>
      </xdr:txBody>
    </xdr:sp>
    <xdr:clientData/>
  </xdr:twoCellAnchor>
  <xdr:twoCellAnchor>
    <xdr:from>
      <xdr:col>15</xdr:col>
      <xdr:colOff>1178792</xdr:colOff>
      <xdr:row>12</xdr:row>
      <xdr:rowOff>213012</xdr:rowOff>
    </xdr:from>
    <xdr:to>
      <xdr:col>18</xdr:col>
      <xdr:colOff>850325</xdr:colOff>
      <xdr:row>12</xdr:row>
      <xdr:rowOff>524953</xdr:rowOff>
    </xdr:to>
    <xdr:sp macro="" textlink="">
      <xdr:nvSpPr>
        <xdr:cNvPr id="30" name="Rounded Rectangle 29">
          <a:hlinkClick xmlns:r="http://schemas.openxmlformats.org/officeDocument/2006/relationships" r:id="rId11"/>
        </xdr:cNvPr>
        <xdr:cNvSpPr/>
      </xdr:nvSpPr>
      <xdr:spPr>
        <a:xfrm>
          <a:off x="10920705175" y="3848387"/>
          <a:ext cx="3449783" cy="31194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پلی استایرن</a:t>
          </a:r>
          <a:endParaRPr lang="fa-IR" sz="1400" b="1">
            <a:solidFill>
              <a:sysClr val="windowText" lastClr="000000"/>
            </a:solidFill>
            <a:cs typeface="+mj-cs"/>
          </a:endParaRPr>
        </a:p>
      </xdr:txBody>
    </xdr:sp>
    <xdr:clientData/>
  </xdr:twoCellAnchor>
  <xdr:twoCellAnchor>
    <xdr:from>
      <xdr:col>15</xdr:col>
      <xdr:colOff>1179082</xdr:colOff>
      <xdr:row>12</xdr:row>
      <xdr:rowOff>598920</xdr:rowOff>
    </xdr:from>
    <xdr:to>
      <xdr:col>18</xdr:col>
      <xdr:colOff>846301</xdr:colOff>
      <xdr:row>13</xdr:row>
      <xdr:rowOff>184727</xdr:rowOff>
    </xdr:to>
    <xdr:sp macro="" textlink="">
      <xdr:nvSpPr>
        <xdr:cNvPr id="31" name="Rounded Rectangle 30">
          <a:hlinkClick xmlns:r="http://schemas.openxmlformats.org/officeDocument/2006/relationships" r:id="rId12"/>
        </xdr:cNvPr>
        <xdr:cNvSpPr/>
      </xdr:nvSpPr>
      <xdr:spPr>
        <a:xfrm>
          <a:off x="10920709199" y="4234295"/>
          <a:ext cx="3445469" cy="30018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آمونياك</a:t>
          </a:r>
        </a:p>
      </xdr:txBody>
    </xdr:sp>
    <xdr:clientData/>
  </xdr:twoCellAnchor>
  <xdr:twoCellAnchor>
    <xdr:from>
      <xdr:col>9</xdr:col>
      <xdr:colOff>207975</xdr:colOff>
      <xdr:row>7</xdr:row>
      <xdr:rowOff>71306</xdr:rowOff>
    </xdr:from>
    <xdr:to>
      <xdr:col>12</xdr:col>
      <xdr:colOff>990022</xdr:colOff>
      <xdr:row>10</xdr:row>
      <xdr:rowOff>79374</xdr:rowOff>
    </xdr:to>
    <xdr:sp macro="" textlink="">
      <xdr:nvSpPr>
        <xdr:cNvPr id="32" name="Rounded Rectangle 31">
          <a:hlinkClick xmlns:r="http://schemas.openxmlformats.org/officeDocument/2006/relationships" r:id="rId13"/>
        </xdr:cNvPr>
        <xdr:cNvSpPr/>
      </xdr:nvSpPr>
      <xdr:spPr>
        <a:xfrm>
          <a:off x="10922105353" y="2293806"/>
          <a:ext cx="3449047" cy="81769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آنالیز</a:t>
          </a:r>
          <a:r>
            <a:rPr lang="en-US" sz="1400" b="1">
              <a:solidFill>
                <a:sysClr val="windowText" lastClr="000000"/>
              </a:solidFill>
              <a:cs typeface="B Titr" panose="00000700000000000000" pitchFamily="2" charset="-78"/>
            </a:rPr>
            <a:t>VOC</a:t>
          </a:r>
          <a:r>
            <a:rPr lang="en-US" sz="1400">
              <a:solidFill>
                <a:sysClr val="windowText" lastClr="000000"/>
              </a:solidFill>
              <a:cs typeface="B Titr" panose="00000700000000000000" pitchFamily="2" charset="-78"/>
            </a:rPr>
            <a:t> </a:t>
          </a:r>
          <a:r>
            <a:rPr lang="fa-IR" sz="1400">
              <a:solidFill>
                <a:sysClr val="windowText" lastClr="000000"/>
              </a:solidFill>
              <a:cs typeface="B Titr" panose="00000700000000000000" pitchFamily="2" charset="-78"/>
            </a:rPr>
            <a:t> در گاز ورودي و خروجی واحد نم‌زدایی</a:t>
          </a:r>
        </a:p>
      </xdr:txBody>
    </xdr:sp>
    <xdr:clientData/>
  </xdr:twoCellAnchor>
  <xdr:twoCellAnchor>
    <xdr:from>
      <xdr:col>15</xdr:col>
      <xdr:colOff>600365</xdr:colOff>
      <xdr:row>14</xdr:row>
      <xdr:rowOff>11544</xdr:rowOff>
    </xdr:from>
    <xdr:to>
      <xdr:col>18</xdr:col>
      <xdr:colOff>271898</xdr:colOff>
      <xdr:row>14</xdr:row>
      <xdr:rowOff>300181</xdr:rowOff>
    </xdr:to>
    <xdr:sp macro="" textlink="">
      <xdr:nvSpPr>
        <xdr:cNvPr id="36" name="Rounded Rectangle 35">
          <a:hlinkClick xmlns:r="http://schemas.openxmlformats.org/officeDocument/2006/relationships" r:id="rId14"/>
        </xdr:cNvPr>
        <xdr:cNvSpPr/>
      </xdr:nvSpPr>
      <xdr:spPr>
        <a:xfrm>
          <a:off x="10773311284" y="4167908"/>
          <a:ext cx="3435351" cy="28863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اسید نیتریک</a:t>
          </a:r>
          <a:endParaRPr lang="fa-IR" sz="1400" b="1">
            <a:solidFill>
              <a:sysClr val="windowText" lastClr="000000"/>
            </a:solidFill>
            <a:cs typeface="+mj-cs"/>
          </a:endParaRPr>
        </a:p>
      </xdr:txBody>
    </xdr:sp>
    <xdr:clientData/>
  </xdr:twoCellAnchor>
  <xdr:twoCellAnchor>
    <xdr:from>
      <xdr:col>0</xdr:col>
      <xdr:colOff>139700</xdr:colOff>
      <xdr:row>18</xdr:row>
      <xdr:rowOff>79375</xdr:rowOff>
    </xdr:from>
    <xdr:to>
      <xdr:col>7</xdr:col>
      <xdr:colOff>1104900</xdr:colOff>
      <xdr:row>18</xdr:row>
      <xdr:rowOff>555625</xdr:rowOff>
    </xdr:to>
    <xdr:sp macro="" textlink="">
      <xdr:nvSpPr>
        <xdr:cNvPr id="38" name="Rounded Rectangle 37"/>
        <xdr:cNvSpPr/>
      </xdr:nvSpPr>
      <xdr:spPr>
        <a:xfrm>
          <a:off x="10926625975" y="5429250"/>
          <a:ext cx="5997575" cy="476250"/>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فرآيندي واحدهاي پالایش گاز</a:t>
          </a:r>
        </a:p>
      </xdr:txBody>
    </xdr:sp>
    <xdr:clientData/>
  </xdr:twoCellAnchor>
  <xdr:twoCellAnchor>
    <xdr:from>
      <xdr:col>0</xdr:col>
      <xdr:colOff>28865</xdr:colOff>
      <xdr:row>21</xdr:row>
      <xdr:rowOff>47624</xdr:rowOff>
    </xdr:from>
    <xdr:to>
      <xdr:col>0</xdr:col>
      <xdr:colOff>317790</xdr:colOff>
      <xdr:row>24</xdr:row>
      <xdr:rowOff>285749</xdr:rowOff>
    </xdr:to>
    <xdr:sp macro="" textlink="">
      <xdr:nvSpPr>
        <xdr:cNvPr id="40" name="Rounded Rectangle 39">
          <a:hlinkClick xmlns:r="http://schemas.openxmlformats.org/officeDocument/2006/relationships" r:id="rId15"/>
        </xdr:cNvPr>
        <xdr:cNvSpPr/>
      </xdr:nvSpPr>
      <xdr:spPr>
        <a:xfrm rot="16200000">
          <a:off x="10790152928" y="6955269"/>
          <a:ext cx="16351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28865</xdr:colOff>
      <xdr:row>33</xdr:row>
      <xdr:rowOff>47625</xdr:rowOff>
    </xdr:from>
    <xdr:to>
      <xdr:col>0</xdr:col>
      <xdr:colOff>317790</xdr:colOff>
      <xdr:row>36</xdr:row>
      <xdr:rowOff>285750</xdr:rowOff>
    </xdr:to>
    <xdr:sp macro="" textlink="">
      <xdr:nvSpPr>
        <xdr:cNvPr id="41" name="Rounded Rectangle 40">
          <a:hlinkClick xmlns:r="http://schemas.openxmlformats.org/officeDocument/2006/relationships" r:id="rId16"/>
        </xdr:cNvPr>
        <xdr:cNvSpPr/>
      </xdr:nvSpPr>
      <xdr:spPr>
        <a:xfrm rot="16200000">
          <a:off x="10790343428" y="10909589"/>
          <a:ext cx="12541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28865</xdr:colOff>
      <xdr:row>41</xdr:row>
      <xdr:rowOff>47625</xdr:rowOff>
    </xdr:from>
    <xdr:to>
      <xdr:col>0</xdr:col>
      <xdr:colOff>317790</xdr:colOff>
      <xdr:row>45</xdr:row>
      <xdr:rowOff>95250</xdr:rowOff>
    </xdr:to>
    <xdr:sp macro="" textlink="">
      <xdr:nvSpPr>
        <xdr:cNvPr id="42" name="Rounded Rectangle 41">
          <a:hlinkClick xmlns:r="http://schemas.openxmlformats.org/officeDocument/2006/relationships" r:id="rId17"/>
        </xdr:cNvPr>
        <xdr:cNvSpPr/>
      </xdr:nvSpPr>
      <xdr:spPr>
        <a:xfrm rot="16200000">
          <a:off x="10790311678" y="14774430"/>
          <a:ext cx="1317625"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50</xdr:row>
      <xdr:rowOff>206375</xdr:rowOff>
    </xdr:from>
    <xdr:to>
      <xdr:col>0</xdr:col>
      <xdr:colOff>320965</xdr:colOff>
      <xdr:row>53</xdr:row>
      <xdr:rowOff>476250</xdr:rowOff>
    </xdr:to>
    <xdr:sp macro="" textlink="">
      <xdr:nvSpPr>
        <xdr:cNvPr id="43" name="Rounded Rectangle 42">
          <a:hlinkClick xmlns:r="http://schemas.openxmlformats.org/officeDocument/2006/relationships" r:id="rId18"/>
        </xdr:cNvPr>
        <xdr:cNvSpPr/>
      </xdr:nvSpPr>
      <xdr:spPr>
        <a:xfrm rot="16200000">
          <a:off x="10790345448" y="18094325"/>
          <a:ext cx="1262785"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57</xdr:row>
      <xdr:rowOff>62073</xdr:rowOff>
    </xdr:from>
    <xdr:to>
      <xdr:col>0</xdr:col>
      <xdr:colOff>320965</xdr:colOff>
      <xdr:row>59</xdr:row>
      <xdr:rowOff>267005</xdr:rowOff>
    </xdr:to>
    <xdr:sp macro="" textlink="">
      <xdr:nvSpPr>
        <xdr:cNvPr id="44" name="Rounded Rectangle 43">
          <a:hlinkClick xmlns:r="http://schemas.openxmlformats.org/officeDocument/2006/relationships" r:id="rId19"/>
        </xdr:cNvPr>
        <xdr:cNvSpPr/>
      </xdr:nvSpPr>
      <xdr:spPr>
        <a:xfrm rot="16200000">
          <a:off x="10790395238" y="20855870"/>
          <a:ext cx="102465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68</xdr:row>
      <xdr:rowOff>47625</xdr:rowOff>
    </xdr:from>
    <xdr:to>
      <xdr:col>0</xdr:col>
      <xdr:colOff>317790</xdr:colOff>
      <xdr:row>71</xdr:row>
      <xdr:rowOff>238125</xdr:rowOff>
    </xdr:to>
    <xdr:sp macro="" textlink="">
      <xdr:nvSpPr>
        <xdr:cNvPr id="45" name="Rounded Rectangle 44">
          <a:hlinkClick xmlns:r="http://schemas.openxmlformats.org/officeDocument/2006/relationships" r:id="rId20"/>
        </xdr:cNvPr>
        <xdr:cNvSpPr/>
      </xdr:nvSpPr>
      <xdr:spPr>
        <a:xfrm rot="16200000">
          <a:off x="10790370416" y="26722964"/>
          <a:ext cx="1206500"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32040</xdr:colOff>
      <xdr:row>62</xdr:row>
      <xdr:rowOff>95250</xdr:rowOff>
    </xdr:from>
    <xdr:to>
      <xdr:col>0</xdr:col>
      <xdr:colOff>320965</xdr:colOff>
      <xdr:row>65</xdr:row>
      <xdr:rowOff>317500</xdr:rowOff>
    </xdr:to>
    <xdr:sp macro="" textlink="">
      <xdr:nvSpPr>
        <xdr:cNvPr id="46" name="Rounded Rectangle 45">
          <a:hlinkClick xmlns:r="http://schemas.openxmlformats.org/officeDocument/2006/relationships" r:id="rId21"/>
        </xdr:cNvPr>
        <xdr:cNvSpPr/>
      </xdr:nvSpPr>
      <xdr:spPr>
        <a:xfrm rot="16200000">
          <a:off x="10790400145" y="24347776"/>
          <a:ext cx="1134341"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93</xdr:row>
      <xdr:rowOff>250825</xdr:rowOff>
    </xdr:from>
    <xdr:to>
      <xdr:col>0</xdr:col>
      <xdr:colOff>320965</xdr:colOff>
      <xdr:row>95</xdr:row>
      <xdr:rowOff>1000125</xdr:rowOff>
    </xdr:to>
    <xdr:sp macro="" textlink="">
      <xdr:nvSpPr>
        <xdr:cNvPr id="47" name="Rounded Rectangle 46">
          <a:hlinkClick xmlns:r="http://schemas.openxmlformats.org/officeDocument/2006/relationships" r:id="rId22"/>
        </xdr:cNvPr>
        <xdr:cNvSpPr/>
      </xdr:nvSpPr>
      <xdr:spPr>
        <a:xfrm rot="16200000">
          <a:off x="10790359736" y="35662033"/>
          <a:ext cx="1234209"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99</xdr:row>
      <xdr:rowOff>269875</xdr:rowOff>
    </xdr:from>
    <xdr:to>
      <xdr:col>0</xdr:col>
      <xdr:colOff>317790</xdr:colOff>
      <xdr:row>101</xdr:row>
      <xdr:rowOff>1000125</xdr:rowOff>
    </xdr:to>
    <xdr:sp macro="" textlink="">
      <xdr:nvSpPr>
        <xdr:cNvPr id="48" name="Rounded Rectangle 47">
          <a:hlinkClick xmlns:r="http://schemas.openxmlformats.org/officeDocument/2006/relationships" r:id="rId23"/>
        </xdr:cNvPr>
        <xdr:cNvSpPr/>
      </xdr:nvSpPr>
      <xdr:spPr>
        <a:xfrm rot="16200000">
          <a:off x="10790348768" y="38881771"/>
          <a:ext cx="1249796"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111</xdr:row>
      <xdr:rowOff>63500</xdr:rowOff>
    </xdr:from>
    <xdr:to>
      <xdr:col>0</xdr:col>
      <xdr:colOff>320965</xdr:colOff>
      <xdr:row>115</xdr:row>
      <xdr:rowOff>111125</xdr:rowOff>
    </xdr:to>
    <xdr:sp macro="" textlink="">
      <xdr:nvSpPr>
        <xdr:cNvPr id="49" name="Rounded Rectangle 48">
          <a:hlinkClick xmlns:r="http://schemas.openxmlformats.org/officeDocument/2006/relationships" r:id="rId24"/>
        </xdr:cNvPr>
        <xdr:cNvSpPr/>
      </xdr:nvSpPr>
      <xdr:spPr>
        <a:xfrm rot="16200000">
          <a:off x="10790254528" y="44204370"/>
          <a:ext cx="1444625"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118</xdr:row>
      <xdr:rowOff>95250</xdr:rowOff>
    </xdr:from>
    <xdr:to>
      <xdr:col>0</xdr:col>
      <xdr:colOff>317790</xdr:colOff>
      <xdr:row>122</xdr:row>
      <xdr:rowOff>254000</xdr:rowOff>
    </xdr:to>
    <xdr:sp macro="" textlink="">
      <xdr:nvSpPr>
        <xdr:cNvPr id="50" name="Rounded Rectangle 49">
          <a:hlinkClick xmlns:r="http://schemas.openxmlformats.org/officeDocument/2006/relationships" r:id="rId25"/>
        </xdr:cNvPr>
        <xdr:cNvSpPr/>
      </xdr:nvSpPr>
      <xdr:spPr>
        <a:xfrm rot="16200000">
          <a:off x="10790224654" y="47178624"/>
          <a:ext cx="1498023"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12990</xdr:colOff>
      <xdr:row>86</xdr:row>
      <xdr:rowOff>63499</xdr:rowOff>
    </xdr:from>
    <xdr:to>
      <xdr:col>0</xdr:col>
      <xdr:colOff>320965</xdr:colOff>
      <xdr:row>89</xdr:row>
      <xdr:rowOff>253999</xdr:rowOff>
    </xdr:to>
    <xdr:sp macro="" textlink="">
      <xdr:nvSpPr>
        <xdr:cNvPr id="51" name="Rounded Rectangle 50">
          <a:hlinkClick xmlns:r="http://schemas.openxmlformats.org/officeDocument/2006/relationships" r:id="rId26"/>
        </xdr:cNvPr>
        <xdr:cNvSpPr/>
      </xdr:nvSpPr>
      <xdr:spPr>
        <a:xfrm rot="16200000">
          <a:off x="10790437091" y="32707261"/>
          <a:ext cx="1079500" cy="3079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22515</xdr:colOff>
      <xdr:row>80</xdr:row>
      <xdr:rowOff>63499</xdr:rowOff>
    </xdr:from>
    <xdr:to>
      <xdr:col>0</xdr:col>
      <xdr:colOff>317790</xdr:colOff>
      <xdr:row>83</xdr:row>
      <xdr:rowOff>253999</xdr:rowOff>
    </xdr:to>
    <xdr:sp macro="" textlink="">
      <xdr:nvSpPr>
        <xdr:cNvPr id="52" name="Rounded Rectangle 51">
          <a:hlinkClick xmlns:r="http://schemas.openxmlformats.org/officeDocument/2006/relationships" r:id="rId27"/>
        </xdr:cNvPr>
        <xdr:cNvSpPr/>
      </xdr:nvSpPr>
      <xdr:spPr>
        <a:xfrm rot="16200000">
          <a:off x="10790474325" y="30352566"/>
          <a:ext cx="998681" cy="295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28865</xdr:colOff>
      <xdr:row>104</xdr:row>
      <xdr:rowOff>15875</xdr:rowOff>
    </xdr:from>
    <xdr:to>
      <xdr:col>0</xdr:col>
      <xdr:colOff>317790</xdr:colOff>
      <xdr:row>107</xdr:row>
      <xdr:rowOff>254000</xdr:rowOff>
    </xdr:to>
    <xdr:sp macro="" textlink="">
      <xdr:nvSpPr>
        <xdr:cNvPr id="53" name="Rounded Rectangle 52">
          <a:hlinkClick xmlns:r="http://schemas.openxmlformats.org/officeDocument/2006/relationships" r:id="rId28"/>
        </xdr:cNvPr>
        <xdr:cNvSpPr/>
      </xdr:nvSpPr>
      <xdr:spPr>
        <a:xfrm rot="16200000">
          <a:off x="10790464655" y="41375157"/>
          <a:ext cx="1011671" cy="2889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3</xdr:col>
      <xdr:colOff>217704</xdr:colOff>
      <xdr:row>129</xdr:row>
      <xdr:rowOff>383897</xdr:rowOff>
    </xdr:from>
    <xdr:to>
      <xdr:col>9</xdr:col>
      <xdr:colOff>517063</xdr:colOff>
      <xdr:row>129</xdr:row>
      <xdr:rowOff>787576</xdr:rowOff>
    </xdr:to>
    <xdr:sp macro="" textlink="">
      <xdr:nvSpPr>
        <xdr:cNvPr id="39" name="Rounded Rectangle 38">
          <a:hlinkClick xmlns:r="http://schemas.openxmlformats.org/officeDocument/2006/relationships" r:id="rId29"/>
        </xdr:cNvPr>
        <xdr:cNvSpPr/>
      </xdr:nvSpPr>
      <xdr:spPr>
        <a:xfrm>
          <a:off x="10783607118" y="48043533"/>
          <a:ext cx="5794996" cy="40367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آنالیز </a:t>
          </a:r>
          <a:r>
            <a:rPr lang="en-US" sz="1100">
              <a:solidFill>
                <a:sysClr val="windowText" lastClr="000000"/>
              </a:solidFill>
              <a:cs typeface="B Titr" panose="00000700000000000000" pitchFamily="2" charset="-78"/>
            </a:rPr>
            <a:t> </a:t>
          </a:r>
          <a:r>
            <a:rPr lang="en-US" sz="1100" b="1">
              <a:solidFill>
                <a:sysClr val="windowText" lastClr="000000"/>
              </a:solidFill>
              <a:cs typeface="B Titr" panose="00000700000000000000" pitchFamily="2" charset="-78"/>
            </a:rPr>
            <a:t>VOC</a:t>
          </a:r>
          <a:r>
            <a:rPr lang="en-US" sz="1100">
              <a:solidFill>
                <a:sysClr val="windowText" lastClr="000000"/>
              </a:solidFill>
              <a:cs typeface="B Titr" panose="00000700000000000000" pitchFamily="2" charset="-78"/>
            </a:rPr>
            <a:t> </a:t>
          </a:r>
          <a:r>
            <a:rPr lang="fa-IR" sz="1100">
              <a:solidFill>
                <a:sysClr val="windowText" lastClr="000000"/>
              </a:solidFill>
              <a:cs typeface="B Titr" panose="00000700000000000000" pitchFamily="2" charset="-78"/>
            </a:rPr>
            <a:t>در گاز ورودي و خروجی واحد نم‌زدایی (پالايش گاز)</a:t>
          </a:r>
        </a:p>
      </xdr:txBody>
    </xdr:sp>
    <xdr:clientData/>
  </xdr:twoCellAnchor>
  <xdr:twoCellAnchor>
    <xdr:from>
      <xdr:col>3</xdr:col>
      <xdr:colOff>136072</xdr:colOff>
      <xdr:row>132</xdr:row>
      <xdr:rowOff>421822</xdr:rowOff>
    </xdr:from>
    <xdr:to>
      <xdr:col>9</xdr:col>
      <xdr:colOff>553358</xdr:colOff>
      <xdr:row>132</xdr:row>
      <xdr:rowOff>798286</xdr:rowOff>
    </xdr:to>
    <xdr:sp macro="" textlink="">
      <xdr:nvSpPr>
        <xdr:cNvPr id="55" name="Rounded Rectangle 54">
          <a:hlinkClick xmlns:r="http://schemas.openxmlformats.org/officeDocument/2006/relationships" r:id="rId30"/>
        </xdr:cNvPr>
        <xdr:cNvSpPr/>
      </xdr:nvSpPr>
      <xdr:spPr>
        <a:xfrm>
          <a:off x="10851025142" y="50133251"/>
          <a:ext cx="5896429" cy="37646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واحد شکست کاتالیستی بستر سیال  (پالايش نفت)</a:t>
          </a:r>
        </a:p>
      </xdr:txBody>
    </xdr:sp>
    <xdr:clientData/>
  </xdr:twoCellAnchor>
  <xdr:twoCellAnchor>
    <xdr:from>
      <xdr:col>3</xdr:col>
      <xdr:colOff>161636</xdr:colOff>
      <xdr:row>136</xdr:row>
      <xdr:rowOff>464706</xdr:rowOff>
    </xdr:from>
    <xdr:to>
      <xdr:col>9</xdr:col>
      <xdr:colOff>427181</xdr:colOff>
      <xdr:row>136</xdr:row>
      <xdr:rowOff>900547</xdr:rowOff>
    </xdr:to>
    <xdr:sp macro="" textlink="">
      <xdr:nvSpPr>
        <xdr:cNvPr id="57" name="Rounded Rectangle 56">
          <a:hlinkClick xmlns:r="http://schemas.openxmlformats.org/officeDocument/2006/relationships" r:id="rId31"/>
        </xdr:cNvPr>
        <xdr:cNvSpPr/>
      </xdr:nvSpPr>
      <xdr:spPr>
        <a:xfrm>
          <a:off x="10783697000" y="53527615"/>
          <a:ext cx="5761182" cy="435841"/>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(ب): استفاده از ضرایب انتشار ونت فرآيندي واحد کک‌سازی تاخیری (پالایش نفت)</a:t>
          </a:r>
        </a:p>
      </xdr:txBody>
    </xdr:sp>
    <xdr:clientData/>
  </xdr:twoCellAnchor>
  <xdr:twoCellAnchor>
    <xdr:from>
      <xdr:col>3</xdr:col>
      <xdr:colOff>127000</xdr:colOff>
      <xdr:row>139</xdr:row>
      <xdr:rowOff>487795</xdr:rowOff>
    </xdr:from>
    <xdr:to>
      <xdr:col>9</xdr:col>
      <xdr:colOff>311727</xdr:colOff>
      <xdr:row>139</xdr:row>
      <xdr:rowOff>854365</xdr:rowOff>
    </xdr:to>
    <xdr:sp macro="" textlink="">
      <xdr:nvSpPr>
        <xdr:cNvPr id="58" name="Rounded Rectangle 57">
          <a:hlinkClick xmlns:r="http://schemas.openxmlformats.org/officeDocument/2006/relationships" r:id="rId32"/>
        </xdr:cNvPr>
        <xdr:cNvSpPr/>
      </xdr:nvSpPr>
      <xdr:spPr>
        <a:xfrm>
          <a:off x="10783812454" y="53631522"/>
          <a:ext cx="5680364" cy="36657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براي واحد ریفورمینگ کاتالیستی(پالايش نفت)</a:t>
          </a:r>
        </a:p>
      </xdr:txBody>
    </xdr:sp>
    <xdr:clientData/>
  </xdr:twoCellAnchor>
  <xdr:twoCellAnchor>
    <xdr:from>
      <xdr:col>3</xdr:col>
      <xdr:colOff>57726</xdr:colOff>
      <xdr:row>142</xdr:row>
      <xdr:rowOff>383889</xdr:rowOff>
    </xdr:from>
    <xdr:to>
      <xdr:col>9</xdr:col>
      <xdr:colOff>277089</xdr:colOff>
      <xdr:row>142</xdr:row>
      <xdr:rowOff>785094</xdr:rowOff>
    </xdr:to>
    <xdr:sp macro="" textlink="">
      <xdr:nvSpPr>
        <xdr:cNvPr id="59" name="Rounded Rectangle 58">
          <a:hlinkClick xmlns:r="http://schemas.openxmlformats.org/officeDocument/2006/relationships" r:id="rId33"/>
        </xdr:cNvPr>
        <xdr:cNvSpPr/>
      </xdr:nvSpPr>
      <xdr:spPr>
        <a:xfrm>
          <a:off x="10783847092" y="54832253"/>
          <a:ext cx="5715000" cy="40120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(ب): استفاده از ضرایب انتشار ونت فرآيندي واحد آسفالت سازی (پالايش نفت)</a:t>
          </a:r>
        </a:p>
      </xdr:txBody>
    </xdr:sp>
    <xdr:clientData/>
  </xdr:twoCellAnchor>
  <xdr:twoCellAnchor>
    <xdr:from>
      <xdr:col>3</xdr:col>
      <xdr:colOff>11545</xdr:colOff>
      <xdr:row>145</xdr:row>
      <xdr:rowOff>381000</xdr:rowOff>
    </xdr:from>
    <xdr:to>
      <xdr:col>9</xdr:col>
      <xdr:colOff>704271</xdr:colOff>
      <xdr:row>145</xdr:row>
      <xdr:rowOff>835602</xdr:rowOff>
    </xdr:to>
    <xdr:sp macro="" textlink="">
      <xdr:nvSpPr>
        <xdr:cNvPr id="60" name="Rounded Rectangle 59">
          <a:hlinkClick xmlns:r="http://schemas.openxmlformats.org/officeDocument/2006/relationships" r:id="rId34"/>
        </xdr:cNvPr>
        <xdr:cNvSpPr/>
      </xdr:nvSpPr>
      <xdr:spPr>
        <a:xfrm>
          <a:off x="10783419910" y="56618909"/>
          <a:ext cx="6188363" cy="45460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سیستم‌های </a:t>
          </a:r>
          <a:r>
            <a:rPr lang="en-US" sz="1050" b="1">
              <a:solidFill>
                <a:sysClr val="windowText" lastClr="000000"/>
              </a:solidFill>
              <a:cs typeface="B Titr" panose="00000700000000000000" pitchFamily="2" charset="-78"/>
            </a:rPr>
            <a:t>Blowdown</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 (پالايش نفت)</a:t>
          </a:r>
        </a:p>
      </xdr:txBody>
    </xdr:sp>
    <xdr:clientData/>
  </xdr:twoCellAnchor>
  <xdr:twoCellAnchor>
    <xdr:from>
      <xdr:col>3</xdr:col>
      <xdr:colOff>196272</xdr:colOff>
      <xdr:row>148</xdr:row>
      <xdr:rowOff>418524</xdr:rowOff>
    </xdr:from>
    <xdr:to>
      <xdr:col>9</xdr:col>
      <xdr:colOff>623453</xdr:colOff>
      <xdr:row>148</xdr:row>
      <xdr:rowOff>831274</xdr:rowOff>
    </xdr:to>
    <xdr:sp macro="" textlink="">
      <xdr:nvSpPr>
        <xdr:cNvPr id="61" name="Rounded Rectangle 60">
          <a:hlinkClick xmlns:r="http://schemas.openxmlformats.org/officeDocument/2006/relationships" r:id="rId35"/>
        </xdr:cNvPr>
        <xdr:cNvSpPr/>
      </xdr:nvSpPr>
      <xdr:spPr>
        <a:xfrm>
          <a:off x="10783500728" y="58284342"/>
          <a:ext cx="5922818"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تقطیر خلاء</a:t>
          </a:r>
          <a:r>
            <a:rPr lang="en-US" sz="105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(پالايش نفت)</a:t>
          </a:r>
        </a:p>
      </xdr:txBody>
    </xdr:sp>
    <xdr:clientData/>
  </xdr:twoCellAnchor>
  <xdr:twoCellAnchor>
    <xdr:from>
      <xdr:col>3</xdr:col>
      <xdr:colOff>184728</xdr:colOff>
      <xdr:row>151</xdr:row>
      <xdr:rowOff>349249</xdr:rowOff>
    </xdr:from>
    <xdr:to>
      <xdr:col>9</xdr:col>
      <xdr:colOff>508000</xdr:colOff>
      <xdr:row>151</xdr:row>
      <xdr:rowOff>761999</xdr:rowOff>
    </xdr:to>
    <xdr:sp macro="" textlink="">
      <xdr:nvSpPr>
        <xdr:cNvPr id="62" name="Rounded Rectangle 61">
          <a:hlinkClick xmlns:r="http://schemas.openxmlformats.org/officeDocument/2006/relationships" r:id="rId36"/>
        </xdr:cNvPr>
        <xdr:cNvSpPr/>
      </xdr:nvSpPr>
      <xdr:spPr>
        <a:xfrm>
          <a:off x="10783616181" y="59900704"/>
          <a:ext cx="5818909" cy="41275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اتیلن سنگین(پتروشيمي)</a:t>
          </a:r>
        </a:p>
      </xdr:txBody>
    </xdr:sp>
    <xdr:clientData/>
  </xdr:twoCellAnchor>
  <xdr:twoCellAnchor>
    <xdr:from>
      <xdr:col>3</xdr:col>
      <xdr:colOff>404091</xdr:colOff>
      <xdr:row>154</xdr:row>
      <xdr:rowOff>418523</xdr:rowOff>
    </xdr:from>
    <xdr:to>
      <xdr:col>9</xdr:col>
      <xdr:colOff>554181</xdr:colOff>
      <xdr:row>154</xdr:row>
      <xdr:rowOff>819728</xdr:rowOff>
    </xdr:to>
    <xdr:sp macro="" textlink="">
      <xdr:nvSpPr>
        <xdr:cNvPr id="63" name="Rounded Rectangle 62">
          <a:hlinkClick xmlns:r="http://schemas.openxmlformats.org/officeDocument/2006/relationships" r:id="rId37"/>
        </xdr:cNvPr>
        <xdr:cNvSpPr/>
      </xdr:nvSpPr>
      <xdr:spPr>
        <a:xfrm>
          <a:off x="10783570000" y="61759523"/>
          <a:ext cx="5645727" cy="40120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ونیل کلراید مونومر(پتروشيمي)</a:t>
          </a:r>
        </a:p>
      </xdr:txBody>
    </xdr:sp>
    <xdr:clientData/>
  </xdr:twoCellAnchor>
  <xdr:twoCellAnchor>
    <xdr:from>
      <xdr:col>3</xdr:col>
      <xdr:colOff>404091</xdr:colOff>
      <xdr:row>157</xdr:row>
      <xdr:rowOff>430069</xdr:rowOff>
    </xdr:from>
    <xdr:to>
      <xdr:col>9</xdr:col>
      <xdr:colOff>554181</xdr:colOff>
      <xdr:row>157</xdr:row>
      <xdr:rowOff>854365</xdr:rowOff>
    </xdr:to>
    <xdr:sp macro="" textlink="">
      <xdr:nvSpPr>
        <xdr:cNvPr id="64" name="Rounded Rectangle 63">
          <a:hlinkClick xmlns:r="http://schemas.openxmlformats.org/officeDocument/2006/relationships" r:id="rId38"/>
        </xdr:cNvPr>
        <xdr:cNvSpPr/>
      </xdr:nvSpPr>
      <xdr:spPr>
        <a:xfrm>
          <a:off x="10783570000" y="63479796"/>
          <a:ext cx="5645727" cy="42429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ونیل کلراید  (پتروشيمي)</a:t>
          </a:r>
        </a:p>
      </xdr:txBody>
    </xdr:sp>
    <xdr:clientData/>
  </xdr:twoCellAnchor>
  <xdr:twoCellAnchor>
    <xdr:from>
      <xdr:col>3</xdr:col>
      <xdr:colOff>427182</xdr:colOff>
      <xdr:row>160</xdr:row>
      <xdr:rowOff>372341</xdr:rowOff>
    </xdr:from>
    <xdr:to>
      <xdr:col>9</xdr:col>
      <xdr:colOff>565726</xdr:colOff>
      <xdr:row>160</xdr:row>
      <xdr:rowOff>831272</xdr:rowOff>
    </xdr:to>
    <xdr:sp macro="" textlink="">
      <xdr:nvSpPr>
        <xdr:cNvPr id="66" name="Rounded Rectangle 65">
          <a:hlinkClick xmlns:r="http://schemas.openxmlformats.org/officeDocument/2006/relationships" r:id="rId39"/>
        </xdr:cNvPr>
        <xdr:cNvSpPr/>
      </xdr:nvSpPr>
      <xdr:spPr>
        <a:xfrm>
          <a:off x="10783558455" y="65384796"/>
          <a:ext cx="5634181" cy="458931"/>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پروپیلن (پتروشيمي)</a:t>
          </a:r>
        </a:p>
      </xdr:txBody>
    </xdr:sp>
    <xdr:clientData/>
  </xdr:twoCellAnchor>
  <xdr:twoCellAnchor>
    <xdr:from>
      <xdr:col>3</xdr:col>
      <xdr:colOff>369461</xdr:colOff>
      <xdr:row>163</xdr:row>
      <xdr:rowOff>346363</xdr:rowOff>
    </xdr:from>
    <xdr:to>
      <xdr:col>9</xdr:col>
      <xdr:colOff>473369</xdr:colOff>
      <xdr:row>163</xdr:row>
      <xdr:rowOff>800966</xdr:rowOff>
    </xdr:to>
    <xdr:sp macro="" textlink="">
      <xdr:nvSpPr>
        <xdr:cNvPr id="67" name="Rounded Rectangle 66">
          <a:hlinkClick xmlns:r="http://schemas.openxmlformats.org/officeDocument/2006/relationships" r:id="rId40"/>
        </xdr:cNvPr>
        <xdr:cNvSpPr/>
      </xdr:nvSpPr>
      <xdr:spPr>
        <a:xfrm>
          <a:off x="10783650812" y="67240727"/>
          <a:ext cx="5599545" cy="45460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پلی استایرن (پتروشيمي)</a:t>
          </a:r>
        </a:p>
      </xdr:txBody>
    </xdr:sp>
    <xdr:clientData/>
  </xdr:twoCellAnchor>
  <xdr:twoCellAnchor>
    <xdr:from>
      <xdr:col>3</xdr:col>
      <xdr:colOff>311725</xdr:colOff>
      <xdr:row>166</xdr:row>
      <xdr:rowOff>326155</xdr:rowOff>
    </xdr:from>
    <xdr:to>
      <xdr:col>9</xdr:col>
      <xdr:colOff>484906</xdr:colOff>
      <xdr:row>166</xdr:row>
      <xdr:rowOff>785089</xdr:rowOff>
    </xdr:to>
    <xdr:sp macro="" textlink="">
      <xdr:nvSpPr>
        <xdr:cNvPr id="68" name="Rounded Rectangle 67">
          <a:hlinkClick xmlns:r="http://schemas.openxmlformats.org/officeDocument/2006/relationships" r:id="rId41"/>
        </xdr:cNvPr>
        <xdr:cNvSpPr/>
      </xdr:nvSpPr>
      <xdr:spPr>
        <a:xfrm>
          <a:off x="10783639275" y="69310246"/>
          <a:ext cx="5668818" cy="45893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آمونياك (پتروشيمي)</a:t>
          </a:r>
        </a:p>
      </xdr:txBody>
    </xdr:sp>
    <xdr:clientData/>
  </xdr:twoCellAnchor>
  <xdr:twoCellAnchor>
    <xdr:from>
      <xdr:col>3</xdr:col>
      <xdr:colOff>207817</xdr:colOff>
      <xdr:row>169</xdr:row>
      <xdr:rowOff>418524</xdr:rowOff>
    </xdr:from>
    <xdr:to>
      <xdr:col>9</xdr:col>
      <xdr:colOff>461817</xdr:colOff>
      <xdr:row>169</xdr:row>
      <xdr:rowOff>865910</xdr:rowOff>
    </xdr:to>
    <xdr:sp macro="" textlink="">
      <xdr:nvSpPr>
        <xdr:cNvPr id="69" name="Rounded Rectangle 68">
          <a:hlinkClick xmlns:r="http://schemas.openxmlformats.org/officeDocument/2006/relationships" r:id="rId42"/>
        </xdr:cNvPr>
        <xdr:cNvSpPr/>
      </xdr:nvSpPr>
      <xdr:spPr>
        <a:xfrm>
          <a:off x="10783662364" y="71515433"/>
          <a:ext cx="5749637" cy="44738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(ب): استفاده از ضرایب انتشار ونت فرآيندي واحد اسيد نيتريك(پتروشيمي)</a:t>
          </a:r>
        </a:p>
      </xdr:txBody>
    </xdr:sp>
    <xdr:clientData/>
  </xdr:twoCellAnchor>
  <xdr:twoCellAnchor>
    <xdr:from>
      <xdr:col>9</xdr:col>
      <xdr:colOff>206375</xdr:colOff>
      <xdr:row>2</xdr:row>
      <xdr:rowOff>34636</xdr:rowOff>
    </xdr:from>
    <xdr:to>
      <xdr:col>18</xdr:col>
      <xdr:colOff>851477</xdr:colOff>
      <xdr:row>3</xdr:row>
      <xdr:rowOff>207819</xdr:rowOff>
    </xdr:to>
    <xdr:sp macro="" textlink="">
      <xdr:nvSpPr>
        <xdr:cNvPr id="54" name="Rounded Rectangle 53">
          <a:hlinkClick xmlns:r="http://schemas.openxmlformats.org/officeDocument/2006/relationships" r:id="rId43"/>
        </xdr:cNvPr>
        <xdr:cNvSpPr/>
      </xdr:nvSpPr>
      <xdr:spPr>
        <a:xfrm>
          <a:off x="10914211148" y="907761"/>
          <a:ext cx="11344852" cy="443058"/>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 ونت فرآيندي</a:t>
          </a:r>
        </a:p>
      </xdr:txBody>
    </xdr:sp>
    <xdr:clientData/>
  </xdr:twoCellAnchor>
  <xdr:twoCellAnchor>
    <xdr:from>
      <xdr:col>3</xdr:col>
      <xdr:colOff>169333</xdr:colOff>
      <xdr:row>126</xdr:row>
      <xdr:rowOff>821925</xdr:rowOff>
    </xdr:from>
    <xdr:to>
      <xdr:col>9</xdr:col>
      <xdr:colOff>583141</xdr:colOff>
      <xdr:row>126</xdr:row>
      <xdr:rowOff>1197428</xdr:rowOff>
    </xdr:to>
    <xdr:sp macro="" textlink="">
      <xdr:nvSpPr>
        <xdr:cNvPr id="65" name="Rounded Rectangle 64">
          <a:hlinkClick xmlns:r="http://schemas.openxmlformats.org/officeDocument/2006/relationships" r:id="rId44"/>
        </xdr:cNvPr>
        <xdr:cNvSpPr/>
      </xdr:nvSpPr>
      <xdr:spPr>
        <a:xfrm>
          <a:off x="10850995359" y="46596354"/>
          <a:ext cx="5811308" cy="37550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43</xdr:col>
      <xdr:colOff>152400</xdr:colOff>
      <xdr:row>16</xdr:row>
      <xdr:rowOff>381000</xdr:rowOff>
    </xdr:from>
    <xdr:to>
      <xdr:col>53</xdr:col>
      <xdr:colOff>720725</xdr:colOff>
      <xdr:row>16</xdr:row>
      <xdr:rowOff>847725</xdr:rowOff>
    </xdr:to>
    <xdr:sp macro="" textlink="">
      <xdr:nvSpPr>
        <xdr:cNvPr id="56" name="Rounded Rectangle 55">
          <a:hlinkClick xmlns:r="http://schemas.openxmlformats.org/officeDocument/2006/relationships" r:id="rId45"/>
        </xdr:cNvPr>
        <xdr:cNvSpPr/>
      </xdr:nvSpPr>
      <xdr:spPr>
        <a:xfrm>
          <a:off x="10794285625" y="2984500"/>
          <a:ext cx="11630025" cy="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احتراقي</a:t>
          </a:r>
        </a:p>
      </xdr:txBody>
    </xdr:sp>
    <xdr:clientData/>
  </xdr:twoCellAnchor>
  <xdr:twoCellAnchor>
    <xdr:from>
      <xdr:col>28</xdr:col>
      <xdr:colOff>584200</xdr:colOff>
      <xdr:row>11</xdr:row>
      <xdr:rowOff>253999</xdr:rowOff>
    </xdr:from>
    <xdr:to>
      <xdr:col>38</xdr:col>
      <xdr:colOff>41275</xdr:colOff>
      <xdr:row>13</xdr:row>
      <xdr:rowOff>228600</xdr:rowOff>
    </xdr:to>
    <xdr:sp macro="" textlink="">
      <xdr:nvSpPr>
        <xdr:cNvPr id="70" name="Rounded Rectangle 69">
          <a:hlinkClick xmlns:r="http://schemas.openxmlformats.org/officeDocument/2006/relationships" r:id="rId46"/>
        </xdr:cNvPr>
        <xdr:cNvSpPr/>
      </xdr:nvSpPr>
      <xdr:spPr>
        <a:xfrm>
          <a:off x="10797117725" y="3708399"/>
          <a:ext cx="9947275" cy="965201"/>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فرآيندي</a:t>
          </a:r>
        </a:p>
      </xdr:txBody>
    </xdr:sp>
    <xdr:clientData/>
  </xdr:twoCellAnchor>
  <xdr:twoCellAnchor>
    <xdr:from>
      <xdr:col>29</xdr:col>
      <xdr:colOff>111124</xdr:colOff>
      <xdr:row>40</xdr:row>
      <xdr:rowOff>828675</xdr:rowOff>
    </xdr:from>
    <xdr:to>
      <xdr:col>29</xdr:col>
      <xdr:colOff>1952624</xdr:colOff>
      <xdr:row>41</xdr:row>
      <xdr:rowOff>225425</xdr:rowOff>
    </xdr:to>
    <xdr:sp macro="" textlink="">
      <xdr:nvSpPr>
        <xdr:cNvPr id="71" name="Rounded Rectangle 70">
          <a:hlinkClick xmlns:r="http://schemas.openxmlformats.org/officeDocument/2006/relationships" r:id="rId47"/>
        </xdr:cNvPr>
        <xdr:cNvSpPr/>
      </xdr:nvSpPr>
      <xdr:spPr>
        <a:xfrm>
          <a:off x="10803943976" y="13731875"/>
          <a:ext cx="1841500" cy="36195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29</xdr:col>
      <xdr:colOff>1104900</xdr:colOff>
      <xdr:row>126</xdr:row>
      <xdr:rowOff>1016000</xdr:rowOff>
    </xdr:from>
    <xdr:to>
      <xdr:col>37</xdr:col>
      <xdr:colOff>30963</xdr:colOff>
      <xdr:row>126</xdr:row>
      <xdr:rowOff>1286452</xdr:rowOff>
    </xdr:to>
    <xdr:sp macro="" textlink="">
      <xdr:nvSpPr>
        <xdr:cNvPr id="73" name="Rounded Rectangle 72">
          <a:hlinkClick xmlns:r="http://schemas.openxmlformats.org/officeDocument/2006/relationships" r:id="rId48"/>
        </xdr:cNvPr>
        <xdr:cNvSpPr/>
      </xdr:nvSpPr>
      <xdr:spPr>
        <a:xfrm>
          <a:off x="10901680787" y="47498000"/>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30</xdr:col>
      <xdr:colOff>762000</xdr:colOff>
      <xdr:row>129</xdr:row>
      <xdr:rowOff>1031875</xdr:rowOff>
    </xdr:from>
    <xdr:to>
      <xdr:col>38</xdr:col>
      <xdr:colOff>862813</xdr:colOff>
      <xdr:row>129</xdr:row>
      <xdr:rowOff>1353127</xdr:rowOff>
    </xdr:to>
    <xdr:sp macro="" textlink="">
      <xdr:nvSpPr>
        <xdr:cNvPr id="74" name="Rounded Rectangle 73">
          <a:hlinkClick xmlns:r="http://schemas.openxmlformats.org/officeDocument/2006/relationships" r:id="rId49"/>
        </xdr:cNvPr>
        <xdr:cNvSpPr/>
      </xdr:nvSpPr>
      <xdr:spPr>
        <a:xfrm>
          <a:off x="10900061537" y="47513875"/>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29</xdr:col>
      <xdr:colOff>1127125</xdr:colOff>
      <xdr:row>129</xdr:row>
      <xdr:rowOff>650875</xdr:rowOff>
    </xdr:from>
    <xdr:to>
      <xdr:col>37</xdr:col>
      <xdr:colOff>53188</xdr:colOff>
      <xdr:row>130</xdr:row>
      <xdr:rowOff>48202</xdr:rowOff>
    </xdr:to>
    <xdr:sp macro="" textlink="">
      <xdr:nvSpPr>
        <xdr:cNvPr id="76" name="Rounded Rectangle 75">
          <a:hlinkClick xmlns:r="http://schemas.openxmlformats.org/officeDocument/2006/relationships" r:id="rId50"/>
        </xdr:cNvPr>
        <xdr:cNvSpPr/>
      </xdr:nvSpPr>
      <xdr:spPr>
        <a:xfrm>
          <a:off x="10901658562" y="49164875"/>
          <a:ext cx="648256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محاسبه عدم قطعيت  انتشارات واحد کک‌سازی تاخیری</a:t>
          </a:r>
          <a:endParaRPr lang="fa-IR" sz="1200">
            <a:solidFill>
              <a:sysClr val="windowText" lastClr="000000"/>
            </a:solidFill>
            <a:cs typeface="B Titr" panose="00000700000000000000" pitchFamily="2" charset="-78"/>
          </a:endParaRPr>
        </a:p>
      </xdr:txBody>
    </xdr:sp>
    <xdr:clientData/>
  </xdr:twoCellAnchor>
  <xdr:oneCellAnchor>
    <xdr:from>
      <xdr:col>29</xdr:col>
      <xdr:colOff>89647</xdr:colOff>
      <xdr:row>40</xdr:row>
      <xdr:rowOff>312737</xdr:rowOff>
    </xdr:from>
    <xdr:ext cx="1861205" cy="423065"/>
    <mc:AlternateContent xmlns:mc="http://schemas.openxmlformats.org/markup-compatibility/2006" xmlns:a14="http://schemas.microsoft.com/office/drawing/2010/main">
      <mc:Choice Requires="a14">
        <xdr:sp macro="" textlink="">
          <xdr:nvSpPr>
            <xdr:cNvPr id="2" name="TextBox 1"/>
            <xdr:cNvSpPr txBox="1"/>
          </xdr:nvSpPr>
          <xdr:spPr>
            <a:xfrm>
              <a:off x="10754754913" y="12938031"/>
              <a:ext cx="1861205" cy="42306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14:m>
                <m:oMathPara xmlns:m="http://schemas.openxmlformats.org/officeDocument/2006/math">
                  <m:oMathParaPr>
                    <m:jc m:val="center"/>
                  </m:oMathParaPr>
                  <m:oMath xmlns:m="http://schemas.openxmlformats.org/officeDocument/2006/math">
                    <m:d>
                      <m:dPr>
                        <m:ctrlPr>
                          <a:rPr lang="en-US" sz="1100" i="1">
                            <a:solidFill>
                              <a:schemeClr val="bg1"/>
                            </a:solidFill>
                            <a:effectLst/>
                            <a:latin typeface="Cambria Math"/>
                            <a:ea typeface="+mn-ea"/>
                            <a:cs typeface="+mn-cs"/>
                          </a:rPr>
                        </m:ctrlPr>
                      </m:dPr>
                      <m:e>
                        <m:sSub>
                          <m:sSubPr>
                            <m:ctrlPr>
                              <a:rPr lang="en-US" sz="1100" i="1">
                                <a:solidFill>
                                  <a:schemeClr val="bg1"/>
                                </a:solidFill>
                                <a:effectLst/>
                                <a:latin typeface="Cambria Math"/>
                                <a:ea typeface="+mn-ea"/>
                                <a:cs typeface="+mn-cs"/>
                              </a:rPr>
                            </m:ctrlPr>
                          </m:sSubPr>
                          <m:e>
                            <m:r>
                              <a:rPr lang="en-US" sz="1100" i="1">
                                <a:solidFill>
                                  <a:schemeClr val="bg1"/>
                                </a:solidFill>
                                <a:effectLst/>
                                <a:latin typeface="Cambria Math"/>
                                <a:ea typeface="+mn-ea"/>
                                <a:cs typeface="+mn-cs"/>
                              </a:rPr>
                              <m:t>𝑀</m:t>
                            </m:r>
                          </m:e>
                          <m:sub>
                            <m:r>
                              <a:rPr lang="en-US" sz="1100" i="1">
                                <a:solidFill>
                                  <a:schemeClr val="bg1"/>
                                </a:solidFill>
                                <a:effectLst/>
                                <a:latin typeface="Cambria Math"/>
                                <a:ea typeface="+mn-ea"/>
                                <a:cs typeface="+mn-cs"/>
                              </a:rPr>
                              <m:t>𝑊</m:t>
                            </m:r>
                          </m:sub>
                        </m:sSub>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𝐾𝑔</m:t>
                        </m:r>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4182</m:t>
                        </m:r>
                        <m:r>
                          <a:rPr lang="en-US" sz="1100" i="1">
                            <a:solidFill>
                              <a:schemeClr val="bg1"/>
                            </a:solidFill>
                            <a:effectLst/>
                            <a:latin typeface="Cambria Math"/>
                            <a:ea typeface="+mn-ea"/>
                            <a:cs typeface="+mn-cs"/>
                          </a:rPr>
                          <m:t>+</m:t>
                        </m:r>
                        <m:sSub>
                          <m:sSubPr>
                            <m:ctrlPr>
                              <a:rPr lang="en-US" sz="1100" i="1">
                                <a:solidFill>
                                  <a:schemeClr val="bg1"/>
                                </a:solidFill>
                                <a:effectLst/>
                                <a:latin typeface="Cambria Math"/>
                                <a:ea typeface="+mn-ea"/>
                                <a:cs typeface="+mn-cs"/>
                              </a:rPr>
                            </m:ctrlPr>
                          </m:sSubPr>
                          <m:e>
                            <m:r>
                              <a:rPr lang="en-US" sz="1100" i="1">
                                <a:solidFill>
                                  <a:schemeClr val="bg1"/>
                                </a:solidFill>
                                <a:effectLst/>
                                <a:latin typeface="Cambria Math"/>
                                <a:ea typeface="+mn-ea"/>
                                <a:cs typeface="+mn-cs"/>
                              </a:rPr>
                              <m:t>𝑀</m:t>
                            </m:r>
                          </m:e>
                          <m:sub>
                            <m:r>
                              <a:rPr lang="en-US" sz="1100" i="1">
                                <a:solidFill>
                                  <a:schemeClr val="bg1"/>
                                </a:solidFill>
                                <a:effectLst/>
                                <a:latin typeface="Cambria Math"/>
                                <a:ea typeface="+mn-ea"/>
                                <a:cs typeface="+mn-cs"/>
                              </a:rPr>
                              <m:t>𝐶</m:t>
                            </m:r>
                          </m:sub>
                        </m:sSub>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𝐾𝑔</m:t>
                        </m:r>
                        <m:r>
                          <a:rPr lang="en-US" sz="1100" i="1">
                            <a:solidFill>
                              <a:schemeClr val="bg1"/>
                            </a:solidFill>
                            <a:effectLst/>
                            <a:latin typeface="Cambria Math"/>
                            <a:ea typeface="+mn-ea"/>
                            <a:cs typeface="+mn-cs"/>
                          </a:rPr>
                          <m:t>)×</m:t>
                        </m:r>
                        <m:r>
                          <a:rPr lang="en-US" sz="1100" i="1">
                            <a:solidFill>
                              <a:schemeClr val="bg1"/>
                            </a:solidFill>
                            <a:effectLst/>
                            <a:latin typeface="Cambria Math"/>
                            <a:ea typeface="+mn-ea"/>
                            <a:cs typeface="+mn-cs"/>
                          </a:rPr>
                          <m:t>1108</m:t>
                        </m:r>
                      </m:e>
                    </m:d>
                  </m:oMath>
                </m:oMathPara>
              </a14:m>
              <a:endParaRPr lang="fa-IR" sz="1100" i="1">
                <a:latin typeface="Cambria Math"/>
              </a:endParaRPr>
            </a:p>
          </xdr:txBody>
        </xdr:sp>
      </mc:Choice>
      <mc:Fallback xmlns="">
        <xdr:sp macro="" textlink="">
          <xdr:nvSpPr>
            <xdr:cNvPr id="2" name="TextBox 1"/>
            <xdr:cNvSpPr txBox="1"/>
          </xdr:nvSpPr>
          <xdr:spPr>
            <a:xfrm>
              <a:off x="10754754913" y="12938031"/>
              <a:ext cx="1861205" cy="42306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r>
                <a:rPr lang="en-US" sz="1100" i="0">
                  <a:solidFill>
                    <a:schemeClr val="bg1"/>
                  </a:solidFill>
                  <a:effectLst/>
                  <a:latin typeface="+mn-lt"/>
                  <a:ea typeface="+mn-ea"/>
                  <a:cs typeface="+mn-cs"/>
                </a:rPr>
                <a:t>(𝑀_𝑊 (𝐾𝑔)×4182+𝑀_𝐶 (𝐾𝑔)×1108)</a:t>
              </a:r>
              <a:endParaRPr lang="fa-IR" sz="1100" i="1">
                <a:latin typeface="Cambria Math"/>
              </a:endParaRPr>
            </a:p>
          </xdr:txBody>
        </xdr:sp>
      </mc:Fallback>
    </mc:AlternateContent>
    <xdr:clientData/>
  </xdr:oneCellAnchor>
  <xdr:oneCellAnchor>
    <xdr:from>
      <xdr:col>26</xdr:col>
      <xdr:colOff>271715</xdr:colOff>
      <xdr:row>129</xdr:row>
      <xdr:rowOff>254000</xdr:rowOff>
    </xdr:from>
    <xdr:ext cx="3127376" cy="257699"/>
    <mc:AlternateContent xmlns:mc="http://schemas.openxmlformats.org/markup-compatibility/2006" xmlns:a14="http://schemas.microsoft.com/office/drawing/2010/main">
      <mc:Choice Requires="a14">
        <xdr:sp macro="" textlink="">
          <xdr:nvSpPr>
            <xdr:cNvPr id="77" name="TextBox 76"/>
            <xdr:cNvSpPr txBox="1"/>
          </xdr:nvSpPr>
          <xdr:spPr>
            <a:xfrm>
              <a:off x="10806612309" y="49072800"/>
              <a:ext cx="3127376" cy="25769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14:m>
                <m:oMathPara xmlns:m="http://schemas.openxmlformats.org/officeDocument/2006/math">
                  <m:oMathParaPr>
                    <m:jc m:val="center"/>
                  </m:oMathParaPr>
                  <m:oMath xmlns:m="http://schemas.openxmlformats.org/officeDocument/2006/math">
                    <m:d>
                      <m:dPr>
                        <m:ctrlPr>
                          <a:rPr lang="en-US" sz="1100" i="1">
                            <a:solidFill>
                              <a:sysClr val="windowText" lastClr="000000"/>
                            </a:solidFill>
                            <a:effectLst/>
                            <a:latin typeface="Cambria Math"/>
                            <a:ea typeface="+mn-ea"/>
                            <a:cs typeface="+mn-cs"/>
                          </a:rPr>
                        </m:ctrlPr>
                      </m:dPr>
                      <m:e>
                        <m:sSub>
                          <m:sSubPr>
                            <m:ctrlPr>
                              <a:rPr lang="en-US" sz="1100" i="1">
                                <a:solidFill>
                                  <a:sysClr val="windowText" lastClr="000000"/>
                                </a:solidFill>
                                <a:effectLst/>
                                <a:latin typeface="Cambria Math"/>
                                <a:ea typeface="+mn-ea"/>
                                <a:cs typeface="+mn-cs"/>
                              </a:rPr>
                            </m:ctrlPr>
                          </m:sSubPr>
                          <m:e>
                            <m:r>
                              <a:rPr lang="en-US" sz="1100" i="1">
                                <a:solidFill>
                                  <a:sysClr val="windowText" lastClr="000000"/>
                                </a:solidFill>
                                <a:effectLst/>
                                <a:latin typeface="Cambria Math"/>
                                <a:ea typeface="+mn-ea"/>
                                <a:cs typeface="+mn-cs"/>
                              </a:rPr>
                              <m:t>𝑀</m:t>
                            </m:r>
                          </m:e>
                          <m:sub>
                            <m:r>
                              <a:rPr lang="en-US" sz="1100" i="1">
                                <a:solidFill>
                                  <a:sysClr val="windowText" lastClr="000000"/>
                                </a:solidFill>
                                <a:effectLst/>
                                <a:latin typeface="Cambria Math"/>
                                <a:ea typeface="+mn-ea"/>
                                <a:cs typeface="+mn-cs"/>
                              </a:rPr>
                              <m:t>𝑊</m:t>
                            </m:r>
                          </m:sub>
                        </m:sSub>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𝐾𝑔</m:t>
                        </m:r>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4182</m:t>
                        </m:r>
                        <m:r>
                          <a:rPr lang="en-US" sz="1100" i="1">
                            <a:solidFill>
                              <a:sysClr val="windowText" lastClr="000000"/>
                            </a:solidFill>
                            <a:effectLst/>
                            <a:latin typeface="Cambria Math"/>
                            <a:ea typeface="+mn-ea"/>
                            <a:cs typeface="+mn-cs"/>
                          </a:rPr>
                          <m:t>+</m:t>
                        </m:r>
                        <m:sSub>
                          <m:sSubPr>
                            <m:ctrlPr>
                              <a:rPr lang="en-US" sz="1100" i="1">
                                <a:solidFill>
                                  <a:sysClr val="windowText" lastClr="000000"/>
                                </a:solidFill>
                                <a:effectLst/>
                                <a:latin typeface="Cambria Math"/>
                                <a:ea typeface="+mn-ea"/>
                                <a:cs typeface="+mn-cs"/>
                              </a:rPr>
                            </m:ctrlPr>
                          </m:sSubPr>
                          <m:e>
                            <m:r>
                              <a:rPr lang="en-US" sz="1100" i="1">
                                <a:solidFill>
                                  <a:sysClr val="windowText" lastClr="000000"/>
                                </a:solidFill>
                                <a:effectLst/>
                                <a:latin typeface="Cambria Math"/>
                                <a:ea typeface="+mn-ea"/>
                                <a:cs typeface="+mn-cs"/>
                              </a:rPr>
                              <m:t>𝑀</m:t>
                            </m:r>
                          </m:e>
                          <m:sub>
                            <m:r>
                              <a:rPr lang="en-US" sz="1100" i="1">
                                <a:solidFill>
                                  <a:sysClr val="windowText" lastClr="000000"/>
                                </a:solidFill>
                                <a:effectLst/>
                                <a:latin typeface="Cambria Math"/>
                                <a:ea typeface="+mn-ea"/>
                                <a:cs typeface="+mn-cs"/>
                              </a:rPr>
                              <m:t>𝐶</m:t>
                            </m:r>
                          </m:sub>
                        </m:sSub>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𝐾𝑔</m:t>
                        </m:r>
                        <m:r>
                          <a:rPr lang="en-US" sz="1100" i="1">
                            <a:solidFill>
                              <a:sysClr val="windowText" lastClr="000000"/>
                            </a:solidFill>
                            <a:effectLst/>
                            <a:latin typeface="Cambria Math"/>
                            <a:ea typeface="+mn-ea"/>
                            <a:cs typeface="+mn-cs"/>
                          </a:rPr>
                          <m:t>)×</m:t>
                        </m:r>
                        <m:r>
                          <a:rPr lang="en-US" sz="1100" i="1">
                            <a:solidFill>
                              <a:sysClr val="windowText" lastClr="000000"/>
                            </a:solidFill>
                            <a:effectLst/>
                            <a:latin typeface="Cambria Math"/>
                            <a:ea typeface="+mn-ea"/>
                            <a:cs typeface="+mn-cs"/>
                          </a:rPr>
                          <m:t>1108</m:t>
                        </m:r>
                      </m:e>
                    </m:d>
                  </m:oMath>
                </m:oMathPara>
              </a14:m>
              <a:endParaRPr lang="fa-IR" sz="1100" i="1">
                <a:solidFill>
                  <a:sysClr val="windowText" lastClr="000000"/>
                </a:solidFill>
                <a:latin typeface="Cambria Math"/>
              </a:endParaRPr>
            </a:p>
          </xdr:txBody>
        </xdr:sp>
      </mc:Choice>
      <mc:Fallback xmlns="">
        <xdr:sp macro="" textlink="">
          <xdr:nvSpPr>
            <xdr:cNvPr id="77" name="TextBox 76"/>
            <xdr:cNvSpPr txBox="1"/>
          </xdr:nvSpPr>
          <xdr:spPr>
            <a:xfrm>
              <a:off x="10806612309" y="49072800"/>
              <a:ext cx="3127376" cy="25769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1" anchor="t">
              <a:spAutoFit/>
            </a:bodyPr>
            <a:lstStyle/>
            <a:p>
              <a:pPr algn="r" rtl="1"/>
              <a:r>
                <a:rPr lang="en-US" sz="1100" i="0">
                  <a:solidFill>
                    <a:sysClr val="windowText" lastClr="000000"/>
                  </a:solidFill>
                  <a:effectLst/>
                  <a:latin typeface="Cambria Math"/>
                  <a:ea typeface="+mn-ea"/>
                  <a:cs typeface="+mn-cs"/>
                </a:rPr>
                <a:t>(𝑀_𝑊 (𝐾𝑔)×4182+𝑀_𝐶 (𝐾𝑔)×1108)</a:t>
              </a:r>
              <a:endParaRPr lang="fa-IR" sz="1100" i="1">
                <a:solidFill>
                  <a:sysClr val="windowText" lastClr="000000"/>
                </a:solidFill>
                <a:latin typeface="Cambria Math"/>
              </a:endParaRPr>
            </a:p>
          </xdr:txBody>
        </xdr:sp>
      </mc:Fallback>
    </mc:AlternateContent>
    <xdr:clientData/>
  </xdr:oneCellAnchor>
  <xdr:twoCellAnchor>
    <xdr:from>
      <xdr:col>15</xdr:col>
      <xdr:colOff>1179676</xdr:colOff>
      <xdr:row>13</xdr:row>
      <xdr:rowOff>249670</xdr:rowOff>
    </xdr:from>
    <xdr:to>
      <xdr:col>18</xdr:col>
      <xdr:colOff>846895</xdr:colOff>
      <xdr:row>13</xdr:row>
      <xdr:rowOff>549852</xdr:rowOff>
    </xdr:to>
    <xdr:sp macro="" textlink="">
      <xdr:nvSpPr>
        <xdr:cNvPr id="72" name="Rounded Rectangle 71">
          <a:hlinkClick xmlns:r="http://schemas.openxmlformats.org/officeDocument/2006/relationships" r:id="rId51"/>
        </xdr:cNvPr>
        <xdr:cNvSpPr/>
      </xdr:nvSpPr>
      <xdr:spPr>
        <a:xfrm>
          <a:off x="10921565855" y="4599420"/>
          <a:ext cx="3445469" cy="30018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(ب): استفاده از ضرایب، واحد اسید نیتریک</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501650</xdr:colOff>
      <xdr:row>82</xdr:row>
      <xdr:rowOff>508001</xdr:rowOff>
    </xdr:from>
    <xdr:to>
      <xdr:col>7</xdr:col>
      <xdr:colOff>724721</xdr:colOff>
      <xdr:row>82</xdr:row>
      <xdr:rowOff>1158877</xdr:rowOff>
    </xdr:to>
    <xdr:sp macro="" textlink="">
      <xdr:nvSpPr>
        <xdr:cNvPr id="2" name="Rounded Rectangle 1">
          <a:hlinkClick xmlns:r="http://schemas.openxmlformats.org/officeDocument/2006/relationships" r:id="rId1"/>
        </xdr:cNvPr>
        <xdr:cNvSpPr/>
      </xdr:nvSpPr>
      <xdr:spPr>
        <a:xfrm>
          <a:off x="10922005529" y="29686251"/>
          <a:ext cx="3620321"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بالادستي نفت و گاز)</a:t>
          </a:r>
        </a:p>
      </xdr:txBody>
    </xdr:sp>
    <xdr:clientData/>
  </xdr:twoCellAnchor>
  <xdr:twoCellAnchor>
    <xdr:from>
      <xdr:col>11</xdr:col>
      <xdr:colOff>241461</xdr:colOff>
      <xdr:row>6</xdr:row>
      <xdr:rowOff>31299</xdr:rowOff>
    </xdr:from>
    <xdr:to>
      <xdr:col>12</xdr:col>
      <xdr:colOff>867949</xdr:colOff>
      <xdr:row>7</xdr:row>
      <xdr:rowOff>380549</xdr:rowOff>
    </xdr:to>
    <xdr:sp macro="" textlink="">
      <xdr:nvSpPr>
        <xdr:cNvPr id="18" name="Rounded Rectangle 17">
          <a:hlinkClick xmlns:r="http://schemas.openxmlformats.org/officeDocument/2006/relationships" r:id="rId2"/>
        </xdr:cNvPr>
        <xdr:cNvSpPr/>
      </xdr:nvSpPr>
      <xdr:spPr>
        <a:xfrm>
          <a:off x="10843453408" y="3006728"/>
          <a:ext cx="1823917" cy="88446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13</xdr:col>
      <xdr:colOff>24141</xdr:colOff>
      <xdr:row>6</xdr:row>
      <xdr:rowOff>31299</xdr:rowOff>
    </xdr:from>
    <xdr:to>
      <xdr:col>14</xdr:col>
      <xdr:colOff>1143001</xdr:colOff>
      <xdr:row>7</xdr:row>
      <xdr:rowOff>380549</xdr:rowOff>
    </xdr:to>
    <xdr:sp macro="" textlink="">
      <xdr:nvSpPr>
        <xdr:cNvPr id="19" name="Rounded Rectangle 18">
          <a:hlinkClick xmlns:r="http://schemas.openxmlformats.org/officeDocument/2006/relationships" r:id="rId3"/>
        </xdr:cNvPr>
        <xdr:cNvSpPr/>
      </xdr:nvSpPr>
      <xdr:spPr>
        <a:xfrm>
          <a:off x="10773317636" y="2998481"/>
          <a:ext cx="2308041" cy="88034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15</xdr:col>
      <xdr:colOff>265515</xdr:colOff>
      <xdr:row>6</xdr:row>
      <xdr:rowOff>22227</xdr:rowOff>
    </xdr:from>
    <xdr:to>
      <xdr:col>17</xdr:col>
      <xdr:colOff>478995</xdr:colOff>
      <xdr:row>7</xdr:row>
      <xdr:rowOff>371477</xdr:rowOff>
    </xdr:to>
    <xdr:sp macro="" textlink="">
      <xdr:nvSpPr>
        <xdr:cNvPr id="20" name="Rounded Rectangle 19">
          <a:hlinkClick xmlns:r="http://schemas.openxmlformats.org/officeDocument/2006/relationships" r:id="rId4"/>
        </xdr:cNvPr>
        <xdr:cNvSpPr/>
      </xdr:nvSpPr>
      <xdr:spPr>
        <a:xfrm>
          <a:off x="10771476278" y="2989409"/>
          <a:ext cx="1529662" cy="88034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p>
      </xdr:txBody>
    </xdr:sp>
    <xdr:clientData/>
  </xdr:twoCellAnchor>
  <xdr:twoCellAnchor>
    <xdr:from>
      <xdr:col>0</xdr:col>
      <xdr:colOff>0</xdr:colOff>
      <xdr:row>11</xdr:row>
      <xdr:rowOff>25400</xdr:rowOff>
    </xdr:from>
    <xdr:to>
      <xdr:col>10</xdr:col>
      <xdr:colOff>298450</xdr:colOff>
      <xdr:row>12</xdr:row>
      <xdr:rowOff>409577</xdr:rowOff>
    </xdr:to>
    <xdr:sp macro="" textlink="">
      <xdr:nvSpPr>
        <xdr:cNvPr id="21" name="Rounded Rectangle 20"/>
        <xdr:cNvSpPr/>
      </xdr:nvSpPr>
      <xdr:spPr>
        <a:xfrm>
          <a:off x="10920193425" y="4422775"/>
          <a:ext cx="6251575" cy="76517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 صنایع بالادستي نفت و گاز </a:t>
          </a:r>
        </a:p>
      </xdr:txBody>
    </xdr:sp>
    <xdr:clientData/>
  </xdr:twoCellAnchor>
  <xdr:twoCellAnchor>
    <xdr:from>
      <xdr:col>0</xdr:col>
      <xdr:colOff>203199</xdr:colOff>
      <xdr:row>32</xdr:row>
      <xdr:rowOff>50800</xdr:rowOff>
    </xdr:from>
    <xdr:to>
      <xdr:col>12</xdr:col>
      <xdr:colOff>427181</xdr:colOff>
      <xdr:row>33</xdr:row>
      <xdr:rowOff>276227</xdr:rowOff>
    </xdr:to>
    <xdr:sp macro="" textlink="">
      <xdr:nvSpPr>
        <xdr:cNvPr id="22" name="Rounded Rectangle 21"/>
        <xdr:cNvSpPr/>
      </xdr:nvSpPr>
      <xdr:spPr>
        <a:xfrm>
          <a:off x="10776411819" y="10360891"/>
          <a:ext cx="8906164" cy="768063"/>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 صنایع پالايشگاهي و پخش فرآورده‌هاي نفتي</a:t>
          </a:r>
        </a:p>
      </xdr:txBody>
    </xdr:sp>
    <xdr:clientData/>
  </xdr:twoCellAnchor>
  <xdr:twoCellAnchor>
    <xdr:from>
      <xdr:col>0</xdr:col>
      <xdr:colOff>203200</xdr:colOff>
      <xdr:row>53</xdr:row>
      <xdr:rowOff>76200</xdr:rowOff>
    </xdr:from>
    <xdr:to>
      <xdr:col>10</xdr:col>
      <xdr:colOff>501650</xdr:colOff>
      <xdr:row>54</xdr:row>
      <xdr:rowOff>301627</xdr:rowOff>
    </xdr:to>
    <xdr:sp macro="" textlink="">
      <xdr:nvSpPr>
        <xdr:cNvPr id="23" name="Rounded Rectangle 22"/>
        <xdr:cNvSpPr/>
      </xdr:nvSpPr>
      <xdr:spPr>
        <a:xfrm>
          <a:off x="10816189950" y="22910800"/>
          <a:ext cx="8832850" cy="784227"/>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مخازن واحدهاي</a:t>
          </a:r>
          <a:r>
            <a:rPr lang="fa-IR" sz="2400" b="1" u="none" strike="noStrike" baseline="0">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 پتروشيمي</a:t>
          </a:r>
          <a:endPar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endParaRPr>
        </a:p>
      </xdr:txBody>
    </xdr:sp>
    <xdr:clientData/>
  </xdr:twoCellAnchor>
  <xdr:twoCellAnchor>
    <xdr:from>
      <xdr:col>9</xdr:col>
      <xdr:colOff>69239</xdr:colOff>
      <xdr:row>82</xdr:row>
      <xdr:rowOff>492125</xdr:rowOff>
    </xdr:from>
    <xdr:to>
      <xdr:col>12</xdr:col>
      <xdr:colOff>1043333</xdr:colOff>
      <xdr:row>82</xdr:row>
      <xdr:rowOff>1143001</xdr:rowOff>
    </xdr:to>
    <xdr:sp macro="" textlink="">
      <xdr:nvSpPr>
        <xdr:cNvPr id="24" name="Rounded Rectangle 23">
          <a:hlinkClick xmlns:r="http://schemas.openxmlformats.org/officeDocument/2006/relationships" r:id="rId5"/>
        </xdr:cNvPr>
        <xdr:cNvSpPr/>
      </xdr:nvSpPr>
      <xdr:spPr>
        <a:xfrm>
          <a:off x="10917511792" y="29670375"/>
          <a:ext cx="3656969"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پالايشگاهي و پخش فرآورده‌هاي نفتي)</a:t>
          </a:r>
        </a:p>
      </xdr:txBody>
    </xdr:sp>
    <xdr:clientData/>
  </xdr:twoCellAnchor>
  <xdr:twoCellAnchor>
    <xdr:from>
      <xdr:col>13</xdr:col>
      <xdr:colOff>1094457</xdr:colOff>
      <xdr:row>82</xdr:row>
      <xdr:rowOff>492125</xdr:rowOff>
    </xdr:from>
    <xdr:to>
      <xdr:col>18</xdr:col>
      <xdr:colOff>142875</xdr:colOff>
      <xdr:row>82</xdr:row>
      <xdr:rowOff>1143001</xdr:rowOff>
    </xdr:to>
    <xdr:sp macro="" textlink="">
      <xdr:nvSpPr>
        <xdr:cNvPr id="25" name="Rounded Rectangle 24">
          <a:hlinkClick xmlns:r="http://schemas.openxmlformats.org/officeDocument/2006/relationships" r:id="rId6"/>
        </xdr:cNvPr>
        <xdr:cNvSpPr/>
      </xdr:nvSpPr>
      <xdr:spPr>
        <a:xfrm>
          <a:off x="10912840125" y="29670375"/>
          <a:ext cx="3429918" cy="65087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a:t>
          </a:r>
          <a:r>
            <a:rPr lang="fa-IR" sz="1050">
              <a:solidFill>
                <a:sysClr val="windowText" lastClr="000000"/>
              </a:solidFill>
              <a:cs typeface="B Titr" panose="00000700000000000000" pitchFamily="2" charset="-78"/>
            </a:rPr>
            <a:t>روش (الف): استفاده از ضرایب انتشار ونت مخازن نگهداري محصولات (صنایع پتروشيمي)</a:t>
          </a:r>
        </a:p>
      </xdr:txBody>
    </xdr:sp>
    <xdr:clientData/>
  </xdr:twoCellAnchor>
  <xdr:twoCellAnchor>
    <xdr:from>
      <xdr:col>0</xdr:col>
      <xdr:colOff>0</xdr:colOff>
      <xdr:row>15</xdr:row>
      <xdr:rowOff>158750</xdr:rowOff>
    </xdr:from>
    <xdr:to>
      <xdr:col>0</xdr:col>
      <xdr:colOff>269875</xdr:colOff>
      <xdr:row>21</xdr:row>
      <xdr:rowOff>31750</xdr:rowOff>
    </xdr:to>
    <xdr:sp macro="" textlink="">
      <xdr:nvSpPr>
        <xdr:cNvPr id="26" name="Rounded Rectangle 25">
          <a:hlinkClick xmlns:r="http://schemas.openxmlformats.org/officeDocument/2006/relationships" r:id="rId7"/>
        </xdr:cNvPr>
        <xdr:cNvSpPr/>
      </xdr:nvSpPr>
      <xdr:spPr>
        <a:xfrm rot="16200000">
          <a:off x="10925492500" y="6953250"/>
          <a:ext cx="1635125" cy="2698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15875</xdr:colOff>
      <xdr:row>36</xdr:row>
      <xdr:rowOff>79375</xdr:rowOff>
    </xdr:from>
    <xdr:to>
      <xdr:col>0</xdr:col>
      <xdr:colOff>266700</xdr:colOff>
      <xdr:row>41</xdr:row>
      <xdr:rowOff>254000</xdr:rowOff>
    </xdr:to>
    <xdr:sp macro="" textlink="">
      <xdr:nvSpPr>
        <xdr:cNvPr id="27" name="Rounded Rectangle 26">
          <a:hlinkClick xmlns:r="http://schemas.openxmlformats.org/officeDocument/2006/relationships" r:id="rId7"/>
        </xdr:cNvPr>
        <xdr:cNvSpPr/>
      </xdr:nvSpPr>
      <xdr:spPr>
        <a:xfrm rot="16200000">
          <a:off x="10925486150" y="13027025"/>
          <a:ext cx="1635125"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15875</xdr:colOff>
      <xdr:row>57</xdr:row>
      <xdr:rowOff>279400</xdr:rowOff>
    </xdr:from>
    <xdr:to>
      <xdr:col>0</xdr:col>
      <xdr:colOff>266700</xdr:colOff>
      <xdr:row>61</xdr:row>
      <xdr:rowOff>158750</xdr:rowOff>
    </xdr:to>
    <xdr:sp macro="" textlink="">
      <xdr:nvSpPr>
        <xdr:cNvPr id="28" name="Rounded Rectangle 27">
          <a:hlinkClick xmlns:r="http://schemas.openxmlformats.org/officeDocument/2006/relationships" r:id="rId7"/>
        </xdr:cNvPr>
        <xdr:cNvSpPr/>
      </xdr:nvSpPr>
      <xdr:spPr>
        <a:xfrm rot="16200000">
          <a:off x="10925776663" y="19080162"/>
          <a:ext cx="1054100" cy="25082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11</xdr:col>
      <xdr:colOff>184728</xdr:colOff>
      <xdr:row>2</xdr:row>
      <xdr:rowOff>1</xdr:rowOff>
    </xdr:from>
    <xdr:to>
      <xdr:col>17</xdr:col>
      <xdr:colOff>605288</xdr:colOff>
      <xdr:row>3</xdr:row>
      <xdr:rowOff>248709</xdr:rowOff>
    </xdr:to>
    <xdr:sp macro="" textlink="">
      <xdr:nvSpPr>
        <xdr:cNvPr id="14" name="Rounded Rectangle 13">
          <a:hlinkClick xmlns:r="http://schemas.openxmlformats.org/officeDocument/2006/relationships" r:id="rId8"/>
        </xdr:cNvPr>
        <xdr:cNvSpPr/>
      </xdr:nvSpPr>
      <xdr:spPr>
        <a:xfrm>
          <a:off x="10771349985" y="1062183"/>
          <a:ext cx="6493469" cy="56043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منابع ونت مخازن</a:t>
          </a:r>
        </a:p>
      </xdr:txBody>
    </xdr:sp>
    <xdr:clientData/>
  </xdr:twoCellAnchor>
  <xdr:twoCellAnchor>
    <xdr:from>
      <xdr:col>11</xdr:col>
      <xdr:colOff>152402</xdr:colOff>
      <xdr:row>3</xdr:row>
      <xdr:rowOff>381000</xdr:rowOff>
    </xdr:from>
    <xdr:to>
      <xdr:col>12</xdr:col>
      <xdr:colOff>997858</xdr:colOff>
      <xdr:row>5</xdr:row>
      <xdr:rowOff>460375</xdr:rowOff>
    </xdr:to>
    <xdr:sp macro="" textlink="">
      <xdr:nvSpPr>
        <xdr:cNvPr id="15" name="Down Arrow Callout 14"/>
        <xdr:cNvSpPr/>
      </xdr:nvSpPr>
      <xdr:spPr>
        <a:xfrm>
          <a:off x="10843323499" y="1750786"/>
          <a:ext cx="2042885" cy="1149803"/>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 صنایع بالادستي نفت و گاز </a:t>
          </a:r>
        </a:p>
      </xdr:txBody>
    </xdr:sp>
    <xdr:clientData/>
  </xdr:twoCellAnchor>
  <xdr:twoCellAnchor>
    <xdr:from>
      <xdr:col>12</xdr:col>
      <xdr:colOff>1123377</xdr:colOff>
      <xdr:row>3</xdr:row>
      <xdr:rowOff>381000</xdr:rowOff>
    </xdr:from>
    <xdr:to>
      <xdr:col>15</xdr:col>
      <xdr:colOff>57728</xdr:colOff>
      <xdr:row>5</xdr:row>
      <xdr:rowOff>460375</xdr:rowOff>
    </xdr:to>
    <xdr:sp macro="" textlink="">
      <xdr:nvSpPr>
        <xdr:cNvPr id="16" name="Down Arrow Callout 15"/>
        <xdr:cNvSpPr/>
      </xdr:nvSpPr>
      <xdr:spPr>
        <a:xfrm>
          <a:off x="10773213727" y="1754909"/>
          <a:ext cx="2501896" cy="1141557"/>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 صنایع پالايشگاهي</a:t>
          </a:r>
          <a:r>
            <a:rPr lang="fa-IR" sz="1200" baseline="0">
              <a:solidFill>
                <a:sysClr val="windowText" lastClr="000000"/>
              </a:solidFill>
              <a:effectLst/>
              <a:latin typeface="+mn-lt"/>
              <a:ea typeface="+mn-ea"/>
              <a:cs typeface="B Titr" panose="00000700000000000000" pitchFamily="2" charset="-78"/>
            </a:rPr>
            <a:t> و پخش فرآورده‎هاي نفتي</a:t>
          </a:r>
          <a:endParaRPr lang="fa-IR" sz="1200">
            <a:solidFill>
              <a:sysClr val="windowText" lastClr="000000"/>
            </a:solidFill>
            <a:effectLst/>
            <a:latin typeface="+mn-lt"/>
            <a:ea typeface="+mn-ea"/>
            <a:cs typeface="B Titr" panose="00000700000000000000" pitchFamily="2" charset="-78"/>
          </a:endParaRPr>
        </a:p>
      </xdr:txBody>
    </xdr:sp>
    <xdr:clientData/>
  </xdr:twoCellAnchor>
  <xdr:twoCellAnchor>
    <xdr:from>
      <xdr:col>15</xdr:col>
      <xdr:colOff>155017</xdr:colOff>
      <xdr:row>3</xdr:row>
      <xdr:rowOff>371928</xdr:rowOff>
    </xdr:from>
    <xdr:to>
      <xdr:col>17</xdr:col>
      <xdr:colOff>569000</xdr:colOff>
      <xdr:row>5</xdr:row>
      <xdr:rowOff>451303</xdr:rowOff>
    </xdr:to>
    <xdr:sp macro="" textlink="">
      <xdr:nvSpPr>
        <xdr:cNvPr id="17" name="Down Arrow Callout 16"/>
        <xdr:cNvSpPr/>
      </xdr:nvSpPr>
      <xdr:spPr>
        <a:xfrm>
          <a:off x="10771386273" y="1745837"/>
          <a:ext cx="1730165" cy="1141557"/>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مخازن واحدهاي</a:t>
          </a:r>
          <a:r>
            <a:rPr lang="fa-IR" sz="1200" baseline="0">
              <a:solidFill>
                <a:sysClr val="windowText" lastClr="000000"/>
              </a:solidFill>
              <a:effectLst/>
              <a:latin typeface="+mn-lt"/>
              <a:ea typeface="+mn-ea"/>
              <a:cs typeface="B Titr" panose="00000700000000000000" pitchFamily="2" charset="-78"/>
            </a:rPr>
            <a:t> </a:t>
          </a:r>
          <a:r>
            <a:rPr lang="fa-IR" sz="1200">
              <a:solidFill>
                <a:sysClr val="windowText" lastClr="000000"/>
              </a:solidFill>
              <a:effectLst/>
              <a:latin typeface="+mn-lt"/>
              <a:ea typeface="+mn-ea"/>
              <a:cs typeface="B Titr" panose="00000700000000000000" pitchFamily="2" charset="-78"/>
            </a:rPr>
            <a:t>پتروشیمی</a:t>
          </a:r>
        </a:p>
      </xdr:txBody>
    </xdr:sp>
    <xdr:clientData/>
  </xdr:twoCellAnchor>
  <xdr:twoCellAnchor>
    <xdr:from>
      <xdr:col>5</xdr:col>
      <xdr:colOff>492125</xdr:colOff>
      <xdr:row>76</xdr:row>
      <xdr:rowOff>587376</xdr:rowOff>
    </xdr:from>
    <xdr:to>
      <xdr:col>13</xdr:col>
      <xdr:colOff>683683</xdr:colOff>
      <xdr:row>76</xdr:row>
      <xdr:rowOff>1031876</xdr:rowOff>
    </xdr:to>
    <xdr:sp macro="" textlink="">
      <xdr:nvSpPr>
        <xdr:cNvPr id="29" name="Rounded Rectangle 28">
          <a:hlinkClick xmlns:r="http://schemas.openxmlformats.org/officeDocument/2006/relationships" r:id="rId9"/>
        </xdr:cNvPr>
        <xdr:cNvSpPr/>
      </xdr:nvSpPr>
      <xdr:spPr>
        <a:xfrm>
          <a:off x="10916680817" y="24352251"/>
          <a:ext cx="7589308" cy="4445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oneCellAnchor>
    <xdr:from>
      <xdr:col>8</xdr:col>
      <xdr:colOff>22903</xdr:colOff>
      <xdr:row>80</xdr:row>
      <xdr:rowOff>117599</xdr:rowOff>
    </xdr:from>
    <xdr:ext cx="914400" cy="261162"/>
    <mc:AlternateContent xmlns:mc="http://schemas.openxmlformats.org/markup-compatibility/2006" xmlns:a14="http://schemas.microsoft.com/office/drawing/2010/main">
      <mc:Choice Requires="a14">
        <xdr:sp macro="" textlink="">
          <xdr:nvSpPr>
            <xdr:cNvPr id="3" name="TextBox 2"/>
            <xdr:cNvSpPr txBox="1"/>
          </xdr:nvSpPr>
          <xdr:spPr>
            <a:xfrm>
              <a:off x="10846840269" y="26515456"/>
              <a:ext cx="914400" cy="261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14:m>
                <m:oMathPara xmlns:m="http://schemas.openxmlformats.org/officeDocument/2006/math">
                  <m:oMathParaPr>
                    <m:jc m:val="centerGroup"/>
                  </m:oMathParaPr>
                  <m:oMath xmlns:m="http://schemas.openxmlformats.org/officeDocument/2006/math">
                    <m:sSup>
                      <m:sSupPr>
                        <m:ctrlPr>
                          <a:rPr lang="fa-IR" sz="1100" i="1">
                            <a:latin typeface="Cambria Math"/>
                          </a:rPr>
                        </m:ctrlPr>
                      </m:sSupPr>
                      <m:e>
                        <m:r>
                          <a:rPr lang="en-US" sz="1100" b="0" i="1">
                            <a:latin typeface="Cambria Math"/>
                          </a:rPr>
                          <m:t>6</m:t>
                        </m:r>
                        <m:r>
                          <a:rPr lang="en-US" sz="1100" b="0" i="1">
                            <a:latin typeface="Cambria Math"/>
                          </a:rPr>
                          <m:t>.</m:t>
                        </m:r>
                        <m:r>
                          <a:rPr lang="en-US" sz="1100" b="0" i="1">
                            <a:latin typeface="Cambria Math"/>
                          </a:rPr>
                          <m:t>29</m:t>
                        </m:r>
                        <m:r>
                          <a:rPr lang="fa-IR" sz="1100" i="1">
                            <a:latin typeface="Cambria Math"/>
                            <a:ea typeface="Cambria Math"/>
                          </a:rPr>
                          <m:t>×</m:t>
                        </m:r>
                        <m:r>
                          <a:rPr lang="en-US" sz="1100" b="0" i="1">
                            <a:latin typeface="Cambria Math"/>
                          </a:rPr>
                          <m:t>10</m:t>
                        </m:r>
                      </m:e>
                      <m:sup>
                        <m:r>
                          <a:rPr lang="en-US" sz="1100" b="0" i="1">
                            <a:latin typeface="Cambria Math"/>
                          </a:rPr>
                          <m:t>−</m:t>
                        </m:r>
                        <m:r>
                          <a:rPr lang="en-US" sz="1100" b="0" i="1">
                            <a:latin typeface="Cambria Math"/>
                          </a:rPr>
                          <m:t>6</m:t>
                        </m:r>
                      </m:sup>
                    </m:sSup>
                  </m:oMath>
                </m:oMathPara>
              </a14:m>
              <a:endParaRPr lang="fa-IR" sz="1100" i="1">
                <a:latin typeface="Cambria Math"/>
              </a:endParaRPr>
            </a:p>
          </xdr:txBody>
        </xdr:sp>
      </mc:Choice>
      <mc:Fallback xmlns="">
        <xdr:sp macro="" textlink="">
          <xdr:nvSpPr>
            <xdr:cNvPr id="3" name="TextBox 2"/>
            <xdr:cNvSpPr txBox="1"/>
          </xdr:nvSpPr>
          <xdr:spPr>
            <a:xfrm>
              <a:off x="10846840269" y="26515456"/>
              <a:ext cx="914400" cy="261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1" anchor="t">
              <a:spAutoFit/>
            </a:bodyPr>
            <a:lstStyle/>
            <a:p>
              <a:pPr algn="r" rtl="1"/>
              <a:r>
                <a:rPr lang="fa-IR" sz="1100" i="0">
                  <a:latin typeface="Cambria Math"/>
                </a:rPr>
                <a:t>〖</a:t>
              </a:r>
              <a:r>
                <a:rPr lang="en-US" sz="1100" b="0" i="0">
                  <a:latin typeface="Cambria Math"/>
                </a:rPr>
                <a:t>6.29</a:t>
              </a:r>
              <a:r>
                <a:rPr lang="fa-IR" sz="1100" i="0">
                  <a:latin typeface="Cambria Math"/>
                  <a:ea typeface="Cambria Math"/>
                </a:rPr>
                <a:t>×</a:t>
              </a:r>
              <a:r>
                <a:rPr lang="en-US" sz="1100" b="0" i="0">
                  <a:latin typeface="Cambria Math"/>
                </a:rPr>
                <a:t>10</a:t>
              </a:r>
              <a:r>
                <a:rPr lang="fa-IR" sz="1100" b="0" i="0">
                  <a:latin typeface="Cambria Math"/>
                </a:rPr>
                <a:t>〗^(</a:t>
              </a:r>
              <a:r>
                <a:rPr lang="en-US" sz="1100" b="0" i="0">
                  <a:latin typeface="Cambria Math"/>
                </a:rPr>
                <a:t>−6</a:t>
              </a:r>
              <a:r>
                <a:rPr lang="fa-IR" sz="1100" b="0" i="0">
                  <a:latin typeface="Cambria Math"/>
                </a:rPr>
                <a:t>)</a:t>
              </a:r>
              <a:endParaRPr lang="fa-IR" sz="1100" i="1">
                <a:latin typeface="Cambria Math"/>
              </a:endParaRPr>
            </a:p>
          </xdr:txBody>
        </xdr:sp>
      </mc:Fallback>
    </mc:AlternateContent>
    <xdr:clientData/>
  </xdr:oneCellAnchor>
  <xdr:twoCellAnchor>
    <xdr:from>
      <xdr:col>28</xdr:col>
      <xdr:colOff>381000</xdr:colOff>
      <xdr:row>7</xdr:row>
      <xdr:rowOff>203199</xdr:rowOff>
    </xdr:from>
    <xdr:to>
      <xdr:col>37</xdr:col>
      <xdr:colOff>498475</xdr:colOff>
      <xdr:row>8</xdr:row>
      <xdr:rowOff>152400</xdr:rowOff>
    </xdr:to>
    <xdr:sp macro="" textlink="">
      <xdr:nvSpPr>
        <xdr:cNvPr id="32" name="Rounded Rectangle 31">
          <a:hlinkClick xmlns:r="http://schemas.openxmlformats.org/officeDocument/2006/relationships" r:id="rId10"/>
        </xdr:cNvPr>
        <xdr:cNvSpPr/>
      </xdr:nvSpPr>
      <xdr:spPr>
        <a:xfrm>
          <a:off x="10795060325" y="4140199"/>
          <a:ext cx="6061075" cy="482601"/>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مخازن</a:t>
          </a:r>
        </a:p>
      </xdr:txBody>
    </xdr:sp>
    <xdr:clientData/>
  </xdr:twoCellAnchor>
  <xdr:twoCellAnchor>
    <xdr:from>
      <xdr:col>31</xdr:col>
      <xdr:colOff>4234</xdr:colOff>
      <xdr:row>76</xdr:row>
      <xdr:rowOff>1031874</xdr:rowOff>
    </xdr:from>
    <xdr:to>
      <xdr:col>39</xdr:col>
      <xdr:colOff>3446</xdr:colOff>
      <xdr:row>77</xdr:row>
      <xdr:rowOff>232833</xdr:rowOff>
    </xdr:to>
    <xdr:sp macro="" textlink="">
      <xdr:nvSpPr>
        <xdr:cNvPr id="33" name="Rounded Rectangle 32">
          <a:hlinkClick xmlns:r="http://schemas.openxmlformats.org/officeDocument/2006/relationships" r:id="rId11"/>
        </xdr:cNvPr>
        <xdr:cNvSpPr/>
      </xdr:nvSpPr>
      <xdr:spPr>
        <a:xfrm>
          <a:off x="10724829054" y="25648707"/>
          <a:ext cx="6137546" cy="40745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298450</xdr:colOff>
      <xdr:row>11</xdr:row>
      <xdr:rowOff>116314</xdr:rowOff>
    </xdr:from>
    <xdr:to>
      <xdr:col>10</xdr:col>
      <xdr:colOff>1789546</xdr:colOff>
      <xdr:row>12</xdr:row>
      <xdr:rowOff>401777</xdr:rowOff>
    </xdr:to>
    <xdr:sp macro="" textlink="">
      <xdr:nvSpPr>
        <xdr:cNvPr id="5" name="Rounded Rectangle 4"/>
        <xdr:cNvSpPr/>
      </xdr:nvSpPr>
      <xdr:spPr>
        <a:xfrm>
          <a:off x="10915114579" y="4481939"/>
          <a:ext cx="12174971" cy="825213"/>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در خشكي ( همه محصولات) و در دريا (همه محصولات به غير از بنزين و نفت خام) </a:t>
          </a:r>
        </a:p>
      </xdr:txBody>
    </xdr:sp>
    <xdr:clientData/>
  </xdr:twoCellAnchor>
  <xdr:twoCellAnchor>
    <xdr:from>
      <xdr:col>0</xdr:col>
      <xdr:colOff>298450</xdr:colOff>
      <xdr:row>32</xdr:row>
      <xdr:rowOff>69273</xdr:rowOff>
    </xdr:from>
    <xdr:to>
      <xdr:col>6</xdr:col>
      <xdr:colOff>949325</xdr:colOff>
      <xdr:row>33</xdr:row>
      <xdr:rowOff>410727</xdr:rowOff>
    </xdr:to>
    <xdr:sp macro="" textlink="">
      <xdr:nvSpPr>
        <xdr:cNvPr id="6" name="Rounded Rectangle 5"/>
        <xdr:cNvSpPr/>
      </xdr:nvSpPr>
      <xdr:spPr>
        <a:xfrm>
          <a:off x="10921066550" y="19833648"/>
          <a:ext cx="6223000" cy="817704"/>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بنزين در دريا </a:t>
          </a:r>
        </a:p>
      </xdr:txBody>
    </xdr:sp>
    <xdr:clientData/>
  </xdr:twoCellAnchor>
  <xdr:twoCellAnchor>
    <xdr:from>
      <xdr:col>0</xdr:col>
      <xdr:colOff>298450</xdr:colOff>
      <xdr:row>55</xdr:row>
      <xdr:rowOff>69273</xdr:rowOff>
    </xdr:from>
    <xdr:to>
      <xdr:col>6</xdr:col>
      <xdr:colOff>949325</xdr:colOff>
      <xdr:row>56</xdr:row>
      <xdr:rowOff>346077</xdr:rowOff>
    </xdr:to>
    <xdr:sp macro="" textlink="">
      <xdr:nvSpPr>
        <xdr:cNvPr id="7" name="Rounded Rectangle 6"/>
        <xdr:cNvSpPr/>
      </xdr:nvSpPr>
      <xdr:spPr>
        <a:xfrm>
          <a:off x="10921066550" y="31787523"/>
          <a:ext cx="6223000" cy="753054"/>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ونت بارگيري نفت خام در دريا </a:t>
          </a:r>
        </a:p>
      </xdr:txBody>
    </xdr:sp>
    <xdr:clientData/>
  </xdr:twoCellAnchor>
  <xdr:twoCellAnchor>
    <xdr:from>
      <xdr:col>13</xdr:col>
      <xdr:colOff>303971</xdr:colOff>
      <xdr:row>5</xdr:row>
      <xdr:rowOff>474522</xdr:rowOff>
    </xdr:from>
    <xdr:to>
      <xdr:col>22</xdr:col>
      <xdr:colOff>28576</xdr:colOff>
      <xdr:row>8</xdr:row>
      <xdr:rowOff>72450</xdr:rowOff>
    </xdr:to>
    <xdr:sp macro="" textlink="">
      <xdr:nvSpPr>
        <xdr:cNvPr id="12" name="Rounded Rectangle 11">
          <a:hlinkClick xmlns:r="http://schemas.openxmlformats.org/officeDocument/2006/relationships" r:id="rId1"/>
        </xdr:cNvPr>
        <xdr:cNvSpPr/>
      </xdr:nvSpPr>
      <xdr:spPr>
        <a:xfrm>
          <a:off x="10908652299" y="3014522"/>
          <a:ext cx="3947355" cy="121717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a:t>
          </a:r>
          <a:r>
            <a:rPr lang="fa-IR" sz="1400" baseline="0">
              <a:solidFill>
                <a:sysClr val="windowText" lastClr="000000"/>
              </a:solidFill>
              <a:latin typeface="+mn-lt"/>
              <a:ea typeface="+mn-ea"/>
              <a:cs typeface="B Titr" panose="00000700000000000000" pitchFamily="2" charset="-78"/>
            </a:rPr>
            <a:t>انتشار (بارگيري  نفت </a:t>
          </a:r>
          <a:r>
            <a:rPr lang="fa-IR" sz="1400" baseline="0">
              <a:solidFill>
                <a:sysClr val="windowText" lastClr="000000"/>
              </a:solidFill>
              <a:cs typeface="B Titr" panose="00000700000000000000" pitchFamily="2" charset="-78"/>
            </a:rPr>
            <a:t>خام در دريا)</a:t>
          </a:r>
          <a:endParaRPr lang="fa-IR" sz="1400">
            <a:solidFill>
              <a:sysClr val="windowText" lastClr="000000"/>
            </a:solidFill>
            <a:cs typeface="B Titr" panose="00000700000000000000" pitchFamily="2" charset="-78"/>
          </a:endParaRPr>
        </a:p>
      </xdr:txBody>
    </xdr:sp>
    <xdr:clientData/>
  </xdr:twoCellAnchor>
  <xdr:twoCellAnchor>
    <xdr:from>
      <xdr:col>0</xdr:col>
      <xdr:colOff>86787</xdr:colOff>
      <xdr:row>83</xdr:row>
      <xdr:rowOff>533400</xdr:rowOff>
    </xdr:from>
    <xdr:to>
      <xdr:col>6</xdr:col>
      <xdr:colOff>836087</xdr:colOff>
      <xdr:row>83</xdr:row>
      <xdr:rowOff>1231715</xdr:rowOff>
    </xdr:to>
    <xdr:sp macro="" textlink="">
      <xdr:nvSpPr>
        <xdr:cNvPr id="13" name="Rounded Rectangle 12">
          <a:hlinkClick xmlns:r="http://schemas.openxmlformats.org/officeDocument/2006/relationships" r:id="rId2"/>
        </xdr:cNvPr>
        <xdr:cNvSpPr/>
      </xdr:nvSpPr>
      <xdr:spPr>
        <a:xfrm>
          <a:off x="10921179788" y="53809900"/>
          <a:ext cx="6321425" cy="698315"/>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استفاده از ضرایب انتشار ونت بارگيري همه محصولات</a:t>
          </a:r>
          <a:r>
            <a:rPr lang="fa-IR" sz="1050" baseline="0">
              <a:solidFill>
                <a:sysClr val="windowText" lastClr="000000"/>
              </a:solidFill>
              <a:cs typeface="B Titr" panose="00000700000000000000" pitchFamily="2" charset="-78"/>
            </a:rPr>
            <a:t> در خشكي و همه محصولات به غير از بنزين و نفت خام در دريا</a:t>
          </a:r>
          <a:endParaRPr lang="fa-IR" sz="1050">
            <a:solidFill>
              <a:sysClr val="windowText" lastClr="000000"/>
            </a:solidFill>
            <a:cs typeface="B Titr" panose="00000700000000000000" pitchFamily="2" charset="-78"/>
          </a:endParaRPr>
        </a:p>
      </xdr:txBody>
    </xdr:sp>
    <xdr:clientData/>
  </xdr:twoCellAnchor>
  <xdr:twoCellAnchor>
    <xdr:from>
      <xdr:col>1</xdr:col>
      <xdr:colOff>508000</xdr:colOff>
      <xdr:row>401</xdr:row>
      <xdr:rowOff>166321</xdr:rowOff>
    </xdr:from>
    <xdr:to>
      <xdr:col>7</xdr:col>
      <xdr:colOff>1533525</xdr:colOff>
      <xdr:row>408</xdr:row>
      <xdr:rowOff>64721</xdr:rowOff>
    </xdr:to>
    <xdr:sp macro="" textlink="">
      <xdr:nvSpPr>
        <xdr:cNvPr id="14" name="Rounded Rectangle 13"/>
        <xdr:cNvSpPr/>
      </xdr:nvSpPr>
      <xdr:spPr>
        <a:xfrm>
          <a:off x="10919529850" y="115196571"/>
          <a:ext cx="7248525" cy="123190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2000">
              <a:solidFill>
                <a:sysClr val="windowText" lastClr="000000"/>
              </a:solidFill>
              <a:cs typeface="B Titr" panose="00000700000000000000" pitchFamily="2" charset="-78"/>
            </a:rPr>
            <a:t>بازگشت به</a:t>
          </a:r>
          <a:r>
            <a:rPr lang="fa-IR" sz="2000" baseline="0">
              <a:solidFill>
                <a:sysClr val="windowText" lastClr="000000"/>
              </a:solidFill>
              <a:cs typeface="B Titr" panose="00000700000000000000" pitchFamily="2" charset="-78"/>
            </a:rPr>
            <a:t> </a:t>
          </a:r>
          <a:r>
            <a:rPr lang="fa-IR" sz="2000">
              <a:solidFill>
                <a:sysClr val="windowText" lastClr="000000"/>
              </a:solidFill>
              <a:cs typeface="B Titr" panose="00000700000000000000" pitchFamily="2" charset="-78"/>
            </a:rPr>
            <a:t>روش (الف): استفاده از ضرایب انتشار ونت مخازن نگهداري محصولات (صنایع پالايشگاهي)</a:t>
          </a:r>
        </a:p>
      </xdr:txBody>
    </xdr:sp>
    <xdr:clientData/>
  </xdr:twoCellAnchor>
  <xdr:twoCellAnchor>
    <xdr:from>
      <xdr:col>6</xdr:col>
      <xdr:colOff>933336</xdr:colOff>
      <xdr:row>83</xdr:row>
      <xdr:rowOff>542636</xdr:rowOff>
    </xdr:from>
    <xdr:to>
      <xdr:col>9</xdr:col>
      <xdr:colOff>309034</xdr:colOff>
      <xdr:row>83</xdr:row>
      <xdr:rowOff>1238250</xdr:rowOff>
    </xdr:to>
    <xdr:sp macro="" textlink="">
      <xdr:nvSpPr>
        <xdr:cNvPr id="15" name="Rounded Rectangle 14">
          <a:hlinkClick xmlns:r="http://schemas.openxmlformats.org/officeDocument/2006/relationships" r:id="rId3"/>
        </xdr:cNvPr>
        <xdr:cNvSpPr/>
      </xdr:nvSpPr>
      <xdr:spPr>
        <a:xfrm>
          <a:off x="10918071466" y="53819136"/>
          <a:ext cx="3011073" cy="695614"/>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استفاده از ضرایب انتشار ونت بارگيري </a:t>
          </a:r>
          <a:r>
            <a:rPr lang="fa-IR" sz="1050" baseline="0">
              <a:solidFill>
                <a:sysClr val="windowText" lastClr="000000"/>
              </a:solidFill>
              <a:cs typeface="B Titr" panose="00000700000000000000" pitchFamily="2" charset="-78"/>
            </a:rPr>
            <a:t>بنزين در دريا</a:t>
          </a:r>
          <a:endParaRPr lang="fa-IR" sz="1050">
            <a:solidFill>
              <a:sysClr val="windowText" lastClr="000000"/>
            </a:solidFill>
            <a:cs typeface="B Titr" panose="00000700000000000000" pitchFamily="2" charset="-78"/>
          </a:endParaRPr>
        </a:p>
      </xdr:txBody>
    </xdr:sp>
    <xdr:clientData/>
  </xdr:twoCellAnchor>
  <xdr:twoCellAnchor>
    <xdr:from>
      <xdr:col>9</xdr:col>
      <xdr:colOff>403113</xdr:colOff>
      <xdr:row>83</xdr:row>
      <xdr:rowOff>569260</xdr:rowOff>
    </xdr:from>
    <xdr:to>
      <xdr:col>11</xdr:col>
      <xdr:colOff>372537</xdr:colOff>
      <xdr:row>83</xdr:row>
      <xdr:rowOff>1256898</xdr:rowOff>
    </xdr:to>
    <xdr:sp macro="" textlink="">
      <xdr:nvSpPr>
        <xdr:cNvPr id="16" name="Rounded Rectangle 15">
          <a:hlinkClick xmlns:r="http://schemas.openxmlformats.org/officeDocument/2006/relationships" r:id="rId1"/>
        </xdr:cNvPr>
        <xdr:cNvSpPr/>
      </xdr:nvSpPr>
      <xdr:spPr>
        <a:xfrm>
          <a:off x="10913515338" y="53845760"/>
          <a:ext cx="4462049" cy="68763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 روش (الف): استفاده از ضرایب انتشار ونت بارگيري </a:t>
          </a:r>
          <a:r>
            <a:rPr lang="fa-IR" sz="1050" baseline="0">
              <a:solidFill>
                <a:sysClr val="windowText" lastClr="000000"/>
              </a:solidFill>
              <a:cs typeface="B Titr" panose="00000700000000000000" pitchFamily="2" charset="-78"/>
            </a:rPr>
            <a:t>نفت خام در دريا</a:t>
          </a:r>
          <a:endParaRPr lang="fa-IR" sz="1050">
            <a:solidFill>
              <a:sysClr val="windowText" lastClr="000000"/>
            </a:solidFill>
            <a:cs typeface="B Titr" panose="00000700000000000000" pitchFamily="2" charset="-78"/>
          </a:endParaRPr>
        </a:p>
      </xdr:txBody>
    </xdr:sp>
    <xdr:clientData/>
  </xdr:twoCellAnchor>
  <xdr:twoCellAnchor>
    <xdr:from>
      <xdr:col>0</xdr:col>
      <xdr:colOff>47624</xdr:colOff>
      <xdr:row>59</xdr:row>
      <xdr:rowOff>250824</xdr:rowOff>
    </xdr:from>
    <xdr:to>
      <xdr:col>0</xdr:col>
      <xdr:colOff>215899</xdr:colOff>
      <xdr:row>64</xdr:row>
      <xdr:rowOff>663574</xdr:rowOff>
    </xdr:to>
    <xdr:sp macro="" textlink="">
      <xdr:nvSpPr>
        <xdr:cNvPr id="17" name="Rounded Rectangle 16">
          <a:hlinkClick xmlns:r="http://schemas.openxmlformats.org/officeDocument/2006/relationships" r:id="rId4"/>
        </xdr:cNvPr>
        <xdr:cNvSpPr/>
      </xdr:nvSpPr>
      <xdr:spPr>
        <a:xfrm rot="16200000">
          <a:off x="10925194051" y="36115624"/>
          <a:ext cx="4524375" cy="168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53974</xdr:colOff>
      <xdr:row>36</xdr:row>
      <xdr:rowOff>209550</xdr:rowOff>
    </xdr:from>
    <xdr:to>
      <xdr:col>0</xdr:col>
      <xdr:colOff>247649</xdr:colOff>
      <xdr:row>43</xdr:row>
      <xdr:rowOff>415925</xdr:rowOff>
    </xdr:to>
    <xdr:sp macro="" textlink="">
      <xdr:nvSpPr>
        <xdr:cNvPr id="18" name="Rounded Rectangle 17">
          <a:hlinkClick xmlns:r="http://schemas.openxmlformats.org/officeDocument/2006/relationships" r:id="rId4"/>
        </xdr:cNvPr>
        <xdr:cNvSpPr/>
      </xdr:nvSpPr>
      <xdr:spPr>
        <a:xfrm rot="16200000">
          <a:off x="10924865439" y="24417337"/>
          <a:ext cx="5143500" cy="1936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0</xdr:col>
      <xdr:colOff>47624</xdr:colOff>
      <xdr:row>15</xdr:row>
      <xdr:rowOff>104775</xdr:rowOff>
    </xdr:from>
    <xdr:to>
      <xdr:col>0</xdr:col>
      <xdr:colOff>215899</xdr:colOff>
      <xdr:row>20</xdr:row>
      <xdr:rowOff>434975</xdr:rowOff>
    </xdr:to>
    <xdr:sp macro="" textlink="">
      <xdr:nvSpPr>
        <xdr:cNvPr id="19" name="Rounded Rectangle 18">
          <a:hlinkClick xmlns:r="http://schemas.openxmlformats.org/officeDocument/2006/relationships" r:id="rId4"/>
        </xdr:cNvPr>
        <xdr:cNvSpPr/>
      </xdr:nvSpPr>
      <xdr:spPr>
        <a:xfrm rot="16200000">
          <a:off x="10925211514" y="8662987"/>
          <a:ext cx="4489450" cy="168275"/>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راهنما</a:t>
          </a:r>
        </a:p>
      </xdr:txBody>
    </xdr:sp>
    <xdr:clientData/>
  </xdr:twoCellAnchor>
  <xdr:twoCellAnchor>
    <xdr:from>
      <xdr:col>7</xdr:col>
      <xdr:colOff>269875</xdr:colOff>
      <xdr:row>2</xdr:row>
      <xdr:rowOff>23091</xdr:rowOff>
    </xdr:from>
    <xdr:to>
      <xdr:col>21</xdr:col>
      <xdr:colOff>347525</xdr:colOff>
      <xdr:row>3</xdr:row>
      <xdr:rowOff>146050</xdr:rowOff>
    </xdr:to>
    <xdr:sp macro="" textlink="">
      <xdr:nvSpPr>
        <xdr:cNvPr id="23" name="Rounded Rectangle 22">
          <a:hlinkClick xmlns:r="http://schemas.openxmlformats.org/officeDocument/2006/relationships" r:id="rId5"/>
        </xdr:cNvPr>
        <xdr:cNvSpPr/>
      </xdr:nvSpPr>
      <xdr:spPr>
        <a:xfrm>
          <a:off x="10908682600" y="1166091"/>
          <a:ext cx="12110900" cy="440459"/>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ونت </a:t>
          </a:r>
          <a:r>
            <a:rPr lang="fa-IR" sz="1800" b="1" baseline="0">
              <a:solidFill>
                <a:sysClr val="windowText" lastClr="000000"/>
              </a:solidFill>
              <a:cs typeface="B Titr" panose="00000700000000000000" pitchFamily="2" charset="-78"/>
            </a:rPr>
            <a:t> بارگيري</a:t>
          </a:r>
          <a:endParaRPr lang="fa-IR" sz="1800" b="1">
            <a:solidFill>
              <a:sysClr val="windowText" lastClr="000000"/>
            </a:solidFill>
            <a:cs typeface="B Titr" panose="00000700000000000000" pitchFamily="2" charset="-78"/>
          </a:endParaRPr>
        </a:p>
      </xdr:txBody>
    </xdr:sp>
    <xdr:clientData/>
  </xdr:twoCellAnchor>
  <xdr:twoCellAnchor>
    <xdr:from>
      <xdr:col>6</xdr:col>
      <xdr:colOff>814917</xdr:colOff>
      <xdr:row>76</xdr:row>
      <xdr:rowOff>590550</xdr:rowOff>
    </xdr:from>
    <xdr:to>
      <xdr:col>8</xdr:col>
      <xdr:colOff>999067</xdr:colOff>
      <xdr:row>76</xdr:row>
      <xdr:rowOff>1308099</xdr:rowOff>
    </xdr:to>
    <xdr:sp macro="" textlink="">
      <xdr:nvSpPr>
        <xdr:cNvPr id="24" name="Rounded Rectangle 23">
          <a:hlinkClick xmlns:r="http://schemas.openxmlformats.org/officeDocument/2006/relationships" r:id="rId6"/>
        </xdr:cNvPr>
        <xdr:cNvSpPr/>
      </xdr:nvSpPr>
      <xdr:spPr>
        <a:xfrm>
          <a:off x="10918524433" y="49310925"/>
          <a:ext cx="2676525" cy="717549"/>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050">
              <a:solidFill>
                <a:sysClr val="windowText" lastClr="000000"/>
              </a:solidFill>
              <a:cs typeface="B Titr" panose="00000700000000000000" pitchFamily="2" charset="-78"/>
            </a:rPr>
            <a:t>بازگشت به</a:t>
          </a:r>
          <a:r>
            <a:rPr lang="fa-IR" sz="1050" baseline="0">
              <a:solidFill>
                <a:sysClr val="windowText" lastClr="000000"/>
              </a:solidFill>
              <a:cs typeface="B Titr" panose="00000700000000000000" pitchFamily="2" charset="-78"/>
            </a:rPr>
            <a:t> بالاي صفحه</a:t>
          </a:r>
          <a:endParaRPr lang="fa-IR" sz="1050">
            <a:solidFill>
              <a:sysClr val="windowText" lastClr="000000"/>
            </a:solidFill>
            <a:cs typeface="B Titr" panose="00000700000000000000" pitchFamily="2" charset="-78"/>
          </a:endParaRPr>
        </a:p>
      </xdr:txBody>
    </xdr:sp>
    <xdr:clientData/>
  </xdr:twoCellAnchor>
  <xdr:twoCellAnchor>
    <xdr:from>
      <xdr:col>7</xdr:col>
      <xdr:colOff>301625</xdr:colOff>
      <xdr:row>5</xdr:row>
      <xdr:rowOff>484553</xdr:rowOff>
    </xdr:from>
    <xdr:to>
      <xdr:col>9</xdr:col>
      <xdr:colOff>1282143</xdr:colOff>
      <xdr:row>8</xdr:row>
      <xdr:rowOff>82550</xdr:rowOff>
    </xdr:to>
    <xdr:sp macro="" textlink="">
      <xdr:nvSpPr>
        <xdr:cNvPr id="20" name="Rounded Rectangle 19">
          <a:hlinkClick xmlns:r="http://schemas.openxmlformats.org/officeDocument/2006/relationships" r:id="rId2"/>
        </xdr:cNvPr>
        <xdr:cNvSpPr/>
      </xdr:nvSpPr>
      <xdr:spPr>
        <a:xfrm>
          <a:off x="10917098357" y="3024553"/>
          <a:ext cx="3663393" cy="121724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(بارگيري همه محصولات</a:t>
          </a:r>
          <a:r>
            <a:rPr lang="fa-IR" sz="1400" baseline="0">
              <a:solidFill>
                <a:sysClr val="windowText" lastClr="000000"/>
              </a:solidFill>
              <a:cs typeface="B Titr" panose="00000700000000000000" pitchFamily="2" charset="-78"/>
            </a:rPr>
            <a:t> در خشكي و همه محصولات به غير از بنزين و نفت خام در دريا)</a:t>
          </a:r>
          <a:endParaRPr lang="fa-IR" sz="1400">
            <a:solidFill>
              <a:sysClr val="windowText" lastClr="000000"/>
            </a:solidFill>
            <a:cs typeface="B Titr" panose="00000700000000000000" pitchFamily="2" charset="-78"/>
          </a:endParaRPr>
        </a:p>
      </xdr:txBody>
    </xdr:sp>
    <xdr:clientData/>
  </xdr:twoCellAnchor>
  <xdr:twoCellAnchor>
    <xdr:from>
      <xdr:col>9</xdr:col>
      <xdr:colOff>1375361</xdr:colOff>
      <xdr:row>5</xdr:row>
      <xdr:rowOff>500497</xdr:rowOff>
    </xdr:from>
    <xdr:to>
      <xdr:col>13</xdr:col>
      <xdr:colOff>192260</xdr:colOff>
      <xdr:row>8</xdr:row>
      <xdr:rowOff>98425</xdr:rowOff>
    </xdr:to>
    <xdr:sp macro="" textlink="">
      <xdr:nvSpPr>
        <xdr:cNvPr id="21" name="Rounded Rectangle 20">
          <a:hlinkClick xmlns:r="http://schemas.openxmlformats.org/officeDocument/2006/relationships" r:id="rId3"/>
        </xdr:cNvPr>
        <xdr:cNvSpPr/>
      </xdr:nvSpPr>
      <xdr:spPr>
        <a:xfrm>
          <a:off x="10912711365" y="3040497"/>
          <a:ext cx="4293774" cy="1217178"/>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r>
            <a:rPr lang="fa-IR" sz="1400" baseline="0">
              <a:solidFill>
                <a:sysClr val="windowText" lastClr="000000"/>
              </a:solidFill>
              <a:latin typeface="+mn-lt"/>
              <a:ea typeface="+mn-ea"/>
              <a:cs typeface="B Titr" panose="00000700000000000000" pitchFamily="2" charset="-78"/>
            </a:rPr>
            <a:t>(بارگيري بنزين </a:t>
          </a:r>
          <a:r>
            <a:rPr lang="fa-IR" sz="1400" baseline="0">
              <a:solidFill>
                <a:sysClr val="windowText" lastClr="000000"/>
              </a:solidFill>
              <a:cs typeface="B Titr" panose="00000700000000000000" pitchFamily="2" charset="-78"/>
            </a:rPr>
            <a:t>در دريا)</a:t>
          </a:r>
          <a:endParaRPr lang="fa-IR" sz="1400">
            <a:solidFill>
              <a:sysClr val="windowText" lastClr="000000"/>
            </a:solidFill>
            <a:cs typeface="B Titr" panose="00000700000000000000" pitchFamily="2" charset="-78"/>
          </a:endParaRPr>
        </a:p>
      </xdr:txBody>
    </xdr:sp>
    <xdr:clientData/>
  </xdr:twoCellAnchor>
  <xdr:twoCellAnchor>
    <xdr:from>
      <xdr:col>7</xdr:col>
      <xdr:colOff>301624</xdr:colOff>
      <xdr:row>3</xdr:row>
      <xdr:rowOff>348095</xdr:rowOff>
    </xdr:from>
    <xdr:to>
      <xdr:col>22</xdr:col>
      <xdr:colOff>3174</xdr:colOff>
      <xdr:row>5</xdr:row>
      <xdr:rowOff>407747</xdr:rowOff>
    </xdr:to>
    <xdr:grpSp>
      <xdr:nvGrpSpPr>
        <xdr:cNvPr id="3" name="Group 2"/>
        <xdr:cNvGrpSpPr/>
      </xdr:nvGrpSpPr>
      <xdr:grpSpPr>
        <a:xfrm>
          <a:off x="10964186226" y="2237855"/>
          <a:ext cx="12716510" cy="1126452"/>
          <a:chOff x="10777934376" y="1186295"/>
          <a:chExt cx="12088091" cy="1121834"/>
        </a:xfrm>
      </xdr:grpSpPr>
      <xdr:sp macro="" textlink="">
        <xdr:nvSpPr>
          <xdr:cNvPr id="25" name="Down Arrow Callout 24"/>
          <xdr:cNvSpPr/>
        </xdr:nvSpPr>
        <xdr:spPr>
          <a:xfrm>
            <a:off x="10786352454" y="1187739"/>
            <a:ext cx="365125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endParaRPr lang="fa-IR" sz="1200">
              <a:solidFill>
                <a:sysClr val="windowText" lastClr="000000"/>
              </a:solidFill>
              <a:effectLst/>
              <a:latin typeface="+mn-lt"/>
              <a:ea typeface="+mn-ea"/>
              <a:cs typeface="B Titr" panose="00000700000000000000" pitchFamily="2" charset="-78"/>
            </a:endParaRPr>
          </a:p>
        </xdr:txBody>
      </xdr:sp>
      <xdr:sp macro="" textlink="">
        <xdr:nvSpPr>
          <xdr:cNvPr id="26" name="Down Arrow Callout 25"/>
          <xdr:cNvSpPr/>
        </xdr:nvSpPr>
        <xdr:spPr>
          <a:xfrm>
            <a:off x="10778048384" y="1187739"/>
            <a:ext cx="365125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endParaRPr lang="fa-IR" sz="1200">
              <a:solidFill>
                <a:sysClr val="windowText" lastClr="000000"/>
              </a:solidFill>
              <a:effectLst/>
              <a:latin typeface="+mn-lt"/>
              <a:ea typeface="+mn-ea"/>
              <a:cs typeface="B Titr" panose="00000700000000000000" pitchFamily="2" charset="-78"/>
            </a:endParaRPr>
          </a:p>
        </xdr:txBody>
      </xdr:sp>
      <xdr:sp macro="" textlink="">
        <xdr:nvSpPr>
          <xdr:cNvPr id="22" name="Down Arrow Callout 21"/>
          <xdr:cNvSpPr/>
        </xdr:nvSpPr>
        <xdr:spPr>
          <a:xfrm>
            <a:off x="10777934376" y="1186295"/>
            <a:ext cx="12088091" cy="1120390"/>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a:solidFill>
                  <a:sysClr val="windowText" lastClr="000000"/>
                </a:solidFill>
                <a:effectLst/>
                <a:latin typeface="+mn-lt"/>
                <a:ea typeface="+mn-ea"/>
                <a:cs typeface="B Titr" panose="00000700000000000000" pitchFamily="2" charset="-78"/>
              </a:rPr>
              <a:t>انتشارات ونت بارگيري</a:t>
            </a:r>
          </a:p>
        </xdr:txBody>
      </xdr:sp>
    </xdr:grpSp>
    <xdr:clientData/>
  </xdr:twoCellAnchor>
  <xdr:twoCellAnchor>
    <xdr:from>
      <xdr:col>28</xdr:col>
      <xdr:colOff>129309</xdr:colOff>
      <xdr:row>7</xdr:row>
      <xdr:rowOff>184728</xdr:rowOff>
    </xdr:from>
    <xdr:to>
      <xdr:col>37</xdr:col>
      <xdr:colOff>635000</xdr:colOff>
      <xdr:row>8</xdr:row>
      <xdr:rowOff>384752</xdr:rowOff>
    </xdr:to>
    <xdr:sp macro="" textlink="">
      <xdr:nvSpPr>
        <xdr:cNvPr id="27" name="Rounded Rectangle 26">
          <a:hlinkClick xmlns:r="http://schemas.openxmlformats.org/officeDocument/2006/relationships" r:id="rId7"/>
        </xdr:cNvPr>
        <xdr:cNvSpPr/>
      </xdr:nvSpPr>
      <xdr:spPr>
        <a:xfrm>
          <a:off x="10762984455" y="4179455"/>
          <a:ext cx="8368146" cy="73111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ونت بارگيري</a:t>
          </a:r>
        </a:p>
      </xdr:txBody>
    </xdr:sp>
    <xdr:clientData/>
  </xdr:twoCellAnchor>
  <xdr:twoCellAnchor>
    <xdr:from>
      <xdr:col>32</xdr:col>
      <xdr:colOff>203200</xdr:colOff>
      <xdr:row>60</xdr:row>
      <xdr:rowOff>812800</xdr:rowOff>
    </xdr:from>
    <xdr:to>
      <xdr:col>33</xdr:col>
      <xdr:colOff>736600</xdr:colOff>
      <xdr:row>61</xdr:row>
      <xdr:rowOff>177800</xdr:rowOff>
    </xdr:to>
    <xdr:sp macro="" textlink="">
      <xdr:nvSpPr>
        <xdr:cNvPr id="29" name="Rounded Rectangle 28">
          <a:hlinkClick xmlns:r="http://schemas.openxmlformats.org/officeDocument/2006/relationships" r:id="rId8"/>
        </xdr:cNvPr>
        <xdr:cNvSpPr/>
      </xdr:nvSpPr>
      <xdr:spPr>
        <a:xfrm>
          <a:off x="10803813800" y="35864800"/>
          <a:ext cx="1473200" cy="5080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29</xdr:col>
      <xdr:colOff>1104900</xdr:colOff>
      <xdr:row>76</xdr:row>
      <xdr:rowOff>1016000</xdr:rowOff>
    </xdr:from>
    <xdr:to>
      <xdr:col>37</xdr:col>
      <xdr:colOff>30963</xdr:colOff>
      <xdr:row>76</xdr:row>
      <xdr:rowOff>1286452</xdr:rowOff>
    </xdr:to>
    <xdr:sp macro="" textlink="">
      <xdr:nvSpPr>
        <xdr:cNvPr id="30" name="Rounded Rectangle 29">
          <a:hlinkClick xmlns:r="http://schemas.openxmlformats.org/officeDocument/2006/relationships" r:id="rId9"/>
        </xdr:cNvPr>
        <xdr:cNvSpPr/>
      </xdr:nvSpPr>
      <xdr:spPr>
        <a:xfrm>
          <a:off x="10798251987" y="47491650"/>
          <a:ext cx="6476213" cy="270452"/>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30</xdr:col>
      <xdr:colOff>63500</xdr:colOff>
      <xdr:row>80</xdr:row>
      <xdr:rowOff>395943</xdr:rowOff>
    </xdr:from>
    <xdr:to>
      <xdr:col>37</xdr:col>
      <xdr:colOff>116688</xdr:colOff>
      <xdr:row>81</xdr:row>
      <xdr:rowOff>270453</xdr:rowOff>
    </xdr:to>
    <xdr:sp macro="" textlink="">
      <xdr:nvSpPr>
        <xdr:cNvPr id="32" name="Rounded Rectangle 31">
          <a:hlinkClick xmlns:r="http://schemas.openxmlformats.org/officeDocument/2006/relationships" r:id="rId10"/>
        </xdr:cNvPr>
        <xdr:cNvSpPr/>
      </xdr:nvSpPr>
      <xdr:spPr>
        <a:xfrm>
          <a:off x="10763502767" y="52973943"/>
          <a:ext cx="6045279" cy="347874"/>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بخش محاسبه عدم قطعيت  انتشارات بارگيري نفت خام در دريا</a:t>
          </a:r>
          <a:endParaRPr lang="fa-IR" sz="1200">
            <a:solidFill>
              <a:sysClr val="windowText" lastClr="000000"/>
            </a:solidFill>
            <a:cs typeface="B Titr" panose="00000700000000000000" pitchFamily="2" charset="-7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162830</xdr:colOff>
      <xdr:row>7</xdr:row>
      <xdr:rowOff>254844</xdr:rowOff>
    </xdr:from>
    <xdr:to>
      <xdr:col>10</xdr:col>
      <xdr:colOff>115636</xdr:colOff>
      <xdr:row>10</xdr:row>
      <xdr:rowOff>161924</xdr:rowOff>
    </xdr:to>
    <xdr:sp macro="" textlink="">
      <xdr:nvSpPr>
        <xdr:cNvPr id="8" name="Rounded Rectangle 7">
          <a:hlinkClick xmlns:r="http://schemas.openxmlformats.org/officeDocument/2006/relationships" r:id="rId1"/>
        </xdr:cNvPr>
        <xdr:cNvSpPr/>
      </xdr:nvSpPr>
      <xdr:spPr>
        <a:xfrm>
          <a:off x="10925980114" y="3874344"/>
          <a:ext cx="3143681" cy="105008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 </a:t>
          </a:r>
          <a:endParaRPr lang="fa-IR" sz="1200" u="sng">
            <a:solidFill>
              <a:sysClr val="windowText" lastClr="000000"/>
            </a:solidFill>
            <a:cs typeface="B Titr" panose="00000700000000000000" pitchFamily="2" charset="-78"/>
          </a:endParaRPr>
        </a:p>
      </xdr:txBody>
    </xdr:sp>
    <xdr:clientData/>
  </xdr:twoCellAnchor>
  <xdr:twoCellAnchor>
    <xdr:from>
      <xdr:col>0</xdr:col>
      <xdr:colOff>69273</xdr:colOff>
      <xdr:row>13</xdr:row>
      <xdr:rowOff>201086</xdr:rowOff>
    </xdr:from>
    <xdr:to>
      <xdr:col>9</xdr:col>
      <xdr:colOff>850708</xdr:colOff>
      <xdr:row>15</xdr:row>
      <xdr:rowOff>157598</xdr:rowOff>
    </xdr:to>
    <xdr:sp macro="" textlink="">
      <xdr:nvSpPr>
        <xdr:cNvPr id="11" name="Rounded Rectangle 10"/>
        <xdr:cNvSpPr/>
      </xdr:nvSpPr>
      <xdr:spPr>
        <a:xfrm>
          <a:off x="10751911209" y="5757336"/>
          <a:ext cx="8951768" cy="506845"/>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بالادستی نفت و گاز </a:t>
          </a:r>
        </a:p>
      </xdr:txBody>
    </xdr:sp>
    <xdr:clientData/>
  </xdr:twoCellAnchor>
  <xdr:twoCellAnchor>
    <xdr:from>
      <xdr:col>0</xdr:col>
      <xdr:colOff>152015</xdr:colOff>
      <xdr:row>137</xdr:row>
      <xdr:rowOff>84666</xdr:rowOff>
    </xdr:from>
    <xdr:to>
      <xdr:col>10</xdr:col>
      <xdr:colOff>18088</xdr:colOff>
      <xdr:row>139</xdr:row>
      <xdr:rowOff>194155</xdr:rowOff>
    </xdr:to>
    <xdr:sp macro="" textlink="">
      <xdr:nvSpPr>
        <xdr:cNvPr id="12" name="Rounded Rectangle 11"/>
        <xdr:cNvSpPr/>
      </xdr:nvSpPr>
      <xdr:spPr>
        <a:xfrm>
          <a:off x="10751738412" y="31675916"/>
          <a:ext cx="9041823" cy="575156"/>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پالايشگاهي</a:t>
          </a:r>
        </a:p>
      </xdr:txBody>
    </xdr:sp>
    <xdr:clientData/>
  </xdr:twoCellAnchor>
  <xdr:twoCellAnchor>
    <xdr:from>
      <xdr:col>0</xdr:col>
      <xdr:colOff>129309</xdr:colOff>
      <xdr:row>153</xdr:row>
      <xdr:rowOff>173182</xdr:rowOff>
    </xdr:from>
    <xdr:to>
      <xdr:col>9</xdr:col>
      <xdr:colOff>999836</xdr:colOff>
      <xdr:row>155</xdr:row>
      <xdr:rowOff>221672</xdr:rowOff>
    </xdr:to>
    <xdr:sp macro="" textlink="">
      <xdr:nvSpPr>
        <xdr:cNvPr id="13" name="Rounded Rectangle 12"/>
        <xdr:cNvSpPr/>
      </xdr:nvSpPr>
      <xdr:spPr>
        <a:xfrm>
          <a:off x="10783205164" y="37973000"/>
          <a:ext cx="9044709" cy="60267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صنایع پتروشيمي</a:t>
          </a:r>
        </a:p>
      </xdr:txBody>
    </xdr:sp>
    <xdr:clientData/>
  </xdr:twoCellAnchor>
  <xdr:twoCellAnchor>
    <xdr:from>
      <xdr:col>0</xdr:col>
      <xdr:colOff>360218</xdr:colOff>
      <xdr:row>275</xdr:row>
      <xdr:rowOff>190500</xdr:rowOff>
    </xdr:from>
    <xdr:to>
      <xdr:col>10</xdr:col>
      <xdr:colOff>230909</xdr:colOff>
      <xdr:row>278</xdr:row>
      <xdr:rowOff>175492</xdr:rowOff>
    </xdr:to>
    <xdr:sp macro="" textlink="">
      <xdr:nvSpPr>
        <xdr:cNvPr id="14" name="Rounded Rectangle 13"/>
        <xdr:cNvSpPr/>
      </xdr:nvSpPr>
      <xdr:spPr>
        <a:xfrm>
          <a:off x="10924817091" y="63627000"/>
          <a:ext cx="9109941" cy="651742"/>
        </a:xfrm>
        <a:prstGeom prst="roundRect">
          <a:avLst/>
        </a:prstGeom>
        <a:solidFill>
          <a:schemeClr val="accent6">
            <a:lumMod val="50000"/>
          </a:schemeClr>
        </a:solidFill>
        <a:ln>
          <a:solidFill>
            <a:schemeClr val="accent1">
              <a:lumMod val="5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wrap="square" lIns="36000" tIns="0" rIns="36000" bIns="0" rtlCol="1" anchor="ctr"/>
        <a:lstStyle/>
        <a:p>
          <a:pPr marL="0" lvl="1" algn="ctr" rtl="1" fontAlgn="base"/>
          <a:r>
            <a:rPr lang="fa-IR" sz="2400" b="1" u="none" strike="noStrike">
              <a:solidFill>
                <a:sysClr val="windowText" lastClr="000000"/>
              </a:solidFill>
              <a:effectLst>
                <a:glow>
                  <a:srgbClr val="000000"/>
                </a:glow>
                <a:outerShdw sx="0" sy="0">
                  <a:srgbClr val="000000"/>
                </a:outerShdw>
                <a:reflection stA="0" endPos="0" fadeDir="0" sx="0" sy="0"/>
              </a:effectLst>
              <a:latin typeface="+mn-lt"/>
              <a:ea typeface="+mn-ea"/>
              <a:cs typeface="B Titr" panose="00000700000000000000" pitchFamily="2" charset="-78"/>
            </a:rPr>
            <a:t>انتشارات  فرار  از نشتي تجهيزات در ترمینال‌های فروش محصولات </a:t>
          </a:r>
        </a:p>
      </xdr:txBody>
    </xdr:sp>
    <xdr:clientData/>
  </xdr:twoCellAnchor>
  <xdr:twoCellAnchor>
    <xdr:from>
      <xdr:col>0</xdr:col>
      <xdr:colOff>23601</xdr:colOff>
      <xdr:row>21</xdr:row>
      <xdr:rowOff>335643</xdr:rowOff>
    </xdr:from>
    <xdr:to>
      <xdr:col>0</xdr:col>
      <xdr:colOff>280775</xdr:colOff>
      <xdr:row>35</xdr:row>
      <xdr:rowOff>87086</xdr:rowOff>
    </xdr:to>
    <xdr:sp macro="" textlink="">
      <xdr:nvSpPr>
        <xdr:cNvPr id="18" name="Rounded Rectangle 17">
          <a:hlinkClick xmlns:r="http://schemas.openxmlformats.org/officeDocument/2006/relationships" r:id="rId2"/>
        </xdr:cNvPr>
        <xdr:cNvSpPr/>
      </xdr:nvSpPr>
      <xdr:spPr>
        <a:xfrm rot="16200000">
          <a:off x="10857732769" y="10982099"/>
          <a:ext cx="3842658" cy="25717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10</xdr:col>
      <xdr:colOff>342449</xdr:colOff>
      <xdr:row>7</xdr:row>
      <xdr:rowOff>285750</xdr:rowOff>
    </xdr:from>
    <xdr:to>
      <xdr:col>13</xdr:col>
      <xdr:colOff>121683</xdr:colOff>
      <xdr:row>10</xdr:row>
      <xdr:rowOff>185962</xdr:rowOff>
    </xdr:to>
    <xdr:sp macro="" textlink="">
      <xdr:nvSpPr>
        <xdr:cNvPr id="19" name="Rounded Rectangle 18">
          <a:hlinkClick xmlns:r="http://schemas.openxmlformats.org/officeDocument/2006/relationships" r:id="rId3"/>
        </xdr:cNvPr>
        <xdr:cNvSpPr/>
      </xdr:nvSpPr>
      <xdr:spPr>
        <a:xfrm>
          <a:off x="10922672067" y="3905250"/>
          <a:ext cx="3081234" cy="1043212"/>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 </a:t>
          </a:r>
          <a:endParaRPr lang="fa-IR" sz="1200" u="sng">
            <a:solidFill>
              <a:sysClr val="windowText" lastClr="000000"/>
            </a:solidFill>
            <a:cs typeface="B Titr" panose="00000700000000000000" pitchFamily="2" charset="-78"/>
          </a:endParaRPr>
        </a:p>
      </xdr:txBody>
    </xdr:sp>
    <xdr:clientData/>
  </xdr:twoCellAnchor>
  <xdr:twoCellAnchor>
    <xdr:from>
      <xdr:col>16</xdr:col>
      <xdr:colOff>159662</xdr:colOff>
      <xdr:row>7</xdr:row>
      <xdr:rowOff>282108</xdr:rowOff>
    </xdr:from>
    <xdr:to>
      <xdr:col>19</xdr:col>
      <xdr:colOff>8775</xdr:colOff>
      <xdr:row>10</xdr:row>
      <xdr:rowOff>203654</xdr:rowOff>
    </xdr:to>
    <xdr:sp macro="" textlink="">
      <xdr:nvSpPr>
        <xdr:cNvPr id="21" name="Rounded Rectangle 20">
          <a:hlinkClick xmlns:r="http://schemas.openxmlformats.org/officeDocument/2006/relationships" r:id="rId4"/>
        </xdr:cNvPr>
        <xdr:cNvSpPr/>
      </xdr:nvSpPr>
      <xdr:spPr>
        <a:xfrm>
          <a:off x="10916276225" y="3901608"/>
          <a:ext cx="2960613" cy="1064546"/>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a:t>
          </a:r>
          <a:endParaRPr lang="fa-IR" sz="1200" u="sng">
            <a:solidFill>
              <a:sysClr val="windowText" lastClr="000000"/>
            </a:solidFill>
            <a:cs typeface="B Titr" panose="00000700000000000000" pitchFamily="2" charset="-78"/>
          </a:endParaRPr>
        </a:p>
      </xdr:txBody>
    </xdr:sp>
    <xdr:clientData/>
  </xdr:twoCellAnchor>
  <xdr:twoCellAnchor>
    <xdr:from>
      <xdr:col>0</xdr:col>
      <xdr:colOff>118628</xdr:colOff>
      <xdr:row>405</xdr:row>
      <xdr:rowOff>364831</xdr:rowOff>
    </xdr:from>
    <xdr:to>
      <xdr:col>8</xdr:col>
      <xdr:colOff>265701</xdr:colOff>
      <xdr:row>405</xdr:row>
      <xdr:rowOff>992904</xdr:rowOff>
    </xdr:to>
    <xdr:sp macro="" textlink="">
      <xdr:nvSpPr>
        <xdr:cNvPr id="22" name="Rounded Rectangle 21">
          <a:hlinkClick xmlns:r="http://schemas.openxmlformats.org/officeDocument/2006/relationships" r:id="rId1"/>
        </xdr:cNvPr>
        <xdr:cNvSpPr/>
      </xdr:nvSpPr>
      <xdr:spPr>
        <a:xfrm>
          <a:off x="10784943753" y="94979831"/>
          <a:ext cx="7247528" cy="62807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بالادستی نفت و گاز </a:t>
          </a:r>
        </a:p>
      </xdr:txBody>
    </xdr:sp>
    <xdr:clientData/>
  </xdr:twoCellAnchor>
  <xdr:twoCellAnchor>
    <xdr:from>
      <xdr:col>1</xdr:col>
      <xdr:colOff>562428</xdr:colOff>
      <xdr:row>410</xdr:row>
      <xdr:rowOff>312058</xdr:rowOff>
    </xdr:from>
    <xdr:to>
      <xdr:col>10</xdr:col>
      <xdr:colOff>162380</xdr:colOff>
      <xdr:row>410</xdr:row>
      <xdr:rowOff>807357</xdr:rowOff>
    </xdr:to>
    <xdr:sp macro="" textlink="">
      <xdr:nvSpPr>
        <xdr:cNvPr id="23" name="Rounded Rectangle 22">
          <a:hlinkClick xmlns:r="http://schemas.openxmlformats.org/officeDocument/2006/relationships" r:id="rId3"/>
        </xdr:cNvPr>
        <xdr:cNvSpPr/>
      </xdr:nvSpPr>
      <xdr:spPr>
        <a:xfrm>
          <a:off x="10850635977" y="99997987"/>
          <a:ext cx="8408309" cy="49529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پالايشگاهي</a:t>
          </a:r>
        </a:p>
      </xdr:txBody>
    </xdr:sp>
    <xdr:clientData/>
  </xdr:twoCellAnchor>
  <xdr:twoCellAnchor>
    <xdr:from>
      <xdr:col>0</xdr:col>
      <xdr:colOff>115454</xdr:colOff>
      <xdr:row>405</xdr:row>
      <xdr:rowOff>1059617</xdr:rowOff>
    </xdr:from>
    <xdr:to>
      <xdr:col>8</xdr:col>
      <xdr:colOff>265543</xdr:colOff>
      <xdr:row>405</xdr:row>
      <xdr:rowOff>1627937</xdr:rowOff>
    </xdr:to>
    <xdr:sp macro="" textlink="">
      <xdr:nvSpPr>
        <xdr:cNvPr id="24" name="Rounded Rectangle 23">
          <a:hlinkClick xmlns:r="http://schemas.openxmlformats.org/officeDocument/2006/relationships" r:id="rId5"/>
        </xdr:cNvPr>
        <xdr:cNvSpPr/>
      </xdr:nvSpPr>
      <xdr:spPr>
        <a:xfrm>
          <a:off x="10784943911" y="95674617"/>
          <a:ext cx="7250544" cy="568320"/>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صنایع پتروشيمي</a:t>
          </a:r>
        </a:p>
      </xdr:txBody>
    </xdr:sp>
    <xdr:clientData/>
  </xdr:twoCellAnchor>
  <xdr:twoCellAnchor>
    <xdr:from>
      <xdr:col>8</xdr:col>
      <xdr:colOff>357913</xdr:colOff>
      <xdr:row>405</xdr:row>
      <xdr:rowOff>329056</xdr:rowOff>
    </xdr:from>
    <xdr:to>
      <xdr:col>11</xdr:col>
      <xdr:colOff>882654</xdr:colOff>
      <xdr:row>405</xdr:row>
      <xdr:rowOff>1639465</xdr:rowOff>
    </xdr:to>
    <xdr:sp macro="" textlink="">
      <xdr:nvSpPr>
        <xdr:cNvPr id="25" name="Rounded Rectangle 24">
          <a:hlinkClick xmlns:r="http://schemas.openxmlformats.org/officeDocument/2006/relationships" r:id="rId4"/>
        </xdr:cNvPr>
        <xdr:cNvSpPr/>
      </xdr:nvSpPr>
      <xdr:spPr>
        <a:xfrm>
          <a:off x="10781313437" y="94944056"/>
          <a:ext cx="3538104" cy="1310409"/>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(د) و (ه): استفاده از تعداد دقیق/ پیش‌فرض تجهیزات نشتی و ضرایب انتشار مختص نوع تجهيز در </a:t>
          </a:r>
          <a:r>
            <a:rPr lang="fa-IR" sz="1100" u="sng">
              <a:solidFill>
                <a:sysClr val="windowText" lastClr="000000"/>
              </a:solidFill>
              <a:cs typeface="B Titr" panose="00000700000000000000" pitchFamily="2" charset="-78"/>
            </a:rPr>
            <a:t>ترمينال هاي فروش محصولات</a:t>
          </a:r>
        </a:p>
      </xdr:txBody>
    </xdr:sp>
    <xdr:clientData/>
  </xdr:twoCellAnchor>
  <xdr:twoCellAnchor>
    <xdr:from>
      <xdr:col>0</xdr:col>
      <xdr:colOff>26633</xdr:colOff>
      <xdr:row>285</xdr:row>
      <xdr:rowOff>237847</xdr:rowOff>
    </xdr:from>
    <xdr:to>
      <xdr:col>0</xdr:col>
      <xdr:colOff>281215</xdr:colOff>
      <xdr:row>297</xdr:row>
      <xdr:rowOff>154720</xdr:rowOff>
    </xdr:to>
    <xdr:sp macro="" textlink="">
      <xdr:nvSpPr>
        <xdr:cNvPr id="29" name="Rounded Rectangle 28">
          <a:hlinkClick xmlns:r="http://schemas.openxmlformats.org/officeDocument/2006/relationships" r:id="rId2"/>
        </xdr:cNvPr>
        <xdr:cNvSpPr/>
      </xdr:nvSpPr>
      <xdr:spPr>
        <a:xfrm rot="16200000">
          <a:off x="10790627367" y="68845265"/>
          <a:ext cx="3288146" cy="254582"/>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41739</xdr:colOff>
      <xdr:row>162</xdr:row>
      <xdr:rowOff>127322</xdr:rowOff>
    </xdr:from>
    <xdr:to>
      <xdr:col>0</xdr:col>
      <xdr:colOff>254463</xdr:colOff>
      <xdr:row>174</xdr:row>
      <xdr:rowOff>171193</xdr:rowOff>
    </xdr:to>
    <xdr:sp macro="" textlink="">
      <xdr:nvSpPr>
        <xdr:cNvPr id="30" name="Rounded Rectangle 29">
          <a:hlinkClick xmlns:r="http://schemas.openxmlformats.org/officeDocument/2006/relationships" r:id="rId2"/>
        </xdr:cNvPr>
        <xdr:cNvSpPr/>
      </xdr:nvSpPr>
      <xdr:spPr>
        <a:xfrm rot="16200000">
          <a:off x="10790638963" y="42183805"/>
          <a:ext cx="3276599" cy="21272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0</xdr:col>
      <xdr:colOff>50809</xdr:colOff>
      <xdr:row>143</xdr:row>
      <xdr:rowOff>989419</xdr:rowOff>
    </xdr:from>
    <xdr:to>
      <xdr:col>0</xdr:col>
      <xdr:colOff>250833</xdr:colOff>
      <xdr:row>149</xdr:row>
      <xdr:rowOff>271292</xdr:rowOff>
    </xdr:to>
    <xdr:sp macro="" textlink="">
      <xdr:nvSpPr>
        <xdr:cNvPr id="31" name="Rounded Rectangle 30">
          <a:hlinkClick xmlns:r="http://schemas.openxmlformats.org/officeDocument/2006/relationships" r:id="rId6"/>
        </xdr:cNvPr>
        <xdr:cNvSpPr/>
      </xdr:nvSpPr>
      <xdr:spPr>
        <a:xfrm rot="16200000">
          <a:off x="10790376470" y="34849207"/>
          <a:ext cx="3796146" cy="200024"/>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r" rtl="1"/>
          <a:r>
            <a:rPr lang="fa-IR" sz="1100">
              <a:solidFill>
                <a:sysClr val="windowText" lastClr="000000"/>
              </a:solidFill>
              <a:cs typeface="B Titr" panose="00000700000000000000" pitchFamily="2" charset="-78"/>
            </a:rPr>
            <a:t>راهنما</a:t>
          </a:r>
        </a:p>
      </xdr:txBody>
    </xdr:sp>
    <xdr:clientData/>
  </xdr:twoCellAnchor>
  <xdr:twoCellAnchor>
    <xdr:from>
      <xdr:col>7</xdr:col>
      <xdr:colOff>174626</xdr:colOff>
      <xdr:row>1</xdr:row>
      <xdr:rowOff>719665</xdr:rowOff>
    </xdr:from>
    <xdr:to>
      <xdr:col>19</xdr:col>
      <xdr:colOff>63500</xdr:colOff>
      <xdr:row>4</xdr:row>
      <xdr:rowOff>107948</xdr:rowOff>
    </xdr:to>
    <xdr:sp macro="" textlink="">
      <xdr:nvSpPr>
        <xdr:cNvPr id="26" name="Rounded Rectangle 25">
          <a:hlinkClick xmlns:r="http://schemas.openxmlformats.org/officeDocument/2006/relationships" r:id="rId7"/>
        </xdr:cNvPr>
        <xdr:cNvSpPr/>
      </xdr:nvSpPr>
      <xdr:spPr>
        <a:xfrm>
          <a:off x="10742644250" y="1132415"/>
          <a:ext cx="11953874" cy="944033"/>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فرار</a:t>
          </a:r>
          <a:r>
            <a:rPr lang="fa-IR" sz="1800" b="1" baseline="0">
              <a:solidFill>
                <a:sysClr val="windowText" lastClr="000000"/>
              </a:solidFill>
              <a:cs typeface="B Titr" panose="00000700000000000000" pitchFamily="2" charset="-78"/>
            </a:rPr>
            <a:t>  نشتي تجهيزات</a:t>
          </a:r>
          <a:endParaRPr lang="fa-IR" sz="1800" b="1">
            <a:solidFill>
              <a:sysClr val="windowText" lastClr="000000"/>
            </a:solidFill>
            <a:cs typeface="B Titr" panose="00000700000000000000" pitchFamily="2" charset="-78"/>
          </a:endParaRPr>
        </a:p>
      </xdr:txBody>
    </xdr:sp>
    <xdr:clientData/>
  </xdr:twoCellAnchor>
  <xdr:twoCellAnchor>
    <xdr:from>
      <xdr:col>7</xdr:col>
      <xdr:colOff>171450</xdr:colOff>
      <xdr:row>4</xdr:row>
      <xdr:rowOff>371475</xdr:rowOff>
    </xdr:from>
    <xdr:to>
      <xdr:col>10</xdr:col>
      <xdr:colOff>113630</xdr:colOff>
      <xdr:row>7</xdr:row>
      <xdr:rowOff>190500</xdr:rowOff>
    </xdr:to>
    <xdr:sp macro="" textlink="">
      <xdr:nvSpPr>
        <xdr:cNvPr id="27" name="Down Arrow Callout 26"/>
        <xdr:cNvSpPr/>
      </xdr:nvSpPr>
      <xdr:spPr>
        <a:xfrm>
          <a:off x="10925982120" y="2371725"/>
          <a:ext cx="3133055"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بالادستی نفت و گاز </a:t>
          </a:r>
        </a:p>
      </xdr:txBody>
    </xdr:sp>
    <xdr:clientData/>
  </xdr:twoCellAnchor>
  <xdr:twoCellAnchor>
    <xdr:from>
      <xdr:col>10</xdr:col>
      <xdr:colOff>207538</xdr:colOff>
      <xdr:row>4</xdr:row>
      <xdr:rowOff>371475</xdr:rowOff>
    </xdr:from>
    <xdr:to>
      <xdr:col>13</xdr:col>
      <xdr:colOff>144071</xdr:colOff>
      <xdr:row>7</xdr:row>
      <xdr:rowOff>190500</xdr:rowOff>
    </xdr:to>
    <xdr:sp macro="" textlink="">
      <xdr:nvSpPr>
        <xdr:cNvPr id="28" name="Down Arrow Callout 27"/>
        <xdr:cNvSpPr/>
      </xdr:nvSpPr>
      <xdr:spPr>
        <a:xfrm>
          <a:off x="10922649679" y="2371725"/>
          <a:ext cx="3238533"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پالايشگاهي</a:t>
          </a:r>
        </a:p>
      </xdr:txBody>
    </xdr:sp>
    <xdr:clientData/>
  </xdr:twoCellAnchor>
  <xdr:twoCellAnchor>
    <xdr:from>
      <xdr:col>13</xdr:col>
      <xdr:colOff>230926</xdr:colOff>
      <xdr:row>4</xdr:row>
      <xdr:rowOff>371475</xdr:rowOff>
    </xdr:from>
    <xdr:to>
      <xdr:col>15</xdr:col>
      <xdr:colOff>1243610</xdr:colOff>
      <xdr:row>7</xdr:row>
      <xdr:rowOff>190500</xdr:rowOff>
    </xdr:to>
    <xdr:sp macro="" textlink="">
      <xdr:nvSpPr>
        <xdr:cNvPr id="32" name="Down Arrow Callout 31"/>
        <xdr:cNvSpPr/>
      </xdr:nvSpPr>
      <xdr:spPr>
        <a:xfrm>
          <a:off x="10919422890" y="2371725"/>
          <a:ext cx="3139934"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صنایع پتروشيمي</a:t>
          </a:r>
        </a:p>
      </xdr:txBody>
    </xdr:sp>
    <xdr:clientData/>
  </xdr:twoCellAnchor>
  <xdr:twoCellAnchor>
    <xdr:from>
      <xdr:col>16</xdr:col>
      <xdr:colOff>70164</xdr:colOff>
      <xdr:row>4</xdr:row>
      <xdr:rowOff>371475</xdr:rowOff>
    </xdr:from>
    <xdr:to>
      <xdr:col>19</xdr:col>
      <xdr:colOff>0</xdr:colOff>
      <xdr:row>7</xdr:row>
      <xdr:rowOff>190500</xdr:rowOff>
    </xdr:to>
    <xdr:sp macro="" textlink="">
      <xdr:nvSpPr>
        <xdr:cNvPr id="33" name="Down Arrow Callout 32"/>
        <xdr:cNvSpPr/>
      </xdr:nvSpPr>
      <xdr:spPr>
        <a:xfrm>
          <a:off x="10916285000" y="2371725"/>
          <a:ext cx="3041336" cy="1438275"/>
        </a:xfrm>
        <a:prstGeom prst="downArrowCallout">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نشتي از ترمينال هاي فروش محصولات</a:t>
          </a:r>
        </a:p>
      </xdr:txBody>
    </xdr:sp>
    <xdr:clientData/>
  </xdr:twoCellAnchor>
  <xdr:twoCellAnchor>
    <xdr:from>
      <xdr:col>13</xdr:col>
      <xdr:colOff>362862</xdr:colOff>
      <xdr:row>7</xdr:row>
      <xdr:rowOff>246073</xdr:rowOff>
    </xdr:from>
    <xdr:to>
      <xdr:col>15</xdr:col>
      <xdr:colOff>1220451</xdr:colOff>
      <xdr:row>10</xdr:row>
      <xdr:rowOff>151060</xdr:rowOff>
    </xdr:to>
    <xdr:sp macro="" textlink="">
      <xdr:nvSpPr>
        <xdr:cNvPr id="34" name="Rounded Rectangle 33">
          <a:hlinkClick xmlns:r="http://schemas.openxmlformats.org/officeDocument/2006/relationships" r:id="rId5"/>
        </xdr:cNvPr>
        <xdr:cNvSpPr/>
      </xdr:nvSpPr>
      <xdr:spPr>
        <a:xfrm>
          <a:off x="10919446049" y="3865573"/>
          <a:ext cx="2984839" cy="1047987"/>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روش (د) و (ه): استفاده از تعداد دقیق/ پیش‌فرض تجهیزات نشتی و ضرایب انتشار مختص نوع تجهيز</a:t>
          </a:r>
          <a:endParaRPr lang="fa-IR" sz="1200" u="sng">
            <a:solidFill>
              <a:sysClr val="windowText" lastClr="000000"/>
            </a:solidFill>
            <a:cs typeface="B Titr" panose="00000700000000000000" pitchFamily="2" charset="-78"/>
          </a:endParaRPr>
        </a:p>
      </xdr:txBody>
    </xdr:sp>
    <xdr:clientData/>
  </xdr:twoCellAnchor>
  <xdr:twoCellAnchor>
    <xdr:from>
      <xdr:col>3</xdr:col>
      <xdr:colOff>517071</xdr:colOff>
      <xdr:row>400</xdr:row>
      <xdr:rowOff>755192</xdr:rowOff>
    </xdr:from>
    <xdr:to>
      <xdr:col>8</xdr:col>
      <xdr:colOff>671286</xdr:colOff>
      <xdr:row>400</xdr:row>
      <xdr:rowOff>1152072</xdr:rowOff>
    </xdr:to>
    <xdr:sp macro="" textlink="">
      <xdr:nvSpPr>
        <xdr:cNvPr id="35" name="Rounded Rectangle 34">
          <a:hlinkClick xmlns:r="http://schemas.openxmlformats.org/officeDocument/2006/relationships" r:id="rId8"/>
        </xdr:cNvPr>
        <xdr:cNvSpPr/>
      </xdr:nvSpPr>
      <xdr:spPr>
        <a:xfrm>
          <a:off x="10852023000" y="93310978"/>
          <a:ext cx="5279572" cy="396880"/>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42</xdr:col>
      <xdr:colOff>990600</xdr:colOff>
      <xdr:row>6</xdr:row>
      <xdr:rowOff>304800</xdr:rowOff>
    </xdr:from>
    <xdr:to>
      <xdr:col>53</xdr:col>
      <xdr:colOff>238125</xdr:colOff>
      <xdr:row>7</xdr:row>
      <xdr:rowOff>377825</xdr:rowOff>
    </xdr:to>
    <xdr:sp macro="" textlink="">
      <xdr:nvSpPr>
        <xdr:cNvPr id="36" name="Rounded Rectangle 35">
          <a:hlinkClick xmlns:r="http://schemas.openxmlformats.org/officeDocument/2006/relationships" r:id="rId9"/>
        </xdr:cNvPr>
        <xdr:cNvSpPr/>
      </xdr:nvSpPr>
      <xdr:spPr>
        <a:xfrm>
          <a:off x="10794533275" y="3073400"/>
          <a:ext cx="10347325" cy="479425"/>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نشتي تجهيزات</a:t>
          </a:r>
        </a:p>
      </xdr:txBody>
    </xdr:sp>
    <xdr:clientData/>
  </xdr:twoCellAnchor>
  <xdr:twoCellAnchor>
    <xdr:from>
      <xdr:col>35</xdr:col>
      <xdr:colOff>588819</xdr:colOff>
      <xdr:row>402</xdr:row>
      <xdr:rowOff>392545</xdr:rowOff>
    </xdr:from>
    <xdr:to>
      <xdr:col>43</xdr:col>
      <xdr:colOff>273707</xdr:colOff>
      <xdr:row>403</xdr:row>
      <xdr:rowOff>171161</xdr:rowOff>
    </xdr:to>
    <xdr:sp macro="" textlink="">
      <xdr:nvSpPr>
        <xdr:cNvPr id="38" name="Rounded Rectangle 37">
          <a:hlinkClick xmlns:r="http://schemas.openxmlformats.org/officeDocument/2006/relationships" r:id="rId10"/>
        </xdr:cNvPr>
        <xdr:cNvSpPr/>
      </xdr:nvSpPr>
      <xdr:spPr>
        <a:xfrm>
          <a:off x="10799520543" y="44296445"/>
          <a:ext cx="6682588" cy="261216"/>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96118</xdr:colOff>
      <xdr:row>5</xdr:row>
      <xdr:rowOff>339150</xdr:rowOff>
    </xdr:from>
    <xdr:to>
      <xdr:col>14</xdr:col>
      <xdr:colOff>1309840</xdr:colOff>
      <xdr:row>6</xdr:row>
      <xdr:rowOff>331936</xdr:rowOff>
    </xdr:to>
    <xdr:sp macro="" textlink="">
      <xdr:nvSpPr>
        <xdr:cNvPr id="2" name="Rounded Rectangle 1">
          <a:hlinkClick xmlns:r="http://schemas.openxmlformats.org/officeDocument/2006/relationships" r:id="rId1"/>
        </xdr:cNvPr>
        <xdr:cNvSpPr/>
      </xdr:nvSpPr>
      <xdr:spPr>
        <a:xfrm>
          <a:off x="10740879327" y="2603983"/>
          <a:ext cx="4896722" cy="394953"/>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400">
              <a:solidFill>
                <a:sysClr val="windowText" lastClr="000000"/>
              </a:solidFill>
              <a:cs typeface="B Titr" panose="00000700000000000000" pitchFamily="2" charset="-78"/>
            </a:rPr>
            <a:t>روش (الف): استفاده از ضرایب انتشار </a:t>
          </a:r>
          <a:endParaRPr lang="fa-IR" sz="1400" u="sng">
            <a:solidFill>
              <a:sysClr val="windowText" lastClr="000000"/>
            </a:solidFill>
            <a:cs typeface="B Titr" panose="00000700000000000000" pitchFamily="2" charset="-78"/>
          </a:endParaRPr>
        </a:p>
      </xdr:txBody>
    </xdr:sp>
    <xdr:clientData/>
  </xdr:twoCellAnchor>
  <xdr:twoCellAnchor>
    <xdr:from>
      <xdr:col>2</xdr:col>
      <xdr:colOff>163287</xdr:colOff>
      <xdr:row>22</xdr:row>
      <xdr:rowOff>318112</xdr:rowOff>
    </xdr:from>
    <xdr:to>
      <xdr:col>5</xdr:col>
      <xdr:colOff>550333</xdr:colOff>
      <xdr:row>22</xdr:row>
      <xdr:rowOff>781663</xdr:rowOff>
    </xdr:to>
    <xdr:sp macro="" textlink="">
      <xdr:nvSpPr>
        <xdr:cNvPr id="7" name="Rounded Rectangle 6">
          <a:hlinkClick xmlns:r="http://schemas.openxmlformats.org/officeDocument/2006/relationships" r:id="rId1"/>
        </xdr:cNvPr>
        <xdr:cNvSpPr/>
      </xdr:nvSpPr>
      <xdr:spPr>
        <a:xfrm>
          <a:off x="10747861834" y="9853695"/>
          <a:ext cx="3022296" cy="463551"/>
        </a:xfrm>
        <a:prstGeom prst="roundRect">
          <a:avLst/>
        </a:prstGeom>
        <a:solidFill>
          <a:srgbClr val="EEF381"/>
        </a:solidFill>
        <a:effectLst>
          <a:outerShdw blurRad="40000" dist="23000" dir="5400000" rotWithShape="0">
            <a:srgbClr val="000000">
              <a:alpha val="35000"/>
            </a:srgb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 روش (الف): استفاده از ضرایب انتشار </a:t>
          </a:r>
          <a:endParaRPr lang="fa-IR" sz="1100" u="sng">
            <a:solidFill>
              <a:sysClr val="windowText" lastClr="000000"/>
            </a:solidFill>
            <a:cs typeface="B Titr" panose="00000700000000000000" pitchFamily="2" charset="-78"/>
          </a:endParaRPr>
        </a:p>
      </xdr:txBody>
    </xdr:sp>
    <xdr:clientData/>
  </xdr:twoCellAnchor>
  <xdr:twoCellAnchor>
    <xdr:from>
      <xdr:col>0</xdr:col>
      <xdr:colOff>36076</xdr:colOff>
      <xdr:row>9</xdr:row>
      <xdr:rowOff>126998</xdr:rowOff>
    </xdr:from>
    <xdr:to>
      <xdr:col>0</xdr:col>
      <xdr:colOff>253999</xdr:colOff>
      <xdr:row>14</xdr:row>
      <xdr:rowOff>158750</xdr:rowOff>
    </xdr:to>
    <xdr:sp macro="" textlink="">
      <xdr:nvSpPr>
        <xdr:cNvPr id="8" name="Rounded Rectangle 7">
          <a:hlinkClick xmlns:r="http://schemas.openxmlformats.org/officeDocument/2006/relationships" r:id="rId2"/>
        </xdr:cNvPr>
        <xdr:cNvSpPr/>
      </xdr:nvSpPr>
      <xdr:spPr>
        <a:xfrm rot="16200000">
          <a:off x="10792143223" y="6297321"/>
          <a:ext cx="1982934" cy="217923"/>
        </a:xfrm>
        <a:prstGeom prst="roundRect">
          <a:avLst/>
        </a:prstGeom>
        <a:solidFill>
          <a:srgbClr val="EEF381"/>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راهنما</a:t>
          </a:r>
        </a:p>
      </xdr:txBody>
    </xdr:sp>
    <xdr:clientData/>
  </xdr:twoCellAnchor>
  <xdr:twoCellAnchor>
    <xdr:from>
      <xdr:col>2</xdr:col>
      <xdr:colOff>58964</xdr:colOff>
      <xdr:row>18</xdr:row>
      <xdr:rowOff>664481</xdr:rowOff>
    </xdr:from>
    <xdr:to>
      <xdr:col>5</xdr:col>
      <xdr:colOff>551089</xdr:colOff>
      <xdr:row>18</xdr:row>
      <xdr:rowOff>1043214</xdr:rowOff>
    </xdr:to>
    <xdr:sp macro="" textlink="">
      <xdr:nvSpPr>
        <xdr:cNvPr id="5" name="Rounded Rectangle 4">
          <a:hlinkClick xmlns:r="http://schemas.openxmlformats.org/officeDocument/2006/relationships" r:id="rId3"/>
        </xdr:cNvPr>
        <xdr:cNvSpPr/>
      </xdr:nvSpPr>
      <xdr:spPr>
        <a:xfrm>
          <a:off x="10845947411" y="8030481"/>
          <a:ext cx="3131911" cy="378733"/>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100">
              <a:solidFill>
                <a:sysClr val="windowText" lastClr="000000"/>
              </a:solidFill>
              <a:cs typeface="B Titr" panose="00000700000000000000" pitchFamily="2" charset="-78"/>
            </a:rPr>
            <a:t>بازگشت به</a:t>
          </a:r>
          <a:r>
            <a:rPr lang="fa-IR" sz="1100" baseline="0">
              <a:solidFill>
                <a:sysClr val="windowText" lastClr="000000"/>
              </a:solidFill>
              <a:cs typeface="B Titr" panose="00000700000000000000" pitchFamily="2" charset="-78"/>
            </a:rPr>
            <a:t> بالاي صفحه</a:t>
          </a:r>
          <a:endParaRPr lang="fa-IR" sz="1100">
            <a:solidFill>
              <a:sysClr val="windowText" lastClr="000000"/>
            </a:solidFill>
            <a:cs typeface="B Titr" panose="00000700000000000000" pitchFamily="2" charset="-78"/>
          </a:endParaRPr>
        </a:p>
      </xdr:txBody>
    </xdr:sp>
    <xdr:clientData/>
  </xdr:twoCellAnchor>
  <xdr:twoCellAnchor>
    <xdr:from>
      <xdr:col>8</xdr:col>
      <xdr:colOff>80819</xdr:colOff>
      <xdr:row>2</xdr:row>
      <xdr:rowOff>7216</xdr:rowOff>
    </xdr:from>
    <xdr:to>
      <xdr:col>14</xdr:col>
      <xdr:colOff>1301750</xdr:colOff>
      <xdr:row>3</xdr:row>
      <xdr:rowOff>1675</xdr:rowOff>
    </xdr:to>
    <xdr:sp macro="" textlink="">
      <xdr:nvSpPr>
        <xdr:cNvPr id="6" name="Rounded Rectangle 5">
          <a:hlinkClick xmlns:r="http://schemas.openxmlformats.org/officeDocument/2006/relationships" r:id="rId4"/>
        </xdr:cNvPr>
        <xdr:cNvSpPr/>
      </xdr:nvSpPr>
      <xdr:spPr>
        <a:xfrm>
          <a:off x="10740887417" y="1065549"/>
          <a:ext cx="4903931" cy="396626"/>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b="1">
              <a:solidFill>
                <a:sysClr val="windowText" lastClr="000000"/>
              </a:solidFill>
              <a:cs typeface="B Titr" panose="00000700000000000000" pitchFamily="2" charset="-78"/>
            </a:rPr>
            <a:t>راهنماي كلي بخش منابع فرار</a:t>
          </a:r>
          <a:r>
            <a:rPr lang="fa-IR" sz="1800" b="1" baseline="0">
              <a:solidFill>
                <a:sysClr val="windowText" lastClr="000000"/>
              </a:solidFill>
              <a:cs typeface="B Titr" panose="00000700000000000000" pitchFamily="2" charset="-78"/>
            </a:rPr>
            <a:t>  سيستم تصفيه پساب</a:t>
          </a:r>
          <a:endParaRPr lang="fa-IR" sz="1800" b="1">
            <a:solidFill>
              <a:sysClr val="windowText" lastClr="000000"/>
            </a:solidFill>
            <a:cs typeface="B Titr" panose="00000700000000000000" pitchFamily="2" charset="-78"/>
          </a:endParaRPr>
        </a:p>
      </xdr:txBody>
    </xdr:sp>
    <xdr:clientData/>
  </xdr:twoCellAnchor>
  <xdr:twoCellAnchor>
    <xdr:from>
      <xdr:col>9</xdr:col>
      <xdr:colOff>74084</xdr:colOff>
      <xdr:row>3</xdr:row>
      <xdr:rowOff>86591</xdr:rowOff>
    </xdr:from>
    <xdr:to>
      <xdr:col>14</xdr:col>
      <xdr:colOff>567078</xdr:colOff>
      <xdr:row>5</xdr:row>
      <xdr:rowOff>222250</xdr:rowOff>
    </xdr:to>
    <xdr:sp macro="" textlink="">
      <xdr:nvSpPr>
        <xdr:cNvPr id="9" name="Down Arrow Callout 8"/>
        <xdr:cNvSpPr/>
      </xdr:nvSpPr>
      <xdr:spPr>
        <a:xfrm>
          <a:off x="10741706755" y="1547091"/>
          <a:ext cx="3710327" cy="939992"/>
        </a:xfrm>
        <a:prstGeom prst="downArrowCallout">
          <a:avLst>
            <a:gd name="adj1" fmla="val 25000"/>
            <a:gd name="adj2" fmla="val 25000"/>
            <a:gd name="adj3" fmla="val 25000"/>
            <a:gd name="adj4" fmla="val 65883"/>
          </a:avLst>
        </a:prstGeom>
        <a:solidFill>
          <a:schemeClr val="accent5">
            <a:lumMod val="40000"/>
            <a:lumOff val="60000"/>
          </a:schemeClr>
        </a:solidFill>
        <a:ln>
          <a:solidFill>
            <a:schemeClr val="accent5">
              <a:lumMod val="40000"/>
              <a:lumOff val="60000"/>
            </a:schemeClr>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marL="0" marR="0" indent="0" algn="ctr" defTabSz="914400" rtl="1" eaLnBrk="1" fontAlgn="auto" latinLnBrk="0" hangingPunct="1">
            <a:lnSpc>
              <a:spcPct val="80000"/>
            </a:lnSpc>
            <a:spcBef>
              <a:spcPts val="0"/>
            </a:spcBef>
            <a:spcAft>
              <a:spcPts val="0"/>
            </a:spcAft>
            <a:buClrTx/>
            <a:buSzTx/>
            <a:buFontTx/>
            <a:buNone/>
            <a:tabLst/>
            <a:defRPr/>
          </a:pPr>
          <a:r>
            <a:rPr lang="fa-IR" sz="1200" b="1">
              <a:solidFill>
                <a:sysClr val="windowText" lastClr="000000"/>
              </a:solidFill>
              <a:effectLst/>
              <a:latin typeface="+mn-lt"/>
              <a:ea typeface="+mn-ea"/>
              <a:cs typeface="B Titr" panose="00000700000000000000" pitchFamily="2" charset="-78"/>
            </a:rPr>
            <a:t>جهت محاسبه انتشارات</a:t>
          </a:r>
          <a:r>
            <a:rPr lang="fa-IR" sz="1200" b="1" baseline="0">
              <a:solidFill>
                <a:sysClr val="windowText" lastClr="000000"/>
              </a:solidFill>
              <a:effectLst/>
              <a:latin typeface="+mn-lt"/>
              <a:ea typeface="+mn-ea"/>
              <a:cs typeface="B Titr" panose="00000700000000000000" pitchFamily="2" charset="-78"/>
            </a:rPr>
            <a:t> فرار </a:t>
          </a:r>
          <a:r>
            <a:rPr lang="fa-IR" sz="1200" b="1">
              <a:solidFill>
                <a:sysClr val="windowText" lastClr="000000"/>
              </a:solidFill>
              <a:effectLst/>
              <a:latin typeface="+mn-lt"/>
              <a:ea typeface="+mn-ea"/>
              <a:cs typeface="B Titr" panose="00000700000000000000" pitchFamily="2" charset="-78"/>
            </a:rPr>
            <a:t>از سيستم‌هاي تصفيه پساب در</a:t>
          </a:r>
          <a:r>
            <a:rPr lang="fa-IR" sz="1200" b="1" baseline="0">
              <a:solidFill>
                <a:sysClr val="windowText" lastClr="000000"/>
              </a:solidFill>
              <a:effectLst/>
              <a:latin typeface="+mn-lt"/>
              <a:ea typeface="+mn-ea"/>
              <a:cs typeface="B Titr" panose="00000700000000000000" pitchFamily="2" charset="-78"/>
            </a:rPr>
            <a:t> تمام سازمان‌هاي وزارت نفت</a:t>
          </a:r>
          <a:endParaRPr lang="fa-IR" sz="1200" b="1">
            <a:solidFill>
              <a:sysClr val="windowText" lastClr="000000"/>
            </a:solidFill>
            <a:effectLst/>
            <a:latin typeface="+mn-lt"/>
            <a:ea typeface="+mn-ea"/>
            <a:cs typeface="B Titr" panose="00000700000000000000" pitchFamily="2" charset="-78"/>
          </a:endParaRPr>
        </a:p>
      </xdr:txBody>
    </xdr:sp>
    <xdr:clientData/>
  </xdr:twoCellAnchor>
  <xdr:twoCellAnchor>
    <xdr:from>
      <xdr:col>29</xdr:col>
      <xdr:colOff>120650</xdr:colOff>
      <xdr:row>6</xdr:row>
      <xdr:rowOff>384175</xdr:rowOff>
    </xdr:from>
    <xdr:to>
      <xdr:col>37</xdr:col>
      <xdr:colOff>206375</xdr:colOff>
      <xdr:row>7</xdr:row>
      <xdr:rowOff>457200</xdr:rowOff>
    </xdr:to>
    <xdr:sp macro="" textlink="">
      <xdr:nvSpPr>
        <xdr:cNvPr id="10" name="Rounded Rectangle 9">
          <a:hlinkClick xmlns:r="http://schemas.openxmlformats.org/officeDocument/2006/relationships" r:id="rId5"/>
        </xdr:cNvPr>
        <xdr:cNvSpPr/>
      </xdr:nvSpPr>
      <xdr:spPr>
        <a:xfrm>
          <a:off x="10900759250" y="3019425"/>
          <a:ext cx="7927975" cy="469900"/>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راهنماي كلي بخش محاسبه عدم قطعيت  انتشارات فرار سيستم‌هاي تصفیه پساب </a:t>
          </a:r>
        </a:p>
      </xdr:txBody>
    </xdr:sp>
    <xdr:clientData/>
  </xdr:twoCellAnchor>
  <xdr:twoCellAnchor>
    <xdr:from>
      <xdr:col>30</xdr:col>
      <xdr:colOff>1139537</xdr:colOff>
      <xdr:row>20</xdr:row>
      <xdr:rowOff>57726</xdr:rowOff>
    </xdr:from>
    <xdr:to>
      <xdr:col>38</xdr:col>
      <xdr:colOff>65600</xdr:colOff>
      <xdr:row>20</xdr:row>
      <xdr:rowOff>378401</xdr:rowOff>
    </xdr:to>
    <xdr:sp macro="" textlink="">
      <xdr:nvSpPr>
        <xdr:cNvPr id="11" name="Rounded Rectangle 10">
          <a:hlinkClick xmlns:r="http://schemas.openxmlformats.org/officeDocument/2006/relationships" r:id="rId6"/>
        </xdr:cNvPr>
        <xdr:cNvSpPr/>
      </xdr:nvSpPr>
      <xdr:spPr>
        <a:xfrm>
          <a:off x="10758808672" y="8936181"/>
          <a:ext cx="6453700" cy="320675"/>
        </a:xfrm>
        <a:prstGeom prst="roundRect">
          <a:avLst/>
        </a:prstGeom>
        <a:solidFill>
          <a:srgbClr val="EEF381"/>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1" anchor="ctr"/>
        <a:lstStyle/>
        <a:p>
          <a:pPr algn="ctr" rtl="1"/>
          <a:r>
            <a:rPr lang="fa-IR" sz="1200">
              <a:solidFill>
                <a:sysClr val="windowText" lastClr="000000"/>
              </a:solidFill>
              <a:cs typeface="B Titr" panose="00000700000000000000" pitchFamily="2" charset="-78"/>
            </a:rPr>
            <a:t>بازگشت به</a:t>
          </a:r>
          <a:r>
            <a:rPr lang="fa-IR" sz="1200" baseline="0">
              <a:solidFill>
                <a:sysClr val="windowText" lastClr="000000"/>
              </a:solidFill>
              <a:cs typeface="B Titr" panose="00000700000000000000" pitchFamily="2" charset="-78"/>
            </a:rPr>
            <a:t> بالاي صفحه</a:t>
          </a:r>
          <a:endParaRPr lang="fa-IR" sz="1200">
            <a:solidFill>
              <a:sysClr val="windowText" lastClr="000000"/>
            </a:solidFill>
            <a:cs typeface="B Titr" panose="00000700000000000000" pitchFamily="2" charset="-78"/>
          </a:endParaRPr>
        </a:p>
      </xdr:txBody>
    </xdr:sp>
    <xdr:clientData/>
  </xdr:twoCellAnchor>
  <xdr:twoCellAnchor>
    <xdr:from>
      <xdr:col>31</xdr:col>
      <xdr:colOff>771072</xdr:colOff>
      <xdr:row>10</xdr:row>
      <xdr:rowOff>526143</xdr:rowOff>
    </xdr:from>
    <xdr:to>
      <xdr:col>32</xdr:col>
      <xdr:colOff>471713</xdr:colOff>
      <xdr:row>11</xdr:row>
      <xdr:rowOff>254000</xdr:rowOff>
    </xdr:to>
    <xdr:sp macro="" textlink="">
      <xdr:nvSpPr>
        <xdr:cNvPr id="12" name="Rounded Rectangle 11">
          <a:hlinkClick xmlns:r="http://schemas.openxmlformats.org/officeDocument/2006/relationships" r:id="rId7"/>
        </xdr:cNvPr>
        <xdr:cNvSpPr/>
      </xdr:nvSpPr>
      <xdr:spPr>
        <a:xfrm>
          <a:off x="10830242501" y="4708072"/>
          <a:ext cx="1324427" cy="362857"/>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twoCellAnchor>
    <xdr:from>
      <xdr:col>29</xdr:col>
      <xdr:colOff>335642</xdr:colOff>
      <xdr:row>10</xdr:row>
      <xdr:rowOff>517071</xdr:rowOff>
    </xdr:from>
    <xdr:to>
      <xdr:col>29</xdr:col>
      <xdr:colOff>1660069</xdr:colOff>
      <xdr:row>11</xdr:row>
      <xdr:rowOff>244928</xdr:rowOff>
    </xdr:to>
    <xdr:sp macro="" textlink="">
      <xdr:nvSpPr>
        <xdr:cNvPr id="13" name="Rounded Rectangle 12">
          <a:hlinkClick xmlns:r="http://schemas.openxmlformats.org/officeDocument/2006/relationships" r:id="rId7"/>
        </xdr:cNvPr>
        <xdr:cNvSpPr/>
      </xdr:nvSpPr>
      <xdr:spPr>
        <a:xfrm>
          <a:off x="10834070645" y="4699000"/>
          <a:ext cx="1324427" cy="362857"/>
        </a:xfrm>
        <a:prstGeom prst="roundRect">
          <a:avLst/>
        </a:prstGeom>
        <a:solidFill>
          <a:srgbClr val="EEF381"/>
        </a:solidFill>
        <a:effectLst>
          <a:outerShdw blurRad="40000" dist="23000" dir="5400000" rotWithShape="0">
            <a:srgbClr val="000000">
              <a:alpha val="35000"/>
            </a:srgbClr>
          </a:outerShdw>
        </a:effectLst>
        <a:scene3d>
          <a:camera prst="orthographicFront">
            <a:rot lat="0" lon="0" rev="0"/>
          </a:camera>
          <a:lightRig rig="threePt" dir="t">
            <a:rot lat="0" lon="0" rev="1200000"/>
          </a:lightRig>
        </a:scene3d>
      </xdr:spPr>
      <xdr:style>
        <a:lnRef idx="0">
          <a:schemeClr val="accent5"/>
        </a:lnRef>
        <a:fillRef idx="3">
          <a:schemeClr val="accent5"/>
        </a:fillRef>
        <a:effectRef idx="3">
          <a:schemeClr val="accent5"/>
        </a:effectRef>
        <a:fontRef idx="minor">
          <a:schemeClr val="lt1"/>
        </a:fontRef>
      </xdr:style>
      <xdr:txBody>
        <a:bodyPr vertOverflow="clip" horzOverflow="clip" rtlCol="1" anchor="ctr"/>
        <a:lstStyle/>
        <a:p>
          <a:pPr algn="ctr" rtl="1"/>
          <a:r>
            <a:rPr lang="fa-IR" sz="1800">
              <a:solidFill>
                <a:sysClr val="windowText" lastClr="000000"/>
              </a:solidFill>
              <a:cs typeface="B Titr" panose="00000700000000000000" pitchFamily="2" charset="-78"/>
            </a:rPr>
            <a:t>راهنما</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ir%20Pollutant%20Emission/EXCEL/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Intro"/>
      <sheetName val="General"/>
      <sheetName val="combustion"/>
      <sheetName val="flare"/>
      <sheetName val="WasteBurners"/>
      <sheetName val="Fugitives"/>
      <sheetName val="Vent"/>
      <sheetName val="Indirect"/>
      <sheetName val="total"/>
      <sheetName val="compositions"/>
      <sheetName val="Unit Conversion"/>
    </sheetNames>
    <sheetDataSet>
      <sheetData sheetId="0">
        <row r="4">
          <cell r="C4" t="str">
            <v>NaturalGas</v>
          </cell>
          <cell r="D4">
            <v>3.4200000000000001E-2</v>
          </cell>
          <cell r="E4">
            <v>5.6099999999999997E-2</v>
          </cell>
        </row>
        <row r="5">
          <cell r="C5" t="str">
            <v>RefineryGas</v>
          </cell>
          <cell r="D5" t="str">
            <v>ND</v>
          </cell>
          <cell r="E5">
            <v>5.7599999999999998E-2</v>
          </cell>
        </row>
        <row r="6">
          <cell r="C6" t="str">
            <v>FuelGas</v>
          </cell>
          <cell r="D6" t="str">
            <v>ND</v>
          </cell>
          <cell r="E6" t="str">
            <v>ND</v>
          </cell>
        </row>
        <row r="7">
          <cell r="C7" t="str">
            <v>OffGas</v>
          </cell>
          <cell r="D7" t="str">
            <v>ND</v>
          </cell>
          <cell r="E7" t="str">
            <v>ND</v>
          </cell>
        </row>
        <row r="8">
          <cell r="C8" t="str">
            <v>OtherGas1</v>
          </cell>
          <cell r="D8" t="str">
            <v>ND</v>
          </cell>
          <cell r="E8" t="str">
            <v>ND</v>
          </cell>
        </row>
        <row r="9">
          <cell r="C9" t="str">
            <v>OtherGas2</v>
          </cell>
          <cell r="D9" t="str">
            <v>ND</v>
          </cell>
          <cell r="E9" t="str">
            <v>ND</v>
          </cell>
        </row>
        <row r="10">
          <cell r="C10" t="str">
            <v>LPG</v>
          </cell>
          <cell r="D10">
            <v>2.649E-2</v>
          </cell>
          <cell r="E10">
            <v>6.3100000000000003E-2</v>
          </cell>
          <cell r="X10" t="str">
            <v>LPG</v>
          </cell>
        </row>
        <row r="11">
          <cell r="C11" t="str">
            <v>Gasoline</v>
          </cell>
          <cell r="D11">
            <v>3.3099999999999997E-2</v>
          </cell>
          <cell r="E11">
            <v>6.93E-2</v>
          </cell>
          <cell r="X11" t="str">
            <v>Gasoline</v>
          </cell>
        </row>
        <row r="12">
          <cell r="C12" t="str">
            <v>Kerosen</v>
          </cell>
          <cell r="D12">
            <v>3.5700000000000003E-2</v>
          </cell>
          <cell r="E12">
            <v>7.1900000000000006E-2</v>
          </cell>
          <cell r="X12" t="str">
            <v>Kerosen</v>
          </cell>
        </row>
        <row r="13">
          <cell r="C13" t="str">
            <v>Naphtha</v>
          </cell>
          <cell r="D13">
            <v>3.3099999999999997E-2</v>
          </cell>
          <cell r="E13">
            <v>7.3300000000000004E-2</v>
          </cell>
          <cell r="X13" t="str">
            <v>Naphtha</v>
          </cell>
        </row>
        <row r="14">
          <cell r="C14" t="str">
            <v>GasOil</v>
          </cell>
          <cell r="D14">
            <v>3.6700000000000003E-2</v>
          </cell>
          <cell r="E14">
            <v>7.4099999999999999E-2</v>
          </cell>
          <cell r="X14" t="str">
            <v>GasOil</v>
          </cell>
        </row>
        <row r="15">
          <cell r="C15" t="str">
            <v>FuelOil</v>
          </cell>
          <cell r="D15">
            <v>3.9600000000000003E-2</v>
          </cell>
          <cell r="E15">
            <v>7.7399999999999997E-2</v>
          </cell>
          <cell r="X15" t="str">
            <v>FuelOil</v>
          </cell>
        </row>
        <row r="16">
          <cell r="C16" t="str">
            <v>CrudeOil</v>
          </cell>
          <cell r="D16">
            <v>3.6600000000000001E-2</v>
          </cell>
          <cell r="E16">
            <v>7.3300000000000004E-2</v>
          </cell>
          <cell r="X16" t="str">
            <v>CrudeOil</v>
          </cell>
        </row>
        <row r="17">
          <cell r="C17" t="str">
            <v>OtherLiquid1</v>
          </cell>
          <cell r="D17" t="str">
            <v>ND</v>
          </cell>
          <cell r="E17" t="str">
            <v>ND</v>
          </cell>
          <cell r="X17" t="str">
            <v>OtherLiquid1</v>
          </cell>
        </row>
        <row r="18">
          <cell r="C18" t="str">
            <v>OtherLiquid2</v>
          </cell>
          <cell r="D18" t="str">
            <v>ND</v>
          </cell>
          <cell r="E18" t="str">
            <v>ND</v>
          </cell>
          <cell r="X18" t="str">
            <v>OtherLiquid2</v>
          </cell>
        </row>
        <row r="27">
          <cell r="D27">
            <v>0.2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vertOverflow="clip" horzOverflow="clip" rtlCol="1" anchor="t">
        <a:spAutoFit/>
      </a:bodyPr>
      <a:lstStyle>
        <a:defPPr algn="r" rtl="1">
          <a:defRPr sz="1100" i="1">
            <a:latin typeface="Cambria Math"/>
          </a:defRPr>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EF381"/>
  </sheetPr>
  <dimension ref="B1:J22"/>
  <sheetViews>
    <sheetView rightToLeft="1" tabSelected="1" zoomScale="85" zoomScaleNormal="85" workbookViewId="0">
      <selection activeCell="B2" sqref="B2:J2"/>
    </sheetView>
  </sheetViews>
  <sheetFormatPr defaultColWidth="8.69921875" defaultRowHeight="15"/>
  <cols>
    <col min="1" max="1" width="8.69921875" style="458"/>
    <col min="2" max="10" width="18.19921875" style="458" customWidth="1"/>
    <col min="11" max="16384" width="8.69921875" style="458"/>
  </cols>
  <sheetData>
    <row r="1" spans="2:10" ht="21" thickBot="1">
      <c r="B1" s="945" t="s">
        <v>886</v>
      </c>
      <c r="C1" s="946"/>
      <c r="D1" s="946"/>
      <c r="E1" s="946"/>
      <c r="F1" s="946"/>
      <c r="G1" s="946"/>
      <c r="H1" s="946"/>
      <c r="I1" s="946"/>
      <c r="J1" s="947"/>
    </row>
    <row r="2" spans="2:10" ht="76.05" customHeight="1" thickBot="1">
      <c r="B2" s="948" t="s">
        <v>1202</v>
      </c>
      <c r="C2" s="949"/>
      <c r="D2" s="949"/>
      <c r="E2" s="949"/>
      <c r="F2" s="949"/>
      <c r="G2" s="949"/>
      <c r="H2" s="949"/>
      <c r="I2" s="949"/>
      <c r="J2" s="950"/>
    </row>
    <row r="3" spans="2:10" s="478" customFormat="1" ht="20.55" customHeight="1">
      <c r="B3" s="954" t="s">
        <v>891</v>
      </c>
      <c r="C3" s="955"/>
      <c r="D3" s="955"/>
      <c r="E3" s="955"/>
      <c r="F3" s="955"/>
      <c r="G3" s="955"/>
      <c r="H3" s="955"/>
      <c r="I3" s="955"/>
      <c r="J3" s="956"/>
    </row>
    <row r="4" spans="2:10" ht="62.55" customHeight="1">
      <c r="B4" s="938" t="s">
        <v>893</v>
      </c>
      <c r="C4" s="939"/>
      <c r="D4" s="939"/>
      <c r="E4" s="939"/>
      <c r="F4" s="939"/>
      <c r="G4" s="939"/>
      <c r="H4" s="939"/>
      <c r="I4" s="939"/>
      <c r="J4" s="940"/>
    </row>
    <row r="5" spans="2:10" s="478" customFormat="1" ht="20.55" customHeight="1">
      <c r="B5" s="957" t="s">
        <v>892</v>
      </c>
      <c r="C5" s="958"/>
      <c r="D5" s="958"/>
      <c r="E5" s="958"/>
      <c r="F5" s="958"/>
      <c r="G5" s="958"/>
      <c r="H5" s="958"/>
      <c r="I5" s="958"/>
      <c r="J5" s="959"/>
    </row>
    <row r="6" spans="2:10" ht="46.95" customHeight="1" thickBot="1">
      <c r="B6" s="938" t="s">
        <v>894</v>
      </c>
      <c r="C6" s="939"/>
      <c r="D6" s="939"/>
      <c r="E6" s="939"/>
      <c r="F6" s="939"/>
      <c r="G6" s="939"/>
      <c r="H6" s="939"/>
      <c r="I6" s="939"/>
      <c r="J6" s="940"/>
    </row>
    <row r="7" spans="2:10" ht="20.55" customHeight="1">
      <c r="B7" s="942" t="s">
        <v>879</v>
      </c>
      <c r="C7" s="943"/>
      <c r="D7" s="943"/>
      <c r="E7" s="943"/>
      <c r="F7" s="943"/>
      <c r="G7" s="943"/>
      <c r="H7" s="943"/>
      <c r="I7" s="943"/>
      <c r="J7" s="944"/>
    </row>
    <row r="8" spans="2:10" s="478" customFormat="1" ht="28.95" customHeight="1">
      <c r="B8" s="479"/>
      <c r="C8" s="951" t="s">
        <v>880</v>
      </c>
      <c r="D8" s="952"/>
      <c r="E8" s="952"/>
      <c r="F8" s="952"/>
      <c r="G8" s="952"/>
      <c r="H8" s="952"/>
      <c r="I8" s="952"/>
      <c r="J8" s="953"/>
    </row>
    <row r="9" spans="2:10" s="478" customFormat="1" ht="28.95" customHeight="1">
      <c r="B9" s="480"/>
      <c r="C9" s="963" t="s">
        <v>887</v>
      </c>
      <c r="D9" s="963"/>
      <c r="E9" s="963"/>
      <c r="F9" s="963"/>
      <c r="G9" s="963"/>
      <c r="H9" s="963"/>
      <c r="I9" s="963"/>
      <c r="J9" s="964"/>
    </row>
    <row r="10" spans="2:10" s="478" customFormat="1" ht="28.95" customHeight="1" thickBot="1">
      <c r="B10" s="481" t="s">
        <v>881</v>
      </c>
      <c r="C10" s="963" t="s">
        <v>888</v>
      </c>
      <c r="D10" s="963"/>
      <c r="E10" s="963"/>
      <c r="F10" s="963"/>
      <c r="G10" s="963"/>
      <c r="H10" s="963"/>
      <c r="I10" s="963"/>
      <c r="J10" s="964"/>
    </row>
    <row r="11" spans="2:10" ht="20.55" customHeight="1">
      <c r="B11" s="942" t="s">
        <v>913</v>
      </c>
      <c r="C11" s="943"/>
      <c r="D11" s="943"/>
      <c r="E11" s="943"/>
      <c r="F11" s="943"/>
      <c r="G11" s="943"/>
      <c r="H11" s="943"/>
      <c r="I11" s="943"/>
      <c r="J11" s="944"/>
    </row>
    <row r="12" spans="2:10" s="478" customFormat="1" ht="28.05" customHeight="1">
      <c r="B12" s="482" t="s">
        <v>882</v>
      </c>
      <c r="C12" s="965" t="s">
        <v>914</v>
      </c>
      <c r="D12" s="965"/>
      <c r="E12" s="965"/>
      <c r="F12" s="965"/>
      <c r="G12" s="965"/>
      <c r="H12" s="965"/>
      <c r="I12" s="965"/>
      <c r="J12" s="966"/>
    </row>
    <row r="13" spans="2:10" s="478" customFormat="1" ht="28.05" customHeight="1" thickBot="1">
      <c r="B13" s="483" t="s">
        <v>882</v>
      </c>
      <c r="C13" s="967" t="s">
        <v>915</v>
      </c>
      <c r="D13" s="967"/>
      <c r="E13" s="967"/>
      <c r="F13" s="967"/>
      <c r="G13" s="967"/>
      <c r="H13" s="967"/>
      <c r="I13" s="967"/>
      <c r="J13" s="968"/>
    </row>
    <row r="14" spans="2:10" ht="20.55" customHeight="1">
      <c r="B14" s="960" t="s">
        <v>883</v>
      </c>
      <c r="C14" s="961"/>
      <c r="D14" s="961"/>
      <c r="E14" s="961"/>
      <c r="F14" s="961"/>
      <c r="G14" s="961"/>
      <c r="H14" s="961"/>
      <c r="I14" s="961"/>
      <c r="J14" s="962"/>
    </row>
    <row r="15" spans="2:10" ht="22.05" customHeight="1">
      <c r="B15" s="938" t="s">
        <v>884</v>
      </c>
      <c r="C15" s="939"/>
      <c r="D15" s="939"/>
      <c r="E15" s="939"/>
      <c r="F15" s="939"/>
      <c r="G15" s="939"/>
      <c r="H15" s="939"/>
      <c r="I15" s="939"/>
      <c r="J15" s="940"/>
    </row>
    <row r="16" spans="2:10" ht="22.5" customHeight="1">
      <c r="B16" s="476" t="s">
        <v>882</v>
      </c>
      <c r="C16" s="934" t="s">
        <v>885</v>
      </c>
      <c r="D16" s="934"/>
      <c r="E16" s="934"/>
      <c r="F16" s="934"/>
      <c r="G16" s="934"/>
      <c r="H16" s="934"/>
      <c r="I16" s="934"/>
      <c r="J16" s="935"/>
    </row>
    <row r="17" spans="2:10" ht="22.5" customHeight="1">
      <c r="B17" s="476" t="s">
        <v>882</v>
      </c>
      <c r="C17" s="934" t="s">
        <v>1201</v>
      </c>
      <c r="D17" s="934"/>
      <c r="E17" s="934"/>
      <c r="F17" s="934"/>
      <c r="G17" s="934"/>
      <c r="H17" s="934"/>
      <c r="I17" s="934"/>
      <c r="J17" s="935"/>
    </row>
    <row r="18" spans="2:10" ht="22.5" customHeight="1">
      <c r="B18" s="476" t="s">
        <v>882</v>
      </c>
      <c r="C18" s="934" t="s">
        <v>889</v>
      </c>
      <c r="D18" s="934"/>
      <c r="E18" s="934"/>
      <c r="F18" s="934"/>
      <c r="G18" s="934"/>
      <c r="H18" s="934"/>
      <c r="I18" s="934"/>
      <c r="J18" s="935"/>
    </row>
    <row r="19" spans="2:10" ht="22.5" customHeight="1">
      <c r="B19" s="476" t="s">
        <v>882</v>
      </c>
      <c r="C19" s="934" t="s">
        <v>1200</v>
      </c>
      <c r="D19" s="934"/>
      <c r="E19" s="934"/>
      <c r="F19" s="934"/>
      <c r="G19" s="934"/>
      <c r="H19" s="934"/>
      <c r="I19" s="934"/>
      <c r="J19" s="935"/>
    </row>
    <row r="20" spans="2:10" ht="22.5" customHeight="1" thickBot="1">
      <c r="B20" s="477" t="s">
        <v>882</v>
      </c>
      <c r="C20" s="936" t="s">
        <v>890</v>
      </c>
      <c r="D20" s="936"/>
      <c r="E20" s="936"/>
      <c r="F20" s="936"/>
      <c r="G20" s="936"/>
      <c r="H20" s="936"/>
      <c r="I20" s="936"/>
      <c r="J20" s="937"/>
    </row>
    <row r="21" spans="2:10" ht="20.399999999999999">
      <c r="B21" s="942" t="s">
        <v>1204</v>
      </c>
      <c r="C21" s="943"/>
      <c r="D21" s="943"/>
      <c r="E21" s="943"/>
      <c r="F21" s="943"/>
      <c r="G21" s="943"/>
      <c r="H21" s="943"/>
      <c r="I21" s="943"/>
      <c r="J21" s="944"/>
    </row>
    <row r="22" spans="2:10" ht="40.5" customHeight="1" thickBot="1">
      <c r="B22" s="941" t="s">
        <v>1203</v>
      </c>
      <c r="C22" s="936"/>
      <c r="D22" s="936"/>
      <c r="E22" s="936"/>
      <c r="F22" s="936"/>
      <c r="G22" s="936"/>
      <c r="H22" s="936"/>
      <c r="I22" s="936"/>
      <c r="J22" s="937"/>
    </row>
  </sheetData>
  <sheetProtection password="9F15" sheet="1" objects="1" scenarios="1"/>
  <mergeCells count="22">
    <mergeCell ref="B22:J22"/>
    <mergeCell ref="B21:J21"/>
    <mergeCell ref="B1:J1"/>
    <mergeCell ref="B2:J2"/>
    <mergeCell ref="B4:J4"/>
    <mergeCell ref="B6:J6"/>
    <mergeCell ref="C8:J8"/>
    <mergeCell ref="B3:J3"/>
    <mergeCell ref="B5:J5"/>
    <mergeCell ref="B11:J11"/>
    <mergeCell ref="B7:J7"/>
    <mergeCell ref="B14:J14"/>
    <mergeCell ref="C9:J9"/>
    <mergeCell ref="C10:J10"/>
    <mergeCell ref="C12:J12"/>
    <mergeCell ref="C13:J13"/>
    <mergeCell ref="C17:J17"/>
    <mergeCell ref="C18:J18"/>
    <mergeCell ref="C19:J19"/>
    <mergeCell ref="C20:J20"/>
    <mergeCell ref="B15:J15"/>
    <mergeCell ref="C16:J16"/>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CB08D"/>
  </sheetPr>
  <dimension ref="A1:BI29"/>
  <sheetViews>
    <sheetView rightToLeft="1" zoomScale="50" zoomScaleNormal="50" workbookViewId="0">
      <selection sqref="A1:AS1"/>
    </sheetView>
  </sheetViews>
  <sheetFormatPr defaultColWidth="8.69921875" defaultRowHeight="15"/>
  <cols>
    <col min="1" max="1" width="4.296875" style="98" customWidth="1"/>
    <col min="2" max="2" width="38.59765625" style="98" customWidth="1"/>
    <col min="3" max="3" width="8" style="98" customWidth="1"/>
    <col min="4" max="4" width="13.69921875" style="98" customWidth="1"/>
    <col min="5" max="5" width="12.8984375" style="98" customWidth="1"/>
    <col min="6" max="6" width="21.5" style="98" customWidth="1"/>
    <col min="7" max="7" width="6.19921875" style="98" customWidth="1"/>
    <col min="8" max="8" width="5.69921875" style="98" customWidth="1"/>
    <col min="9" max="13" width="6.19921875" style="98" customWidth="1"/>
    <col min="14" max="14" width="17.796875" style="98" customWidth="1"/>
    <col min="15" max="15" width="29.09765625" style="98" customWidth="1"/>
    <col min="16" max="19" width="5.296875" style="98" customWidth="1"/>
    <col min="20" max="20" width="13.5" style="98" customWidth="1"/>
    <col min="21" max="21" width="18.3984375" style="98" customWidth="1"/>
    <col min="22" max="25" width="5.69921875" style="98" customWidth="1"/>
    <col min="26" max="26" width="13.59765625" style="98" customWidth="1"/>
    <col min="27" max="27" width="4.296875" style="98" customWidth="1"/>
    <col min="28" max="29" width="8.69921875" style="98"/>
    <col min="30" max="30" width="25.59765625" style="98" customWidth="1"/>
    <col min="31" max="31" width="18.8984375" style="98" customWidth="1"/>
    <col min="32" max="32" width="21.19921875" style="98" customWidth="1"/>
    <col min="33" max="33" width="15.3984375" style="98" customWidth="1"/>
    <col min="34" max="38" width="8.69921875" style="98"/>
    <col min="39" max="42" width="8" style="98" customWidth="1"/>
    <col min="43" max="44" width="17.19921875" style="98" customWidth="1"/>
    <col min="45" max="46" width="8.69921875" style="98"/>
    <col min="47" max="56" width="0" style="98" hidden="1" customWidth="1"/>
    <col min="57" max="57" width="11.3984375" style="98" hidden="1" customWidth="1"/>
    <col min="58" max="58" width="0" style="98" hidden="1" customWidth="1"/>
    <col min="59" max="59" width="9.3984375" style="98" hidden="1" customWidth="1"/>
    <col min="60" max="61" width="12.19921875" style="98" hidden="1" customWidth="1"/>
    <col min="62" max="16384" width="8.69921875" style="98"/>
  </cols>
  <sheetData>
    <row r="1" spans="1:61" s="213" customFormat="1" ht="33" thickBot="1">
      <c r="A1" s="2274" t="s">
        <v>1027</v>
      </c>
      <c r="B1" s="2275"/>
      <c r="C1" s="2275"/>
      <c r="D1" s="2275"/>
      <c r="E1" s="2275"/>
      <c r="F1" s="2275"/>
      <c r="G1" s="2275"/>
      <c r="H1" s="2275"/>
      <c r="I1" s="2275"/>
      <c r="J1" s="2275"/>
      <c r="K1" s="2275"/>
      <c r="L1" s="2275"/>
      <c r="M1" s="2275"/>
      <c r="N1" s="2275"/>
      <c r="O1" s="2275"/>
      <c r="P1" s="2275"/>
      <c r="Q1" s="2275"/>
      <c r="R1" s="2275"/>
      <c r="S1" s="2275"/>
      <c r="T1" s="2275"/>
      <c r="U1" s="2275"/>
      <c r="V1" s="2275"/>
      <c r="W1" s="2275"/>
      <c r="X1" s="2275"/>
      <c r="Y1" s="2275"/>
      <c r="Z1" s="2275"/>
      <c r="AA1" s="2275"/>
      <c r="AB1" s="2275"/>
      <c r="AC1" s="2275"/>
      <c r="AD1" s="2275"/>
      <c r="AE1" s="2275"/>
      <c r="AF1" s="2275"/>
      <c r="AG1" s="2275"/>
      <c r="AH1" s="2275"/>
      <c r="AI1" s="2275"/>
      <c r="AJ1" s="2275"/>
      <c r="AK1" s="2275"/>
      <c r="AL1" s="2275"/>
      <c r="AM1" s="2275"/>
      <c r="AN1" s="2275"/>
      <c r="AO1" s="2275"/>
      <c r="AP1" s="2275"/>
      <c r="AQ1" s="2275"/>
      <c r="AR1" s="2275"/>
      <c r="AS1" s="2276"/>
      <c r="AT1" s="478"/>
    </row>
    <row r="2" spans="1:61" s="213" customFormat="1" ht="50.55" customHeight="1" thickBot="1">
      <c r="A2" s="1175" t="s">
        <v>702</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175"/>
      <c r="AA2" s="1175"/>
      <c r="AB2" s="843"/>
      <c r="AC2" s="1966" t="s">
        <v>1447</v>
      </c>
      <c r="AD2" s="1444"/>
      <c r="AE2" s="1444"/>
      <c r="AF2" s="1444"/>
      <c r="AG2" s="1444"/>
      <c r="AH2" s="1444"/>
      <c r="AI2" s="1444"/>
      <c r="AJ2" s="1444"/>
      <c r="AK2" s="1444"/>
      <c r="AL2" s="1444"/>
      <c r="AM2" s="1444"/>
      <c r="AN2" s="1444"/>
      <c r="AO2" s="1444"/>
      <c r="AP2" s="1444"/>
      <c r="AQ2" s="1444"/>
      <c r="AR2" s="1444"/>
      <c r="AS2" s="1967"/>
      <c r="AT2" s="478"/>
    </row>
    <row r="3" spans="1:61" s="213" customFormat="1" ht="31.5" customHeight="1" thickBot="1">
      <c r="A3" s="2223"/>
      <c r="B3" s="725" t="s">
        <v>741</v>
      </c>
      <c r="C3" s="214" t="s">
        <v>65</v>
      </c>
      <c r="D3" s="1184" t="s">
        <v>827</v>
      </c>
      <c r="E3" s="1184"/>
      <c r="F3" s="702">
        <v>0</v>
      </c>
      <c r="G3" s="413" t="s">
        <v>146</v>
      </c>
      <c r="H3" s="796" t="s">
        <v>743</v>
      </c>
      <c r="I3" s="1794"/>
      <c r="J3" s="1176"/>
      <c r="K3" s="1176"/>
      <c r="L3" s="1176"/>
      <c r="M3" s="1176"/>
      <c r="N3" s="1176"/>
      <c r="O3" s="1176"/>
      <c r="P3" s="1176"/>
      <c r="Q3" s="1176"/>
      <c r="R3" s="1176"/>
      <c r="S3" s="1176"/>
      <c r="T3" s="1176"/>
      <c r="U3" s="1176"/>
      <c r="V3" s="1176"/>
      <c r="W3" s="1176"/>
      <c r="X3" s="1176"/>
      <c r="Y3" s="1176"/>
      <c r="Z3" s="1176"/>
      <c r="AA3" s="1176"/>
      <c r="AB3" s="843"/>
      <c r="AC3" s="585"/>
      <c r="AD3" s="1182" t="s">
        <v>1269</v>
      </c>
      <c r="AE3" s="1182"/>
      <c r="AF3" s="545" t="s">
        <v>356</v>
      </c>
      <c r="AG3" s="1181"/>
      <c r="AH3" s="1181"/>
      <c r="AI3" s="1181"/>
      <c r="AJ3" s="1181"/>
      <c r="AK3" s="546" t="s">
        <v>1259</v>
      </c>
      <c r="AL3" s="545" t="s">
        <v>743</v>
      </c>
      <c r="AM3" s="545"/>
      <c r="AN3" s="540"/>
      <c r="AO3" s="540"/>
      <c r="AP3" s="540"/>
      <c r="AQ3" s="540"/>
      <c r="AR3" s="540"/>
      <c r="AS3" s="583"/>
      <c r="AT3" s="478"/>
    </row>
    <row r="4" spans="1:61" s="213" customFormat="1" ht="31.5" customHeight="1" thickBot="1">
      <c r="A4" s="2223"/>
      <c r="B4" s="725" t="s">
        <v>741</v>
      </c>
      <c r="C4" s="214" t="s">
        <v>39</v>
      </c>
      <c r="D4" s="1184" t="s">
        <v>827</v>
      </c>
      <c r="E4" s="1184"/>
      <c r="F4" s="702">
        <v>0</v>
      </c>
      <c r="G4" s="413" t="s">
        <v>146</v>
      </c>
      <c r="H4" s="796" t="s">
        <v>743</v>
      </c>
      <c r="I4" s="1794"/>
      <c r="J4" s="1176"/>
      <c r="K4" s="1176"/>
      <c r="L4" s="1176"/>
      <c r="M4" s="1176"/>
      <c r="N4" s="1176"/>
      <c r="O4" s="1176"/>
      <c r="P4" s="1176"/>
      <c r="Q4" s="1176"/>
      <c r="R4" s="1176"/>
      <c r="S4" s="1176"/>
      <c r="T4" s="1176"/>
      <c r="U4" s="1176"/>
      <c r="V4" s="1176"/>
      <c r="W4" s="1176"/>
      <c r="X4" s="1176"/>
      <c r="Y4" s="1176"/>
      <c r="Z4" s="1176"/>
      <c r="AA4" s="1176"/>
      <c r="AB4" s="843"/>
      <c r="AC4" s="585"/>
      <c r="AD4" s="1182" t="s">
        <v>1270</v>
      </c>
      <c r="AE4" s="1182"/>
      <c r="AF4" s="545" t="s">
        <v>356</v>
      </c>
      <c r="AG4" s="1181"/>
      <c r="AH4" s="1181"/>
      <c r="AI4" s="1181"/>
      <c r="AJ4" s="1181"/>
      <c r="AK4" s="546" t="s">
        <v>1259</v>
      </c>
      <c r="AL4" s="545" t="s">
        <v>743</v>
      </c>
      <c r="AM4" s="540"/>
      <c r="AN4" s="540"/>
      <c r="AO4" s="540"/>
      <c r="AP4" s="540"/>
      <c r="AQ4" s="540"/>
      <c r="AR4" s="540"/>
      <c r="AS4" s="583"/>
      <c r="AT4" s="478"/>
    </row>
    <row r="5" spans="1:61" s="213" customFormat="1" ht="31.5" customHeight="1" thickBot="1">
      <c r="A5" s="2223"/>
      <c r="B5" s="725" t="s">
        <v>741</v>
      </c>
      <c r="C5" s="214" t="s">
        <v>145</v>
      </c>
      <c r="D5" s="1184" t="s">
        <v>827</v>
      </c>
      <c r="E5" s="1184"/>
      <c r="F5" s="702">
        <v>0</v>
      </c>
      <c r="G5" s="413" t="s">
        <v>146</v>
      </c>
      <c r="H5" s="796" t="s">
        <v>743</v>
      </c>
      <c r="I5" s="1794"/>
      <c r="J5" s="1176"/>
      <c r="K5" s="1176"/>
      <c r="L5" s="1176"/>
      <c r="M5" s="1176"/>
      <c r="N5" s="1176"/>
      <c r="O5" s="1176"/>
      <c r="P5" s="1176"/>
      <c r="Q5" s="1176"/>
      <c r="R5" s="1176"/>
      <c r="S5" s="1176"/>
      <c r="T5" s="1176"/>
      <c r="U5" s="1176"/>
      <c r="V5" s="1176"/>
      <c r="W5" s="1176"/>
      <c r="X5" s="1176"/>
      <c r="Y5" s="1176"/>
      <c r="Z5" s="1176"/>
      <c r="AA5" s="1176"/>
      <c r="AB5" s="843"/>
      <c r="AC5" s="585"/>
      <c r="AD5" s="1182" t="s">
        <v>1271</v>
      </c>
      <c r="AE5" s="1182"/>
      <c r="AF5" s="545" t="s">
        <v>356</v>
      </c>
      <c r="AG5" s="1181"/>
      <c r="AH5" s="1181"/>
      <c r="AI5" s="1181"/>
      <c r="AJ5" s="1181"/>
      <c r="AK5" s="546" t="s">
        <v>1259</v>
      </c>
      <c r="AL5" s="545" t="s">
        <v>743</v>
      </c>
      <c r="AM5" s="540"/>
      <c r="AN5" s="540"/>
      <c r="AO5" s="540"/>
      <c r="AP5" s="540"/>
      <c r="AQ5" s="540"/>
      <c r="AR5" s="540"/>
      <c r="AS5" s="583"/>
      <c r="AT5" s="478"/>
    </row>
    <row r="6" spans="1:61" s="213" customFormat="1" ht="31.5" customHeight="1" thickBot="1">
      <c r="A6" s="2223"/>
      <c r="B6" s="725" t="s">
        <v>741</v>
      </c>
      <c r="C6" s="214" t="s">
        <v>147</v>
      </c>
      <c r="D6" s="1184" t="s">
        <v>827</v>
      </c>
      <c r="E6" s="1184"/>
      <c r="F6" s="702">
        <v>0</v>
      </c>
      <c r="G6" s="413" t="s">
        <v>146</v>
      </c>
      <c r="H6" s="796" t="s">
        <v>743</v>
      </c>
      <c r="I6" s="1794"/>
      <c r="J6" s="1176"/>
      <c r="K6" s="1176"/>
      <c r="L6" s="1176"/>
      <c r="M6" s="1176"/>
      <c r="N6" s="1176"/>
      <c r="O6" s="1176"/>
      <c r="P6" s="1176"/>
      <c r="Q6" s="1176"/>
      <c r="R6" s="1176"/>
      <c r="S6" s="1176"/>
      <c r="T6" s="1176"/>
      <c r="U6" s="1176"/>
      <c r="V6" s="1176"/>
      <c r="W6" s="1176"/>
      <c r="X6" s="1176"/>
      <c r="Y6" s="1176"/>
      <c r="Z6" s="1176"/>
      <c r="AA6" s="1176"/>
      <c r="AB6" s="843"/>
      <c r="AC6" s="585"/>
      <c r="AD6" s="1182" t="s">
        <v>1272</v>
      </c>
      <c r="AE6" s="1182"/>
      <c r="AF6" s="545" t="s">
        <v>356</v>
      </c>
      <c r="AG6" s="1181"/>
      <c r="AH6" s="1181"/>
      <c r="AI6" s="1181"/>
      <c r="AJ6" s="1181"/>
      <c r="AK6" s="546" t="s">
        <v>1259</v>
      </c>
      <c r="AL6" s="545" t="s">
        <v>743</v>
      </c>
      <c r="AM6" s="540"/>
      <c r="AN6" s="540"/>
      <c r="AO6" s="540"/>
      <c r="AP6" s="540"/>
      <c r="AQ6" s="540"/>
      <c r="AR6" s="540"/>
      <c r="AS6" s="583"/>
      <c r="AT6" s="478"/>
    </row>
    <row r="7" spans="1:61" s="213" customFormat="1" ht="31.5" customHeight="1" thickBot="1">
      <c r="A7" s="2223"/>
      <c r="B7" s="725" t="s">
        <v>741</v>
      </c>
      <c r="C7" s="214" t="s">
        <v>31</v>
      </c>
      <c r="D7" s="1184" t="s">
        <v>827</v>
      </c>
      <c r="E7" s="1184"/>
      <c r="F7" s="702">
        <f>(IF(Z13="",0,Z13))</f>
        <v>0</v>
      </c>
      <c r="G7" s="413" t="s">
        <v>146</v>
      </c>
      <c r="H7" s="796" t="s">
        <v>743</v>
      </c>
      <c r="I7" s="1794"/>
      <c r="J7" s="1176"/>
      <c r="K7" s="1176"/>
      <c r="L7" s="1176"/>
      <c r="M7" s="1176"/>
      <c r="N7" s="1176"/>
      <c r="O7" s="1176"/>
      <c r="P7" s="1176"/>
      <c r="Q7" s="1176"/>
      <c r="R7" s="1176"/>
      <c r="S7" s="1176"/>
      <c r="T7" s="1176"/>
      <c r="U7" s="1176"/>
      <c r="V7" s="1176"/>
      <c r="W7" s="1176"/>
      <c r="X7" s="1176"/>
      <c r="Y7" s="1176"/>
      <c r="Z7" s="1176"/>
      <c r="AA7" s="1176"/>
      <c r="AB7" s="843"/>
      <c r="AC7" s="585"/>
      <c r="AD7" s="1182" t="s">
        <v>1273</v>
      </c>
      <c r="AE7" s="1182"/>
      <c r="AF7" s="545" t="s">
        <v>356</v>
      </c>
      <c r="AG7" s="1181" t="str">
        <f>IF(OR(F7=0,F7=""),"",(SQRT(BE13)/F7))</f>
        <v/>
      </c>
      <c r="AH7" s="1181"/>
      <c r="AI7" s="1181"/>
      <c r="AJ7" s="1181"/>
      <c r="AK7" s="546" t="s">
        <v>1259</v>
      </c>
      <c r="AL7" s="545" t="s">
        <v>743</v>
      </c>
      <c r="AM7" s="540"/>
      <c r="AN7" s="540"/>
      <c r="AO7" s="540"/>
      <c r="AP7" s="540"/>
      <c r="AQ7" s="540"/>
      <c r="AR7" s="540"/>
      <c r="AS7" s="583"/>
      <c r="AT7" s="478"/>
    </row>
    <row r="8" spans="1:61" ht="43.05" customHeight="1" thickBot="1">
      <c r="A8" s="2233"/>
      <c r="B8" s="2234"/>
      <c r="C8" s="2234"/>
      <c r="D8" s="2234"/>
      <c r="E8" s="2234"/>
      <c r="F8" s="2234"/>
      <c r="G8" s="2234"/>
      <c r="H8" s="2234"/>
      <c r="I8" s="2234"/>
      <c r="J8" s="2234"/>
      <c r="K8" s="2234"/>
      <c r="L8" s="2234"/>
      <c r="M8" s="2234"/>
      <c r="N8" s="2234"/>
      <c r="O8" s="2234"/>
      <c r="P8" s="2234"/>
      <c r="Q8" s="2234"/>
      <c r="R8" s="2234"/>
      <c r="S8" s="2234"/>
      <c r="T8" s="2234"/>
      <c r="U8" s="2234"/>
      <c r="V8" s="2234"/>
      <c r="W8" s="2234"/>
      <c r="X8" s="2234"/>
      <c r="Y8" s="2234"/>
      <c r="Z8" s="2234"/>
      <c r="AA8" s="2234"/>
      <c r="AB8" s="458"/>
      <c r="AC8" s="612"/>
      <c r="AD8" s="613"/>
      <c r="AE8" s="613"/>
      <c r="AF8" s="613"/>
      <c r="AG8" s="613"/>
      <c r="AH8" s="613"/>
      <c r="AI8" s="613"/>
      <c r="AJ8" s="613"/>
      <c r="AK8" s="613"/>
      <c r="AL8" s="613"/>
      <c r="AM8" s="613"/>
      <c r="AN8" s="613"/>
      <c r="AO8" s="613"/>
      <c r="AP8" s="613"/>
      <c r="AQ8" s="613"/>
      <c r="AR8" s="613"/>
      <c r="AS8" s="614"/>
      <c r="AT8" s="478"/>
      <c r="AU8" s="213"/>
      <c r="AV8" s="213"/>
      <c r="AW8" s="213"/>
      <c r="AX8" s="213"/>
      <c r="AY8" s="213"/>
      <c r="AZ8" s="213"/>
      <c r="BA8" s="213"/>
      <c r="BB8" s="213"/>
      <c r="BC8" s="213"/>
      <c r="BD8" s="213"/>
      <c r="BE8" s="213"/>
    </row>
    <row r="9" spans="1:61" ht="21.45" customHeight="1" thickBot="1">
      <c r="A9" s="1065" t="s">
        <v>430</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7"/>
      <c r="AB9" s="458"/>
      <c r="AC9" s="1464"/>
      <c r="AD9" s="2183"/>
      <c r="AE9" s="2183"/>
      <c r="AF9" s="2183"/>
      <c r="AG9" s="2183"/>
      <c r="AH9" s="2183"/>
      <c r="AI9" s="2183"/>
      <c r="AJ9" s="2183"/>
      <c r="AK9" s="2183"/>
      <c r="AL9" s="2183"/>
      <c r="AM9" s="2183"/>
      <c r="AN9" s="2183"/>
      <c r="AO9" s="2183"/>
      <c r="AP9" s="2183"/>
      <c r="AQ9" s="2183"/>
      <c r="AR9" s="2183"/>
      <c r="AS9" s="1467"/>
      <c r="AT9" s="478"/>
      <c r="AU9" s="213"/>
      <c r="AV9" s="213"/>
      <c r="AW9" s="213"/>
      <c r="AX9" s="213"/>
      <c r="AY9" s="213"/>
      <c r="AZ9" s="213"/>
      <c r="BA9" s="213"/>
      <c r="BB9" s="213"/>
      <c r="BC9" s="213"/>
      <c r="BD9" s="213"/>
      <c r="BE9" s="213"/>
    </row>
    <row r="10" spans="1:61" ht="24.45" customHeight="1" thickBot="1">
      <c r="A10" s="1805"/>
      <c r="B10" s="2237" t="s">
        <v>704</v>
      </c>
      <c r="C10" s="1073" t="s">
        <v>712</v>
      </c>
      <c r="D10" s="1074"/>
      <c r="E10" s="1074"/>
      <c r="F10" s="1074"/>
      <c r="G10" s="1074"/>
      <c r="H10" s="1074"/>
      <c r="I10" s="1074"/>
      <c r="J10" s="1074"/>
      <c r="K10" s="1074"/>
      <c r="L10" s="1074"/>
      <c r="M10" s="1075"/>
      <c r="N10" s="1073" t="s">
        <v>713</v>
      </c>
      <c r="O10" s="1075"/>
      <c r="P10" s="1073" t="s">
        <v>824</v>
      </c>
      <c r="Q10" s="1074"/>
      <c r="R10" s="1074"/>
      <c r="S10" s="1074"/>
      <c r="T10" s="1074"/>
      <c r="U10" s="1075"/>
      <c r="V10" s="1073" t="s">
        <v>825</v>
      </c>
      <c r="W10" s="1074"/>
      <c r="X10" s="1074"/>
      <c r="Y10" s="1074"/>
      <c r="Z10" s="1075"/>
      <c r="AA10" s="1846"/>
      <c r="AB10" s="458"/>
      <c r="AC10" s="1741"/>
      <c r="AD10" s="2238" t="s">
        <v>1443</v>
      </c>
      <c r="AE10" s="2239"/>
      <c r="AF10" s="2239"/>
      <c r="AG10" s="2239"/>
      <c r="AH10" s="2239"/>
      <c r="AI10" s="2239"/>
      <c r="AJ10" s="2239"/>
      <c r="AK10" s="2239"/>
      <c r="AL10" s="2273"/>
      <c r="AM10" s="2238" t="s">
        <v>1444</v>
      </c>
      <c r="AN10" s="2239"/>
      <c r="AO10" s="2239"/>
      <c r="AP10" s="2239"/>
      <c r="AQ10" s="2239"/>
      <c r="AR10" s="2240"/>
      <c r="AS10" s="1742"/>
      <c r="AT10" s="478"/>
      <c r="AU10" s="529" t="s">
        <v>40</v>
      </c>
      <c r="AV10" s="530" t="s">
        <v>39</v>
      </c>
      <c r="AW10" s="530" t="s">
        <v>145</v>
      </c>
      <c r="AX10" s="530" t="s">
        <v>147</v>
      </c>
      <c r="AY10" s="531" t="s">
        <v>31</v>
      </c>
      <c r="AZ10" s="217"/>
      <c r="BA10" s="529" t="s">
        <v>40</v>
      </c>
      <c r="BB10" s="530" t="s">
        <v>39</v>
      </c>
      <c r="BC10" s="530" t="s">
        <v>145</v>
      </c>
      <c r="BD10" s="530" t="s">
        <v>147</v>
      </c>
      <c r="BE10" s="531" t="s">
        <v>31</v>
      </c>
    </row>
    <row r="11" spans="1:61" ht="49.95" customHeight="1">
      <c r="A11" s="1805"/>
      <c r="B11" s="2050"/>
      <c r="C11" s="1393" t="s">
        <v>1566</v>
      </c>
      <c r="D11" s="1082"/>
      <c r="E11" s="1391"/>
      <c r="F11" s="1152" t="s">
        <v>709</v>
      </c>
      <c r="G11" s="1152"/>
      <c r="H11" s="1152"/>
      <c r="I11" s="1699" t="s">
        <v>710</v>
      </c>
      <c r="J11" s="1082"/>
      <c r="K11" s="1082"/>
      <c r="L11" s="1082"/>
      <c r="M11" s="1083"/>
      <c r="N11" s="1393" t="s">
        <v>1184</v>
      </c>
      <c r="O11" s="1083"/>
      <c r="P11" s="1664" t="s">
        <v>40</v>
      </c>
      <c r="Q11" s="1076" t="s">
        <v>39</v>
      </c>
      <c r="R11" s="1076" t="s">
        <v>145</v>
      </c>
      <c r="S11" s="1076" t="s">
        <v>147</v>
      </c>
      <c r="T11" s="1076" t="s">
        <v>31</v>
      </c>
      <c r="U11" s="2235" t="s">
        <v>707</v>
      </c>
      <c r="V11" s="1664" t="s">
        <v>40</v>
      </c>
      <c r="W11" s="1076" t="s">
        <v>39</v>
      </c>
      <c r="X11" s="1076" t="s">
        <v>145</v>
      </c>
      <c r="Y11" s="1076" t="s">
        <v>147</v>
      </c>
      <c r="Z11" s="713" t="s">
        <v>31</v>
      </c>
      <c r="AA11" s="1846"/>
      <c r="AB11" s="458"/>
      <c r="AC11" s="1722"/>
      <c r="AD11" s="2271" t="s">
        <v>1440</v>
      </c>
      <c r="AE11" s="1731" t="s">
        <v>1441</v>
      </c>
      <c r="AF11" s="2127" t="s">
        <v>1442</v>
      </c>
      <c r="AG11" s="2128"/>
      <c r="AH11" s="1743" t="s">
        <v>1261</v>
      </c>
      <c r="AI11" s="1743"/>
      <c r="AJ11" s="1743"/>
      <c r="AK11" s="1743"/>
      <c r="AL11" s="1733"/>
      <c r="AM11" s="628" t="s">
        <v>40</v>
      </c>
      <c r="AN11" s="750" t="s">
        <v>39</v>
      </c>
      <c r="AO11" s="750" t="s">
        <v>145</v>
      </c>
      <c r="AP11" s="750" t="s">
        <v>147</v>
      </c>
      <c r="AQ11" s="1551" t="s">
        <v>31</v>
      </c>
      <c r="AR11" s="1552"/>
      <c r="AS11" s="1570"/>
      <c r="AT11" s="478"/>
      <c r="AU11" s="1332" t="s">
        <v>1285</v>
      </c>
      <c r="AV11" s="1332"/>
      <c r="AW11" s="1332"/>
      <c r="AX11" s="1332"/>
      <c r="AY11" s="1332"/>
      <c r="AZ11" s="213"/>
      <c r="BA11" s="1332" t="s">
        <v>1286</v>
      </c>
      <c r="BB11" s="1332"/>
      <c r="BC11" s="1332"/>
      <c r="BD11" s="1332"/>
      <c r="BE11" s="1332"/>
    </row>
    <row r="12" spans="1:61" ht="28.5" customHeight="1" thickBot="1">
      <c r="A12" s="1805"/>
      <c r="B12" s="1073"/>
      <c r="C12" s="1394"/>
      <c r="D12" s="1084"/>
      <c r="E12" s="2061"/>
      <c r="F12" s="2243" t="s">
        <v>1179</v>
      </c>
      <c r="G12" s="2244"/>
      <c r="H12" s="1240"/>
      <c r="I12" s="1700" t="s">
        <v>382</v>
      </c>
      <c r="J12" s="1701"/>
      <c r="K12" s="1701"/>
      <c r="L12" s="1701"/>
      <c r="M12" s="2080"/>
      <c r="N12" s="1394"/>
      <c r="O12" s="1085"/>
      <c r="P12" s="1665"/>
      <c r="Q12" s="1077"/>
      <c r="R12" s="1077"/>
      <c r="S12" s="1077"/>
      <c r="T12" s="1077"/>
      <c r="U12" s="2236"/>
      <c r="V12" s="1665"/>
      <c r="W12" s="1077"/>
      <c r="X12" s="1077"/>
      <c r="Y12" s="1077"/>
      <c r="Z12" s="714" t="s">
        <v>146</v>
      </c>
      <c r="AA12" s="1846"/>
      <c r="AB12" s="458"/>
      <c r="AC12" s="1722"/>
      <c r="AD12" s="2272"/>
      <c r="AE12" s="2048"/>
      <c r="AF12" s="2129"/>
      <c r="AG12" s="2130"/>
      <c r="AH12" s="723" t="s">
        <v>40</v>
      </c>
      <c r="AI12" s="723" t="s">
        <v>39</v>
      </c>
      <c r="AJ12" s="723" t="s">
        <v>145</v>
      </c>
      <c r="AK12" s="723" t="s">
        <v>1439</v>
      </c>
      <c r="AL12" s="749" t="s">
        <v>31</v>
      </c>
      <c r="AM12" s="629" t="s">
        <v>1260</v>
      </c>
      <c r="AN12" s="723" t="s">
        <v>1260</v>
      </c>
      <c r="AO12" s="723" t="s">
        <v>1260</v>
      </c>
      <c r="AP12" s="723" t="s">
        <v>1260</v>
      </c>
      <c r="AQ12" s="1356" t="s">
        <v>1260</v>
      </c>
      <c r="AR12" s="1358"/>
      <c r="AS12" s="1570"/>
      <c r="AT12" s="478"/>
      <c r="AU12" s="1332"/>
      <c r="AV12" s="1332"/>
      <c r="AW12" s="1332"/>
      <c r="AX12" s="1332"/>
      <c r="AY12" s="1332"/>
      <c r="AZ12" s="213"/>
      <c r="BA12" s="1332"/>
      <c r="BB12" s="1332"/>
      <c r="BC12" s="1332"/>
      <c r="BD12" s="1332"/>
      <c r="BE12" s="1332"/>
      <c r="BH12" s="98" t="s">
        <v>1446</v>
      </c>
      <c r="BI12" s="98" t="s">
        <v>1445</v>
      </c>
    </row>
    <row r="13" spans="1:61" ht="25.05" customHeight="1">
      <c r="A13" s="1805"/>
      <c r="B13" s="460" t="s">
        <v>1565</v>
      </c>
      <c r="C13" s="2256"/>
      <c r="D13" s="2257"/>
      <c r="E13" s="2258"/>
      <c r="F13" s="2245" t="s">
        <v>711</v>
      </c>
      <c r="G13" s="2246"/>
      <c r="H13" s="2247"/>
      <c r="I13" s="1907"/>
      <c r="J13" s="2229"/>
      <c r="K13" s="2229"/>
      <c r="L13" s="2229"/>
      <c r="M13" s="1909"/>
      <c r="N13" s="1856"/>
      <c r="O13" s="1858"/>
      <c r="P13" s="2248" t="s">
        <v>703</v>
      </c>
      <c r="Q13" s="2249"/>
      <c r="R13" s="2249"/>
      <c r="S13" s="2249"/>
      <c r="T13" s="461" t="str">
        <f>IF(N13="","",(IF(N13="کنترل نشده",VLOOKUP(B13,'Emission factors'!$A$196:$C$198,2,FALSE),VLOOKUP(B13,'Emission factors'!$A$196:$C$198,3,FALSE))))</f>
        <v/>
      </c>
      <c r="U13" s="364" t="s">
        <v>708</v>
      </c>
      <c r="V13" s="1957" t="s">
        <v>703</v>
      </c>
      <c r="W13" s="1958"/>
      <c r="X13" s="1958"/>
      <c r="Y13" s="1959"/>
      <c r="Z13" s="2241" t="str">
        <f>IF(OR(C13="",I13="",F14="",T13="",T14="",T15=""),"",((10^-3)*((C13*I13*T13)+(F14*T14)+(F14*T15))))</f>
        <v/>
      </c>
      <c r="AA13" s="1846"/>
      <c r="AB13" s="458"/>
      <c r="AC13" s="1722"/>
      <c r="AD13" s="1509"/>
      <c r="AE13" s="1192"/>
      <c r="AF13" s="1192"/>
      <c r="AG13" s="1192"/>
      <c r="AH13" s="2267"/>
      <c r="AI13" s="2267"/>
      <c r="AJ13" s="2267"/>
      <c r="AK13" s="2267"/>
      <c r="AL13" s="2264">
        <v>40</v>
      </c>
      <c r="AM13" s="2270"/>
      <c r="AN13" s="1560"/>
      <c r="AO13" s="1560"/>
      <c r="AP13" s="1560"/>
      <c r="AQ13" s="752" t="str">
        <f>IF(OR(AD13="",AF13=""),"",(SQRT((AD13^2)+(AF13^2)+(40^2))))</f>
        <v/>
      </c>
      <c r="AR13" s="2261" t="str">
        <f>IF(BI13="","",BI13)</f>
        <v/>
      </c>
      <c r="AS13" s="1570"/>
      <c r="AT13" s="478"/>
      <c r="AU13" s="2278"/>
      <c r="AV13" s="2279"/>
      <c r="AW13" s="2279"/>
      <c r="AX13" s="2280"/>
      <c r="AY13" s="561" t="str">
        <f>IF(OR(Z13="",AR13=""),"",Z13*AR13)</f>
        <v/>
      </c>
      <c r="AZ13" s="213"/>
      <c r="BA13" s="2278"/>
      <c r="BB13" s="2279"/>
      <c r="BC13" s="2279"/>
      <c r="BD13" s="2280"/>
      <c r="BE13" s="561" t="str">
        <f>IF(AY13="","",AY13^2)</f>
        <v/>
      </c>
      <c r="BG13" s="592" t="str">
        <f>IF(OR(C13="",I13="",T13="",AQ13=""),"",((C13*I13*T13*(10^-3))*AQ13)^2)</f>
        <v/>
      </c>
      <c r="BH13" s="2277" t="str">
        <f>IF(OR(BG13="",BG14="",BG15=""),"",SQRT(BG13+BG14+BG15))</f>
        <v/>
      </c>
      <c r="BI13" s="2277" t="str">
        <f>IF(OR(Z13="",BH13="",Z13=0),"",BH13/Z13)</f>
        <v/>
      </c>
    </row>
    <row r="14" spans="1:61" ht="25.05" customHeight="1">
      <c r="A14" s="1805"/>
      <c r="B14" s="460" t="s">
        <v>699</v>
      </c>
      <c r="C14" s="2231" t="s">
        <v>711</v>
      </c>
      <c r="D14" s="2225"/>
      <c r="E14" s="2232"/>
      <c r="F14" s="1910"/>
      <c r="G14" s="2242"/>
      <c r="H14" s="1914"/>
      <c r="I14" s="2224" t="s">
        <v>711</v>
      </c>
      <c r="J14" s="2225"/>
      <c r="K14" s="2225"/>
      <c r="L14" s="2225"/>
      <c r="M14" s="2226"/>
      <c r="N14" s="2227"/>
      <c r="O14" s="2228"/>
      <c r="P14" s="2250"/>
      <c r="Q14" s="1881"/>
      <c r="R14" s="1881"/>
      <c r="S14" s="1881"/>
      <c r="T14" s="816" t="str">
        <f>IF(N14="","",(IF(N14="کنترل نشده",VLOOKUP(B14,'Emission factors'!$A$196:$C$198,2,FALSE),VLOOKUP(B14,'Emission factors'!$A$196:$C$198,3,FALSE))))</f>
        <v/>
      </c>
      <c r="U14" s="368" t="s">
        <v>1180</v>
      </c>
      <c r="V14" s="1957"/>
      <c r="W14" s="1958"/>
      <c r="X14" s="1958"/>
      <c r="Y14" s="1959"/>
      <c r="Z14" s="2241"/>
      <c r="AA14" s="1846"/>
      <c r="AB14" s="458"/>
      <c r="AC14" s="1722"/>
      <c r="AD14" s="1498"/>
      <c r="AE14" s="1058"/>
      <c r="AF14" s="1058"/>
      <c r="AG14" s="1058"/>
      <c r="AH14" s="2268"/>
      <c r="AI14" s="2268"/>
      <c r="AJ14" s="2268"/>
      <c r="AK14" s="2268"/>
      <c r="AL14" s="2265"/>
      <c r="AM14" s="1775"/>
      <c r="AN14" s="1562"/>
      <c r="AO14" s="1562"/>
      <c r="AP14" s="1562"/>
      <c r="AQ14" s="754" t="str">
        <f>IF(AE13="","",(SQRT((AE13^2)+(40^2))))</f>
        <v/>
      </c>
      <c r="AR14" s="2262"/>
      <c r="AS14" s="1570"/>
      <c r="AT14" s="458"/>
      <c r="BG14" s="592" t="str">
        <f>IF(OR(F14="",T14="",AQ14=""),"",((F14*T14*(10^-3))*AQ14)^2)</f>
        <v/>
      </c>
      <c r="BH14" s="2277"/>
      <c r="BI14" s="2277"/>
    </row>
    <row r="15" spans="1:61" ht="25.05" customHeight="1" thickBot="1">
      <c r="A15" s="1806"/>
      <c r="B15" s="462" t="s">
        <v>1181</v>
      </c>
      <c r="C15" s="2251" t="s">
        <v>711</v>
      </c>
      <c r="D15" s="2252"/>
      <c r="E15" s="2253"/>
      <c r="F15" s="1949"/>
      <c r="G15" s="1889"/>
      <c r="H15" s="1950"/>
      <c r="I15" s="2254" t="s">
        <v>711</v>
      </c>
      <c r="J15" s="2252"/>
      <c r="K15" s="2252"/>
      <c r="L15" s="2252"/>
      <c r="M15" s="2255"/>
      <c r="N15" s="2259"/>
      <c r="O15" s="2260"/>
      <c r="P15" s="1883"/>
      <c r="Q15" s="1882"/>
      <c r="R15" s="1882"/>
      <c r="S15" s="1882"/>
      <c r="T15" s="463" t="str">
        <f>IF(N15="","",(IF(N15="کنترل نشده",VLOOKUP(B15,'Emission factors'!$A$196:$C$198,2,FALSE),VLOOKUP(B15,'Emission factors'!$A$196:$C$198,3,FALSE))))</f>
        <v/>
      </c>
      <c r="U15" s="373" t="s">
        <v>1180</v>
      </c>
      <c r="V15" s="1957"/>
      <c r="W15" s="1958"/>
      <c r="X15" s="1958"/>
      <c r="Y15" s="1959"/>
      <c r="Z15" s="2241"/>
      <c r="AA15" s="1847"/>
      <c r="AB15" s="458"/>
      <c r="AC15" s="1723"/>
      <c r="AD15" s="1501"/>
      <c r="AE15" s="1061"/>
      <c r="AF15" s="1061"/>
      <c r="AG15" s="1061"/>
      <c r="AH15" s="2269"/>
      <c r="AI15" s="2269"/>
      <c r="AJ15" s="2269"/>
      <c r="AK15" s="2269"/>
      <c r="AL15" s="2266"/>
      <c r="AM15" s="1778"/>
      <c r="AN15" s="1564"/>
      <c r="AO15" s="1564"/>
      <c r="AP15" s="1564"/>
      <c r="AQ15" s="754" t="str">
        <f>IF(AE13="","",(SQRT((AE13^2)+(40^2))))</f>
        <v/>
      </c>
      <c r="AR15" s="2263"/>
      <c r="AS15" s="1758"/>
      <c r="AT15" s="458"/>
      <c r="BG15" s="592" t="str">
        <f>IF(OR(F14="",T15="",AQ15=""),"",((F14*T15*(10^-3))*AQ15)^2)</f>
        <v/>
      </c>
      <c r="BH15" s="2277"/>
      <c r="BI15" s="2277"/>
    </row>
    <row r="16" spans="1:61" ht="21.45" customHeight="1" thickBot="1">
      <c r="A16" s="1372"/>
      <c r="B16" s="1374"/>
      <c r="C16" s="1374"/>
      <c r="D16" s="1374"/>
      <c r="E16" s="1374"/>
      <c r="F16" s="1374"/>
      <c r="G16" s="1374"/>
      <c r="H16" s="1374"/>
      <c r="I16" s="1374"/>
      <c r="J16" s="1374"/>
      <c r="K16" s="1374"/>
      <c r="L16" s="1374"/>
      <c r="M16" s="1374"/>
      <c r="N16" s="1374"/>
      <c r="O16" s="1374"/>
      <c r="P16" s="1374"/>
      <c r="Q16" s="1374"/>
      <c r="R16" s="1374"/>
      <c r="S16" s="1374"/>
      <c r="T16" s="1374"/>
      <c r="U16" s="1374"/>
      <c r="V16" s="1374"/>
      <c r="W16" s="1374"/>
      <c r="X16" s="1374"/>
      <c r="Y16" s="1374"/>
      <c r="Z16" s="1374"/>
      <c r="AA16" s="1375"/>
      <c r="AB16" s="458"/>
      <c r="AC16" s="1464"/>
      <c r="AD16" s="1466"/>
      <c r="AE16" s="1466"/>
      <c r="AF16" s="1466"/>
      <c r="AG16" s="1466"/>
      <c r="AH16" s="1466"/>
      <c r="AI16" s="1466"/>
      <c r="AJ16" s="1466"/>
      <c r="AK16" s="1466"/>
      <c r="AL16" s="1466"/>
      <c r="AM16" s="1466"/>
      <c r="AN16" s="1466"/>
      <c r="AO16" s="1466"/>
      <c r="AP16" s="1466"/>
      <c r="AQ16" s="1466"/>
      <c r="AR16" s="1466"/>
      <c r="AS16" s="1467"/>
      <c r="AT16" s="458"/>
    </row>
    <row r="17" spans="1:46" ht="43.05" customHeight="1" thickBot="1">
      <c r="A17" s="2230"/>
      <c r="B17" s="2230"/>
      <c r="C17" s="2230"/>
      <c r="D17" s="2230"/>
      <c r="E17" s="2230"/>
      <c r="F17" s="2230"/>
      <c r="G17" s="2230"/>
      <c r="H17" s="2230"/>
      <c r="I17" s="2230"/>
      <c r="J17" s="2230"/>
      <c r="K17" s="2230"/>
      <c r="L17" s="2230"/>
      <c r="M17" s="2230"/>
      <c r="N17" s="2230"/>
      <c r="O17" s="2230"/>
      <c r="P17" s="2230"/>
      <c r="Q17" s="2230"/>
      <c r="R17" s="2230"/>
      <c r="S17" s="2230"/>
      <c r="T17" s="2230"/>
      <c r="U17" s="2230"/>
      <c r="V17" s="2230"/>
      <c r="W17" s="2230"/>
      <c r="X17" s="2230"/>
      <c r="Y17" s="2230"/>
      <c r="Z17" s="2230"/>
      <c r="AA17" s="2230"/>
      <c r="AB17" s="458"/>
      <c r="AC17" s="458"/>
      <c r="AD17" s="458"/>
      <c r="AE17" s="458"/>
      <c r="AF17" s="458"/>
      <c r="AG17" s="458"/>
      <c r="AH17" s="458"/>
      <c r="AI17" s="458"/>
      <c r="AJ17" s="458"/>
      <c r="AK17" s="458"/>
      <c r="AL17" s="458"/>
      <c r="AM17" s="458"/>
      <c r="AN17" s="458"/>
      <c r="AO17" s="458"/>
      <c r="AP17" s="458"/>
      <c r="AQ17" s="458"/>
      <c r="AR17" s="458"/>
      <c r="AS17" s="458"/>
      <c r="AT17" s="458"/>
    </row>
    <row r="18" spans="1:46" ht="29.55" customHeight="1">
      <c r="A18" s="2164" t="s">
        <v>856</v>
      </c>
      <c r="B18" s="2165"/>
      <c r="C18" s="2165"/>
      <c r="D18" s="2165"/>
      <c r="E18" s="2165"/>
      <c r="F18" s="2165"/>
      <c r="G18" s="2165"/>
      <c r="H18" s="2165"/>
      <c r="I18" s="2165"/>
      <c r="J18" s="2165"/>
      <c r="K18" s="2165"/>
      <c r="L18" s="2166"/>
      <c r="M18" s="2054" t="s">
        <v>1183</v>
      </c>
      <c r="N18" s="2055"/>
      <c r="O18" s="2055"/>
      <c r="P18" s="2055"/>
      <c r="Q18" s="2055"/>
      <c r="R18" s="2055"/>
      <c r="S18" s="2055"/>
      <c r="T18" s="2055"/>
      <c r="U18" s="2055"/>
      <c r="V18" s="2055"/>
      <c r="W18" s="2055"/>
      <c r="X18" s="2055"/>
      <c r="Y18" s="2055"/>
      <c r="Z18" s="2055"/>
      <c r="AA18" s="2056"/>
      <c r="AB18" s="458"/>
      <c r="AC18" s="1015" t="s">
        <v>1448</v>
      </c>
      <c r="AD18" s="1284"/>
      <c r="AE18" s="1284"/>
      <c r="AF18" s="1284"/>
      <c r="AG18" s="1284"/>
      <c r="AH18" s="1284"/>
      <c r="AI18" s="1284"/>
      <c r="AJ18" s="1284"/>
      <c r="AK18" s="1284"/>
      <c r="AL18" s="1284"/>
      <c r="AM18" s="1284"/>
      <c r="AN18" s="1284"/>
      <c r="AO18" s="1284"/>
      <c r="AP18" s="1284"/>
      <c r="AQ18" s="1284"/>
      <c r="AR18" s="1284"/>
      <c r="AS18" s="1285"/>
      <c r="AT18" s="458"/>
    </row>
    <row r="19" spans="1:46" ht="90" customHeight="1" thickBot="1">
      <c r="A19" s="1283" t="s">
        <v>1182</v>
      </c>
      <c r="B19" s="1216"/>
      <c r="C19" s="1216"/>
      <c r="D19" s="1216"/>
      <c r="E19" s="1216"/>
      <c r="F19" s="1216"/>
      <c r="G19" s="1216"/>
      <c r="H19" s="1216"/>
      <c r="I19" s="1216"/>
      <c r="J19" s="1216"/>
      <c r="K19" s="1216"/>
      <c r="L19" s="1217"/>
      <c r="M19" s="1484"/>
      <c r="N19" s="1485"/>
      <c r="O19" s="1485"/>
      <c r="P19" s="1485"/>
      <c r="Q19" s="1485"/>
      <c r="R19" s="1485"/>
      <c r="S19" s="1485"/>
      <c r="T19" s="1485"/>
      <c r="U19" s="1485"/>
      <c r="V19" s="1485"/>
      <c r="W19" s="1485"/>
      <c r="X19" s="1485"/>
      <c r="Y19" s="1485"/>
      <c r="Z19" s="1485"/>
      <c r="AA19" s="1486"/>
      <c r="AB19" s="458"/>
      <c r="AC19" s="1039" t="s">
        <v>1274</v>
      </c>
      <c r="AD19" s="1037"/>
      <c r="AE19" s="1037"/>
      <c r="AF19" s="1037"/>
      <c r="AG19" s="1037"/>
      <c r="AH19" s="1037"/>
      <c r="AI19" s="1037"/>
      <c r="AJ19" s="1037"/>
      <c r="AK19" s="1037"/>
      <c r="AL19" s="1037"/>
      <c r="AM19" s="1037"/>
      <c r="AN19" s="1037"/>
      <c r="AO19" s="1037"/>
      <c r="AP19" s="1037"/>
      <c r="AQ19" s="1037"/>
      <c r="AR19" s="1037"/>
      <c r="AS19" s="1038"/>
      <c r="AT19" s="458"/>
    </row>
    <row r="20" spans="1:46" ht="29.55" customHeight="1">
      <c r="A20" s="1015" t="s">
        <v>826</v>
      </c>
      <c r="B20" s="1284"/>
      <c r="C20" s="1284"/>
      <c r="D20" s="1284"/>
      <c r="E20" s="1284"/>
      <c r="F20" s="1284"/>
      <c r="G20" s="1284"/>
      <c r="H20" s="1284"/>
      <c r="I20" s="1284"/>
      <c r="J20" s="1284"/>
      <c r="K20" s="1284"/>
      <c r="L20" s="1285"/>
      <c r="M20" s="2054" t="s">
        <v>1183</v>
      </c>
      <c r="N20" s="2055"/>
      <c r="O20" s="2055"/>
      <c r="P20" s="2055"/>
      <c r="Q20" s="2055"/>
      <c r="R20" s="2055"/>
      <c r="S20" s="2055"/>
      <c r="T20" s="2055"/>
      <c r="U20" s="2055"/>
      <c r="V20" s="2055"/>
      <c r="W20" s="2055"/>
      <c r="X20" s="2055"/>
      <c r="Y20" s="2055"/>
      <c r="Z20" s="2055"/>
      <c r="AA20" s="2056"/>
      <c r="AB20" s="458"/>
      <c r="AC20" s="1039" t="s">
        <v>1449</v>
      </c>
      <c r="AD20" s="1037"/>
      <c r="AE20" s="1037"/>
      <c r="AF20" s="1037"/>
      <c r="AG20" s="1037"/>
      <c r="AH20" s="1037"/>
      <c r="AI20" s="1037"/>
      <c r="AJ20" s="1037"/>
      <c r="AK20" s="1037"/>
      <c r="AL20" s="1037"/>
      <c r="AM20" s="1037"/>
      <c r="AN20" s="1037"/>
      <c r="AO20" s="1037"/>
      <c r="AP20" s="1037"/>
      <c r="AQ20" s="1037"/>
      <c r="AR20" s="1037"/>
      <c r="AS20" s="1038"/>
      <c r="AT20" s="458"/>
    </row>
    <row r="21" spans="1:46" ht="39" customHeight="1" thickBot="1">
      <c r="A21" s="1021" t="s">
        <v>1187</v>
      </c>
      <c r="B21" s="1022"/>
      <c r="C21" s="1022"/>
      <c r="D21" s="1022"/>
      <c r="E21" s="1022"/>
      <c r="F21" s="1022"/>
      <c r="G21" s="1022"/>
      <c r="H21" s="1022"/>
      <c r="I21" s="1022"/>
      <c r="J21" s="1022"/>
      <c r="K21" s="1022"/>
      <c r="L21" s="1023"/>
      <c r="M21" s="1481"/>
      <c r="N21" s="1482"/>
      <c r="O21" s="1482"/>
      <c r="P21" s="1482"/>
      <c r="Q21" s="1482"/>
      <c r="R21" s="1482"/>
      <c r="S21" s="1482"/>
      <c r="T21" s="1482"/>
      <c r="U21" s="1482"/>
      <c r="V21" s="1482"/>
      <c r="W21" s="1482"/>
      <c r="X21" s="1482"/>
      <c r="Y21" s="1482"/>
      <c r="Z21" s="1482"/>
      <c r="AA21" s="1483"/>
      <c r="AB21" s="458"/>
      <c r="AC21" s="1283"/>
      <c r="AD21" s="1216"/>
      <c r="AE21" s="1216"/>
      <c r="AF21" s="1216"/>
      <c r="AG21" s="1216"/>
      <c r="AH21" s="1216"/>
      <c r="AI21" s="1216"/>
      <c r="AJ21" s="1216"/>
      <c r="AK21" s="1216"/>
      <c r="AL21" s="1216"/>
      <c r="AM21" s="1216"/>
      <c r="AN21" s="1216"/>
      <c r="AO21" s="1216"/>
      <c r="AP21" s="1216"/>
      <c r="AQ21" s="1216"/>
      <c r="AR21" s="1216"/>
      <c r="AS21" s="1217"/>
      <c r="AT21" s="458"/>
    </row>
    <row r="22" spans="1:46" ht="26.55" customHeight="1">
      <c r="A22" s="1021" t="s">
        <v>1186</v>
      </c>
      <c r="B22" s="1022"/>
      <c r="C22" s="1022"/>
      <c r="D22" s="1022"/>
      <c r="E22" s="1022"/>
      <c r="F22" s="1022"/>
      <c r="G22" s="1022"/>
      <c r="H22" s="1022"/>
      <c r="I22" s="1022"/>
      <c r="J22" s="1022"/>
      <c r="K22" s="1022"/>
      <c r="L22" s="1023"/>
      <c r="M22" s="1481"/>
      <c r="N22" s="1482"/>
      <c r="O22" s="1482"/>
      <c r="P22" s="1482"/>
      <c r="Q22" s="1482"/>
      <c r="R22" s="1482"/>
      <c r="S22" s="1482"/>
      <c r="T22" s="1482"/>
      <c r="U22" s="1482"/>
      <c r="V22" s="1482"/>
      <c r="W22" s="1482"/>
      <c r="X22" s="1482"/>
      <c r="Y22" s="1482"/>
      <c r="Z22" s="1482"/>
      <c r="AA22" s="1483"/>
      <c r="AB22" s="458"/>
      <c r="AC22" s="458"/>
      <c r="AD22" s="458"/>
      <c r="AE22" s="458"/>
      <c r="AF22" s="458"/>
      <c r="AG22" s="458"/>
      <c r="AH22" s="458"/>
      <c r="AI22" s="458"/>
      <c r="AJ22" s="458"/>
      <c r="AK22" s="458"/>
      <c r="AL22" s="458"/>
      <c r="AM22" s="458"/>
      <c r="AN22" s="458"/>
      <c r="AO22" s="458"/>
      <c r="AP22" s="458"/>
      <c r="AQ22" s="458"/>
      <c r="AR22" s="458"/>
      <c r="AS22" s="458"/>
      <c r="AT22" s="458"/>
    </row>
    <row r="23" spans="1:46" ht="69" customHeight="1" thickBot="1">
      <c r="A23" s="1024" t="s">
        <v>1567</v>
      </c>
      <c r="B23" s="1025"/>
      <c r="C23" s="1025"/>
      <c r="D23" s="1025"/>
      <c r="E23" s="1025"/>
      <c r="F23" s="1025"/>
      <c r="G23" s="1025"/>
      <c r="H23" s="1025"/>
      <c r="I23" s="1025"/>
      <c r="J23" s="1025"/>
      <c r="K23" s="1025"/>
      <c r="L23" s="1026"/>
      <c r="M23" s="1481"/>
      <c r="N23" s="1482"/>
      <c r="O23" s="1482"/>
      <c r="P23" s="1482"/>
      <c r="Q23" s="1482"/>
      <c r="R23" s="1482"/>
      <c r="S23" s="1482"/>
      <c r="T23" s="1482"/>
      <c r="U23" s="1482"/>
      <c r="V23" s="1482"/>
      <c r="W23" s="1482"/>
      <c r="X23" s="1482"/>
      <c r="Y23" s="1482"/>
      <c r="Z23" s="1482"/>
      <c r="AA23" s="1483"/>
      <c r="AB23" s="458"/>
      <c r="AC23" s="458"/>
      <c r="AD23" s="458"/>
      <c r="AE23" s="458"/>
      <c r="AF23" s="458"/>
      <c r="AG23" s="458"/>
      <c r="AH23" s="458"/>
      <c r="AI23" s="458"/>
      <c r="AJ23" s="458"/>
      <c r="AK23" s="458"/>
      <c r="AL23" s="458"/>
      <c r="AM23" s="458"/>
      <c r="AN23" s="458"/>
      <c r="AO23" s="458"/>
      <c r="AP23" s="458"/>
      <c r="AQ23" s="458"/>
      <c r="AR23" s="458"/>
      <c r="AS23" s="458"/>
      <c r="AT23" s="458"/>
    </row>
    <row r="24" spans="1:46" ht="81" hidden="1" customHeight="1" thickBot="1">
      <c r="A24" s="1024"/>
      <c r="B24" s="1025"/>
      <c r="C24" s="1025"/>
      <c r="D24" s="1025"/>
      <c r="E24" s="1025"/>
      <c r="F24" s="1025"/>
      <c r="G24" s="1025"/>
      <c r="H24" s="1025"/>
      <c r="I24" s="1025"/>
      <c r="J24" s="1025"/>
      <c r="K24" s="1025"/>
      <c r="L24" s="1026"/>
      <c r="M24" s="1484"/>
      <c r="N24" s="1485"/>
      <c r="O24" s="1485"/>
      <c r="P24" s="1485"/>
      <c r="Q24" s="1485"/>
      <c r="R24" s="1485"/>
      <c r="S24" s="1485"/>
      <c r="T24" s="1485"/>
      <c r="U24" s="1485"/>
      <c r="V24" s="1485"/>
      <c r="W24" s="1485"/>
      <c r="X24" s="1485"/>
      <c r="Y24" s="1485"/>
      <c r="Z24" s="1485"/>
      <c r="AA24" s="1486"/>
    </row>
    <row r="25" spans="1:46">
      <c r="M25" s="465"/>
      <c r="N25" s="465"/>
      <c r="O25" s="465"/>
      <c r="P25" s="465"/>
      <c r="Q25" s="465"/>
      <c r="R25" s="465"/>
      <c r="S25" s="465"/>
      <c r="T25" s="465"/>
      <c r="U25" s="465"/>
      <c r="V25" s="465"/>
      <c r="W25" s="465"/>
      <c r="X25" s="465"/>
      <c r="Y25" s="465"/>
      <c r="Z25" s="465"/>
      <c r="AA25" s="465"/>
    </row>
    <row r="29" spans="1:46" ht="15.6">
      <c r="H29" s="464"/>
    </row>
  </sheetData>
  <sheetProtection password="9F15" sheet="1" objects="1" scenarios="1"/>
  <mergeCells count="100">
    <mergeCell ref="A1:AS1"/>
    <mergeCell ref="BH13:BH15"/>
    <mergeCell ref="BI13:BI15"/>
    <mergeCell ref="AD3:AE3"/>
    <mergeCell ref="AG3:AJ3"/>
    <mergeCell ref="AD4:AE4"/>
    <mergeCell ref="AG4:AJ4"/>
    <mergeCell ref="AD5:AE5"/>
    <mergeCell ref="AG5:AJ5"/>
    <mergeCell ref="AD6:AE6"/>
    <mergeCell ref="AG6:AJ6"/>
    <mergeCell ref="AD7:AE7"/>
    <mergeCell ref="AG7:AJ7"/>
    <mergeCell ref="AU13:AX13"/>
    <mergeCell ref="BA13:BD13"/>
    <mergeCell ref="AF11:AG12"/>
    <mergeCell ref="BA11:BE12"/>
    <mergeCell ref="AU11:AY12"/>
    <mergeCell ref="AC2:AS2"/>
    <mergeCell ref="AQ11:AR11"/>
    <mergeCell ref="AQ12:AR12"/>
    <mergeCell ref="AD10:AL10"/>
    <mergeCell ref="AC9:AS9"/>
    <mergeCell ref="AC16:AS16"/>
    <mergeCell ref="AC18:AS18"/>
    <mergeCell ref="AC19:AS19"/>
    <mergeCell ref="AC20:AS21"/>
    <mergeCell ref="N15:O15"/>
    <mergeCell ref="AR13:AR15"/>
    <mergeCell ref="AS10:AS15"/>
    <mergeCell ref="AC10:AC15"/>
    <mergeCell ref="AD13:AD15"/>
    <mergeCell ref="AE13:AE15"/>
    <mergeCell ref="AF13:AG15"/>
    <mergeCell ref="AL13:AL15"/>
    <mergeCell ref="AH13:AK15"/>
    <mergeCell ref="AM13:AP15"/>
    <mergeCell ref="AD11:AD12"/>
    <mergeCell ref="AE11:AE12"/>
    <mergeCell ref="P10:U10"/>
    <mergeCell ref="AM10:AR10"/>
    <mergeCell ref="AH11:AL11"/>
    <mergeCell ref="Z13:Z15"/>
    <mergeCell ref="F14:H15"/>
    <mergeCell ref="C10:M10"/>
    <mergeCell ref="N10:O10"/>
    <mergeCell ref="F12:H12"/>
    <mergeCell ref="F13:H13"/>
    <mergeCell ref="I11:M11"/>
    <mergeCell ref="P13:S15"/>
    <mergeCell ref="V13:Y15"/>
    <mergeCell ref="C15:E15"/>
    <mergeCell ref="I15:M15"/>
    <mergeCell ref="C13:E13"/>
    <mergeCell ref="N13:O13"/>
    <mergeCell ref="A8:AA8"/>
    <mergeCell ref="Q11:Q12"/>
    <mergeCell ref="R11:R12"/>
    <mergeCell ref="S11:S12"/>
    <mergeCell ref="V11:V12"/>
    <mergeCell ref="W11:W12"/>
    <mergeCell ref="X11:X12"/>
    <mergeCell ref="Y11:Y12"/>
    <mergeCell ref="U11:U12"/>
    <mergeCell ref="T11:T12"/>
    <mergeCell ref="F11:H11"/>
    <mergeCell ref="V10:Z10"/>
    <mergeCell ref="P11:P12"/>
    <mergeCell ref="B10:B12"/>
    <mergeCell ref="I12:M12"/>
    <mergeCell ref="N11:O12"/>
    <mergeCell ref="N14:O14"/>
    <mergeCell ref="I13:M13"/>
    <mergeCell ref="M20:AA20"/>
    <mergeCell ref="M21:AA24"/>
    <mergeCell ref="A17:AA17"/>
    <mergeCell ref="A23:L23"/>
    <mergeCell ref="A18:L18"/>
    <mergeCell ref="A19:L19"/>
    <mergeCell ref="A20:L20"/>
    <mergeCell ref="A21:L21"/>
    <mergeCell ref="A24:L24"/>
    <mergeCell ref="A22:L22"/>
    <mergeCell ref="C14:E14"/>
    <mergeCell ref="I3:AA7"/>
    <mergeCell ref="A2:AA2"/>
    <mergeCell ref="A3:A7"/>
    <mergeCell ref="M18:AA18"/>
    <mergeCell ref="M19:AA19"/>
    <mergeCell ref="D4:E4"/>
    <mergeCell ref="D3:E3"/>
    <mergeCell ref="D5:E5"/>
    <mergeCell ref="D6:E6"/>
    <mergeCell ref="D7:E7"/>
    <mergeCell ref="A9:AA9"/>
    <mergeCell ref="AA10:AA15"/>
    <mergeCell ref="A16:AA16"/>
    <mergeCell ref="A10:A15"/>
    <mergeCell ref="I14:M14"/>
    <mergeCell ref="C11:E12"/>
  </mergeCells>
  <dataValidations count="2">
    <dataValidation type="whole" operator="greaterThanOrEqual" allowBlank="1" showInputMessage="1" showErrorMessage="1" sqref="C13:E13">
      <formula1>0</formula1>
    </dataValidation>
    <dataValidation type="decimal" operator="greaterThanOrEqual" allowBlank="1" showInputMessage="1" showErrorMessage="1" sqref="F14:H15 I13:M13 AD13:AG15">
      <formula1>0</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'Emission factors'!$B$195:$C$195</xm:f>
          </x14:formula1>
          <xm:sqref>N14:O15</xm:sqref>
        </x14:dataValidation>
        <x14:dataValidation type="list" allowBlank="1" showInputMessage="1" showErrorMessage="1">
          <x14:formula1>
            <xm:f>'Emission factors'!$D$196:$E$196</xm:f>
          </x14:formula1>
          <xm:sqref>N13:O13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0F2E2"/>
  </sheetPr>
  <dimension ref="A1:BH46"/>
  <sheetViews>
    <sheetView rightToLeft="1" zoomScale="50" zoomScaleNormal="50" workbookViewId="0">
      <selection sqref="A1:AR1"/>
    </sheetView>
  </sheetViews>
  <sheetFormatPr defaultColWidth="8.69921875" defaultRowHeight="15"/>
  <cols>
    <col min="1" max="1" width="4.69921875" style="98" customWidth="1"/>
    <col min="2" max="2" width="12.19921875" style="98" customWidth="1"/>
    <col min="3" max="3" width="5.5" style="98" customWidth="1"/>
    <col min="4" max="4" width="4.69921875" style="98" customWidth="1"/>
    <col min="5" max="5" width="10.69921875" style="98" customWidth="1"/>
    <col min="6" max="6" width="8.69921875" style="98"/>
    <col min="7" max="7" width="3.69921875" style="98" customWidth="1"/>
    <col min="8" max="8" width="16.19921875" style="98" customWidth="1"/>
    <col min="9" max="9" width="3.8984375" style="98" customWidth="1"/>
    <col min="10" max="10" width="7.796875" style="98" customWidth="1"/>
    <col min="11" max="11" width="10.296875" style="98" customWidth="1"/>
    <col min="12" max="12" width="9.19921875" style="98" customWidth="1"/>
    <col min="13" max="13" width="13.3984375" style="98" customWidth="1"/>
    <col min="14" max="14" width="12.5" style="98" customWidth="1"/>
    <col min="15" max="15" width="10.8984375" style="98" customWidth="1"/>
    <col min="16" max="16" width="11.796875" style="98" customWidth="1"/>
    <col min="17" max="18" width="7.3984375" style="98" customWidth="1"/>
    <col min="19" max="20" width="13.09765625" style="98" customWidth="1"/>
    <col min="21" max="21" width="12.296875" style="98" customWidth="1"/>
    <col min="22" max="23" width="6.796875" style="98" customWidth="1"/>
    <col min="24" max="24" width="13" style="98" customWidth="1"/>
    <col min="25" max="25" width="14.69921875" style="98" customWidth="1"/>
    <col min="26" max="26" width="14.19921875" style="98" customWidth="1"/>
    <col min="27" max="27" width="4.69921875" style="98" customWidth="1"/>
    <col min="28" max="29" width="8.69921875" style="98"/>
    <col min="30" max="30" width="31.296875" style="98" customWidth="1"/>
    <col min="31" max="31" width="30.69921875" style="98" customWidth="1"/>
    <col min="32" max="32" width="20" style="98" customWidth="1"/>
    <col min="33" max="33" width="21.69921875" style="98" customWidth="1"/>
    <col min="34" max="38" width="8.69921875" style="98"/>
    <col min="39" max="39" width="10.296875" style="98" customWidth="1"/>
    <col min="40" max="43" width="12.796875" style="98" customWidth="1"/>
    <col min="44" max="45" width="8.69921875" style="98"/>
    <col min="46" max="57" width="8.69921875" style="98" hidden="1" customWidth="1"/>
    <col min="58" max="58" width="18" style="98" hidden="1" customWidth="1"/>
    <col min="59" max="60" width="17" style="98" hidden="1" customWidth="1"/>
    <col min="61" max="61" width="8.69921875" style="98" customWidth="1"/>
    <col min="62" max="16384" width="8.69921875" style="98"/>
  </cols>
  <sheetData>
    <row r="1" spans="1:56" s="213" customFormat="1" ht="33" thickBot="1">
      <c r="A1" s="1706" t="s">
        <v>1027</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8"/>
      <c r="AS1" s="478"/>
    </row>
    <row r="2" spans="1:56" s="213" customFormat="1" ht="57.6" thickBot="1">
      <c r="A2" s="1175" t="s">
        <v>714</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175"/>
      <c r="AA2" s="699"/>
      <c r="AB2" s="843"/>
      <c r="AC2" s="1966" t="s">
        <v>1456</v>
      </c>
      <c r="AD2" s="1444"/>
      <c r="AE2" s="1444"/>
      <c r="AF2" s="1444"/>
      <c r="AG2" s="1444"/>
      <c r="AH2" s="1444"/>
      <c r="AI2" s="1444"/>
      <c r="AJ2" s="1444"/>
      <c r="AK2" s="1444"/>
      <c r="AL2" s="1444"/>
      <c r="AM2" s="1444"/>
      <c r="AN2" s="1444"/>
      <c r="AO2" s="1444"/>
      <c r="AP2" s="1444"/>
      <c r="AQ2" s="1444"/>
      <c r="AR2" s="1444"/>
      <c r="AS2" s="478"/>
    </row>
    <row r="3" spans="1:56" s="213" customFormat="1" ht="48" customHeight="1" thickBot="1">
      <c r="A3" s="1379" t="s">
        <v>741</v>
      </c>
      <c r="B3" s="1184"/>
      <c r="C3" s="214" t="s">
        <v>40</v>
      </c>
      <c r="D3" s="1184" t="s">
        <v>828</v>
      </c>
      <c r="E3" s="1184"/>
      <c r="F3" s="1184"/>
      <c r="G3" s="1185">
        <v>0</v>
      </c>
      <c r="H3" s="1185"/>
      <c r="I3" s="1185"/>
      <c r="J3" s="413" t="s">
        <v>146</v>
      </c>
      <c r="K3" s="796" t="s">
        <v>743</v>
      </c>
      <c r="L3" s="699"/>
      <c r="M3" s="699"/>
      <c r="N3" s="699"/>
      <c r="O3" s="699"/>
      <c r="P3" s="699"/>
      <c r="Q3" s="699"/>
      <c r="R3" s="699"/>
      <c r="S3" s="699"/>
      <c r="T3" s="699"/>
      <c r="U3" s="699"/>
      <c r="V3" s="699"/>
      <c r="W3" s="699"/>
      <c r="X3" s="699"/>
      <c r="Y3" s="699"/>
      <c r="Z3" s="699"/>
      <c r="AA3" s="699"/>
      <c r="AB3" s="843"/>
      <c r="AC3" s="585"/>
      <c r="AD3" s="1182" t="s">
        <v>1462</v>
      </c>
      <c r="AE3" s="1182"/>
      <c r="AF3" s="545" t="s">
        <v>356</v>
      </c>
      <c r="AG3" s="1181"/>
      <c r="AH3" s="1181"/>
      <c r="AI3" s="1181"/>
      <c r="AJ3" s="1181"/>
      <c r="AK3" s="546" t="s">
        <v>1259</v>
      </c>
      <c r="AL3" s="545" t="s">
        <v>743</v>
      </c>
      <c r="AM3" s="545"/>
      <c r="AN3" s="540"/>
      <c r="AO3" s="540"/>
      <c r="AP3" s="540"/>
      <c r="AQ3" s="540"/>
      <c r="AR3" s="540"/>
      <c r="AS3" s="478"/>
    </row>
    <row r="4" spans="1:56" s="213" customFormat="1" ht="48" customHeight="1" thickBot="1">
      <c r="A4" s="1379" t="s">
        <v>741</v>
      </c>
      <c r="B4" s="1184"/>
      <c r="C4" s="214" t="s">
        <v>39</v>
      </c>
      <c r="D4" s="1184" t="s">
        <v>828</v>
      </c>
      <c r="E4" s="1184"/>
      <c r="F4" s="1184"/>
      <c r="G4" s="1185">
        <v>0</v>
      </c>
      <c r="H4" s="1185"/>
      <c r="I4" s="1185"/>
      <c r="J4" s="413" t="s">
        <v>146</v>
      </c>
      <c r="K4" s="796" t="s">
        <v>743</v>
      </c>
      <c r="L4" s="699"/>
      <c r="M4" s="699"/>
      <c r="N4" s="699"/>
      <c r="O4" s="699"/>
      <c r="P4" s="699"/>
      <c r="Q4" s="699"/>
      <c r="R4" s="699"/>
      <c r="S4" s="699"/>
      <c r="T4" s="699"/>
      <c r="U4" s="699"/>
      <c r="V4" s="699"/>
      <c r="W4" s="699"/>
      <c r="X4" s="699"/>
      <c r="Y4" s="699"/>
      <c r="Z4" s="699"/>
      <c r="AA4" s="699"/>
      <c r="AB4" s="843"/>
      <c r="AC4" s="585"/>
      <c r="AD4" s="1182" t="s">
        <v>1463</v>
      </c>
      <c r="AE4" s="1182"/>
      <c r="AF4" s="545" t="s">
        <v>356</v>
      </c>
      <c r="AG4" s="1181"/>
      <c r="AH4" s="1181"/>
      <c r="AI4" s="1181"/>
      <c r="AJ4" s="1181"/>
      <c r="AK4" s="546" t="s">
        <v>1259</v>
      </c>
      <c r="AL4" s="545" t="s">
        <v>743</v>
      </c>
      <c r="AM4" s="540"/>
      <c r="AN4" s="540"/>
      <c r="AO4" s="540"/>
      <c r="AP4" s="540"/>
      <c r="AQ4" s="540"/>
      <c r="AR4" s="540"/>
      <c r="AS4" s="478"/>
    </row>
    <row r="5" spans="1:56" s="213" customFormat="1" ht="48" customHeight="1" thickBot="1">
      <c r="A5" s="1379" t="s">
        <v>741</v>
      </c>
      <c r="B5" s="1184"/>
      <c r="C5" s="214" t="s">
        <v>145</v>
      </c>
      <c r="D5" s="1184" t="s">
        <v>828</v>
      </c>
      <c r="E5" s="1184"/>
      <c r="F5" s="1184"/>
      <c r="G5" s="2318" t="str">
        <f>IF(AND(X12="",X13="",X14=""),"",SUM(X12:X14))</f>
        <v/>
      </c>
      <c r="H5" s="2318"/>
      <c r="I5" s="2318"/>
      <c r="J5" s="413" t="s">
        <v>146</v>
      </c>
      <c r="K5" s="796" t="s">
        <v>743</v>
      </c>
      <c r="L5" s="699"/>
      <c r="M5" s="699"/>
      <c r="N5" s="699"/>
      <c r="O5" s="699"/>
      <c r="P5" s="699"/>
      <c r="Q5" s="699"/>
      <c r="R5" s="699"/>
      <c r="S5" s="699"/>
      <c r="T5" s="699"/>
      <c r="U5" s="699"/>
      <c r="V5" s="699"/>
      <c r="W5" s="699"/>
      <c r="X5" s="699"/>
      <c r="Y5" s="699"/>
      <c r="Z5" s="699"/>
      <c r="AA5" s="699"/>
      <c r="AB5" s="843"/>
      <c r="AC5" s="585"/>
      <c r="AD5" s="1182" t="s">
        <v>1464</v>
      </c>
      <c r="AE5" s="1182"/>
      <c r="AF5" s="545" t="s">
        <v>356</v>
      </c>
      <c r="AG5" s="1181" t="str">
        <f>IF(OR(G5=0,G5=""),"",(SQRT(SUM(BB12:BB14))/G5))</f>
        <v/>
      </c>
      <c r="AH5" s="1181"/>
      <c r="AI5" s="1181"/>
      <c r="AJ5" s="1181"/>
      <c r="AK5" s="546" t="s">
        <v>1259</v>
      </c>
      <c r="AL5" s="545" t="s">
        <v>743</v>
      </c>
      <c r="AM5" s="540"/>
      <c r="AN5" s="540"/>
      <c r="AO5" s="540"/>
      <c r="AP5" s="540"/>
      <c r="AQ5" s="540"/>
      <c r="AR5" s="540"/>
      <c r="AS5" s="478"/>
    </row>
    <row r="6" spans="1:56" s="213" customFormat="1" ht="48" customHeight="1" thickBot="1">
      <c r="A6" s="1379" t="s">
        <v>741</v>
      </c>
      <c r="B6" s="1184"/>
      <c r="C6" s="214" t="s">
        <v>147</v>
      </c>
      <c r="D6" s="1184" t="s">
        <v>828</v>
      </c>
      <c r="E6" s="1184"/>
      <c r="F6" s="1184"/>
      <c r="G6" s="1185">
        <v>0</v>
      </c>
      <c r="H6" s="1185"/>
      <c r="I6" s="1185"/>
      <c r="J6" s="413" t="s">
        <v>146</v>
      </c>
      <c r="K6" s="796" t="s">
        <v>743</v>
      </c>
      <c r="L6" s="699"/>
      <c r="M6" s="699"/>
      <c r="N6" s="699"/>
      <c r="O6" s="699"/>
      <c r="P6" s="699"/>
      <c r="Q6" s="699"/>
      <c r="R6" s="699"/>
      <c r="S6" s="699"/>
      <c r="T6" s="699"/>
      <c r="U6" s="699"/>
      <c r="V6" s="699"/>
      <c r="W6" s="699"/>
      <c r="X6" s="699"/>
      <c r="Y6" s="699"/>
      <c r="Z6" s="699"/>
      <c r="AA6" s="699"/>
      <c r="AB6" s="843"/>
      <c r="AC6" s="585"/>
      <c r="AD6" s="1182" t="s">
        <v>1465</v>
      </c>
      <c r="AE6" s="1182"/>
      <c r="AF6" s="545" t="s">
        <v>356</v>
      </c>
      <c r="AG6" s="1181"/>
      <c r="AH6" s="1181"/>
      <c r="AI6" s="1181"/>
      <c r="AJ6" s="1181"/>
      <c r="AK6" s="546" t="s">
        <v>1259</v>
      </c>
      <c r="AL6" s="545" t="s">
        <v>743</v>
      </c>
      <c r="AM6" s="540"/>
      <c r="AN6" s="540"/>
      <c r="AO6" s="540"/>
      <c r="AP6" s="540"/>
      <c r="AQ6" s="540"/>
      <c r="AR6" s="540"/>
      <c r="AS6" s="478"/>
    </row>
    <row r="7" spans="1:56" s="213" customFormat="1" ht="48" customHeight="1" thickBot="1">
      <c r="A7" s="1379" t="s">
        <v>741</v>
      </c>
      <c r="B7" s="1184"/>
      <c r="C7" s="214" t="s">
        <v>31</v>
      </c>
      <c r="D7" s="1184" t="s">
        <v>828</v>
      </c>
      <c r="E7" s="1184"/>
      <c r="F7" s="1184"/>
      <c r="G7" s="2313" t="str">
        <f>IF(OR(AND(Z19="",Z20="",Z21=""),AND(Z19=0,Z20=0,Z21=0)),(IF(AND(Z26="",Z27="",Z28=""),"",SUM(Z26:Z28))),   ( IF(OR(Z19="غلظت VOC ورودي بايستي از غلظت VOC خروجي بيشتر باشد.",Z19=""),0,Z19)+ IF(OR(Z20="غلظت VOC ورودي بايستي از غلظت VOC خروجي بيشتر باشد.",Z20=""),0,Z20)+ IF(OR(Z21="غلظت VOC ورودي بايستي از غلظت VOC خروجي بيشتر باشد.",Z21=""),0,Z21))    )</f>
        <v/>
      </c>
      <c r="H7" s="2313"/>
      <c r="I7" s="2313"/>
      <c r="J7" s="413" t="s">
        <v>146</v>
      </c>
      <c r="K7" s="796" t="s">
        <v>743</v>
      </c>
      <c r="L7" s="699"/>
      <c r="M7" s="699"/>
      <c r="N7" s="699"/>
      <c r="O7" s="699"/>
      <c r="P7" s="699"/>
      <c r="Q7" s="699"/>
      <c r="R7" s="699"/>
      <c r="S7" s="699"/>
      <c r="T7" s="699"/>
      <c r="U7" s="699"/>
      <c r="V7" s="699"/>
      <c r="W7" s="699"/>
      <c r="X7" s="699"/>
      <c r="Y7" s="699"/>
      <c r="Z7" s="699"/>
      <c r="AA7" s="699"/>
      <c r="AB7" s="843"/>
      <c r="AC7" s="585"/>
      <c r="AD7" s="1182" t="s">
        <v>1466</v>
      </c>
      <c r="AE7" s="1182"/>
      <c r="AF7" s="545" t="s">
        <v>356</v>
      </c>
      <c r="AG7" s="1181" t="str">
        <f>IF(OR(G7=0,G7=""),"",  IF(SUM(Z19:Z21)=SUM(Z26:Z28),SQRT(SUM(BD19:BD21))/G7,IF(G7=SUM(Z19:Z21),SQRT(SUM(BD19:BD21))/G7,SQRT(SUM(BD26:BD28))/G7)))</f>
        <v/>
      </c>
      <c r="AH7" s="1181"/>
      <c r="AI7" s="1181"/>
      <c r="AJ7" s="1181"/>
      <c r="AK7" s="546" t="s">
        <v>1259</v>
      </c>
      <c r="AL7" s="545" t="s">
        <v>743</v>
      </c>
      <c r="AM7" s="540"/>
      <c r="AN7" s="540"/>
      <c r="AO7" s="540"/>
      <c r="AP7" s="540"/>
      <c r="AQ7" s="540"/>
      <c r="AR7" s="540"/>
      <c r="AS7" s="478"/>
    </row>
    <row r="8" spans="1:56" ht="43.05" customHeight="1" thickBot="1">
      <c r="A8" s="1065" t="s">
        <v>715</v>
      </c>
      <c r="B8" s="1066"/>
      <c r="C8" s="1066"/>
      <c r="D8" s="1066"/>
      <c r="E8" s="1066"/>
      <c r="F8" s="1066"/>
      <c r="G8" s="1066"/>
      <c r="H8" s="1066"/>
      <c r="I8" s="1066"/>
      <c r="J8" s="1066"/>
      <c r="K8" s="1066"/>
      <c r="L8" s="1066"/>
      <c r="M8" s="1066"/>
      <c r="N8" s="1066"/>
      <c r="O8" s="1066"/>
      <c r="P8" s="1066"/>
      <c r="Q8" s="1066"/>
      <c r="R8" s="1066"/>
      <c r="S8" s="1066"/>
      <c r="T8" s="1066"/>
      <c r="U8" s="1066"/>
      <c r="V8" s="1066"/>
      <c r="W8" s="1066"/>
      <c r="X8" s="1066"/>
      <c r="Y8" s="1066"/>
      <c r="Z8" s="1066"/>
      <c r="AA8" s="1067"/>
      <c r="AB8" s="458"/>
      <c r="AC8" s="612"/>
      <c r="AD8" s="613"/>
      <c r="AE8" s="613"/>
      <c r="AF8" s="613"/>
      <c r="AG8" s="613"/>
      <c r="AH8" s="613"/>
      <c r="AI8" s="613"/>
      <c r="AJ8" s="613"/>
      <c r="AK8" s="613"/>
      <c r="AL8" s="613"/>
      <c r="AM8" s="613"/>
      <c r="AN8" s="613"/>
      <c r="AO8" s="613"/>
      <c r="AP8" s="613"/>
      <c r="AQ8" s="613"/>
      <c r="AR8" s="613"/>
      <c r="AS8" s="478"/>
      <c r="AT8" s="213"/>
      <c r="AU8" s="213"/>
      <c r="AV8" s="213"/>
      <c r="AW8" s="213"/>
      <c r="AX8" s="213"/>
      <c r="AY8" s="213"/>
      <c r="AZ8" s="213"/>
      <c r="BA8" s="213"/>
      <c r="BB8" s="213"/>
      <c r="BC8" s="213"/>
      <c r="BD8" s="213"/>
    </row>
    <row r="9" spans="1:56" ht="27" customHeight="1" thickBot="1">
      <c r="A9" s="1804"/>
      <c r="B9" s="1204" t="s">
        <v>733</v>
      </c>
      <c r="C9" s="1205"/>
      <c r="D9" s="1205"/>
      <c r="E9" s="1205"/>
      <c r="F9" s="1205"/>
      <c r="G9" s="1205"/>
      <c r="H9" s="1205"/>
      <c r="I9" s="1205"/>
      <c r="J9" s="1205"/>
      <c r="K9" s="1205"/>
      <c r="L9" s="1205"/>
      <c r="M9" s="1205"/>
      <c r="N9" s="1205"/>
      <c r="O9" s="1205"/>
      <c r="P9" s="1206"/>
      <c r="Q9" s="1204" t="s">
        <v>719</v>
      </c>
      <c r="R9" s="1205"/>
      <c r="S9" s="1205"/>
      <c r="T9" s="1205"/>
      <c r="U9" s="1206"/>
      <c r="V9" s="1204" t="s">
        <v>720</v>
      </c>
      <c r="W9" s="1205"/>
      <c r="X9" s="1205"/>
      <c r="Y9" s="1205"/>
      <c r="Z9" s="1206"/>
      <c r="AA9" s="1845"/>
      <c r="AB9" s="458"/>
      <c r="AC9" s="1494"/>
      <c r="AD9" s="2334" t="s">
        <v>1457</v>
      </c>
      <c r="AE9" s="2239"/>
      <c r="AF9" s="2239"/>
      <c r="AG9" s="2239"/>
      <c r="AH9" s="2239"/>
      <c r="AI9" s="2239"/>
      <c r="AJ9" s="2239"/>
      <c r="AK9" s="2239"/>
      <c r="AL9" s="2273"/>
      <c r="AM9" s="2238" t="s">
        <v>1458</v>
      </c>
      <c r="AN9" s="2239"/>
      <c r="AO9" s="2239"/>
      <c r="AP9" s="2239"/>
      <c r="AQ9" s="2273"/>
      <c r="AR9" s="1494"/>
      <c r="AS9" s="478"/>
      <c r="AT9" s="529" t="s">
        <v>40</v>
      </c>
      <c r="AU9" s="530" t="s">
        <v>39</v>
      </c>
      <c r="AV9" s="530" t="s">
        <v>145</v>
      </c>
      <c r="AW9" s="530" t="s">
        <v>147</v>
      </c>
      <c r="AX9" s="531" t="s">
        <v>31</v>
      </c>
      <c r="AY9" s="217"/>
      <c r="AZ9" s="529" t="s">
        <v>40</v>
      </c>
      <c r="BA9" s="530" t="s">
        <v>39</v>
      </c>
      <c r="BB9" s="530" t="s">
        <v>145</v>
      </c>
      <c r="BC9" s="530" t="s">
        <v>147</v>
      </c>
      <c r="BD9" s="531" t="s">
        <v>31</v>
      </c>
    </row>
    <row r="10" spans="1:56" ht="22.95" customHeight="1">
      <c r="A10" s="1805"/>
      <c r="B10" s="1093" t="s">
        <v>721</v>
      </c>
      <c r="C10" s="2284"/>
      <c r="D10" s="2284"/>
      <c r="E10" s="2285"/>
      <c r="F10" s="2283" t="s">
        <v>722</v>
      </c>
      <c r="G10" s="2284"/>
      <c r="H10" s="2284"/>
      <c r="I10" s="2285"/>
      <c r="J10" s="2283" t="s">
        <v>724</v>
      </c>
      <c r="K10" s="2284"/>
      <c r="L10" s="2284"/>
      <c r="M10" s="2285"/>
      <c r="N10" s="1052" t="s">
        <v>725</v>
      </c>
      <c r="O10" s="1087"/>
      <c r="P10" s="2314" t="s">
        <v>730</v>
      </c>
      <c r="Q10" s="2311" t="s">
        <v>40</v>
      </c>
      <c r="R10" s="1171" t="s">
        <v>39</v>
      </c>
      <c r="S10" s="1076" t="s">
        <v>145</v>
      </c>
      <c r="T10" s="1171" t="s">
        <v>147</v>
      </c>
      <c r="U10" s="1241" t="s">
        <v>31</v>
      </c>
      <c r="V10" s="2311" t="s">
        <v>40</v>
      </c>
      <c r="W10" s="1171" t="s">
        <v>39</v>
      </c>
      <c r="X10" s="696" t="s">
        <v>145</v>
      </c>
      <c r="Y10" s="1171" t="s">
        <v>147</v>
      </c>
      <c r="Z10" s="1241" t="s">
        <v>31</v>
      </c>
      <c r="AA10" s="1846"/>
      <c r="AB10" s="458"/>
      <c r="AC10" s="1495"/>
      <c r="AD10" s="1458" t="s">
        <v>1450</v>
      </c>
      <c r="AE10" s="2120"/>
      <c r="AF10" s="2122" t="s">
        <v>1451</v>
      </c>
      <c r="AG10" s="2120"/>
      <c r="AH10" s="1743" t="s">
        <v>1261</v>
      </c>
      <c r="AI10" s="1743"/>
      <c r="AJ10" s="1743"/>
      <c r="AK10" s="1743"/>
      <c r="AL10" s="1733"/>
      <c r="AM10" s="628" t="s">
        <v>40</v>
      </c>
      <c r="AN10" s="750" t="s">
        <v>39</v>
      </c>
      <c r="AO10" s="750" t="s">
        <v>145</v>
      </c>
      <c r="AP10" s="750" t="s">
        <v>147</v>
      </c>
      <c r="AQ10" s="775" t="s">
        <v>31</v>
      </c>
      <c r="AR10" s="1495"/>
      <c r="AS10" s="478"/>
      <c r="AT10" s="1332" t="s">
        <v>1285</v>
      </c>
      <c r="AU10" s="1332"/>
      <c r="AV10" s="1332"/>
      <c r="AW10" s="1332"/>
      <c r="AX10" s="1332"/>
      <c r="AY10" s="213"/>
      <c r="AZ10" s="1332" t="s">
        <v>1286</v>
      </c>
      <c r="BA10" s="1332"/>
      <c r="BB10" s="1332"/>
      <c r="BC10" s="1332"/>
      <c r="BD10" s="1332"/>
    </row>
    <row r="11" spans="1:56" ht="27.45" customHeight="1" thickBot="1">
      <c r="A11" s="1805"/>
      <c r="B11" s="1702" t="s">
        <v>1085</v>
      </c>
      <c r="C11" s="2297"/>
      <c r="D11" s="2297"/>
      <c r="E11" s="1703"/>
      <c r="F11" s="2296" t="s">
        <v>382</v>
      </c>
      <c r="G11" s="2297"/>
      <c r="H11" s="2297"/>
      <c r="I11" s="1703"/>
      <c r="J11" s="2296" t="s">
        <v>723</v>
      </c>
      <c r="K11" s="2297"/>
      <c r="L11" s="2297"/>
      <c r="M11" s="1703"/>
      <c r="N11" s="1121"/>
      <c r="O11" s="1089"/>
      <c r="P11" s="2315"/>
      <c r="Q11" s="2312"/>
      <c r="R11" s="1172"/>
      <c r="S11" s="1077"/>
      <c r="T11" s="1172"/>
      <c r="U11" s="1242"/>
      <c r="V11" s="2312"/>
      <c r="W11" s="1172"/>
      <c r="X11" s="697" t="s">
        <v>146</v>
      </c>
      <c r="Y11" s="1172"/>
      <c r="Z11" s="1242"/>
      <c r="AA11" s="1846"/>
      <c r="AB11" s="458"/>
      <c r="AC11" s="1495"/>
      <c r="AD11" s="2347"/>
      <c r="AE11" s="2336"/>
      <c r="AF11" s="2335"/>
      <c r="AG11" s="2336"/>
      <c r="AH11" s="739" t="s">
        <v>40</v>
      </c>
      <c r="AI11" s="739" t="s">
        <v>39</v>
      </c>
      <c r="AJ11" s="739" t="s">
        <v>145</v>
      </c>
      <c r="AK11" s="739" t="s">
        <v>1439</v>
      </c>
      <c r="AL11" s="775" t="s">
        <v>31</v>
      </c>
      <c r="AM11" s="627" t="s">
        <v>1260</v>
      </c>
      <c r="AN11" s="739" t="s">
        <v>1260</v>
      </c>
      <c r="AO11" s="739" t="s">
        <v>1260</v>
      </c>
      <c r="AP11" s="739" t="s">
        <v>1260</v>
      </c>
      <c r="AQ11" s="775" t="s">
        <v>1260</v>
      </c>
      <c r="AR11" s="1495"/>
      <c r="AS11" s="478"/>
      <c r="AT11" s="1332"/>
      <c r="AU11" s="1332"/>
      <c r="AV11" s="1332"/>
      <c r="AW11" s="1332"/>
      <c r="AX11" s="1332"/>
      <c r="AY11" s="213"/>
      <c r="AZ11" s="1332"/>
      <c r="BA11" s="1332"/>
      <c r="BB11" s="1332"/>
      <c r="BC11" s="1332"/>
      <c r="BD11" s="1332"/>
    </row>
    <row r="12" spans="1:56" ht="59.55" customHeight="1" thickBot="1">
      <c r="A12" s="1805"/>
      <c r="B12" s="2289"/>
      <c r="C12" s="2290"/>
      <c r="D12" s="2290"/>
      <c r="E12" s="2291"/>
      <c r="F12" s="2292"/>
      <c r="G12" s="2290"/>
      <c r="H12" s="2290"/>
      <c r="I12" s="2291"/>
      <c r="J12" s="2292"/>
      <c r="K12" s="2290"/>
      <c r="L12" s="2290"/>
      <c r="M12" s="2291"/>
      <c r="N12" s="2316"/>
      <c r="O12" s="2317"/>
      <c r="P12" s="466" t="str">
        <f>IF(N12="","",(VLOOKUP(N12,'Emission factors'!A202:B204,2,FALSE)))</f>
        <v/>
      </c>
      <c r="Q12" s="2168" t="s">
        <v>731</v>
      </c>
      <c r="R12" s="2169"/>
      <c r="S12" s="2169"/>
      <c r="T12" s="2169"/>
      <c r="U12" s="2310"/>
      <c r="V12" s="2281" t="s">
        <v>717</v>
      </c>
      <c r="W12" s="2282"/>
      <c r="X12" s="469" t="str">
        <f>IF(OR(B12="",F12="",J12="",P12=""),"",((10^-8)*(J12*P12*B12*F12*1)))</f>
        <v/>
      </c>
      <c r="Y12" s="819" t="s">
        <v>718</v>
      </c>
      <c r="Z12" s="467" t="s">
        <v>716</v>
      </c>
      <c r="AA12" s="1846"/>
      <c r="AB12" s="458"/>
      <c r="AC12" s="1495"/>
      <c r="AD12" s="2115"/>
      <c r="AE12" s="1587"/>
      <c r="AF12" s="2348"/>
      <c r="AG12" s="2349"/>
      <c r="AH12" s="2319"/>
      <c r="AI12" s="2320"/>
      <c r="AJ12" s="2320"/>
      <c r="AK12" s="2320"/>
      <c r="AL12" s="2321"/>
      <c r="AM12" s="1594"/>
      <c r="AN12" s="2340"/>
      <c r="AO12" s="754" t="str">
        <f>IF(OR(AD12="",AF12=""),"",(SQRT((40^2)+(AD12^2)+(AF12^2))))</f>
        <v/>
      </c>
      <c r="AP12" s="1594"/>
      <c r="AQ12" s="2339"/>
      <c r="AR12" s="1495"/>
      <c r="AS12" s="478"/>
      <c r="AT12" s="1556"/>
      <c r="AU12" s="1556"/>
      <c r="AV12" s="751" t="str">
        <f>IF(OR(X12="",AO12=""),"",X12*AO12)</f>
        <v/>
      </c>
      <c r="AW12" s="1556"/>
      <c r="AX12" s="1556"/>
      <c r="AY12" s="213"/>
      <c r="AZ12" s="1556"/>
      <c r="BA12" s="1556"/>
      <c r="BB12" s="751" t="str">
        <f>IF(AV12="","",AV12^2)</f>
        <v/>
      </c>
      <c r="BC12" s="1556"/>
      <c r="BD12" s="1556"/>
    </row>
    <row r="13" spans="1:56" ht="59.55" customHeight="1" thickBot="1">
      <c r="A13" s="1805"/>
      <c r="B13" s="2289"/>
      <c r="C13" s="2290"/>
      <c r="D13" s="2290"/>
      <c r="E13" s="2291"/>
      <c r="F13" s="2292"/>
      <c r="G13" s="2290"/>
      <c r="H13" s="2290"/>
      <c r="I13" s="2291"/>
      <c r="J13" s="2292"/>
      <c r="K13" s="2290"/>
      <c r="L13" s="2290"/>
      <c r="M13" s="2291"/>
      <c r="N13" s="2316"/>
      <c r="O13" s="2317"/>
      <c r="P13" s="466" t="str">
        <f>IF(N13="","",(VLOOKUP(N13,'Emission factors'!A202:B204,2,FALSE)))</f>
        <v/>
      </c>
      <c r="Q13" s="2168" t="s">
        <v>731</v>
      </c>
      <c r="R13" s="2169"/>
      <c r="S13" s="2169"/>
      <c r="T13" s="2169"/>
      <c r="U13" s="2310"/>
      <c r="V13" s="2281" t="s">
        <v>717</v>
      </c>
      <c r="W13" s="2282"/>
      <c r="X13" s="469" t="str">
        <f>IF(OR(B13="",F13="",J13="",P13=""),"",((10^-8)*(J13*P13*B13*F13*1)))</f>
        <v/>
      </c>
      <c r="Y13" s="819" t="s">
        <v>718</v>
      </c>
      <c r="Z13" s="467" t="s">
        <v>716</v>
      </c>
      <c r="AA13" s="1846"/>
      <c r="AB13" s="458"/>
      <c r="AC13" s="1495"/>
      <c r="AD13" s="2115"/>
      <c r="AE13" s="1587"/>
      <c r="AF13" s="2039"/>
      <c r="AG13" s="1587"/>
      <c r="AH13" s="2322"/>
      <c r="AI13" s="2323"/>
      <c r="AJ13" s="2323"/>
      <c r="AK13" s="2323"/>
      <c r="AL13" s="2324"/>
      <c r="AM13" s="1520"/>
      <c r="AN13" s="1550"/>
      <c r="AO13" s="754" t="str">
        <f t="shared" ref="AO13" si="0">IF(OR(AD13="",AF13=""),"",(SQRT((40^2)+(AD13^2)+(AF13^2))))</f>
        <v/>
      </c>
      <c r="AP13" s="1520"/>
      <c r="AQ13" s="1549"/>
      <c r="AR13" s="1495"/>
      <c r="AS13" s="458"/>
      <c r="AT13" s="1556"/>
      <c r="AU13" s="1556"/>
      <c r="AV13" s="751" t="str">
        <f>IF(OR(X13="",AO13=""),"",X13*AO13)</f>
        <v/>
      </c>
      <c r="AW13" s="1556"/>
      <c r="AX13" s="1556"/>
      <c r="AZ13" s="1556"/>
      <c r="BA13" s="1556"/>
      <c r="BB13" s="751" t="str">
        <f>IF(AV13="","",AV13^2)</f>
        <v/>
      </c>
      <c r="BC13" s="1556"/>
      <c r="BD13" s="1556"/>
    </row>
    <row r="14" spans="1:56" ht="59.55" customHeight="1" thickBot="1">
      <c r="A14" s="1806"/>
      <c r="B14" s="2289"/>
      <c r="C14" s="2290"/>
      <c r="D14" s="2290"/>
      <c r="E14" s="2291"/>
      <c r="F14" s="2292"/>
      <c r="G14" s="2290"/>
      <c r="H14" s="2290"/>
      <c r="I14" s="2291"/>
      <c r="J14" s="2292"/>
      <c r="K14" s="2290"/>
      <c r="L14" s="2290"/>
      <c r="M14" s="2291"/>
      <c r="N14" s="2316"/>
      <c r="O14" s="2317"/>
      <c r="P14" s="466" t="str">
        <f>IF(N14="","",(VLOOKUP(N14,'Emission factors'!A202:B204,2,FALSE)))</f>
        <v/>
      </c>
      <c r="Q14" s="2168" t="s">
        <v>731</v>
      </c>
      <c r="R14" s="2169"/>
      <c r="S14" s="2169"/>
      <c r="T14" s="2169"/>
      <c r="U14" s="2310"/>
      <c r="V14" s="2281" t="s">
        <v>717</v>
      </c>
      <c r="W14" s="2282"/>
      <c r="X14" s="469" t="str">
        <f>IF(OR(B14="",F14="",J14="",P14=""),"",((10^-8)*(J14*P14*B14*F14*1)))</f>
        <v/>
      </c>
      <c r="Y14" s="819" t="s">
        <v>718</v>
      </c>
      <c r="Z14" s="467" t="s">
        <v>716</v>
      </c>
      <c r="AA14" s="1847"/>
      <c r="AB14" s="458"/>
      <c r="AC14" s="1495"/>
      <c r="AD14" s="2350"/>
      <c r="AE14" s="1588"/>
      <c r="AF14" s="2351"/>
      <c r="AG14" s="1588"/>
      <c r="AH14" s="2322"/>
      <c r="AI14" s="2323"/>
      <c r="AJ14" s="2323"/>
      <c r="AK14" s="2323"/>
      <c r="AL14" s="2324"/>
      <c r="AM14" s="1520"/>
      <c r="AN14" s="1550"/>
      <c r="AO14" s="762" t="str">
        <f>IF(OR(AD14="",AF14=""),"",(SQRT((40^2)+(AD14^2)+(AF14^2))))</f>
        <v/>
      </c>
      <c r="AP14" s="1520"/>
      <c r="AQ14" s="1549"/>
      <c r="AR14" s="1496"/>
      <c r="AS14" s="458"/>
      <c r="AT14" s="1556"/>
      <c r="AU14" s="1556"/>
      <c r="AV14" s="751" t="str">
        <f>IF(OR(X14="",AO14=""),"",X14*AO14)</f>
        <v/>
      </c>
      <c r="AW14" s="1556"/>
      <c r="AX14" s="1556"/>
      <c r="AZ14" s="1556"/>
      <c r="BA14" s="1556"/>
      <c r="BB14" s="751" t="str">
        <f>IF(AV14="","",AV14^2)</f>
        <v/>
      </c>
      <c r="BC14" s="1556"/>
      <c r="BD14" s="1556"/>
    </row>
    <row r="15" spans="1:56" ht="28.05" customHeight="1" thickBot="1">
      <c r="A15" s="1065" t="s">
        <v>732</v>
      </c>
      <c r="B15" s="1066"/>
      <c r="C15" s="1066"/>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6"/>
      <c r="AA15" s="1067"/>
      <c r="AB15" s="458"/>
      <c r="AC15" s="1464"/>
      <c r="AD15" s="1465"/>
      <c r="AE15" s="1465"/>
      <c r="AF15" s="1465"/>
      <c r="AG15" s="1465"/>
      <c r="AH15" s="1465"/>
      <c r="AI15" s="1465"/>
      <c r="AJ15" s="1465"/>
      <c r="AK15" s="1465"/>
      <c r="AL15" s="1465"/>
      <c r="AM15" s="1465"/>
      <c r="AN15" s="1465"/>
      <c r="AO15" s="1465"/>
      <c r="AP15" s="1465"/>
      <c r="AQ15" s="1465"/>
      <c r="AR15" s="1467"/>
      <c r="AS15" s="458"/>
    </row>
    <row r="16" spans="1:56" ht="25.8" thickBot="1">
      <c r="A16" s="2286"/>
      <c r="B16" s="1232" t="s">
        <v>733</v>
      </c>
      <c r="C16" s="1233"/>
      <c r="D16" s="1233"/>
      <c r="E16" s="1233"/>
      <c r="F16" s="1233"/>
      <c r="G16" s="1233"/>
      <c r="H16" s="1233"/>
      <c r="I16" s="1233"/>
      <c r="J16" s="1233"/>
      <c r="K16" s="1233"/>
      <c r="L16" s="1233"/>
      <c r="M16" s="1233"/>
      <c r="N16" s="1233"/>
      <c r="O16" s="1233"/>
      <c r="P16" s="1234"/>
      <c r="Q16" s="1232" t="s">
        <v>719</v>
      </c>
      <c r="R16" s="1233"/>
      <c r="S16" s="1233"/>
      <c r="T16" s="1233"/>
      <c r="U16" s="1234"/>
      <c r="V16" s="1233" t="s">
        <v>720</v>
      </c>
      <c r="W16" s="1233"/>
      <c r="X16" s="1233"/>
      <c r="Y16" s="1233"/>
      <c r="Z16" s="1233"/>
      <c r="AA16" s="1845"/>
      <c r="AB16" s="458"/>
      <c r="AC16" s="1494"/>
      <c r="AD16" s="2343" t="s">
        <v>1459</v>
      </c>
      <c r="AE16" s="2344"/>
      <c r="AF16" s="2344"/>
      <c r="AG16" s="2344"/>
      <c r="AH16" s="2239"/>
      <c r="AI16" s="2239"/>
      <c r="AJ16" s="2239"/>
      <c r="AK16" s="2239"/>
      <c r="AL16" s="2273"/>
      <c r="AM16" s="2238" t="s">
        <v>1460</v>
      </c>
      <c r="AN16" s="2239"/>
      <c r="AO16" s="2239"/>
      <c r="AP16" s="2239"/>
      <c r="AQ16" s="2273"/>
      <c r="AR16" s="1494"/>
      <c r="AS16" s="478"/>
      <c r="AT16" s="529" t="s">
        <v>40</v>
      </c>
      <c r="AU16" s="530" t="s">
        <v>39</v>
      </c>
      <c r="AV16" s="530" t="s">
        <v>145</v>
      </c>
      <c r="AW16" s="530" t="s">
        <v>147</v>
      </c>
      <c r="AX16" s="531" t="s">
        <v>31</v>
      </c>
      <c r="AY16" s="217"/>
      <c r="AZ16" s="529" t="s">
        <v>40</v>
      </c>
      <c r="BA16" s="530" t="s">
        <v>39</v>
      </c>
      <c r="BB16" s="530" t="s">
        <v>145</v>
      </c>
      <c r="BC16" s="530" t="s">
        <v>147</v>
      </c>
      <c r="BD16" s="531" t="s">
        <v>31</v>
      </c>
    </row>
    <row r="17" spans="1:60" ht="22.95" customHeight="1">
      <c r="A17" s="2287"/>
      <c r="B17" s="1093" t="s">
        <v>721</v>
      </c>
      <c r="C17" s="2284"/>
      <c r="D17" s="2284"/>
      <c r="E17" s="2285"/>
      <c r="F17" s="2304" t="s">
        <v>722</v>
      </c>
      <c r="G17" s="2305"/>
      <c r="H17" s="2305"/>
      <c r="I17" s="2306"/>
      <c r="J17" s="1104" t="s">
        <v>734</v>
      </c>
      <c r="K17" s="1104"/>
      <c r="L17" s="1104"/>
      <c r="M17" s="1104"/>
      <c r="N17" s="2283" t="s">
        <v>735</v>
      </c>
      <c r="O17" s="2284"/>
      <c r="P17" s="2307"/>
      <c r="Q17" s="2311" t="s">
        <v>40</v>
      </c>
      <c r="R17" s="1171" t="s">
        <v>39</v>
      </c>
      <c r="S17" s="1076" t="s">
        <v>145</v>
      </c>
      <c r="T17" s="1171" t="s">
        <v>147</v>
      </c>
      <c r="U17" s="1241" t="s">
        <v>31</v>
      </c>
      <c r="V17" s="1239" t="s">
        <v>40</v>
      </c>
      <c r="W17" s="1171" t="s">
        <v>39</v>
      </c>
      <c r="X17" s="1076" t="s">
        <v>145</v>
      </c>
      <c r="Y17" s="1171" t="s">
        <v>147</v>
      </c>
      <c r="Z17" s="9" t="s">
        <v>31</v>
      </c>
      <c r="AA17" s="1846"/>
      <c r="AB17" s="458"/>
      <c r="AC17" s="1495"/>
      <c r="AD17" s="2337" t="s">
        <v>1450</v>
      </c>
      <c r="AE17" s="2338" t="s">
        <v>1452</v>
      </c>
      <c r="AF17" s="2338" t="s">
        <v>1453</v>
      </c>
      <c r="AG17" s="2338"/>
      <c r="AH17" s="1743" t="s">
        <v>1261</v>
      </c>
      <c r="AI17" s="1743"/>
      <c r="AJ17" s="1743"/>
      <c r="AK17" s="1743"/>
      <c r="AL17" s="1733"/>
      <c r="AM17" s="628" t="s">
        <v>40</v>
      </c>
      <c r="AN17" s="750" t="s">
        <v>39</v>
      </c>
      <c r="AO17" s="750" t="s">
        <v>145</v>
      </c>
      <c r="AP17" s="750" t="s">
        <v>147</v>
      </c>
      <c r="AQ17" s="775" t="s">
        <v>31</v>
      </c>
      <c r="AR17" s="1495"/>
      <c r="AS17" s="478"/>
      <c r="AT17" s="1332" t="s">
        <v>1285</v>
      </c>
      <c r="AU17" s="1332"/>
      <c r="AV17" s="1332"/>
      <c r="AW17" s="1332"/>
      <c r="AX17" s="1332"/>
      <c r="AY17" s="213"/>
      <c r="AZ17" s="1332" t="s">
        <v>1286</v>
      </c>
      <c r="BA17" s="1332"/>
      <c r="BB17" s="1332"/>
      <c r="BC17" s="1332"/>
      <c r="BD17" s="1332"/>
    </row>
    <row r="18" spans="1:60" ht="21.45" customHeight="1" thickBot="1">
      <c r="A18" s="2287"/>
      <c r="B18" s="1702" t="s">
        <v>1085</v>
      </c>
      <c r="C18" s="2297"/>
      <c r="D18" s="2297"/>
      <c r="E18" s="1703"/>
      <c r="F18" s="2296" t="s">
        <v>382</v>
      </c>
      <c r="G18" s="2297"/>
      <c r="H18" s="2297"/>
      <c r="I18" s="1703"/>
      <c r="J18" s="1947" t="s">
        <v>723</v>
      </c>
      <c r="K18" s="1650"/>
      <c r="L18" s="1650"/>
      <c r="M18" s="1948"/>
      <c r="N18" s="2296" t="s">
        <v>723</v>
      </c>
      <c r="O18" s="2297"/>
      <c r="P18" s="2308"/>
      <c r="Q18" s="2312"/>
      <c r="R18" s="1172"/>
      <c r="S18" s="1077"/>
      <c r="T18" s="1172"/>
      <c r="U18" s="1242"/>
      <c r="V18" s="1240"/>
      <c r="W18" s="1172"/>
      <c r="X18" s="1077"/>
      <c r="Y18" s="1172"/>
      <c r="Z18" s="812" t="s">
        <v>146</v>
      </c>
      <c r="AA18" s="1846"/>
      <c r="AB18" s="458"/>
      <c r="AC18" s="1495"/>
      <c r="AD18" s="2337"/>
      <c r="AE18" s="2338"/>
      <c r="AF18" s="2338"/>
      <c r="AG18" s="2338"/>
      <c r="AH18" s="739" t="s">
        <v>40</v>
      </c>
      <c r="AI18" s="739" t="s">
        <v>39</v>
      </c>
      <c r="AJ18" s="739" t="s">
        <v>145</v>
      </c>
      <c r="AK18" s="739" t="s">
        <v>1439</v>
      </c>
      <c r="AL18" s="775" t="s">
        <v>31</v>
      </c>
      <c r="AM18" s="627" t="s">
        <v>1260</v>
      </c>
      <c r="AN18" s="739" t="s">
        <v>1260</v>
      </c>
      <c r="AO18" s="739" t="s">
        <v>1260</v>
      </c>
      <c r="AP18" s="739" t="s">
        <v>1260</v>
      </c>
      <c r="AQ18" s="775" t="s">
        <v>1260</v>
      </c>
      <c r="AR18" s="1495"/>
      <c r="AS18" s="478"/>
      <c r="AT18" s="1332"/>
      <c r="AU18" s="1332"/>
      <c r="AV18" s="1332"/>
      <c r="AW18" s="1332"/>
      <c r="AX18" s="1332"/>
      <c r="AY18" s="213"/>
      <c r="AZ18" s="1332"/>
      <c r="BA18" s="1332"/>
      <c r="BB18" s="1332"/>
      <c r="BC18" s="1332"/>
      <c r="BD18" s="1332"/>
      <c r="BF18" s="98" t="s">
        <v>1454</v>
      </c>
      <c r="BG18" s="98" t="s">
        <v>1455</v>
      </c>
      <c r="BH18" s="98" t="s">
        <v>1318</v>
      </c>
    </row>
    <row r="19" spans="1:60" ht="64.5" customHeight="1" thickBot="1">
      <c r="A19" s="2287"/>
      <c r="B19" s="2289"/>
      <c r="C19" s="2290"/>
      <c r="D19" s="2290"/>
      <c r="E19" s="2291"/>
      <c r="F19" s="2292"/>
      <c r="G19" s="2290"/>
      <c r="H19" s="2290"/>
      <c r="I19" s="2291"/>
      <c r="J19" s="2292"/>
      <c r="K19" s="2290"/>
      <c r="L19" s="2290"/>
      <c r="M19" s="2291"/>
      <c r="N19" s="2292"/>
      <c r="O19" s="2290"/>
      <c r="P19" s="2290"/>
      <c r="Q19" s="2168" t="s">
        <v>731</v>
      </c>
      <c r="R19" s="2169"/>
      <c r="S19" s="2169"/>
      <c r="T19" s="2169"/>
      <c r="U19" s="2310"/>
      <c r="V19" s="2309" t="s">
        <v>717</v>
      </c>
      <c r="W19" s="2282"/>
      <c r="X19" s="467" t="s">
        <v>736</v>
      </c>
      <c r="Y19" s="819" t="s">
        <v>718</v>
      </c>
      <c r="Z19" s="473" t="str">
        <f>IF(OR(B19="",F19="",J19="",N19=""),"",IF(((10^-6)*((J19-N19)*B19*F19*1))&lt;0,"غلظت VOC ورودي بايستي از غلظت VOC خروجي بيشتر باشد.",((10^-6)*((J19-N19)*B19*F19*1))))</f>
        <v/>
      </c>
      <c r="AA19" s="1846"/>
      <c r="AB19" s="458"/>
      <c r="AC19" s="1495"/>
      <c r="AD19" s="801"/>
      <c r="AE19" s="228"/>
      <c r="AF19" s="2345"/>
      <c r="AG19" s="2346"/>
      <c r="AH19" s="2319"/>
      <c r="AI19" s="2320"/>
      <c r="AJ19" s="2320"/>
      <c r="AK19" s="2320"/>
      <c r="AL19" s="2321"/>
      <c r="AM19" s="1594"/>
      <c r="AN19" s="2339"/>
      <c r="AO19" s="2339"/>
      <c r="AP19" s="2340"/>
      <c r="AQ19" s="761" t="str">
        <f>IF(OR(AD19="",AE19=""=AF19=""),"",(SQRT((AD19^2)+(BH19^2))))</f>
        <v/>
      </c>
      <c r="AR19" s="1495"/>
      <c r="AS19" s="478"/>
      <c r="AT19" s="2278"/>
      <c r="AU19" s="2279"/>
      <c r="AV19" s="2279"/>
      <c r="AW19" s="2280"/>
      <c r="AX19" s="561" t="str">
        <f>IF(OR(Z19="",AQ19=""),"",Z19*AQ19)</f>
        <v/>
      </c>
      <c r="AY19" s="213"/>
      <c r="AZ19" s="2328"/>
      <c r="BA19" s="2329"/>
      <c r="BB19" s="2329"/>
      <c r="BC19" s="2330"/>
      <c r="BD19" s="561" t="str">
        <f>IF(AX19="","",AX19^2)</f>
        <v/>
      </c>
      <c r="BF19" s="592" t="str">
        <f>IF(OR(AF19="",AE19="",J19="",N19=""),"",SQRT((AE19*J19)^2+(AF19*N19)^2))</f>
        <v/>
      </c>
      <c r="BG19" s="592">
        <f>J19-N19</f>
        <v>0</v>
      </c>
      <c r="BH19" s="592" t="str">
        <f>IF(OR(BG19="",BG19=0),"",BF19/BG19)</f>
        <v/>
      </c>
    </row>
    <row r="20" spans="1:60" ht="64.5" customHeight="1" thickBot="1">
      <c r="A20" s="2287"/>
      <c r="B20" s="2289"/>
      <c r="C20" s="2290"/>
      <c r="D20" s="2290"/>
      <c r="E20" s="2291"/>
      <c r="F20" s="2292"/>
      <c r="G20" s="2290"/>
      <c r="H20" s="2290"/>
      <c r="I20" s="2291"/>
      <c r="J20" s="2292"/>
      <c r="K20" s="2290"/>
      <c r="L20" s="2290"/>
      <c r="M20" s="2291"/>
      <c r="N20" s="2292"/>
      <c r="O20" s="2290"/>
      <c r="P20" s="2290"/>
      <c r="Q20" s="2168" t="s">
        <v>731</v>
      </c>
      <c r="R20" s="2169"/>
      <c r="S20" s="2169"/>
      <c r="T20" s="2169"/>
      <c r="U20" s="2310"/>
      <c r="V20" s="2309" t="s">
        <v>717</v>
      </c>
      <c r="W20" s="2282"/>
      <c r="X20" s="467" t="s">
        <v>736</v>
      </c>
      <c r="Y20" s="819" t="s">
        <v>718</v>
      </c>
      <c r="Z20" s="473" t="str">
        <f t="shared" ref="Z20" si="1">IF(OR(B20="",F20="",J20="",N20=""),"",IF(((10^-6)*((J20-N20)*B20*F20*1))&lt;0,"غلظت VOC ورودي بايستي از غلظت VOC خروجي بيشتر باشد.",((10^-6)*((J20-N20)*B20*F20*1))))</f>
        <v/>
      </c>
      <c r="AA20" s="1846"/>
      <c r="AB20" s="458"/>
      <c r="AC20" s="1495"/>
      <c r="AD20" s="657"/>
      <c r="AE20" s="599"/>
      <c r="AF20" s="2039"/>
      <c r="AG20" s="1587"/>
      <c r="AH20" s="2322"/>
      <c r="AI20" s="2323"/>
      <c r="AJ20" s="2323"/>
      <c r="AK20" s="2323"/>
      <c r="AL20" s="2324"/>
      <c r="AM20" s="1520"/>
      <c r="AN20" s="1549"/>
      <c r="AO20" s="1549"/>
      <c r="AP20" s="1550"/>
      <c r="AQ20" s="761" t="str">
        <f t="shared" ref="AQ20" si="2">IF(OR(AD20="",AE20=""=AF20=""),"",(SQRT((AD20^2)+(BH20^2))))</f>
        <v/>
      </c>
      <c r="AR20" s="1495"/>
      <c r="AS20" s="458"/>
      <c r="AT20" s="2331"/>
      <c r="AU20" s="2332"/>
      <c r="AV20" s="2332"/>
      <c r="AW20" s="2333"/>
      <c r="AX20" s="561" t="str">
        <f t="shared" ref="AX20" si="3">IF(OR(Z20="",AQ20=""),"",Z20*AQ20)</f>
        <v/>
      </c>
      <c r="AZ20" s="2278"/>
      <c r="BA20" s="2279"/>
      <c r="BB20" s="2279"/>
      <c r="BC20" s="2280"/>
      <c r="BD20" s="561" t="str">
        <f>IF(AX20="","",AX20^2)</f>
        <v/>
      </c>
      <c r="BF20" s="592" t="str">
        <f t="shared" ref="BF20" si="4">IF(OR(AF20="",AE20="",J20="",N20=""),"",SQRT((AE20*J20)^2+(AF20*N20)^2))</f>
        <v/>
      </c>
      <c r="BG20" s="592">
        <f t="shared" ref="BG20:BG21" si="5">J20-N20</f>
        <v>0</v>
      </c>
      <c r="BH20" s="592" t="str">
        <f t="shared" ref="BH20" si="6">IF(OR(BG20="",BG20=0),"",BF20/BG20)</f>
        <v/>
      </c>
    </row>
    <row r="21" spans="1:60" ht="64.5" customHeight="1" thickBot="1">
      <c r="A21" s="2288"/>
      <c r="B21" s="2289"/>
      <c r="C21" s="2290"/>
      <c r="D21" s="2290"/>
      <c r="E21" s="2291"/>
      <c r="F21" s="2292"/>
      <c r="G21" s="2290"/>
      <c r="H21" s="2290"/>
      <c r="I21" s="2291"/>
      <c r="J21" s="2292"/>
      <c r="K21" s="2290"/>
      <c r="L21" s="2290"/>
      <c r="M21" s="2291"/>
      <c r="N21" s="2292"/>
      <c r="O21" s="2290"/>
      <c r="P21" s="2290"/>
      <c r="Q21" s="2168" t="s">
        <v>731</v>
      </c>
      <c r="R21" s="2169"/>
      <c r="S21" s="2169"/>
      <c r="T21" s="2169"/>
      <c r="U21" s="2310"/>
      <c r="V21" s="2309" t="s">
        <v>717</v>
      </c>
      <c r="W21" s="2282"/>
      <c r="X21" s="467" t="s">
        <v>736</v>
      </c>
      <c r="Y21" s="819" t="s">
        <v>718</v>
      </c>
      <c r="Z21" s="473" t="str">
        <f>IF(OR(B21="",F21="",J21="",N21=""),"",IF(((10^-6)*((J21-N21)*B21*F21*1))&lt;0,"غلظت VOC ورودي بايستي از غلظت VOC خروجي بيشتر باشد.",((10^-6)*((J21-N21)*B21*F21*1))))</f>
        <v/>
      </c>
      <c r="AA21" s="1847"/>
      <c r="AB21" s="458"/>
      <c r="AC21" s="1496"/>
      <c r="AD21" s="657"/>
      <c r="AE21" s="599"/>
      <c r="AF21" s="2039"/>
      <c r="AG21" s="1587"/>
      <c r="AH21" s="2325"/>
      <c r="AI21" s="2326"/>
      <c r="AJ21" s="2326"/>
      <c r="AK21" s="2326"/>
      <c r="AL21" s="2327"/>
      <c r="AM21" s="1591"/>
      <c r="AN21" s="2341"/>
      <c r="AO21" s="2341"/>
      <c r="AP21" s="2342"/>
      <c r="AQ21" s="761" t="str">
        <f>IF(OR(AD21="",AE21=""=AF21=""),"",(SQRT((AD21^2)+(BH21^2))))</f>
        <v/>
      </c>
      <c r="AR21" s="1496"/>
      <c r="AS21" s="458"/>
      <c r="AT21" s="2278"/>
      <c r="AU21" s="2279"/>
      <c r="AV21" s="2279"/>
      <c r="AW21" s="2280"/>
      <c r="AX21" s="561" t="str">
        <f>IF(OR(Z21="",AQ21=""),"",Z21*AQ21)</f>
        <v/>
      </c>
      <c r="AZ21" s="1759"/>
      <c r="BA21" s="1760"/>
      <c r="BB21" s="1760"/>
      <c r="BC21" s="1761"/>
      <c r="BD21" s="561" t="str">
        <f>IF(AX21="","",AX21^2)</f>
        <v/>
      </c>
      <c r="BF21" s="592" t="str">
        <f>IF(OR(AF21="",AE21="",J21="",N21=""),"",SQRT((AE21*J21)^2+(AF21*N21)^2))</f>
        <v/>
      </c>
      <c r="BG21" s="592">
        <f t="shared" si="5"/>
        <v>0</v>
      </c>
      <c r="BH21" s="592" t="str">
        <f>IF(OR(BG21="",BG21=0),"",BF21/BG21)</f>
        <v/>
      </c>
    </row>
    <row r="22" spans="1:60" ht="28.05" customHeight="1" thickBot="1">
      <c r="A22" s="1065" t="s">
        <v>739</v>
      </c>
      <c r="B22" s="1066"/>
      <c r="C22" s="1066"/>
      <c r="D22" s="1066"/>
      <c r="E22" s="1066"/>
      <c r="F22" s="1066"/>
      <c r="G22" s="1066"/>
      <c r="H22" s="1066"/>
      <c r="I22" s="1066"/>
      <c r="J22" s="1066"/>
      <c r="K22" s="1066"/>
      <c r="L22" s="1066"/>
      <c r="M22" s="1066"/>
      <c r="N22" s="1066"/>
      <c r="O22" s="1066"/>
      <c r="P22" s="1066"/>
      <c r="Q22" s="1066"/>
      <c r="R22" s="1066"/>
      <c r="S22" s="1066"/>
      <c r="T22" s="1066"/>
      <c r="U22" s="1066"/>
      <c r="V22" s="1066"/>
      <c r="W22" s="1066"/>
      <c r="X22" s="1066"/>
      <c r="Y22" s="1066"/>
      <c r="Z22" s="1066"/>
      <c r="AA22" s="1067"/>
      <c r="AB22" s="458"/>
      <c r="AC22" s="1464"/>
      <c r="AD22" s="2183"/>
      <c r="AE22" s="2183"/>
      <c r="AF22" s="2183"/>
      <c r="AG22" s="2183"/>
      <c r="AH22" s="2183"/>
      <c r="AI22" s="2183"/>
      <c r="AJ22" s="2183"/>
      <c r="AK22" s="2183"/>
      <c r="AL22" s="2183"/>
      <c r="AM22" s="2183"/>
      <c r="AN22" s="2183"/>
      <c r="AO22" s="2183"/>
      <c r="AP22" s="2183"/>
      <c r="AQ22" s="2183"/>
      <c r="AR22" s="1467"/>
      <c r="AS22" s="458"/>
    </row>
    <row r="23" spans="1:60" ht="25.8" thickBot="1">
      <c r="A23" s="2286"/>
      <c r="B23" s="1232" t="s">
        <v>733</v>
      </c>
      <c r="C23" s="1233"/>
      <c r="D23" s="1233"/>
      <c r="E23" s="1233"/>
      <c r="F23" s="1233"/>
      <c r="G23" s="1233"/>
      <c r="H23" s="1233"/>
      <c r="I23" s="1233"/>
      <c r="J23" s="1233"/>
      <c r="K23" s="1233"/>
      <c r="L23" s="1233"/>
      <c r="M23" s="1233"/>
      <c r="N23" s="1233"/>
      <c r="O23" s="1233"/>
      <c r="P23" s="1234"/>
      <c r="Q23" s="1204" t="s">
        <v>719</v>
      </c>
      <c r="R23" s="1205"/>
      <c r="S23" s="1205"/>
      <c r="T23" s="1205"/>
      <c r="U23" s="1206"/>
      <c r="V23" s="1204" t="s">
        <v>720</v>
      </c>
      <c r="W23" s="1205"/>
      <c r="X23" s="1205"/>
      <c r="Y23" s="1205"/>
      <c r="Z23" s="1206"/>
      <c r="AA23" s="1845"/>
      <c r="AB23" s="458"/>
      <c r="AC23" s="1494"/>
      <c r="AD23" s="2334" t="s">
        <v>1459</v>
      </c>
      <c r="AE23" s="2239"/>
      <c r="AF23" s="2239"/>
      <c r="AG23" s="2239"/>
      <c r="AH23" s="2239"/>
      <c r="AI23" s="2239"/>
      <c r="AJ23" s="2239"/>
      <c r="AK23" s="2239"/>
      <c r="AL23" s="2273"/>
      <c r="AM23" s="2238" t="s">
        <v>1460</v>
      </c>
      <c r="AN23" s="2239"/>
      <c r="AO23" s="2239"/>
      <c r="AP23" s="2239"/>
      <c r="AQ23" s="2273"/>
      <c r="AR23" s="1494"/>
      <c r="AS23" s="458"/>
      <c r="AT23" s="529" t="s">
        <v>40</v>
      </c>
      <c r="AU23" s="530" t="s">
        <v>39</v>
      </c>
      <c r="AV23" s="530" t="s">
        <v>145</v>
      </c>
      <c r="AW23" s="530" t="s">
        <v>147</v>
      </c>
      <c r="AX23" s="531" t="s">
        <v>31</v>
      </c>
      <c r="AY23" s="217"/>
      <c r="AZ23" s="529" t="s">
        <v>40</v>
      </c>
      <c r="BA23" s="530" t="s">
        <v>39</v>
      </c>
      <c r="BB23" s="530" t="s">
        <v>145</v>
      </c>
      <c r="BC23" s="530" t="s">
        <v>147</v>
      </c>
      <c r="BD23" s="531" t="s">
        <v>31</v>
      </c>
    </row>
    <row r="24" spans="1:60" ht="22.95" customHeight="1">
      <c r="A24" s="2287"/>
      <c r="B24" s="1093" t="s">
        <v>721</v>
      </c>
      <c r="C24" s="2284"/>
      <c r="D24" s="2284"/>
      <c r="E24" s="2285"/>
      <c r="F24" s="2283" t="s">
        <v>722</v>
      </c>
      <c r="G24" s="2284"/>
      <c r="H24" s="2284"/>
      <c r="I24" s="2285"/>
      <c r="J24" s="1052" t="s">
        <v>1192</v>
      </c>
      <c r="K24" s="1053"/>
      <c r="L24" s="1053"/>
      <c r="M24" s="1053"/>
      <c r="N24" s="1053"/>
      <c r="O24" s="1053"/>
      <c r="P24" s="1054"/>
      <c r="Q24" s="2311" t="s">
        <v>40</v>
      </c>
      <c r="R24" s="1171" t="s">
        <v>39</v>
      </c>
      <c r="S24" s="1076" t="s">
        <v>145</v>
      </c>
      <c r="T24" s="1171" t="s">
        <v>147</v>
      </c>
      <c r="U24" s="713" t="s">
        <v>31</v>
      </c>
      <c r="V24" s="2311" t="s">
        <v>40</v>
      </c>
      <c r="W24" s="1171" t="s">
        <v>39</v>
      </c>
      <c r="X24" s="1076" t="s">
        <v>145</v>
      </c>
      <c r="Y24" s="1171" t="s">
        <v>147</v>
      </c>
      <c r="Z24" s="713" t="s">
        <v>31</v>
      </c>
      <c r="AA24" s="1846"/>
      <c r="AB24" s="458"/>
      <c r="AC24" s="1495"/>
      <c r="AD24" s="1458" t="s">
        <v>1450</v>
      </c>
      <c r="AE24" s="1458"/>
      <c r="AF24" s="1458"/>
      <c r="AG24" s="2120"/>
      <c r="AH24" s="1743" t="s">
        <v>1261</v>
      </c>
      <c r="AI24" s="1743"/>
      <c r="AJ24" s="1743"/>
      <c r="AK24" s="1743"/>
      <c r="AL24" s="1733"/>
      <c r="AM24" s="628" t="s">
        <v>40</v>
      </c>
      <c r="AN24" s="750" t="s">
        <v>39</v>
      </c>
      <c r="AO24" s="750" t="s">
        <v>145</v>
      </c>
      <c r="AP24" s="750" t="s">
        <v>147</v>
      </c>
      <c r="AQ24" s="775" t="s">
        <v>31</v>
      </c>
      <c r="AR24" s="1495"/>
      <c r="AS24" s="458"/>
      <c r="AT24" s="1332" t="s">
        <v>1285</v>
      </c>
      <c r="AU24" s="1332"/>
      <c r="AV24" s="1332"/>
      <c r="AW24" s="1332"/>
      <c r="AX24" s="1332"/>
      <c r="AY24" s="213"/>
      <c r="AZ24" s="1332" t="s">
        <v>1286</v>
      </c>
      <c r="BA24" s="1332"/>
      <c r="BB24" s="1332"/>
      <c r="BC24" s="1332"/>
      <c r="BD24" s="1332"/>
    </row>
    <row r="25" spans="1:60" ht="18.45" customHeight="1" thickBot="1">
      <c r="A25" s="2287"/>
      <c r="B25" s="1702" t="s">
        <v>1085</v>
      </c>
      <c r="C25" s="2297"/>
      <c r="D25" s="2297"/>
      <c r="E25" s="1703"/>
      <c r="F25" s="2296" t="s">
        <v>382</v>
      </c>
      <c r="G25" s="2297"/>
      <c r="H25" s="2297"/>
      <c r="I25" s="1703"/>
      <c r="J25" s="1121"/>
      <c r="K25" s="1157"/>
      <c r="L25" s="1157"/>
      <c r="M25" s="1157"/>
      <c r="N25" s="1157"/>
      <c r="O25" s="1157"/>
      <c r="P25" s="1158"/>
      <c r="Q25" s="2312"/>
      <c r="R25" s="1172"/>
      <c r="S25" s="1077"/>
      <c r="T25" s="1172"/>
      <c r="U25" s="714"/>
      <c r="V25" s="2312"/>
      <c r="W25" s="1172"/>
      <c r="X25" s="1077"/>
      <c r="Y25" s="1172"/>
      <c r="Z25" s="714"/>
      <c r="AA25" s="1846"/>
      <c r="AB25" s="458"/>
      <c r="AC25" s="1495"/>
      <c r="AD25" s="2347"/>
      <c r="AE25" s="2347"/>
      <c r="AF25" s="2347"/>
      <c r="AG25" s="2336"/>
      <c r="AH25" s="739" t="s">
        <v>40</v>
      </c>
      <c r="AI25" s="739" t="s">
        <v>39</v>
      </c>
      <c r="AJ25" s="739" t="s">
        <v>145</v>
      </c>
      <c r="AK25" s="739" t="s">
        <v>1439</v>
      </c>
      <c r="AL25" s="775" t="s">
        <v>31</v>
      </c>
      <c r="AM25" s="627" t="s">
        <v>1260</v>
      </c>
      <c r="AN25" s="739" t="s">
        <v>1260</v>
      </c>
      <c r="AO25" s="739" t="s">
        <v>1260</v>
      </c>
      <c r="AP25" s="739" t="s">
        <v>1260</v>
      </c>
      <c r="AQ25" s="775" t="s">
        <v>1260</v>
      </c>
      <c r="AR25" s="1495"/>
      <c r="AS25" s="458"/>
      <c r="AT25" s="1332"/>
      <c r="AU25" s="1332"/>
      <c r="AV25" s="1332"/>
      <c r="AW25" s="1332"/>
      <c r="AX25" s="1332"/>
      <c r="AY25" s="213"/>
      <c r="AZ25" s="1332"/>
      <c r="BA25" s="1332"/>
      <c r="BB25" s="1332"/>
      <c r="BC25" s="1332"/>
      <c r="BD25" s="1332"/>
    </row>
    <row r="26" spans="1:60" ht="66.45" customHeight="1" thickBot="1">
      <c r="A26" s="2287"/>
      <c r="B26" s="2289"/>
      <c r="C26" s="2290"/>
      <c r="D26" s="2290"/>
      <c r="E26" s="2291"/>
      <c r="F26" s="2292"/>
      <c r="G26" s="2290"/>
      <c r="H26" s="2290"/>
      <c r="I26" s="2291"/>
      <c r="J26" s="2293"/>
      <c r="K26" s="2294"/>
      <c r="L26" s="2294"/>
      <c r="M26" s="2294"/>
      <c r="N26" s="2294"/>
      <c r="O26" s="2294"/>
      <c r="P26" s="2295"/>
      <c r="Q26" s="2281" t="s">
        <v>717</v>
      </c>
      <c r="R26" s="2282"/>
      <c r="S26" s="819" t="s">
        <v>736</v>
      </c>
      <c r="T26" s="819" t="s">
        <v>718</v>
      </c>
      <c r="U26" s="468" t="str">
        <f>IF(J26="","",(VLOOKUP(J26,'Emission factors'!A207:B208,2,FALSE)))</f>
        <v/>
      </c>
      <c r="V26" s="2281" t="s">
        <v>717</v>
      </c>
      <c r="W26" s="2282"/>
      <c r="X26" s="819" t="s">
        <v>736</v>
      </c>
      <c r="Y26" s="819" t="s">
        <v>718</v>
      </c>
      <c r="Z26" s="468" t="str">
        <f>IF(OR(U26="",B26="",F26=""),"",(U26*B26*F26))</f>
        <v/>
      </c>
      <c r="AA26" s="1846"/>
      <c r="AB26" s="458"/>
      <c r="AC26" s="1495"/>
      <c r="AD26" s="2115"/>
      <c r="AE26" s="2115"/>
      <c r="AF26" s="2115"/>
      <c r="AG26" s="1587"/>
      <c r="AH26" s="2319"/>
      <c r="AI26" s="2320"/>
      <c r="AJ26" s="2320"/>
      <c r="AK26" s="2321"/>
      <c r="AL26" s="816">
        <v>40</v>
      </c>
      <c r="AM26" s="1562"/>
      <c r="AN26" s="1562"/>
      <c r="AO26" s="1562"/>
      <c r="AP26" s="1562"/>
      <c r="AQ26" s="761" t="str">
        <f>IF(AD26="","",(SQRT((40^2)+(AD26^2))))</f>
        <v/>
      </c>
      <c r="AR26" s="1495"/>
      <c r="AS26" s="458"/>
      <c r="AT26" s="2278"/>
      <c r="AU26" s="2279"/>
      <c r="AV26" s="2279"/>
      <c r="AW26" s="2280"/>
      <c r="AX26" s="561" t="str">
        <f>IF(OR(Z26="",AQ26=""),"",Z26*AQ26)</f>
        <v/>
      </c>
      <c r="AY26" s="213"/>
      <c r="AZ26" s="2328"/>
      <c r="BA26" s="2329"/>
      <c r="BB26" s="2329"/>
      <c r="BC26" s="2330"/>
      <c r="BD26" s="561" t="str">
        <f>IF(AX26="","",AX26^2)</f>
        <v/>
      </c>
    </row>
    <row r="27" spans="1:60" ht="66.45" customHeight="1" thickBot="1">
      <c r="A27" s="2287"/>
      <c r="B27" s="2289"/>
      <c r="C27" s="2290"/>
      <c r="D27" s="2290"/>
      <c r="E27" s="2291"/>
      <c r="F27" s="2292"/>
      <c r="G27" s="2290"/>
      <c r="H27" s="2290"/>
      <c r="I27" s="2291"/>
      <c r="J27" s="2293"/>
      <c r="K27" s="2294"/>
      <c r="L27" s="2294"/>
      <c r="M27" s="2294"/>
      <c r="N27" s="2294"/>
      <c r="O27" s="2294"/>
      <c r="P27" s="2295"/>
      <c r="Q27" s="2281" t="s">
        <v>717</v>
      </c>
      <c r="R27" s="2282"/>
      <c r="S27" s="819" t="s">
        <v>736</v>
      </c>
      <c r="T27" s="819" t="s">
        <v>718</v>
      </c>
      <c r="U27" s="468" t="str">
        <f>IF(J27="","",(VLOOKUP(J27,'Emission factors'!A207:B208,2,FALSE)))</f>
        <v/>
      </c>
      <c r="V27" s="2281" t="s">
        <v>717</v>
      </c>
      <c r="W27" s="2282"/>
      <c r="X27" s="819" t="s">
        <v>736</v>
      </c>
      <c r="Y27" s="819" t="s">
        <v>718</v>
      </c>
      <c r="Z27" s="468" t="str">
        <f t="shared" ref="Z27" si="7">IF(OR(U27="",B27="",F27=""),"",(U27*B27*F27))</f>
        <v/>
      </c>
      <c r="AA27" s="1846"/>
      <c r="AB27" s="458"/>
      <c r="AC27" s="1495"/>
      <c r="AD27" s="2115"/>
      <c r="AE27" s="2115"/>
      <c r="AF27" s="2115"/>
      <c r="AG27" s="1587"/>
      <c r="AH27" s="2322"/>
      <c r="AI27" s="2323"/>
      <c r="AJ27" s="2323"/>
      <c r="AK27" s="2324"/>
      <c r="AL27" s="816">
        <v>40</v>
      </c>
      <c r="AM27" s="1562"/>
      <c r="AN27" s="1562"/>
      <c r="AO27" s="1562"/>
      <c r="AP27" s="1562"/>
      <c r="AQ27" s="761" t="str">
        <f t="shared" ref="AQ27:AQ28" si="8">IF(AD27="","",(SQRT((40^2)+(AD27^2))))</f>
        <v/>
      </c>
      <c r="AR27" s="1495"/>
      <c r="AS27" s="458"/>
      <c r="AT27" s="2331"/>
      <c r="AU27" s="2332"/>
      <c r="AV27" s="2332"/>
      <c r="AW27" s="2333"/>
      <c r="AX27" s="561" t="str">
        <f t="shared" ref="AX27" si="9">IF(OR(Z27="",AQ27=""),"",Z27*AQ27)</f>
        <v/>
      </c>
      <c r="AZ27" s="2278"/>
      <c r="BA27" s="2279"/>
      <c r="BB27" s="2279"/>
      <c r="BC27" s="2280"/>
      <c r="BD27" s="561" t="str">
        <f>IF(AX27="","",AX27^2)</f>
        <v/>
      </c>
    </row>
    <row r="28" spans="1:60" ht="66.45" customHeight="1" thickBot="1">
      <c r="A28" s="2288"/>
      <c r="B28" s="2289"/>
      <c r="C28" s="2290"/>
      <c r="D28" s="2290"/>
      <c r="E28" s="2291"/>
      <c r="F28" s="2292"/>
      <c r="G28" s="2290"/>
      <c r="H28" s="2290"/>
      <c r="I28" s="2291"/>
      <c r="J28" s="2293"/>
      <c r="K28" s="2294"/>
      <c r="L28" s="2294"/>
      <c r="M28" s="2294"/>
      <c r="N28" s="2294"/>
      <c r="O28" s="2294"/>
      <c r="P28" s="2295"/>
      <c r="Q28" s="2281" t="s">
        <v>717</v>
      </c>
      <c r="R28" s="2282"/>
      <c r="S28" s="819" t="s">
        <v>736</v>
      </c>
      <c r="T28" s="819" t="s">
        <v>718</v>
      </c>
      <c r="U28" s="468" t="str">
        <f>IF(J28="","",(VLOOKUP(J28,'Emission factors'!A207:B208,2,FALSE)))</f>
        <v/>
      </c>
      <c r="V28" s="2281" t="s">
        <v>717</v>
      </c>
      <c r="W28" s="2282"/>
      <c r="X28" s="819" t="s">
        <v>736</v>
      </c>
      <c r="Y28" s="819" t="s">
        <v>718</v>
      </c>
      <c r="Z28" s="468" t="str">
        <f>IF(OR(U28="",B28="",F28=""),"",(U28*B28*F28))</f>
        <v/>
      </c>
      <c r="AA28" s="1847"/>
      <c r="AB28" s="458"/>
      <c r="AC28" s="1496"/>
      <c r="AD28" s="2115"/>
      <c r="AE28" s="2115"/>
      <c r="AF28" s="2115"/>
      <c r="AG28" s="1587"/>
      <c r="AH28" s="2325"/>
      <c r="AI28" s="2326"/>
      <c r="AJ28" s="2326"/>
      <c r="AK28" s="2327"/>
      <c r="AL28" s="816">
        <v>40</v>
      </c>
      <c r="AM28" s="1562"/>
      <c r="AN28" s="1562"/>
      <c r="AO28" s="1562"/>
      <c r="AP28" s="1562"/>
      <c r="AQ28" s="761" t="str">
        <f t="shared" si="8"/>
        <v/>
      </c>
      <c r="AR28" s="1496"/>
      <c r="AS28" s="458"/>
      <c r="AT28" s="2278"/>
      <c r="AU28" s="2279"/>
      <c r="AV28" s="2279"/>
      <c r="AW28" s="2280"/>
      <c r="AX28" s="561" t="str">
        <f>IF(OR(Z28="",AQ28=""),"",Z28*AQ28)</f>
        <v/>
      </c>
      <c r="AZ28" s="1759"/>
      <c r="BA28" s="1760"/>
      <c r="BB28" s="1760"/>
      <c r="BC28" s="1761"/>
      <c r="BD28" s="561" t="str">
        <f>IF(AX28="","",AX28^2)</f>
        <v/>
      </c>
    </row>
    <row r="29" spans="1:60" ht="28.05" customHeight="1" thickBot="1">
      <c r="A29" s="1065"/>
      <c r="B29" s="1066"/>
      <c r="C29" s="1066"/>
      <c r="D29" s="1066"/>
      <c r="E29" s="1066"/>
      <c r="F29" s="1066"/>
      <c r="G29" s="1066"/>
      <c r="H29" s="1066"/>
      <c r="I29" s="1066"/>
      <c r="J29" s="1066"/>
      <c r="K29" s="1066"/>
      <c r="L29" s="1066"/>
      <c r="M29" s="1066"/>
      <c r="N29" s="1066"/>
      <c r="O29" s="1066"/>
      <c r="P29" s="1066"/>
      <c r="Q29" s="1066"/>
      <c r="R29" s="1066"/>
      <c r="S29" s="1066"/>
      <c r="T29" s="1066"/>
      <c r="U29" s="1066"/>
      <c r="V29" s="1066"/>
      <c r="W29" s="1066"/>
      <c r="X29" s="1066"/>
      <c r="Y29" s="1066"/>
      <c r="Z29" s="1066"/>
      <c r="AA29" s="1067"/>
      <c r="AB29" s="458"/>
      <c r="AC29" s="1464"/>
      <c r="AD29" s="1465"/>
      <c r="AE29" s="1465"/>
      <c r="AF29" s="1465"/>
      <c r="AG29" s="1465"/>
      <c r="AH29" s="1465"/>
      <c r="AI29" s="1465"/>
      <c r="AJ29" s="1465"/>
      <c r="AK29" s="1465"/>
      <c r="AL29" s="1465"/>
      <c r="AM29" s="1465"/>
      <c r="AN29" s="1465"/>
      <c r="AO29" s="1465"/>
      <c r="AP29" s="1465"/>
      <c r="AQ29" s="1465"/>
      <c r="AR29" s="1467"/>
      <c r="AS29" s="458"/>
    </row>
    <row r="30" spans="1:60" ht="28.05" customHeight="1" thickBot="1">
      <c r="A30" s="2230"/>
      <c r="B30" s="2230"/>
      <c r="C30" s="2230"/>
      <c r="D30" s="2230"/>
      <c r="E30" s="2230"/>
      <c r="F30" s="2230"/>
      <c r="G30" s="2230"/>
      <c r="H30" s="2230"/>
      <c r="I30" s="2230"/>
      <c r="J30" s="2230"/>
      <c r="K30" s="2230"/>
      <c r="L30" s="2230"/>
      <c r="M30" s="2230"/>
      <c r="N30" s="2230"/>
      <c r="O30" s="2230"/>
      <c r="P30" s="2230"/>
      <c r="Q30" s="2230"/>
      <c r="R30" s="2230"/>
      <c r="S30" s="2230"/>
      <c r="T30" s="2230"/>
      <c r="U30" s="2230"/>
      <c r="V30" s="2230"/>
      <c r="W30" s="2230"/>
      <c r="X30" s="2230"/>
      <c r="Y30" s="2230"/>
      <c r="Z30" s="2230"/>
      <c r="AA30" s="2230"/>
      <c r="AB30" s="458"/>
      <c r="AC30" s="458"/>
      <c r="AD30" s="458"/>
      <c r="AE30" s="458"/>
      <c r="AF30" s="458"/>
      <c r="AG30" s="458"/>
      <c r="AH30" s="458"/>
      <c r="AI30" s="458"/>
      <c r="AJ30" s="458"/>
      <c r="AK30" s="458"/>
      <c r="AL30" s="458"/>
      <c r="AM30" s="458"/>
      <c r="AN30" s="458"/>
      <c r="AO30" s="458"/>
      <c r="AP30" s="458"/>
      <c r="AQ30" s="458"/>
      <c r="AR30" s="458"/>
      <c r="AS30" s="458"/>
    </row>
    <row r="31" spans="1:60" ht="31.05" customHeight="1">
      <c r="A31" s="1015" t="s">
        <v>857</v>
      </c>
      <c r="B31" s="1284"/>
      <c r="C31" s="1284"/>
      <c r="D31" s="1284"/>
      <c r="E31" s="1284"/>
      <c r="F31" s="1284"/>
      <c r="G31" s="1284"/>
      <c r="H31" s="1284"/>
      <c r="I31" s="1284"/>
      <c r="J31" s="1284"/>
      <c r="K31" s="1284"/>
      <c r="L31" s="1284"/>
      <c r="M31" s="1285"/>
      <c r="N31" s="2054" t="s">
        <v>1183</v>
      </c>
      <c r="O31" s="2055"/>
      <c r="P31" s="2055"/>
      <c r="Q31" s="2055"/>
      <c r="R31" s="2055"/>
      <c r="S31" s="2055"/>
      <c r="T31" s="2055"/>
      <c r="U31" s="2055"/>
      <c r="V31" s="2055"/>
      <c r="W31" s="2055"/>
      <c r="X31" s="2055"/>
      <c r="Y31" s="2055"/>
      <c r="Z31" s="2055"/>
      <c r="AA31" s="2056"/>
      <c r="AB31" s="458"/>
      <c r="AC31" s="1015" t="s">
        <v>1461</v>
      </c>
      <c r="AD31" s="1284"/>
      <c r="AE31" s="1284"/>
      <c r="AF31" s="1284"/>
      <c r="AG31" s="1284"/>
      <c r="AH31" s="1284"/>
      <c r="AI31" s="1284"/>
      <c r="AJ31" s="1284"/>
      <c r="AK31" s="1284"/>
      <c r="AL31" s="1284"/>
      <c r="AM31" s="1284"/>
      <c r="AN31" s="1284"/>
      <c r="AO31" s="1284"/>
      <c r="AP31" s="1284"/>
      <c r="AQ31" s="1284"/>
      <c r="AR31" s="1285"/>
      <c r="AS31" s="458"/>
    </row>
    <row r="32" spans="1:60" ht="145.05000000000001" customHeight="1" thickBot="1">
      <c r="A32" s="2301" t="s">
        <v>1193</v>
      </c>
      <c r="B32" s="2302"/>
      <c r="C32" s="2302"/>
      <c r="D32" s="2302"/>
      <c r="E32" s="2302"/>
      <c r="F32" s="2302"/>
      <c r="G32" s="2302"/>
      <c r="H32" s="2302"/>
      <c r="I32" s="2302"/>
      <c r="J32" s="2302"/>
      <c r="K32" s="2302"/>
      <c r="L32" s="2302"/>
      <c r="M32" s="2303"/>
      <c r="N32" s="1484"/>
      <c r="O32" s="1485"/>
      <c r="P32" s="1485"/>
      <c r="Q32" s="1485"/>
      <c r="R32" s="1485"/>
      <c r="S32" s="1485"/>
      <c r="T32" s="1485"/>
      <c r="U32" s="1485"/>
      <c r="V32" s="1485"/>
      <c r="W32" s="1485"/>
      <c r="X32" s="1485"/>
      <c r="Y32" s="1485"/>
      <c r="Z32" s="1485"/>
      <c r="AA32" s="1486"/>
      <c r="AB32" s="458"/>
      <c r="AC32" s="1283" t="s">
        <v>1274</v>
      </c>
      <c r="AD32" s="1216"/>
      <c r="AE32" s="1216"/>
      <c r="AF32" s="1216"/>
      <c r="AG32" s="1216"/>
      <c r="AH32" s="1216"/>
      <c r="AI32" s="1216"/>
      <c r="AJ32" s="1216"/>
      <c r="AK32" s="1216"/>
      <c r="AL32" s="1216"/>
      <c r="AM32" s="1216"/>
      <c r="AN32" s="1216"/>
      <c r="AO32" s="1216"/>
      <c r="AP32" s="1216"/>
      <c r="AQ32" s="1216"/>
      <c r="AR32" s="1217"/>
      <c r="AS32" s="458"/>
    </row>
    <row r="33" spans="1:45" ht="27" customHeight="1">
      <c r="A33" s="1015" t="s">
        <v>829</v>
      </c>
      <c r="B33" s="1284"/>
      <c r="C33" s="1284"/>
      <c r="D33" s="1284"/>
      <c r="E33" s="1284"/>
      <c r="F33" s="1284"/>
      <c r="G33" s="1284"/>
      <c r="H33" s="1284"/>
      <c r="I33" s="1284"/>
      <c r="J33" s="1284"/>
      <c r="K33" s="1284"/>
      <c r="L33" s="1284"/>
      <c r="M33" s="1285"/>
      <c r="N33" s="2054" t="s">
        <v>1183</v>
      </c>
      <c r="O33" s="2055"/>
      <c r="P33" s="2055"/>
      <c r="Q33" s="2055"/>
      <c r="R33" s="2055"/>
      <c r="S33" s="2055"/>
      <c r="T33" s="2055"/>
      <c r="U33" s="2055"/>
      <c r="V33" s="2055"/>
      <c r="W33" s="2055"/>
      <c r="X33" s="2055"/>
      <c r="Y33" s="2055"/>
      <c r="Z33" s="2055"/>
      <c r="AA33" s="2056"/>
      <c r="AB33" s="458"/>
      <c r="AC33" s="458"/>
      <c r="AD33" s="458"/>
      <c r="AE33" s="458"/>
      <c r="AF33" s="458"/>
      <c r="AG33" s="458"/>
      <c r="AH33" s="458"/>
      <c r="AI33" s="458"/>
      <c r="AJ33" s="458"/>
      <c r="AK33" s="458"/>
      <c r="AL33" s="458"/>
      <c r="AM33" s="458"/>
      <c r="AN33" s="458"/>
      <c r="AO33" s="458"/>
      <c r="AP33" s="458"/>
      <c r="AQ33" s="458"/>
      <c r="AR33" s="458"/>
      <c r="AS33" s="458"/>
    </row>
    <row r="34" spans="1:45" ht="28.05" customHeight="1">
      <c r="A34" s="2298" t="s">
        <v>1104</v>
      </c>
      <c r="B34" s="2299"/>
      <c r="C34" s="2299"/>
      <c r="D34" s="2299"/>
      <c r="E34" s="2299"/>
      <c r="F34" s="2299"/>
      <c r="G34" s="2299"/>
      <c r="H34" s="2299"/>
      <c r="I34" s="2299"/>
      <c r="J34" s="2299"/>
      <c r="K34" s="2299"/>
      <c r="L34" s="2299"/>
      <c r="M34" s="2300"/>
      <c r="N34" s="1481"/>
      <c r="O34" s="1482"/>
      <c r="P34" s="1482"/>
      <c r="Q34" s="1482"/>
      <c r="R34" s="1482"/>
      <c r="S34" s="1482"/>
      <c r="T34" s="1482"/>
      <c r="U34" s="1482"/>
      <c r="V34" s="1482"/>
      <c r="W34" s="1482"/>
      <c r="X34" s="1482"/>
      <c r="Y34" s="1482"/>
      <c r="Z34" s="1482"/>
      <c r="AA34" s="1483"/>
      <c r="AB34" s="458"/>
      <c r="AC34" s="458"/>
      <c r="AD34" s="458"/>
      <c r="AE34" s="458"/>
      <c r="AF34" s="458"/>
      <c r="AG34" s="458"/>
      <c r="AH34" s="458"/>
      <c r="AI34" s="458"/>
      <c r="AJ34" s="458"/>
      <c r="AK34" s="458"/>
      <c r="AL34" s="458"/>
      <c r="AM34" s="458"/>
      <c r="AN34" s="458"/>
      <c r="AO34" s="458"/>
      <c r="AP34" s="458"/>
      <c r="AQ34" s="458"/>
      <c r="AR34" s="458"/>
      <c r="AS34" s="458"/>
    </row>
    <row r="35" spans="1:45" ht="22.95" customHeight="1">
      <c r="A35" s="1021" t="s">
        <v>1188</v>
      </c>
      <c r="B35" s="1022"/>
      <c r="C35" s="1022"/>
      <c r="D35" s="1022"/>
      <c r="E35" s="1022"/>
      <c r="F35" s="1022"/>
      <c r="G35" s="1022"/>
      <c r="H35" s="1022"/>
      <c r="I35" s="1022"/>
      <c r="J35" s="1022"/>
      <c r="K35" s="1022"/>
      <c r="L35" s="1022"/>
      <c r="M35" s="1023"/>
      <c r="N35" s="1481"/>
      <c r="O35" s="1482"/>
      <c r="P35" s="1482"/>
      <c r="Q35" s="1482"/>
      <c r="R35" s="1482"/>
      <c r="S35" s="1482"/>
      <c r="T35" s="1482"/>
      <c r="U35" s="1482"/>
      <c r="V35" s="1482"/>
      <c r="W35" s="1482"/>
      <c r="X35" s="1482"/>
      <c r="Y35" s="1482"/>
      <c r="Z35" s="1482"/>
      <c r="AA35" s="1483"/>
      <c r="AB35" s="458"/>
      <c r="AC35" s="458"/>
      <c r="AD35" s="458"/>
      <c r="AE35" s="458"/>
      <c r="AF35" s="458"/>
      <c r="AG35" s="458"/>
      <c r="AH35" s="458"/>
      <c r="AI35" s="458"/>
      <c r="AJ35" s="458"/>
      <c r="AK35" s="458"/>
      <c r="AL35" s="458"/>
      <c r="AM35" s="458"/>
      <c r="AN35" s="458"/>
      <c r="AO35" s="458"/>
      <c r="AP35" s="458"/>
      <c r="AQ35" s="458"/>
      <c r="AR35" s="458"/>
      <c r="AS35" s="458"/>
    </row>
    <row r="36" spans="1:45" ht="105.45" customHeight="1">
      <c r="A36" s="1021" t="s">
        <v>1560</v>
      </c>
      <c r="B36" s="1022"/>
      <c r="C36" s="1022"/>
      <c r="D36" s="1022"/>
      <c r="E36" s="1022"/>
      <c r="F36" s="1022"/>
      <c r="G36" s="1022"/>
      <c r="H36" s="1022"/>
      <c r="I36" s="1022"/>
      <c r="J36" s="1022"/>
      <c r="K36" s="1022"/>
      <c r="L36" s="1022"/>
      <c r="M36" s="1023"/>
      <c r="N36" s="1481"/>
      <c r="O36" s="1482"/>
      <c r="P36" s="1482"/>
      <c r="Q36" s="1482"/>
      <c r="R36" s="1482"/>
      <c r="S36" s="1482"/>
      <c r="T36" s="1482"/>
      <c r="U36" s="1482"/>
      <c r="V36" s="1482"/>
      <c r="W36" s="1482"/>
      <c r="X36" s="1482"/>
      <c r="Y36" s="1482"/>
      <c r="Z36" s="1482"/>
      <c r="AA36" s="1483"/>
      <c r="AB36" s="458"/>
      <c r="AC36" s="458"/>
      <c r="AD36" s="458"/>
      <c r="AE36" s="458"/>
      <c r="AF36" s="458"/>
      <c r="AG36" s="458"/>
      <c r="AH36" s="458"/>
      <c r="AI36" s="458"/>
      <c r="AJ36" s="458"/>
      <c r="AK36" s="458"/>
      <c r="AL36" s="458"/>
      <c r="AM36" s="458"/>
      <c r="AN36" s="458"/>
      <c r="AO36" s="458"/>
      <c r="AP36" s="458"/>
      <c r="AQ36" s="458"/>
      <c r="AR36" s="458"/>
      <c r="AS36" s="458"/>
    </row>
    <row r="37" spans="1:45" ht="61.5" customHeight="1" thickBot="1">
      <c r="A37" s="1024" t="s">
        <v>1189</v>
      </c>
      <c r="B37" s="1025"/>
      <c r="C37" s="1025"/>
      <c r="D37" s="1025"/>
      <c r="E37" s="1025"/>
      <c r="F37" s="1025"/>
      <c r="G37" s="1025"/>
      <c r="H37" s="1025"/>
      <c r="I37" s="1025"/>
      <c r="J37" s="1025"/>
      <c r="K37" s="1025"/>
      <c r="L37" s="1025"/>
      <c r="M37" s="1026"/>
      <c r="N37" s="1481"/>
      <c r="O37" s="1482"/>
      <c r="P37" s="1482"/>
      <c r="Q37" s="1482"/>
      <c r="R37" s="1482"/>
      <c r="S37" s="1482"/>
      <c r="T37" s="1482"/>
      <c r="U37" s="1482"/>
      <c r="V37" s="1482"/>
      <c r="W37" s="1482"/>
      <c r="X37" s="1482"/>
      <c r="Y37" s="1482"/>
      <c r="Z37" s="1482"/>
      <c r="AA37" s="1483"/>
      <c r="AB37" s="458"/>
      <c r="AC37" s="458"/>
      <c r="AD37" s="458"/>
      <c r="AE37" s="458"/>
      <c r="AF37" s="458"/>
      <c r="AG37" s="458"/>
      <c r="AH37" s="458"/>
      <c r="AI37" s="458"/>
      <c r="AJ37" s="458"/>
      <c r="AK37" s="458"/>
      <c r="AL37" s="458"/>
      <c r="AM37" s="458"/>
      <c r="AN37" s="458"/>
      <c r="AO37" s="458"/>
      <c r="AP37" s="458"/>
      <c r="AQ37" s="458"/>
      <c r="AR37" s="458"/>
      <c r="AS37" s="458"/>
    </row>
    <row r="38" spans="1:45" ht="23.4">
      <c r="A38" s="1015" t="s">
        <v>830</v>
      </c>
      <c r="B38" s="1284"/>
      <c r="C38" s="1284"/>
      <c r="D38" s="1284"/>
      <c r="E38" s="1284"/>
      <c r="F38" s="1284"/>
      <c r="G38" s="1284"/>
      <c r="H38" s="1284"/>
      <c r="I38" s="1284"/>
      <c r="J38" s="1284"/>
      <c r="K38" s="1284"/>
      <c r="L38" s="1284"/>
      <c r="M38" s="1285"/>
      <c r="N38" s="470" t="s">
        <v>1183</v>
      </c>
      <c r="O38" s="471"/>
      <c r="P38" s="471"/>
      <c r="Q38" s="471"/>
      <c r="R38" s="471"/>
      <c r="S38" s="471"/>
      <c r="T38" s="471"/>
      <c r="U38" s="471"/>
      <c r="V38" s="471"/>
      <c r="W38" s="471"/>
      <c r="X38" s="471"/>
      <c r="Y38" s="471"/>
      <c r="Z38" s="471"/>
      <c r="AA38" s="472"/>
      <c r="AB38" s="458"/>
      <c r="AC38" s="458"/>
      <c r="AD38" s="458"/>
      <c r="AE38" s="458"/>
      <c r="AF38" s="458"/>
      <c r="AG38" s="458"/>
      <c r="AH38" s="458"/>
      <c r="AI38" s="458"/>
      <c r="AJ38" s="458"/>
      <c r="AK38" s="458"/>
      <c r="AL38" s="458"/>
      <c r="AM38" s="458"/>
      <c r="AN38" s="458"/>
      <c r="AO38" s="458"/>
      <c r="AP38" s="458"/>
      <c r="AQ38" s="458"/>
      <c r="AR38" s="458"/>
      <c r="AS38" s="458"/>
    </row>
    <row r="39" spans="1:45" ht="18.600000000000001">
      <c r="A39" s="1021" t="s">
        <v>1125</v>
      </c>
      <c r="B39" s="1022"/>
      <c r="C39" s="1022"/>
      <c r="D39" s="1022"/>
      <c r="E39" s="1022"/>
      <c r="F39" s="1022"/>
      <c r="G39" s="1022"/>
      <c r="H39" s="1022"/>
      <c r="I39" s="1022"/>
      <c r="J39" s="1022"/>
      <c r="K39" s="1022"/>
      <c r="L39" s="1022"/>
      <c r="M39" s="1023"/>
      <c r="N39" s="1481"/>
      <c r="O39" s="1482"/>
      <c r="P39" s="1482"/>
      <c r="Q39" s="1482"/>
      <c r="R39" s="1482"/>
      <c r="S39" s="1482"/>
      <c r="T39" s="1482"/>
      <c r="U39" s="1482"/>
      <c r="V39" s="1482"/>
      <c r="W39" s="1482"/>
      <c r="X39" s="1482"/>
      <c r="Y39" s="1482"/>
      <c r="Z39" s="1482"/>
      <c r="AA39" s="1483"/>
      <c r="AB39" s="458"/>
      <c r="AC39" s="458"/>
      <c r="AD39" s="458"/>
      <c r="AE39" s="458"/>
      <c r="AF39" s="458"/>
      <c r="AG39" s="458"/>
      <c r="AH39" s="458"/>
      <c r="AI39" s="458"/>
      <c r="AJ39" s="458"/>
      <c r="AK39" s="458"/>
      <c r="AL39" s="458"/>
      <c r="AM39" s="458"/>
      <c r="AN39" s="458"/>
      <c r="AO39" s="458"/>
      <c r="AP39" s="458"/>
      <c r="AQ39" s="458"/>
      <c r="AR39" s="458"/>
      <c r="AS39" s="458"/>
    </row>
    <row r="40" spans="1:45" ht="47.55" customHeight="1">
      <c r="A40" s="1021" t="s">
        <v>1195</v>
      </c>
      <c r="B40" s="1022"/>
      <c r="C40" s="1022"/>
      <c r="D40" s="1022"/>
      <c r="E40" s="1022"/>
      <c r="F40" s="1022"/>
      <c r="G40" s="1022"/>
      <c r="H40" s="1022"/>
      <c r="I40" s="1022"/>
      <c r="J40" s="1022"/>
      <c r="K40" s="1022"/>
      <c r="L40" s="1022"/>
      <c r="M40" s="1023"/>
      <c r="N40" s="1481"/>
      <c r="O40" s="1482"/>
      <c r="P40" s="1482"/>
      <c r="Q40" s="1482"/>
      <c r="R40" s="1482"/>
      <c r="S40" s="1482"/>
      <c r="T40" s="1482"/>
      <c r="U40" s="1482"/>
      <c r="V40" s="1482"/>
      <c r="W40" s="1482"/>
      <c r="X40" s="1482"/>
      <c r="Y40" s="1482"/>
      <c r="Z40" s="1482"/>
      <c r="AA40" s="1483"/>
      <c r="AB40" s="458"/>
      <c r="AC40" s="458"/>
      <c r="AD40" s="458"/>
      <c r="AE40" s="458"/>
      <c r="AF40" s="458"/>
      <c r="AG40" s="458"/>
      <c r="AH40" s="458"/>
      <c r="AI40" s="458"/>
      <c r="AJ40" s="458"/>
      <c r="AK40" s="458"/>
      <c r="AL40" s="458"/>
      <c r="AM40" s="458"/>
      <c r="AN40" s="458"/>
      <c r="AO40" s="458"/>
      <c r="AP40" s="458"/>
      <c r="AQ40" s="458"/>
      <c r="AR40" s="458"/>
      <c r="AS40" s="458"/>
    </row>
    <row r="41" spans="1:45" ht="64.95" customHeight="1" thickBot="1">
      <c r="A41" s="1024" t="s">
        <v>1194</v>
      </c>
      <c r="B41" s="1025"/>
      <c r="C41" s="1025"/>
      <c r="D41" s="1025"/>
      <c r="E41" s="1025"/>
      <c r="F41" s="1025"/>
      <c r="G41" s="1025"/>
      <c r="H41" s="1025"/>
      <c r="I41" s="1025"/>
      <c r="J41" s="1025"/>
      <c r="K41" s="1025"/>
      <c r="L41" s="1025"/>
      <c r="M41" s="1026"/>
      <c r="N41" s="1484"/>
      <c r="O41" s="1485"/>
      <c r="P41" s="1485"/>
      <c r="Q41" s="1485"/>
      <c r="R41" s="1485"/>
      <c r="S41" s="1485"/>
      <c r="T41" s="1485"/>
      <c r="U41" s="1485"/>
      <c r="V41" s="1485"/>
      <c r="W41" s="1485"/>
      <c r="X41" s="1485"/>
      <c r="Y41" s="1485"/>
      <c r="Z41" s="1485"/>
      <c r="AA41" s="1486"/>
      <c r="AB41" s="458"/>
      <c r="AC41" s="458"/>
      <c r="AD41" s="458"/>
      <c r="AE41" s="458"/>
      <c r="AF41" s="458"/>
      <c r="AG41" s="458"/>
      <c r="AH41" s="458"/>
      <c r="AI41" s="458"/>
      <c r="AJ41" s="458"/>
      <c r="AK41" s="458"/>
      <c r="AL41" s="458"/>
      <c r="AM41" s="458"/>
      <c r="AN41" s="458"/>
      <c r="AO41" s="458"/>
      <c r="AP41" s="458"/>
      <c r="AQ41" s="458"/>
      <c r="AR41" s="458"/>
      <c r="AS41" s="458"/>
    </row>
    <row r="42" spans="1:45" ht="23.4">
      <c r="A42" s="1015" t="s">
        <v>831</v>
      </c>
      <c r="B42" s="1284"/>
      <c r="C42" s="1284"/>
      <c r="D42" s="1284"/>
      <c r="E42" s="1284"/>
      <c r="F42" s="1284"/>
      <c r="G42" s="1284"/>
      <c r="H42" s="1284"/>
      <c r="I42" s="1284"/>
      <c r="J42" s="1284"/>
      <c r="K42" s="1284"/>
      <c r="L42" s="1284"/>
      <c r="M42" s="1285"/>
      <c r="N42" s="2054" t="s">
        <v>1183</v>
      </c>
      <c r="O42" s="2055"/>
      <c r="P42" s="2055"/>
      <c r="Q42" s="2055"/>
      <c r="R42" s="2055"/>
      <c r="S42" s="2055"/>
      <c r="T42" s="2055"/>
      <c r="U42" s="2055"/>
      <c r="V42" s="2055"/>
      <c r="W42" s="2055"/>
      <c r="X42" s="2055"/>
      <c r="Y42" s="2055"/>
      <c r="Z42" s="2055"/>
      <c r="AA42" s="2056"/>
      <c r="AB42" s="458"/>
      <c r="AC42" s="458"/>
      <c r="AD42" s="458"/>
      <c r="AE42" s="458"/>
      <c r="AF42" s="458"/>
      <c r="AG42" s="458"/>
      <c r="AH42" s="458"/>
      <c r="AI42" s="458"/>
      <c r="AJ42" s="458"/>
      <c r="AK42" s="458"/>
      <c r="AL42" s="458"/>
      <c r="AM42" s="458"/>
      <c r="AN42" s="458"/>
      <c r="AO42" s="458"/>
      <c r="AP42" s="458"/>
      <c r="AQ42" s="458"/>
      <c r="AR42" s="458"/>
      <c r="AS42" s="458"/>
    </row>
    <row r="43" spans="1:45" ht="19.95" customHeight="1">
      <c r="A43" s="1021" t="s">
        <v>1104</v>
      </c>
      <c r="B43" s="1022"/>
      <c r="C43" s="1022"/>
      <c r="D43" s="1022"/>
      <c r="E43" s="1022"/>
      <c r="F43" s="1022"/>
      <c r="G43" s="1022"/>
      <c r="H43" s="1022"/>
      <c r="I43" s="1022"/>
      <c r="J43" s="1022"/>
      <c r="K43" s="1022"/>
      <c r="L43" s="1022"/>
      <c r="M43" s="1023"/>
      <c r="N43" s="1481"/>
      <c r="O43" s="1482"/>
      <c r="P43" s="1482"/>
      <c r="Q43" s="1482"/>
      <c r="R43" s="1482"/>
      <c r="S43" s="1482"/>
      <c r="T43" s="1482"/>
      <c r="U43" s="1482"/>
      <c r="V43" s="1482"/>
      <c r="W43" s="1482"/>
      <c r="X43" s="1482"/>
      <c r="Y43" s="1482"/>
      <c r="Z43" s="1482"/>
      <c r="AA43" s="1483"/>
      <c r="AB43" s="458"/>
      <c r="AC43" s="458"/>
      <c r="AD43" s="458"/>
      <c r="AE43" s="458"/>
      <c r="AF43" s="458"/>
      <c r="AG43" s="458"/>
      <c r="AH43" s="458"/>
      <c r="AI43" s="458"/>
      <c r="AJ43" s="458"/>
      <c r="AK43" s="458"/>
      <c r="AL43" s="458"/>
      <c r="AM43" s="458"/>
      <c r="AN43" s="458"/>
      <c r="AO43" s="458"/>
      <c r="AP43" s="458"/>
      <c r="AQ43" s="458"/>
      <c r="AR43" s="458"/>
      <c r="AS43" s="458"/>
    </row>
    <row r="44" spans="1:45" ht="43.95" customHeight="1">
      <c r="A44" s="1021" t="s">
        <v>1190</v>
      </c>
      <c r="B44" s="1022"/>
      <c r="C44" s="1022"/>
      <c r="D44" s="1022"/>
      <c r="E44" s="1022"/>
      <c r="F44" s="1022"/>
      <c r="G44" s="1022"/>
      <c r="H44" s="1022"/>
      <c r="I44" s="1022"/>
      <c r="J44" s="1022"/>
      <c r="K44" s="1022"/>
      <c r="L44" s="1022"/>
      <c r="M44" s="1023"/>
      <c r="N44" s="1481"/>
      <c r="O44" s="1482"/>
      <c r="P44" s="1482"/>
      <c r="Q44" s="1482"/>
      <c r="R44" s="1482"/>
      <c r="S44" s="1482"/>
      <c r="T44" s="1482"/>
      <c r="U44" s="1482"/>
      <c r="V44" s="1482"/>
      <c r="W44" s="1482"/>
      <c r="X44" s="1482"/>
      <c r="Y44" s="1482"/>
      <c r="Z44" s="1482"/>
      <c r="AA44" s="1483"/>
      <c r="AB44" s="458"/>
      <c r="AC44" s="458"/>
      <c r="AD44" s="458"/>
      <c r="AE44" s="458"/>
      <c r="AF44" s="458"/>
      <c r="AG44" s="458"/>
      <c r="AH44" s="458"/>
      <c r="AI44" s="458"/>
      <c r="AJ44" s="458"/>
      <c r="AK44" s="458"/>
      <c r="AL44" s="458"/>
      <c r="AM44" s="458"/>
      <c r="AN44" s="458"/>
      <c r="AO44" s="458"/>
      <c r="AP44" s="458"/>
      <c r="AQ44" s="458"/>
      <c r="AR44" s="458"/>
      <c r="AS44" s="458"/>
    </row>
    <row r="45" spans="1:45" ht="65.55" customHeight="1" thickBot="1">
      <c r="A45" s="1024" t="s">
        <v>1194</v>
      </c>
      <c r="B45" s="1025"/>
      <c r="C45" s="1025"/>
      <c r="D45" s="1025"/>
      <c r="E45" s="1025"/>
      <c r="F45" s="1025"/>
      <c r="G45" s="1025"/>
      <c r="H45" s="1025"/>
      <c r="I45" s="1025"/>
      <c r="J45" s="1025"/>
      <c r="K45" s="1025"/>
      <c r="L45" s="1025"/>
      <c r="M45" s="1026"/>
      <c r="N45" s="1484"/>
      <c r="O45" s="1485"/>
      <c r="P45" s="1485"/>
      <c r="Q45" s="1485"/>
      <c r="R45" s="1485"/>
      <c r="S45" s="1485"/>
      <c r="T45" s="1485"/>
      <c r="U45" s="1485"/>
      <c r="V45" s="1485"/>
      <c r="W45" s="1485"/>
      <c r="X45" s="1485"/>
      <c r="Y45" s="1485"/>
      <c r="Z45" s="1485"/>
      <c r="AA45" s="1486"/>
      <c r="AB45" s="458"/>
      <c r="AC45" s="458"/>
      <c r="AD45" s="458"/>
      <c r="AE45" s="458"/>
      <c r="AF45" s="458"/>
      <c r="AG45" s="458"/>
      <c r="AH45" s="458"/>
      <c r="AI45" s="458"/>
      <c r="AJ45" s="458"/>
      <c r="AK45" s="458"/>
      <c r="AL45" s="458"/>
      <c r="AM45" s="458"/>
      <c r="AN45" s="458"/>
      <c r="AO45" s="458"/>
      <c r="AP45" s="458"/>
      <c r="AQ45" s="458"/>
      <c r="AR45" s="458"/>
      <c r="AS45" s="458"/>
    </row>
    <row r="46" spans="1:45">
      <c r="A46" s="458"/>
      <c r="B46" s="458"/>
      <c r="C46" s="458"/>
      <c r="D46" s="458"/>
      <c r="E46" s="458"/>
      <c r="F46" s="458"/>
      <c r="G46" s="458"/>
      <c r="H46" s="458"/>
      <c r="I46" s="458"/>
      <c r="J46" s="458"/>
      <c r="K46" s="458"/>
      <c r="L46" s="458"/>
      <c r="M46" s="458"/>
      <c r="N46" s="458"/>
      <c r="O46" s="458"/>
      <c r="P46" s="458"/>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8"/>
      <c r="AR46" s="458"/>
      <c r="AS46" s="458"/>
    </row>
  </sheetData>
  <sheetProtection password="9F15" sheet="1" objects="1" scenarios="1"/>
  <mergeCells count="235">
    <mergeCell ref="A1:AR1"/>
    <mergeCell ref="AC29:AR29"/>
    <mergeCell ref="AD3:AE3"/>
    <mergeCell ref="AG3:AJ3"/>
    <mergeCell ref="AD4:AE4"/>
    <mergeCell ref="AG4:AJ4"/>
    <mergeCell ref="AD5:AE5"/>
    <mergeCell ref="AG5:AJ5"/>
    <mergeCell ref="AD6:AE6"/>
    <mergeCell ref="AG6:AJ6"/>
    <mergeCell ref="AD7:AE7"/>
    <mergeCell ref="AG7:AJ7"/>
    <mergeCell ref="AC16:AC21"/>
    <mergeCell ref="AD10:AE11"/>
    <mergeCell ref="AM12:AN14"/>
    <mergeCell ref="AP12:AQ14"/>
    <mergeCell ref="AF12:AG12"/>
    <mergeCell ref="AD12:AE12"/>
    <mergeCell ref="AD13:AE13"/>
    <mergeCell ref="AF13:AG13"/>
    <mergeCell ref="AD14:AE14"/>
    <mergeCell ref="AF14:AG14"/>
    <mergeCell ref="AH12:AL14"/>
    <mergeCell ref="AC2:AR2"/>
    <mergeCell ref="AC31:AR31"/>
    <mergeCell ref="AC32:AR32"/>
    <mergeCell ref="AT24:AX25"/>
    <mergeCell ref="AZ24:BD25"/>
    <mergeCell ref="AT26:AW26"/>
    <mergeCell ref="AZ26:BC26"/>
    <mergeCell ref="AT27:AW27"/>
    <mergeCell ref="AZ27:BC27"/>
    <mergeCell ref="AT28:AW28"/>
    <mergeCell ref="AZ28:BC28"/>
    <mergeCell ref="AD24:AG25"/>
    <mergeCell ref="AD26:AG26"/>
    <mergeCell ref="AD27:AG27"/>
    <mergeCell ref="AD28:AG28"/>
    <mergeCell ref="AH26:AK28"/>
    <mergeCell ref="AM26:AP28"/>
    <mergeCell ref="AC22:AR22"/>
    <mergeCell ref="AC23:AC28"/>
    <mergeCell ref="AD23:AL23"/>
    <mergeCell ref="AM23:AQ23"/>
    <mergeCell ref="AR23:AR28"/>
    <mergeCell ref="AH24:AL24"/>
    <mergeCell ref="AZ21:BC21"/>
    <mergeCell ref="AT21:AW21"/>
    <mergeCell ref="BC12:BD14"/>
    <mergeCell ref="AZ12:BA14"/>
    <mergeCell ref="AW12:AX14"/>
    <mergeCell ref="AT12:AU14"/>
    <mergeCell ref="AF21:AG21"/>
    <mergeCell ref="AD17:AD18"/>
    <mergeCell ref="AE17:AE18"/>
    <mergeCell ref="AM19:AP21"/>
    <mergeCell ref="AD16:AL16"/>
    <mergeCell ref="AM16:AQ16"/>
    <mergeCell ref="AR16:AR21"/>
    <mergeCell ref="AF17:AG18"/>
    <mergeCell ref="AH17:AL17"/>
    <mergeCell ref="AT17:AX18"/>
    <mergeCell ref="AZ17:BD18"/>
    <mergeCell ref="AF19:AG19"/>
    <mergeCell ref="D5:F5"/>
    <mergeCell ref="G5:I5"/>
    <mergeCell ref="AH19:AL21"/>
    <mergeCell ref="AT19:AW19"/>
    <mergeCell ref="AZ19:BC19"/>
    <mergeCell ref="AF20:AG20"/>
    <mergeCell ref="AT20:AW20"/>
    <mergeCell ref="AZ20:BC20"/>
    <mergeCell ref="AC15:AR15"/>
    <mergeCell ref="AT10:AX11"/>
    <mergeCell ref="AZ10:BD11"/>
    <mergeCell ref="AC9:AC14"/>
    <mergeCell ref="AD9:AL9"/>
    <mergeCell ref="AM9:AQ9"/>
    <mergeCell ref="AR9:AR14"/>
    <mergeCell ref="AF10:AG11"/>
    <mergeCell ref="AH10:AL10"/>
    <mergeCell ref="A15:AA15"/>
    <mergeCell ref="J12:M12"/>
    <mergeCell ref="Q19:U19"/>
    <mergeCell ref="V13:W13"/>
    <mergeCell ref="W17:W18"/>
    <mergeCell ref="X17:X18"/>
    <mergeCell ref="V19:W19"/>
    <mergeCell ref="A2:Z2"/>
    <mergeCell ref="Q26:R26"/>
    <mergeCell ref="V26:W26"/>
    <mergeCell ref="S24:S25"/>
    <mergeCell ref="X24:X25"/>
    <mergeCell ref="T24:T25"/>
    <mergeCell ref="V24:V25"/>
    <mergeCell ref="W24:W25"/>
    <mergeCell ref="Y24:Y25"/>
    <mergeCell ref="B23:P23"/>
    <mergeCell ref="Q23:U23"/>
    <mergeCell ref="V23:Z23"/>
    <mergeCell ref="B24:E24"/>
    <mergeCell ref="Q24:Q25"/>
    <mergeCell ref="R24:R25"/>
    <mergeCell ref="J24:P25"/>
    <mergeCell ref="B25:E25"/>
    <mergeCell ref="A3:B3"/>
    <mergeCell ref="D3:F3"/>
    <mergeCell ref="G3:I3"/>
    <mergeCell ref="A4:B4"/>
    <mergeCell ref="D4:F4"/>
    <mergeCell ref="G4:I4"/>
    <mergeCell ref="A5:B5"/>
    <mergeCell ref="V12:W12"/>
    <mergeCell ref="Q12:U12"/>
    <mergeCell ref="AA9:AA14"/>
    <mergeCell ref="A9:A14"/>
    <mergeCell ref="N12:O12"/>
    <mergeCell ref="B12:E12"/>
    <mergeCell ref="F12:I12"/>
    <mergeCell ref="Z10:Z11"/>
    <mergeCell ref="B10:E10"/>
    <mergeCell ref="B11:E11"/>
    <mergeCell ref="F11:I11"/>
    <mergeCell ref="J11:M11"/>
    <mergeCell ref="B14:E14"/>
    <mergeCell ref="F14:I14"/>
    <mergeCell ref="J14:M14"/>
    <mergeCell ref="N14:O14"/>
    <mergeCell ref="Q14:U14"/>
    <mergeCell ref="V14:W14"/>
    <mergeCell ref="B13:E13"/>
    <mergeCell ref="F13:I13"/>
    <mergeCell ref="J13:M13"/>
    <mergeCell ref="N13:O13"/>
    <mergeCell ref="Q13:U13"/>
    <mergeCell ref="Y10:Y11"/>
    <mergeCell ref="S10:S11"/>
    <mergeCell ref="N10:O11"/>
    <mergeCell ref="A6:B6"/>
    <mergeCell ref="D6:F6"/>
    <mergeCell ref="G6:I6"/>
    <mergeCell ref="A7:B7"/>
    <mergeCell ref="D7:F7"/>
    <mergeCell ref="G7:I7"/>
    <mergeCell ref="P10:P11"/>
    <mergeCell ref="F10:I10"/>
    <mergeCell ref="A8:AA8"/>
    <mergeCell ref="Q9:U9"/>
    <mergeCell ref="V9:Z9"/>
    <mergeCell ref="Q10:Q11"/>
    <mergeCell ref="R10:R11"/>
    <mergeCell ref="B9:P9"/>
    <mergeCell ref="U10:U11"/>
    <mergeCell ref="J10:M10"/>
    <mergeCell ref="T10:T11"/>
    <mergeCell ref="V10:V11"/>
    <mergeCell ref="W10:W11"/>
    <mergeCell ref="A16:A21"/>
    <mergeCell ref="B19:E19"/>
    <mergeCell ref="F19:I19"/>
    <mergeCell ref="J19:M19"/>
    <mergeCell ref="N19:P19"/>
    <mergeCell ref="A22:AA22"/>
    <mergeCell ref="V20:W20"/>
    <mergeCell ref="V21:W21"/>
    <mergeCell ref="B20:E20"/>
    <mergeCell ref="F20:I20"/>
    <mergeCell ref="J20:M20"/>
    <mergeCell ref="N20:P20"/>
    <mergeCell ref="B21:E21"/>
    <mergeCell ref="F21:I21"/>
    <mergeCell ref="J21:M21"/>
    <mergeCell ref="N21:P21"/>
    <mergeCell ref="Q20:U20"/>
    <mergeCell ref="Q21:U21"/>
    <mergeCell ref="AA16:AA21"/>
    <mergeCell ref="B16:P16"/>
    <mergeCell ref="B17:E17"/>
    <mergeCell ref="J17:M17"/>
    <mergeCell ref="Q17:Q18"/>
    <mergeCell ref="Y17:Y18"/>
    <mergeCell ref="F17:I17"/>
    <mergeCell ref="S17:S18"/>
    <mergeCell ref="V16:Z16"/>
    <mergeCell ref="U17:U18"/>
    <mergeCell ref="V17:V18"/>
    <mergeCell ref="Q16:U16"/>
    <mergeCell ref="R17:R18"/>
    <mergeCell ref="T17:T18"/>
    <mergeCell ref="B18:E18"/>
    <mergeCell ref="F18:I18"/>
    <mergeCell ref="J18:M18"/>
    <mergeCell ref="N17:P17"/>
    <mergeCell ref="N18:P18"/>
    <mergeCell ref="N43:AA45"/>
    <mergeCell ref="A30:AA30"/>
    <mergeCell ref="A45:M45"/>
    <mergeCell ref="A33:M33"/>
    <mergeCell ref="A34:M34"/>
    <mergeCell ref="A35:M35"/>
    <mergeCell ref="A37:M37"/>
    <mergeCell ref="A38:M38"/>
    <mergeCell ref="A39:M39"/>
    <mergeCell ref="A41:M41"/>
    <mergeCell ref="A40:M40"/>
    <mergeCell ref="A42:M42"/>
    <mergeCell ref="A43:M43"/>
    <mergeCell ref="A44:M44"/>
    <mergeCell ref="A36:M36"/>
    <mergeCell ref="N39:AA41"/>
    <mergeCell ref="A32:M32"/>
    <mergeCell ref="A31:M31"/>
    <mergeCell ref="N31:AA31"/>
    <mergeCell ref="N33:AA33"/>
    <mergeCell ref="N32:AA32"/>
    <mergeCell ref="N34:AA37"/>
    <mergeCell ref="N42:AA42"/>
    <mergeCell ref="A29:AA29"/>
    <mergeCell ref="V27:W27"/>
    <mergeCell ref="V28:W28"/>
    <mergeCell ref="AA23:AA28"/>
    <mergeCell ref="F24:I24"/>
    <mergeCell ref="A23:A28"/>
    <mergeCell ref="B27:E27"/>
    <mergeCell ref="F27:I27"/>
    <mergeCell ref="J27:P27"/>
    <mergeCell ref="B28:E28"/>
    <mergeCell ref="F28:I28"/>
    <mergeCell ref="J28:P28"/>
    <mergeCell ref="Q27:R27"/>
    <mergeCell ref="Q28:R28"/>
    <mergeCell ref="F25:I25"/>
    <mergeCell ref="B26:E26"/>
    <mergeCell ref="F26:I26"/>
    <mergeCell ref="J26:P26"/>
  </mergeCells>
  <dataValidations count="2">
    <dataValidation type="decimal" operator="greaterThanOrEqual" allowBlank="1" showInputMessage="1" showErrorMessage="1" sqref="B19:P21 B12:M14 B26:I28 AD12:AG14 AD19:AG21 AD26:AG28">
      <formula1>0</formula1>
    </dataValidation>
    <dataValidation operator="greaterThanOrEqual" allowBlank="1" showInputMessage="1" showErrorMessage="1" sqref="P12:P14"/>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'Emission factors'!$A$202:$A$204</xm:f>
          </x14:formula1>
          <xm:sqref>N12:O14</xm:sqref>
        </x14:dataValidation>
        <x14:dataValidation type="list" allowBlank="1" showInputMessage="1" showErrorMessage="1">
          <x14:formula1>
            <xm:f>'Emission factors'!$A$207:$A$208</xm:f>
          </x14:formula1>
          <xm:sqref>J26:P28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FA7D5"/>
  </sheetPr>
  <dimension ref="A1:BH68"/>
  <sheetViews>
    <sheetView rightToLeft="1" zoomScale="70" zoomScaleNormal="70" workbookViewId="0">
      <selection sqref="A1:L1"/>
    </sheetView>
  </sheetViews>
  <sheetFormatPr defaultColWidth="8.69921875" defaultRowHeight="15"/>
  <cols>
    <col min="1" max="1" width="4.3984375" style="98" customWidth="1"/>
    <col min="2" max="2" width="17.796875" style="98" customWidth="1"/>
    <col min="3" max="3" width="13.09765625" style="98" customWidth="1"/>
    <col min="4" max="4" width="14.19921875" style="98" customWidth="1"/>
    <col min="5" max="5" width="13.09765625" style="98" customWidth="1"/>
    <col min="6" max="6" width="14.19921875" style="98" customWidth="1"/>
    <col min="7" max="7" width="13.09765625" style="98" customWidth="1"/>
    <col min="8" max="8" width="14.19921875" style="98" customWidth="1"/>
    <col min="9" max="9" width="13.09765625" style="98" customWidth="1"/>
    <col min="10" max="10" width="14.19921875" style="98" customWidth="1"/>
    <col min="11" max="11" width="13.09765625" style="98" customWidth="1"/>
    <col min="12" max="12" width="14.19921875" style="98" customWidth="1"/>
    <col min="13" max="13" width="8.69921875" style="98"/>
    <col min="14" max="22" width="11.69921875" style="98" hidden="1" customWidth="1"/>
    <col min="23" max="23" width="10.296875" style="98" hidden="1" customWidth="1"/>
    <col min="24" max="16384" width="8.69921875" style="98"/>
  </cols>
  <sheetData>
    <row r="1" spans="1:53" ht="91.95" customHeight="1" thickBot="1">
      <c r="A1" s="2355"/>
      <c r="B1" s="2356"/>
      <c r="C1" s="2356"/>
      <c r="D1" s="2356"/>
      <c r="E1" s="2356"/>
      <c r="F1" s="2356"/>
      <c r="G1" s="2356"/>
      <c r="H1" s="2356"/>
      <c r="I1" s="2356"/>
      <c r="J1" s="2356"/>
      <c r="K1" s="2356"/>
      <c r="L1" s="2357"/>
      <c r="M1" s="458"/>
      <c r="N1" s="458"/>
      <c r="O1" s="458"/>
      <c r="P1" s="458"/>
      <c r="Q1" s="458"/>
      <c r="R1" s="458"/>
      <c r="S1" s="458"/>
      <c r="T1" s="458"/>
      <c r="U1" s="458"/>
      <c r="V1" s="458"/>
      <c r="W1" s="458"/>
      <c r="X1" s="458"/>
      <c r="Y1" s="458"/>
      <c r="Z1" s="458"/>
      <c r="AA1" s="458"/>
      <c r="AB1" s="458"/>
      <c r="AC1" s="458"/>
      <c r="AD1" s="458"/>
      <c r="AE1" s="458"/>
      <c r="AF1" s="458"/>
      <c r="AG1" s="458"/>
      <c r="AH1" s="458"/>
      <c r="AI1" s="458"/>
      <c r="AJ1" s="458"/>
      <c r="AK1" s="458"/>
      <c r="AL1" s="458"/>
      <c r="AM1" s="458"/>
      <c r="AN1" s="458"/>
      <c r="AO1" s="458"/>
      <c r="AP1" s="458"/>
      <c r="AQ1" s="458"/>
      <c r="AR1" s="458"/>
      <c r="AS1" s="458"/>
      <c r="AT1" s="458"/>
      <c r="AU1" s="458"/>
      <c r="AV1" s="458"/>
      <c r="AW1" s="458"/>
      <c r="AX1" s="458"/>
      <c r="AY1" s="458"/>
      <c r="AZ1" s="458"/>
      <c r="BA1" s="458"/>
    </row>
    <row r="2" spans="1:53" ht="21" thickBot="1">
      <c r="A2" s="1840" t="s">
        <v>1196</v>
      </c>
      <c r="B2" s="1841"/>
      <c r="C2" s="1841"/>
      <c r="D2" s="1841"/>
      <c r="E2" s="1841"/>
      <c r="F2" s="1841"/>
      <c r="G2" s="1841"/>
      <c r="H2" s="1841"/>
      <c r="I2" s="1841"/>
      <c r="J2" s="1841"/>
      <c r="K2" s="1841"/>
      <c r="L2" s="1842"/>
      <c r="M2" s="844"/>
      <c r="N2" s="844"/>
      <c r="O2" s="844"/>
      <c r="P2" s="844"/>
      <c r="Q2" s="844"/>
      <c r="R2" s="844"/>
      <c r="S2" s="844"/>
      <c r="T2" s="844"/>
      <c r="U2" s="844"/>
      <c r="V2" s="844"/>
      <c r="W2" s="844"/>
      <c r="X2" s="844"/>
      <c r="Y2" s="844"/>
      <c r="Z2" s="844"/>
      <c r="AA2" s="844"/>
      <c r="AB2" s="844"/>
      <c r="AC2" s="844"/>
      <c r="AD2" s="844"/>
      <c r="AE2" s="844"/>
      <c r="AF2" s="844"/>
      <c r="AG2" s="844"/>
      <c r="AH2" s="844"/>
      <c r="AI2" s="844"/>
      <c r="AJ2" s="844"/>
      <c r="AK2" s="844"/>
      <c r="AL2" s="844"/>
      <c r="AM2" s="844"/>
      <c r="AN2" s="458"/>
      <c r="AO2" s="458"/>
      <c r="AP2" s="458"/>
      <c r="AQ2" s="458"/>
      <c r="AR2" s="458"/>
      <c r="AS2" s="458"/>
      <c r="AT2" s="458"/>
      <c r="AU2" s="458"/>
      <c r="AV2" s="458"/>
      <c r="AW2" s="458"/>
      <c r="AX2" s="458"/>
      <c r="AY2" s="458"/>
      <c r="AZ2" s="458"/>
      <c r="BA2" s="458"/>
    </row>
    <row r="3" spans="1:53" ht="21" thickBot="1">
      <c r="A3" s="1840" t="s">
        <v>876</v>
      </c>
      <c r="B3" s="1841"/>
      <c r="C3" s="1841"/>
      <c r="D3" s="1841"/>
      <c r="E3" s="1841"/>
      <c r="F3" s="1841"/>
      <c r="G3" s="1841"/>
      <c r="H3" s="1841"/>
      <c r="I3" s="1841"/>
      <c r="J3" s="1841"/>
      <c r="K3" s="1841"/>
      <c r="L3" s="1842"/>
      <c r="M3" s="844"/>
      <c r="N3" s="844"/>
      <c r="O3" s="844"/>
      <c r="P3" s="844"/>
      <c r="Q3" s="844"/>
      <c r="R3" s="844"/>
      <c r="S3" s="844"/>
      <c r="T3" s="844"/>
      <c r="U3" s="844"/>
      <c r="V3" s="844"/>
      <c r="W3" s="844"/>
      <c r="X3" s="844"/>
      <c r="Y3" s="844"/>
      <c r="Z3" s="844"/>
      <c r="AA3" s="844"/>
      <c r="AB3" s="844"/>
      <c r="AC3" s="844"/>
      <c r="AD3" s="844"/>
      <c r="AE3" s="844"/>
      <c r="AF3" s="844"/>
      <c r="AG3" s="844"/>
      <c r="AH3" s="844"/>
      <c r="AI3" s="844"/>
      <c r="AJ3" s="844"/>
      <c r="AK3" s="844"/>
      <c r="AL3" s="844"/>
      <c r="AM3" s="844"/>
      <c r="AN3" s="458"/>
      <c r="AO3" s="458"/>
      <c r="AP3" s="458"/>
      <c r="AQ3" s="458"/>
      <c r="AR3" s="458"/>
      <c r="AS3" s="458"/>
      <c r="AT3" s="458"/>
      <c r="AU3" s="458"/>
      <c r="AV3" s="458"/>
      <c r="AW3" s="458"/>
      <c r="AX3" s="458"/>
      <c r="AY3" s="458"/>
      <c r="AZ3" s="458"/>
      <c r="BA3" s="458"/>
    </row>
    <row r="4" spans="1:53" ht="29.55" customHeight="1">
      <c r="A4" s="2390" t="s">
        <v>858</v>
      </c>
      <c r="B4" s="2391"/>
      <c r="C4" s="2392"/>
      <c r="D4" s="2392"/>
      <c r="E4" s="2392"/>
      <c r="F4" s="2393"/>
      <c r="G4" s="2394" t="s">
        <v>859</v>
      </c>
      <c r="H4" s="2395"/>
      <c r="I4" s="2392"/>
      <c r="J4" s="2392"/>
      <c r="K4" s="2392"/>
      <c r="L4" s="2396"/>
      <c r="M4" s="458"/>
      <c r="N4" s="458"/>
      <c r="O4" s="458"/>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row>
    <row r="5" spans="1:53" ht="19.95" customHeight="1">
      <c r="A5" s="2397" t="s">
        <v>860</v>
      </c>
      <c r="B5" s="2398"/>
      <c r="C5" s="2399"/>
      <c r="D5" s="2399"/>
      <c r="E5" s="2399"/>
      <c r="F5" s="2399"/>
      <c r="G5" s="2399"/>
      <c r="H5" s="2399"/>
      <c r="I5" s="2399"/>
      <c r="J5" s="2399"/>
      <c r="K5" s="2399"/>
      <c r="L5" s="2400"/>
      <c r="M5" s="458"/>
      <c r="N5" s="458"/>
      <c r="O5" s="458"/>
      <c r="P5" s="458"/>
      <c r="Q5" s="458"/>
      <c r="R5" s="458"/>
      <c r="S5" s="458"/>
      <c r="T5" s="458"/>
      <c r="U5" s="458"/>
      <c r="V5" s="458"/>
      <c r="W5" s="458"/>
      <c r="X5" s="458"/>
      <c r="Y5" s="458"/>
      <c r="Z5" s="458"/>
      <c r="AA5" s="458"/>
      <c r="AB5" s="458"/>
      <c r="AC5" s="458"/>
      <c r="AD5" s="458"/>
      <c r="AE5" s="458"/>
      <c r="AF5" s="458"/>
      <c r="AG5" s="458"/>
      <c r="AH5" s="458"/>
      <c r="AI5" s="458"/>
      <c r="AJ5" s="458"/>
      <c r="AK5" s="458"/>
      <c r="AL5" s="458"/>
      <c r="AM5" s="458"/>
      <c r="AN5" s="458"/>
      <c r="AO5" s="458"/>
      <c r="AP5" s="458"/>
      <c r="AQ5" s="458"/>
      <c r="AR5" s="458"/>
      <c r="AS5" s="458"/>
      <c r="AT5" s="458"/>
      <c r="AU5" s="458"/>
      <c r="AV5" s="458"/>
      <c r="AW5" s="458"/>
      <c r="AX5" s="458"/>
      <c r="AY5" s="458"/>
      <c r="AZ5" s="458"/>
      <c r="BA5" s="458"/>
    </row>
    <row r="6" spans="1:53" ht="20.55" customHeight="1" thickBot="1">
      <c r="A6" s="2386" t="s">
        <v>1198</v>
      </c>
      <c r="B6" s="2387"/>
      <c r="C6" s="2388" t="s">
        <v>1199</v>
      </c>
      <c r="D6" s="2388"/>
      <c r="E6" s="2388"/>
      <c r="F6" s="2388"/>
      <c r="G6" s="2388"/>
      <c r="H6" s="2388"/>
      <c r="I6" s="2388"/>
      <c r="J6" s="2388"/>
      <c r="K6" s="2388"/>
      <c r="L6" s="2389"/>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c r="AM6" s="458"/>
      <c r="AN6" s="458"/>
      <c r="AO6" s="458"/>
      <c r="AP6" s="458"/>
      <c r="AQ6" s="458"/>
      <c r="AR6" s="458"/>
      <c r="AS6" s="458"/>
      <c r="AT6" s="458"/>
      <c r="AU6" s="458"/>
      <c r="AV6" s="458"/>
      <c r="AW6" s="458"/>
      <c r="AX6" s="458"/>
      <c r="AY6" s="458"/>
      <c r="AZ6" s="458"/>
      <c r="BA6" s="458"/>
    </row>
    <row r="7" spans="1:53" ht="21" thickBot="1">
      <c r="A7" s="2378" t="s">
        <v>861</v>
      </c>
      <c r="B7" s="2379"/>
      <c r="C7" s="2380" t="s">
        <v>1197</v>
      </c>
      <c r="D7" s="2381"/>
      <c r="E7" s="2381"/>
      <c r="F7" s="2381"/>
      <c r="G7" s="2381"/>
      <c r="H7" s="2381"/>
      <c r="I7" s="2381"/>
      <c r="J7" s="2381"/>
      <c r="K7" s="2381"/>
      <c r="L7" s="2382"/>
      <c r="M7" s="458"/>
      <c r="N7" s="458"/>
      <c r="O7" s="458"/>
      <c r="P7" s="458"/>
      <c r="Q7" s="458"/>
      <c r="R7" s="458"/>
      <c r="S7" s="458"/>
      <c r="T7" s="458"/>
      <c r="U7" s="458"/>
      <c r="V7" s="458"/>
      <c r="W7" s="458"/>
      <c r="X7" s="458"/>
      <c r="Y7" s="458"/>
      <c r="Z7" s="458"/>
      <c r="AA7" s="458"/>
      <c r="AB7" s="458"/>
      <c r="AC7" s="458"/>
      <c r="AD7" s="458"/>
      <c r="AE7" s="458"/>
      <c r="AF7" s="458"/>
      <c r="AG7" s="458"/>
      <c r="AH7" s="458"/>
      <c r="AI7" s="458"/>
      <c r="AJ7" s="458"/>
      <c r="AK7" s="458"/>
      <c r="AL7" s="458"/>
      <c r="AM7" s="458"/>
      <c r="AN7" s="458"/>
      <c r="AO7" s="458"/>
      <c r="AP7" s="458"/>
      <c r="AQ7" s="458"/>
      <c r="AR7" s="458"/>
      <c r="AS7" s="458"/>
      <c r="AT7" s="458"/>
      <c r="AU7" s="458"/>
      <c r="AV7" s="458"/>
      <c r="AW7" s="458"/>
      <c r="AX7" s="458"/>
      <c r="AY7" s="458"/>
      <c r="AZ7" s="458"/>
      <c r="BA7" s="458"/>
    </row>
    <row r="8" spans="1:53" ht="33" customHeight="1">
      <c r="A8" s="2376"/>
      <c r="B8" s="2362"/>
      <c r="C8" s="2374" t="s">
        <v>39</v>
      </c>
      <c r="D8" s="2375"/>
      <c r="E8" s="2372" t="s">
        <v>65</v>
      </c>
      <c r="F8" s="2373"/>
      <c r="G8" s="2374" t="s">
        <v>147</v>
      </c>
      <c r="H8" s="2375"/>
      <c r="I8" s="2372" t="s">
        <v>145</v>
      </c>
      <c r="J8" s="2373"/>
      <c r="K8" s="2374" t="s">
        <v>31</v>
      </c>
      <c r="L8" s="2375"/>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8"/>
      <c r="BA8" s="458"/>
    </row>
    <row r="9" spans="1:53" ht="15.45" customHeight="1">
      <c r="A9" s="2376"/>
      <c r="B9" s="2362"/>
      <c r="C9" s="2376" t="s">
        <v>1467</v>
      </c>
      <c r="D9" s="2362" t="s">
        <v>1564</v>
      </c>
      <c r="E9" s="2383" t="s">
        <v>1467</v>
      </c>
      <c r="F9" s="2360" t="s">
        <v>1564</v>
      </c>
      <c r="G9" s="2376" t="s">
        <v>1467</v>
      </c>
      <c r="H9" s="2362" t="s">
        <v>1564</v>
      </c>
      <c r="I9" s="2383" t="s">
        <v>1467</v>
      </c>
      <c r="J9" s="2360" t="s">
        <v>1564</v>
      </c>
      <c r="K9" s="2376" t="s">
        <v>1467</v>
      </c>
      <c r="L9" s="2362" t="s">
        <v>1564</v>
      </c>
      <c r="M9" s="458"/>
      <c r="N9" s="458"/>
      <c r="O9" s="458"/>
      <c r="P9" s="458"/>
      <c r="Q9" s="458"/>
      <c r="R9" s="458"/>
      <c r="S9" s="458"/>
      <c r="T9" s="458"/>
      <c r="U9" s="458"/>
      <c r="V9" s="458"/>
      <c r="W9" s="458"/>
      <c r="X9" s="458"/>
      <c r="Y9" s="458"/>
      <c r="Z9" s="458"/>
      <c r="AA9" s="458"/>
      <c r="AB9" s="458"/>
      <c r="AC9" s="458"/>
      <c r="AD9" s="458"/>
      <c r="AE9" s="458"/>
      <c r="AF9" s="458"/>
      <c r="AG9" s="458"/>
      <c r="AH9" s="458"/>
      <c r="AI9" s="458"/>
      <c r="AJ9" s="458"/>
      <c r="AK9" s="458"/>
      <c r="AL9" s="458"/>
      <c r="AM9" s="458"/>
      <c r="AN9" s="458"/>
      <c r="AO9" s="458"/>
      <c r="AP9" s="458"/>
      <c r="AQ9" s="458"/>
      <c r="AR9" s="458"/>
      <c r="AS9" s="458"/>
      <c r="AT9" s="458"/>
      <c r="AU9" s="458"/>
      <c r="AV9" s="458"/>
      <c r="AW9" s="458"/>
      <c r="AX9" s="458"/>
      <c r="AY9" s="458"/>
      <c r="AZ9" s="458"/>
      <c r="BA9" s="458"/>
    </row>
    <row r="10" spans="1:53" ht="59.55" customHeight="1" thickBot="1">
      <c r="A10" s="2369"/>
      <c r="B10" s="2370"/>
      <c r="C10" s="2377"/>
      <c r="D10" s="2363"/>
      <c r="E10" s="2384"/>
      <c r="F10" s="2361"/>
      <c r="G10" s="2377"/>
      <c r="H10" s="2363"/>
      <c r="I10" s="2385"/>
      <c r="J10" s="2364"/>
      <c r="K10" s="2377"/>
      <c r="L10" s="2363"/>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c r="BA10" s="458"/>
    </row>
    <row r="11" spans="1:53" ht="60.45" customHeight="1">
      <c r="A11" s="2371" t="s">
        <v>863</v>
      </c>
      <c r="B11" s="827" t="s">
        <v>864</v>
      </c>
      <c r="C11" s="846">
        <f>IF(Combustion!F4="",0,Combustion!F4)</f>
        <v>0</v>
      </c>
      <c r="D11" s="847" t="str">
        <f>IF(Combustion!AH4="","ND",Combustion!AH4)</f>
        <v>ND</v>
      </c>
      <c r="E11" s="848">
        <f>IF(Combustion!F3="",0,Combustion!F3)</f>
        <v>0</v>
      </c>
      <c r="F11" s="849" t="str">
        <f>IF(Combustion!AH3="","ND",Combustion!AH3)</f>
        <v>ND</v>
      </c>
      <c r="G11" s="850">
        <f>IF(Combustion!F6="",0,Combustion!F6)</f>
        <v>0</v>
      </c>
      <c r="H11" s="849" t="str">
        <f>IF(Combustion!AH6="","ND",Combustion!AH6)</f>
        <v>ND</v>
      </c>
      <c r="I11" s="850">
        <f>IF(Combustion!F5="",0,Combustion!F5)</f>
        <v>0</v>
      </c>
      <c r="J11" s="849" t="str">
        <f>IF(Combustion!AH5="","ND",Combustion!AH5)</f>
        <v>ND</v>
      </c>
      <c r="K11" s="848">
        <f>IF(Combustion!F7="",0,Combustion!F7)</f>
        <v>0</v>
      </c>
      <c r="L11" s="849" t="str">
        <f>IF(Combustion!AH7="","ND",Combustion!AH7)</f>
        <v>ND</v>
      </c>
      <c r="M11" s="458"/>
      <c r="N11" s="635" t="e">
        <f>C11*D11</f>
        <v>#VALUE!</v>
      </c>
      <c r="O11" s="845">
        <f>IFERROR(N11,0)</f>
        <v>0</v>
      </c>
      <c r="P11" s="635" t="e">
        <f t="shared" ref="P11:P20" si="0">E11*F11</f>
        <v>#VALUE!</v>
      </c>
      <c r="Q11" s="845">
        <f>IFERROR(P11,0)</f>
        <v>0</v>
      </c>
      <c r="R11" s="635" t="e">
        <f>G11*H11</f>
        <v>#VALUE!</v>
      </c>
      <c r="S11" s="845">
        <f>IFERROR(R11,0)</f>
        <v>0</v>
      </c>
      <c r="T11" s="635" t="e">
        <f>I11*J11</f>
        <v>#VALUE!</v>
      </c>
      <c r="U11" s="845">
        <f>IFERROR(T11,0)</f>
        <v>0</v>
      </c>
      <c r="V11" s="635" t="e">
        <f>K11*L11</f>
        <v>#VALUE!</v>
      </c>
      <c r="W11" s="845">
        <f>IFERROR(V11,0)</f>
        <v>0</v>
      </c>
      <c r="X11" s="458"/>
      <c r="Y11" s="458"/>
      <c r="Z11" s="458"/>
      <c r="AA11" s="458"/>
      <c r="AB11" s="458"/>
      <c r="AC11" s="458"/>
      <c r="AD11" s="458"/>
      <c r="AE11" s="458"/>
      <c r="AF11" s="458"/>
      <c r="AG11" s="458"/>
      <c r="AH11" s="458"/>
      <c r="AI11" s="458"/>
      <c r="AJ11" s="458"/>
      <c r="AK11" s="458"/>
      <c r="AL11" s="458"/>
      <c r="AM11" s="458"/>
      <c r="AN11" s="458"/>
      <c r="AO11" s="458"/>
      <c r="AP11" s="458"/>
      <c r="AQ11" s="458"/>
      <c r="AR11" s="458"/>
      <c r="AS11" s="458"/>
      <c r="AT11" s="458"/>
      <c r="AU11" s="458"/>
      <c r="AV11" s="458"/>
      <c r="AW11" s="458"/>
      <c r="AX11" s="458"/>
      <c r="AY11" s="458"/>
      <c r="AZ11" s="458"/>
      <c r="BA11" s="458"/>
    </row>
    <row r="12" spans="1:53" ht="60.45" customHeight="1">
      <c r="A12" s="2368"/>
      <c r="B12" s="826" t="s">
        <v>865</v>
      </c>
      <c r="C12" s="851">
        <f>IF(Flare!F4="",0,Flare!F4)</f>
        <v>0</v>
      </c>
      <c r="D12" s="852" t="str">
        <f>IF(Flare!AF4="","ND",Flare!AF4)</f>
        <v>ND</v>
      </c>
      <c r="E12" s="853">
        <f>IF(Flare!F3="",0,Flare!F3)</f>
        <v>0</v>
      </c>
      <c r="F12" s="852" t="str">
        <f>IF(Flare!AF3="","ND",Flare!AF3)</f>
        <v>ND</v>
      </c>
      <c r="G12" s="854">
        <f>IF(Flare!F6="",0,Flare!F6)</f>
        <v>0</v>
      </c>
      <c r="H12" s="855" t="str">
        <f>IF(Flare!AF6="","ND",Flare!AF6)</f>
        <v>ND</v>
      </c>
      <c r="I12" s="854">
        <f>IF(Flare!F5="",0,Flare!F5)</f>
        <v>0</v>
      </c>
      <c r="J12" s="855" t="str">
        <f>IF(Flare!AF5="","ND",Flare!AF5)</f>
        <v>ND</v>
      </c>
      <c r="K12" s="853">
        <f>IF(Flare!F7="",0,Flare!F7)</f>
        <v>0</v>
      </c>
      <c r="L12" s="855" t="str">
        <f>IF(Flare!AF7="","ND",Flare!AF7)</f>
        <v>ND</v>
      </c>
      <c r="M12" s="458"/>
      <c r="N12" s="635" t="e">
        <f t="shared" ref="N12:N20" si="1">C12*D12</f>
        <v>#VALUE!</v>
      </c>
      <c r="O12" s="845">
        <f t="shared" ref="O12:Q20" si="2">IFERROR(N12,0)</f>
        <v>0</v>
      </c>
      <c r="P12" s="635" t="e">
        <f t="shared" si="0"/>
        <v>#VALUE!</v>
      </c>
      <c r="Q12" s="845">
        <f t="shared" si="2"/>
        <v>0</v>
      </c>
      <c r="R12" s="635" t="e">
        <f t="shared" ref="R12:R20" si="3">G12*H12</f>
        <v>#VALUE!</v>
      </c>
      <c r="S12" s="845">
        <f t="shared" ref="S12" si="4">IFERROR(R12,0)</f>
        <v>0</v>
      </c>
      <c r="T12" s="635" t="e">
        <f t="shared" ref="T12:T20" si="5">I12*J12</f>
        <v>#VALUE!</v>
      </c>
      <c r="U12" s="845">
        <f t="shared" ref="U12:W12" si="6">IFERROR(T12,0)</f>
        <v>0</v>
      </c>
      <c r="V12" s="635" t="e">
        <f t="shared" ref="V12:V20" si="7">K12*L12</f>
        <v>#VALUE!</v>
      </c>
      <c r="W12" s="845">
        <f t="shared" si="6"/>
        <v>0</v>
      </c>
      <c r="X12" s="458"/>
      <c r="Y12" s="458"/>
      <c r="Z12" s="458"/>
      <c r="AA12" s="458"/>
      <c r="AB12" s="458"/>
      <c r="AC12" s="458"/>
      <c r="AD12" s="458"/>
      <c r="AE12" s="458"/>
      <c r="AF12" s="458"/>
      <c r="AG12" s="458"/>
      <c r="AH12" s="458"/>
      <c r="AI12" s="458"/>
      <c r="AJ12" s="458"/>
      <c r="AK12" s="458"/>
      <c r="AL12" s="458"/>
      <c r="AM12" s="458"/>
      <c r="AN12" s="458"/>
      <c r="AO12" s="458"/>
      <c r="AP12" s="458"/>
      <c r="AQ12" s="458"/>
      <c r="AR12" s="458"/>
      <c r="AS12" s="458"/>
      <c r="AT12" s="458"/>
      <c r="AU12" s="458"/>
      <c r="AV12" s="458"/>
      <c r="AW12" s="458"/>
      <c r="AX12" s="458"/>
      <c r="AY12" s="458"/>
      <c r="AZ12" s="458"/>
      <c r="BA12" s="458"/>
    </row>
    <row r="13" spans="1:53" ht="60.45" customHeight="1">
      <c r="A13" s="2368"/>
      <c r="B13" s="826" t="s">
        <v>866</v>
      </c>
      <c r="C13" s="851">
        <f>IF('WasteBurner&amp;BurnPit'!F5="",0,'WasteBurner&amp;BurnPit'!F5)</f>
        <v>0</v>
      </c>
      <c r="D13" s="852" t="str">
        <f>IF('WasteBurner&amp;BurnPit'!AH5="","ND",'WasteBurner&amp;BurnPit'!AH5)</f>
        <v>ND</v>
      </c>
      <c r="E13" s="853">
        <f>IF('WasteBurner&amp;BurnPit'!F4="",0,'WasteBurner&amp;BurnPit'!F4)</f>
        <v>0</v>
      </c>
      <c r="F13" s="852" t="str">
        <f>IF('WasteBurner&amp;BurnPit'!AH4="","ND",'WasteBurner&amp;BurnPit'!AH4)</f>
        <v>ND</v>
      </c>
      <c r="G13" s="854">
        <f>IF('WasteBurner&amp;BurnPit'!F7="",0,'WasteBurner&amp;BurnPit'!F7)</f>
        <v>0</v>
      </c>
      <c r="H13" s="855" t="str">
        <f>IF('WasteBurner&amp;BurnPit'!AH7="","ND",'WasteBurner&amp;BurnPit'!AH7)</f>
        <v>ND</v>
      </c>
      <c r="I13" s="854">
        <f>IF('WasteBurner&amp;BurnPit'!F6="",0,'WasteBurner&amp;BurnPit'!F6)</f>
        <v>0</v>
      </c>
      <c r="J13" s="855" t="str">
        <f>IF('WasteBurner&amp;BurnPit'!AH6="","ND",'WasteBurner&amp;BurnPit'!AH6)</f>
        <v>ND</v>
      </c>
      <c r="K13" s="853">
        <f>IF('WasteBurner&amp;BurnPit'!F8="",0,'WasteBurner&amp;BurnPit'!F8)</f>
        <v>0</v>
      </c>
      <c r="L13" s="855" t="str">
        <f>IF('WasteBurner&amp;BurnPit'!AH8="","ND",'WasteBurner&amp;BurnPit'!AH8)</f>
        <v>ND</v>
      </c>
      <c r="M13" s="458"/>
      <c r="N13" s="635" t="e">
        <f t="shared" si="1"/>
        <v>#VALUE!</v>
      </c>
      <c r="O13" s="845">
        <f t="shared" si="2"/>
        <v>0</v>
      </c>
      <c r="P13" s="635" t="e">
        <f t="shared" si="0"/>
        <v>#VALUE!</v>
      </c>
      <c r="Q13" s="845">
        <f t="shared" si="2"/>
        <v>0</v>
      </c>
      <c r="R13" s="635" t="e">
        <f t="shared" si="3"/>
        <v>#VALUE!</v>
      </c>
      <c r="S13" s="845">
        <f t="shared" ref="S13" si="8">IFERROR(R13,0)</f>
        <v>0</v>
      </c>
      <c r="T13" s="635" t="e">
        <f t="shared" si="5"/>
        <v>#VALUE!</v>
      </c>
      <c r="U13" s="845">
        <f t="shared" ref="U13:W13" si="9">IFERROR(T13,0)</f>
        <v>0</v>
      </c>
      <c r="V13" s="635" t="e">
        <f t="shared" si="7"/>
        <v>#VALUE!</v>
      </c>
      <c r="W13" s="845">
        <f t="shared" si="9"/>
        <v>0</v>
      </c>
      <c r="X13" s="458"/>
      <c r="Y13" s="458"/>
      <c r="Z13" s="458"/>
      <c r="AA13" s="458"/>
      <c r="AB13" s="458"/>
      <c r="AC13" s="458"/>
      <c r="AD13" s="458"/>
      <c r="AE13" s="458"/>
      <c r="AF13" s="458"/>
      <c r="AG13" s="458"/>
      <c r="AH13" s="458"/>
      <c r="AI13" s="458"/>
      <c r="AJ13" s="458"/>
      <c r="AK13" s="458"/>
      <c r="AL13" s="458"/>
      <c r="AM13" s="458"/>
      <c r="AN13" s="458"/>
      <c r="AO13" s="458"/>
      <c r="AP13" s="458"/>
      <c r="AQ13" s="458"/>
      <c r="AR13" s="458"/>
      <c r="AS13" s="458"/>
      <c r="AT13" s="458"/>
      <c r="AU13" s="458"/>
      <c r="AV13" s="458"/>
      <c r="AW13" s="458"/>
      <c r="AX13" s="458"/>
      <c r="AY13" s="458"/>
      <c r="AZ13" s="458"/>
      <c r="BA13" s="458"/>
    </row>
    <row r="14" spans="1:53" ht="60.45" customHeight="1" thickBot="1">
      <c r="A14" s="2368"/>
      <c r="B14" s="826" t="s">
        <v>867</v>
      </c>
      <c r="C14" s="856">
        <f>IF('WasteBurner&amp;BurnPit'!I5="",0,'WasteBurner&amp;BurnPit'!I5)</f>
        <v>0</v>
      </c>
      <c r="D14" s="857" t="str">
        <f>IF('WasteBurner&amp;BurnPit'!AL5="","ND",'WasteBurner&amp;BurnPit'!AL5)</f>
        <v>ND</v>
      </c>
      <c r="E14" s="858">
        <f>IF('WasteBurner&amp;BurnPit'!I4="",0,'WasteBurner&amp;BurnPit'!I4)</f>
        <v>0</v>
      </c>
      <c r="F14" s="859" t="str">
        <f>IF('WasteBurner&amp;BurnPit'!AL4="","ND",'WasteBurner&amp;BurnPit'!AL4)</f>
        <v>ND</v>
      </c>
      <c r="G14" s="860">
        <f>IF('WasteBurner&amp;BurnPit'!I7="",0,'WasteBurner&amp;BurnPit'!I7)</f>
        <v>0</v>
      </c>
      <c r="H14" s="859" t="str">
        <f>IF('WasteBurner&amp;BurnPit'!AL7="","ND",'WasteBurner&amp;BurnPit'!AL7)</f>
        <v>ND</v>
      </c>
      <c r="I14" s="860">
        <f>IF('WasteBurner&amp;BurnPit'!I6="",0,'WasteBurner&amp;BurnPit'!I6)</f>
        <v>0</v>
      </c>
      <c r="J14" s="857" t="str">
        <f>IF('WasteBurner&amp;BurnPit'!AL6="","ND",'WasteBurner&amp;BurnPit'!AL6)</f>
        <v>ND</v>
      </c>
      <c r="K14" s="858">
        <f>IF('WasteBurner&amp;BurnPit'!I8="",0,'WasteBurner&amp;BurnPit'!I8)</f>
        <v>0</v>
      </c>
      <c r="L14" s="859" t="str">
        <f>IF('WasteBurner&amp;BurnPit'!AL8="","ND",'WasteBurner&amp;BurnPit'!AL8)</f>
        <v>ND</v>
      </c>
      <c r="M14" s="458"/>
      <c r="N14" s="635" t="e">
        <f t="shared" si="1"/>
        <v>#VALUE!</v>
      </c>
      <c r="O14" s="845">
        <f t="shared" si="2"/>
        <v>0</v>
      </c>
      <c r="P14" s="635" t="e">
        <f t="shared" si="0"/>
        <v>#VALUE!</v>
      </c>
      <c r="Q14" s="845">
        <f t="shared" si="2"/>
        <v>0</v>
      </c>
      <c r="R14" s="635" t="e">
        <f t="shared" si="3"/>
        <v>#VALUE!</v>
      </c>
      <c r="S14" s="845">
        <f t="shared" ref="S14" si="10">IFERROR(R14,0)</f>
        <v>0</v>
      </c>
      <c r="T14" s="635" t="e">
        <f t="shared" si="5"/>
        <v>#VALUE!</v>
      </c>
      <c r="U14" s="845">
        <f t="shared" ref="U14:W14" si="11">IFERROR(T14,0)</f>
        <v>0</v>
      </c>
      <c r="V14" s="635" t="e">
        <f t="shared" si="7"/>
        <v>#VALUE!</v>
      </c>
      <c r="W14" s="845">
        <f t="shared" si="11"/>
        <v>0</v>
      </c>
      <c r="X14" s="458"/>
      <c r="Y14" s="458"/>
      <c r="Z14" s="458"/>
      <c r="AA14" s="458"/>
      <c r="AB14" s="458"/>
      <c r="AC14" s="458"/>
      <c r="AD14" s="458"/>
      <c r="AE14" s="458"/>
      <c r="AF14" s="458"/>
      <c r="AG14" s="458"/>
      <c r="AH14" s="458"/>
      <c r="AI14" s="458"/>
      <c r="AJ14" s="458"/>
      <c r="AK14" s="458"/>
      <c r="AL14" s="458"/>
      <c r="AM14" s="458"/>
      <c r="AN14" s="458"/>
      <c r="AO14" s="458"/>
      <c r="AP14" s="458"/>
      <c r="AQ14" s="458"/>
      <c r="AR14" s="458"/>
      <c r="AS14" s="458"/>
      <c r="AT14" s="458"/>
      <c r="AU14" s="458"/>
      <c r="AV14" s="458"/>
      <c r="AW14" s="458"/>
      <c r="AX14" s="458"/>
      <c r="AY14" s="458"/>
      <c r="AZ14" s="458"/>
      <c r="BA14" s="458"/>
    </row>
    <row r="15" spans="1:53" ht="60.45" customHeight="1">
      <c r="A15" s="2368" t="s">
        <v>868</v>
      </c>
      <c r="B15" s="826" t="s">
        <v>869</v>
      </c>
      <c r="C15" s="846">
        <f>IF('Vent (Process)'!F9="",0,'Vent (Process)'!F9)</f>
        <v>0</v>
      </c>
      <c r="D15" s="847" t="str">
        <f>IF('Vent (Process)'!AF7="","ND",'Vent (Process)'!AF7)</f>
        <v>ND</v>
      </c>
      <c r="E15" s="848">
        <f>IF('Vent (Process)'!F8="",0,'Vent (Process)'!F8)</f>
        <v>0</v>
      </c>
      <c r="F15" s="847" t="str">
        <f>IF('Vent (Process)'!AF6="","ND",'Vent (Process)'!AF6)</f>
        <v>ND</v>
      </c>
      <c r="G15" s="850">
        <f>IF('Vent (Process)'!F11="",0,'Vent (Process)'!F11)</f>
        <v>0</v>
      </c>
      <c r="H15" s="849" t="str">
        <f>IF('Vent (Process)'!AF9="","ND",'Vent (Process)'!AF9)</f>
        <v>ND</v>
      </c>
      <c r="I15" s="850">
        <f>IF('Vent (Process)'!F10="",0,'Vent (Process)'!F10)</f>
        <v>0</v>
      </c>
      <c r="J15" s="849" t="str">
        <f>IF('Vent (Process)'!AF8="","ND",'Vent (Process)'!AF8)</f>
        <v>ND</v>
      </c>
      <c r="K15" s="848">
        <f>IF('Vent (Process)'!F12="",0,'Vent (Process)'!F12)</f>
        <v>0</v>
      </c>
      <c r="L15" s="849" t="str">
        <f>IF('Vent (Process)'!AF10="","ND",'Vent (Process)'!AF10)</f>
        <v>ND</v>
      </c>
      <c r="M15" s="458"/>
      <c r="N15" s="635" t="e">
        <f t="shared" si="1"/>
        <v>#VALUE!</v>
      </c>
      <c r="O15" s="845">
        <f t="shared" si="2"/>
        <v>0</v>
      </c>
      <c r="P15" s="635" t="e">
        <f t="shared" si="0"/>
        <v>#VALUE!</v>
      </c>
      <c r="Q15" s="845">
        <f t="shared" si="2"/>
        <v>0</v>
      </c>
      <c r="R15" s="635" t="e">
        <f t="shared" si="3"/>
        <v>#VALUE!</v>
      </c>
      <c r="S15" s="845">
        <f t="shared" ref="S15" si="12">IFERROR(R15,0)</f>
        <v>0</v>
      </c>
      <c r="T15" s="635" t="e">
        <f t="shared" si="5"/>
        <v>#VALUE!</v>
      </c>
      <c r="U15" s="845">
        <f t="shared" ref="U15:W15" si="13">IFERROR(T15,0)</f>
        <v>0</v>
      </c>
      <c r="V15" s="635" t="e">
        <f t="shared" si="7"/>
        <v>#VALUE!</v>
      </c>
      <c r="W15" s="845">
        <f t="shared" si="13"/>
        <v>0</v>
      </c>
      <c r="X15" s="458"/>
      <c r="Y15" s="458"/>
      <c r="Z15" s="458"/>
      <c r="AA15" s="458"/>
      <c r="AB15" s="458"/>
      <c r="AC15" s="458"/>
      <c r="AD15" s="458"/>
      <c r="AE15" s="458"/>
      <c r="AF15" s="458"/>
      <c r="AG15" s="458"/>
      <c r="AH15" s="458"/>
      <c r="AI15" s="458"/>
      <c r="AJ15" s="458"/>
      <c r="AK15" s="458"/>
      <c r="AL15" s="458"/>
      <c r="AM15" s="458"/>
      <c r="AN15" s="458"/>
      <c r="AO15" s="458"/>
      <c r="AP15" s="458"/>
      <c r="AQ15" s="458"/>
      <c r="AR15" s="458"/>
      <c r="AS15" s="458"/>
      <c r="AT15" s="458"/>
      <c r="AU15" s="458"/>
      <c r="AV15" s="458"/>
      <c r="AW15" s="458"/>
      <c r="AX15" s="458"/>
      <c r="AY15" s="458"/>
      <c r="AZ15" s="458"/>
      <c r="BA15" s="458"/>
    </row>
    <row r="16" spans="1:53" ht="60.45" customHeight="1">
      <c r="A16" s="2368"/>
      <c r="B16" s="826" t="s">
        <v>870</v>
      </c>
      <c r="C16" s="851">
        <f>IF('Vent (Storage Tanks)'!H5="",0,'Vent (Storage Tanks)'!H5)</f>
        <v>0</v>
      </c>
      <c r="D16" s="852" t="str">
        <f>IF('Vent (Storage Tanks)'!AH4="","ND",'Vent (Storage Tanks)'!AH4)</f>
        <v>ND</v>
      </c>
      <c r="E16" s="853">
        <f>IF('Vent (Storage Tanks)'!H4="",0,'Vent (Storage Tanks)'!H4)</f>
        <v>0</v>
      </c>
      <c r="F16" s="852" t="str">
        <f>IF('Vent (Storage Tanks)'!AH3="","ND",'Vent (Storage Tanks)'!AH3)</f>
        <v>ND</v>
      </c>
      <c r="G16" s="854">
        <f>IF('Vent (Storage Tanks)'!H7="",0,'Vent (Storage Tanks)'!H7)</f>
        <v>0</v>
      </c>
      <c r="H16" s="855" t="str">
        <f>IF('Vent (Storage Tanks)'!AH6="","ND",'Vent (Storage Tanks)'!AH6)</f>
        <v>ND</v>
      </c>
      <c r="I16" s="854">
        <f>IF('Vent (Storage Tanks)'!H6="",0,'Vent (Storage Tanks)'!H6)</f>
        <v>0</v>
      </c>
      <c r="J16" s="855" t="str">
        <f>IF('Vent (Storage Tanks)'!AH5="","ND",'Vent (Storage Tanks)'!AH5)</f>
        <v>ND</v>
      </c>
      <c r="K16" s="853">
        <f>IF('Vent (Storage Tanks)'!H8="",0,'Vent (Storage Tanks)'!H8)</f>
        <v>0</v>
      </c>
      <c r="L16" s="855" t="str">
        <f>IF('Vent (Storage Tanks)'!AH7="","ND",'Vent (Storage Tanks)'!AH7)</f>
        <v>ND</v>
      </c>
      <c r="M16" s="458"/>
      <c r="N16" s="635" t="e">
        <f t="shared" si="1"/>
        <v>#VALUE!</v>
      </c>
      <c r="O16" s="845">
        <f t="shared" si="2"/>
        <v>0</v>
      </c>
      <c r="P16" s="635" t="e">
        <f t="shared" si="0"/>
        <v>#VALUE!</v>
      </c>
      <c r="Q16" s="845">
        <f t="shared" si="2"/>
        <v>0</v>
      </c>
      <c r="R16" s="635" t="e">
        <f t="shared" si="3"/>
        <v>#VALUE!</v>
      </c>
      <c r="S16" s="845">
        <f t="shared" ref="S16" si="14">IFERROR(R16,0)</f>
        <v>0</v>
      </c>
      <c r="T16" s="635" t="e">
        <f t="shared" si="5"/>
        <v>#VALUE!</v>
      </c>
      <c r="U16" s="845">
        <f t="shared" ref="U16:W16" si="15">IFERROR(T16,0)</f>
        <v>0</v>
      </c>
      <c r="V16" s="635" t="e">
        <f t="shared" si="7"/>
        <v>#VALUE!</v>
      </c>
      <c r="W16" s="845">
        <f t="shared" si="15"/>
        <v>0</v>
      </c>
      <c r="X16" s="458"/>
      <c r="Y16" s="458"/>
      <c r="Z16" s="458"/>
      <c r="AA16" s="458"/>
      <c r="AB16" s="458"/>
      <c r="AC16" s="458"/>
      <c r="AD16" s="458"/>
      <c r="AE16" s="458"/>
      <c r="AF16" s="458"/>
      <c r="AG16" s="458"/>
      <c r="AH16" s="458"/>
      <c r="AI16" s="458"/>
      <c r="AJ16" s="458"/>
      <c r="AK16" s="458"/>
      <c r="AL16" s="458"/>
      <c r="AM16" s="458"/>
      <c r="AN16" s="458"/>
      <c r="AO16" s="458"/>
      <c r="AP16" s="458"/>
      <c r="AQ16" s="458"/>
      <c r="AR16" s="458"/>
      <c r="AS16" s="458"/>
      <c r="AT16" s="458"/>
      <c r="AU16" s="458"/>
      <c r="AV16" s="458"/>
      <c r="AW16" s="458"/>
      <c r="AX16" s="458"/>
      <c r="AY16" s="458"/>
      <c r="AZ16" s="458"/>
      <c r="BA16" s="458"/>
    </row>
    <row r="17" spans="1:60" ht="60.45" customHeight="1" thickBot="1">
      <c r="A17" s="2368"/>
      <c r="B17" s="826" t="s">
        <v>562</v>
      </c>
      <c r="C17" s="856">
        <f>IF('Vent (Loading)'!E4="",0,'Vent (Loading)'!E4)</f>
        <v>0</v>
      </c>
      <c r="D17" s="857" t="s">
        <v>487</v>
      </c>
      <c r="E17" s="858">
        <f>IF('Vent (Loading)'!E3="",0,'Vent (Loading)'!E3)</f>
        <v>0</v>
      </c>
      <c r="F17" s="857" t="s">
        <v>487</v>
      </c>
      <c r="G17" s="860">
        <f>IF('Vent (Loading)'!E6="",0,'Vent (Loading)'!E6)</f>
        <v>0</v>
      </c>
      <c r="H17" s="857" t="s">
        <v>487</v>
      </c>
      <c r="I17" s="860">
        <f>IF('Vent (Loading)'!E5="",0,'Vent (Loading)'!E5)</f>
        <v>0</v>
      </c>
      <c r="J17" s="857" t="s">
        <v>487</v>
      </c>
      <c r="K17" s="858">
        <f>IF('Vent (Loading)'!E7="",0,'Vent (Loading)'!E7)</f>
        <v>0</v>
      </c>
      <c r="L17" s="859" t="str">
        <f>IF('Vent (Loading)'!AF7="","ND",'Vent (Loading)'!AF7)</f>
        <v>ND</v>
      </c>
      <c r="M17" s="458"/>
      <c r="N17" s="635" t="e">
        <f t="shared" si="1"/>
        <v>#VALUE!</v>
      </c>
      <c r="O17" s="845">
        <f t="shared" si="2"/>
        <v>0</v>
      </c>
      <c r="P17" s="635" t="e">
        <f t="shared" si="0"/>
        <v>#VALUE!</v>
      </c>
      <c r="Q17" s="845">
        <f t="shared" si="2"/>
        <v>0</v>
      </c>
      <c r="R17" s="635" t="e">
        <f t="shared" si="3"/>
        <v>#VALUE!</v>
      </c>
      <c r="S17" s="845">
        <f t="shared" ref="S17" si="16">IFERROR(R17,0)</f>
        <v>0</v>
      </c>
      <c r="T17" s="635" t="e">
        <f t="shared" si="5"/>
        <v>#VALUE!</v>
      </c>
      <c r="U17" s="845">
        <f t="shared" ref="U17:W17" si="17">IFERROR(T17,0)</f>
        <v>0</v>
      </c>
      <c r="V17" s="635" t="e">
        <f t="shared" si="7"/>
        <v>#VALUE!</v>
      </c>
      <c r="W17" s="845">
        <f t="shared" si="17"/>
        <v>0</v>
      </c>
      <c r="X17" s="458"/>
      <c r="Y17" s="458"/>
      <c r="Z17" s="458"/>
      <c r="AA17" s="458"/>
      <c r="AB17" s="458"/>
      <c r="AC17" s="458"/>
      <c r="AD17" s="458"/>
      <c r="AE17" s="458"/>
      <c r="AF17" s="458"/>
      <c r="AG17" s="458"/>
      <c r="AH17" s="458"/>
      <c r="AI17" s="458"/>
      <c r="AJ17" s="458"/>
      <c r="AK17" s="458"/>
      <c r="AL17" s="458"/>
      <c r="AM17" s="458"/>
      <c r="AN17" s="458"/>
      <c r="AO17" s="458"/>
      <c r="AP17" s="458"/>
      <c r="AQ17" s="458"/>
      <c r="AR17" s="458"/>
      <c r="AS17" s="458"/>
      <c r="AT17" s="458"/>
      <c r="AU17" s="458"/>
      <c r="AV17" s="458"/>
      <c r="AW17" s="458"/>
      <c r="AX17" s="458"/>
      <c r="AY17" s="458"/>
      <c r="AZ17" s="458"/>
      <c r="BA17" s="458"/>
    </row>
    <row r="18" spans="1:60" ht="60.45" customHeight="1">
      <c r="A18" s="2368" t="s">
        <v>871</v>
      </c>
      <c r="B18" s="826" t="s">
        <v>872</v>
      </c>
      <c r="C18" s="846">
        <f>IF('Fugitives (Equipment Leaks)'!$E$4="",0,'Fugitives (Equipment Leaks)'!$E$4)</f>
        <v>0</v>
      </c>
      <c r="D18" s="847" t="s">
        <v>487</v>
      </c>
      <c r="E18" s="848">
        <f>IF('Fugitives (Equipment Leaks)'!$E$3="",0,'Fugitives (Equipment Leaks)'!$E$3)</f>
        <v>0</v>
      </c>
      <c r="F18" s="847" t="s">
        <v>487</v>
      </c>
      <c r="G18" s="850">
        <f>IF('Fugitives (Equipment Leaks)'!$E$6="",0,'Fugitives (Equipment Leaks)'!$E$6)</f>
        <v>0</v>
      </c>
      <c r="H18" s="849" t="s">
        <v>487</v>
      </c>
      <c r="I18" s="850">
        <f>IF('Fugitives (Equipment Leaks)'!$E$5="",0,'Fugitives (Equipment Leaks)'!$E$5)</f>
        <v>0</v>
      </c>
      <c r="J18" s="847" t="s">
        <v>487</v>
      </c>
      <c r="K18" s="848">
        <f>IF('Fugitives (Equipment Leaks)'!$E$7="",0,'Fugitives (Equipment Leaks)'!$E$7)</f>
        <v>0</v>
      </c>
      <c r="L18" s="849" t="str">
        <f>IF('Fugitives (Equipment Leaks)'!AL7="","ND",'Fugitives (Equipment Leaks)'!AL7)</f>
        <v>ND</v>
      </c>
      <c r="M18" s="458"/>
      <c r="N18" s="635" t="e">
        <f t="shared" si="1"/>
        <v>#VALUE!</v>
      </c>
      <c r="O18" s="845">
        <f t="shared" si="2"/>
        <v>0</v>
      </c>
      <c r="P18" s="635" t="e">
        <f t="shared" si="0"/>
        <v>#VALUE!</v>
      </c>
      <c r="Q18" s="845">
        <f t="shared" si="2"/>
        <v>0</v>
      </c>
      <c r="R18" s="635" t="e">
        <f t="shared" si="3"/>
        <v>#VALUE!</v>
      </c>
      <c r="S18" s="845">
        <f t="shared" ref="S18" si="18">IFERROR(R18,0)</f>
        <v>0</v>
      </c>
      <c r="T18" s="635" t="e">
        <f t="shared" si="5"/>
        <v>#VALUE!</v>
      </c>
      <c r="U18" s="845">
        <f t="shared" ref="U18:W18" si="19">IFERROR(T18,0)</f>
        <v>0</v>
      </c>
      <c r="V18" s="635" t="e">
        <f t="shared" si="7"/>
        <v>#VALUE!</v>
      </c>
      <c r="W18" s="845">
        <f t="shared" si="19"/>
        <v>0</v>
      </c>
      <c r="X18" s="458"/>
      <c r="Y18" s="458"/>
      <c r="Z18" s="458"/>
      <c r="AA18" s="458"/>
      <c r="AB18" s="458"/>
      <c r="AC18" s="458"/>
      <c r="AD18" s="458"/>
      <c r="AE18" s="458"/>
      <c r="AF18" s="458"/>
      <c r="AG18" s="458"/>
      <c r="AH18" s="458"/>
      <c r="AI18" s="458"/>
      <c r="AJ18" s="458"/>
      <c r="AK18" s="458"/>
      <c r="AL18" s="458"/>
      <c r="AM18" s="458"/>
      <c r="AN18" s="458"/>
      <c r="AO18" s="458"/>
      <c r="AP18" s="458"/>
      <c r="AQ18" s="458"/>
      <c r="AR18" s="458"/>
      <c r="AS18" s="458"/>
      <c r="AT18" s="458"/>
      <c r="AU18" s="458"/>
      <c r="AV18" s="458"/>
      <c r="AW18" s="458"/>
      <c r="AX18" s="458"/>
      <c r="AY18" s="458"/>
      <c r="AZ18" s="458"/>
      <c r="BA18" s="458"/>
    </row>
    <row r="19" spans="1:60" ht="60.45" customHeight="1">
      <c r="A19" s="2368"/>
      <c r="B19" s="826" t="s">
        <v>873</v>
      </c>
      <c r="C19" s="851">
        <f>IF('Fugitives (WastewaterTreatment)'!F4="",0,'Fugitives (WastewaterTreatment)'!F4)</f>
        <v>0</v>
      </c>
      <c r="D19" s="852" t="s">
        <v>487</v>
      </c>
      <c r="E19" s="853">
        <f>IF('Fugitives (WastewaterTreatment)'!F3="",0,'Fugitives (WastewaterTreatment)'!F3)</f>
        <v>0</v>
      </c>
      <c r="F19" s="852" t="s">
        <v>487</v>
      </c>
      <c r="G19" s="854">
        <f>IF('Fugitives (WastewaterTreatment)'!F6="",0,'Fugitives (WastewaterTreatment)'!F6)</f>
        <v>0</v>
      </c>
      <c r="H19" s="855" t="s">
        <v>487</v>
      </c>
      <c r="I19" s="854">
        <f>IF('Fugitives (WastewaterTreatment)'!F5="",0,'Fugitives (WastewaterTreatment)'!F5)</f>
        <v>0</v>
      </c>
      <c r="J19" s="855" t="s">
        <v>487</v>
      </c>
      <c r="K19" s="853">
        <f>IF('Fugitives (WastewaterTreatment)'!F7="",0,'Fugitives (WastewaterTreatment)'!F7)</f>
        <v>0</v>
      </c>
      <c r="L19" s="855" t="str">
        <f>IF('Fugitives (WastewaterTreatment)'!AG7="","ND",'Fugitives (WastewaterTreatment)'!AG7)</f>
        <v>ND</v>
      </c>
      <c r="M19" s="458"/>
      <c r="N19" s="635" t="e">
        <f t="shared" si="1"/>
        <v>#VALUE!</v>
      </c>
      <c r="O19" s="845">
        <f t="shared" si="2"/>
        <v>0</v>
      </c>
      <c r="P19" s="635" t="e">
        <f t="shared" si="0"/>
        <v>#VALUE!</v>
      </c>
      <c r="Q19" s="845">
        <f t="shared" si="2"/>
        <v>0</v>
      </c>
      <c r="R19" s="635" t="e">
        <f t="shared" si="3"/>
        <v>#VALUE!</v>
      </c>
      <c r="S19" s="845">
        <f t="shared" ref="S19" si="20">IFERROR(R19,0)</f>
        <v>0</v>
      </c>
      <c r="T19" s="635" t="e">
        <f t="shared" si="5"/>
        <v>#VALUE!</v>
      </c>
      <c r="U19" s="845">
        <f t="shared" ref="U19:W19" si="21">IFERROR(T19,0)</f>
        <v>0</v>
      </c>
      <c r="V19" s="635" t="e">
        <f t="shared" si="7"/>
        <v>#VALUE!</v>
      </c>
      <c r="W19" s="845">
        <f t="shared" si="21"/>
        <v>0</v>
      </c>
      <c r="X19" s="458"/>
      <c r="Y19" s="458"/>
      <c r="Z19" s="458"/>
      <c r="AA19" s="458"/>
      <c r="AB19" s="458"/>
      <c r="AC19" s="458"/>
      <c r="AD19" s="458"/>
      <c r="AE19" s="458"/>
      <c r="AF19" s="458"/>
      <c r="AG19" s="458"/>
      <c r="AH19" s="458"/>
      <c r="AI19" s="458"/>
      <c r="AJ19" s="458"/>
      <c r="AK19" s="458"/>
      <c r="AL19" s="458"/>
      <c r="AM19" s="458"/>
      <c r="AN19" s="458"/>
      <c r="AO19" s="458"/>
      <c r="AP19" s="458"/>
      <c r="AQ19" s="458"/>
      <c r="AR19" s="458"/>
      <c r="AS19" s="458"/>
      <c r="AT19" s="458"/>
      <c r="AU19" s="458"/>
      <c r="AV19" s="458"/>
      <c r="AW19" s="458"/>
      <c r="AX19" s="458"/>
      <c r="AY19" s="458"/>
      <c r="AZ19" s="458"/>
      <c r="BA19" s="458"/>
    </row>
    <row r="20" spans="1:60" ht="60.45" customHeight="1" thickBot="1">
      <c r="A20" s="2368"/>
      <c r="B20" s="826" t="s">
        <v>874</v>
      </c>
      <c r="C20" s="856">
        <f>IF('Fugitives (CoolingTowers)'!G4="",0,'Fugitives (CoolingTowers)'!G4)</f>
        <v>0</v>
      </c>
      <c r="D20" s="857" t="s">
        <v>487</v>
      </c>
      <c r="E20" s="858">
        <f>IF('Fugitives (CoolingTowers)'!G3="",0,'Fugitives (CoolingTowers)'!G3)</f>
        <v>0</v>
      </c>
      <c r="F20" s="857" t="s">
        <v>487</v>
      </c>
      <c r="G20" s="860">
        <f>IF('Fugitives (CoolingTowers)'!G6="",0,'Fugitives (CoolingTowers)'!G6)</f>
        <v>0</v>
      </c>
      <c r="H20" s="859" t="s">
        <v>487</v>
      </c>
      <c r="I20" s="860">
        <f>IF('Fugitives (CoolingTowers)'!G5="",0,'Fugitives (CoolingTowers)'!G5)</f>
        <v>0</v>
      </c>
      <c r="J20" s="859" t="str">
        <f>IF('Fugitives (CoolingTowers)'!AG5="","ND",'Fugitives (CoolingTowers)'!AG5)</f>
        <v>ND</v>
      </c>
      <c r="K20" s="858">
        <f>IF('Fugitives (CoolingTowers)'!G7="",0,'Fugitives (CoolingTowers)'!G7)</f>
        <v>0</v>
      </c>
      <c r="L20" s="859" t="str">
        <f>IF('Fugitives (CoolingTowers)'!AG7="","ND",'Fugitives (CoolingTowers)'!AG7)</f>
        <v>ND</v>
      </c>
      <c r="M20" s="458"/>
      <c r="N20" s="635" t="e">
        <f t="shared" si="1"/>
        <v>#VALUE!</v>
      </c>
      <c r="O20" s="845">
        <f t="shared" si="2"/>
        <v>0</v>
      </c>
      <c r="P20" s="635" t="e">
        <f t="shared" si="0"/>
        <v>#VALUE!</v>
      </c>
      <c r="Q20" s="845">
        <f t="shared" si="2"/>
        <v>0</v>
      </c>
      <c r="R20" s="635" t="e">
        <f t="shared" si="3"/>
        <v>#VALUE!</v>
      </c>
      <c r="S20" s="845">
        <f t="shared" ref="S20" si="22">IFERROR(R20,0)</f>
        <v>0</v>
      </c>
      <c r="T20" s="635" t="e">
        <f t="shared" si="5"/>
        <v>#VALUE!</v>
      </c>
      <c r="U20" s="845">
        <f t="shared" ref="U20:W20" si="23">IFERROR(T20,0)</f>
        <v>0</v>
      </c>
      <c r="V20" s="635" t="e">
        <f t="shared" si="7"/>
        <v>#VALUE!</v>
      </c>
      <c r="W20" s="845">
        <f t="shared" si="23"/>
        <v>0</v>
      </c>
      <c r="X20" s="458"/>
      <c r="Y20" s="458"/>
      <c r="Z20" s="458"/>
      <c r="AA20" s="458"/>
      <c r="AB20" s="458"/>
      <c r="AC20" s="458"/>
      <c r="AD20" s="458"/>
      <c r="AE20" s="458"/>
      <c r="AF20" s="458"/>
      <c r="AG20" s="458"/>
      <c r="AH20" s="458"/>
      <c r="AI20" s="458"/>
      <c r="AJ20" s="458"/>
      <c r="AK20" s="458"/>
      <c r="AL20" s="458"/>
      <c r="AM20" s="458"/>
      <c r="AN20" s="458"/>
      <c r="AO20" s="458"/>
      <c r="AP20" s="458"/>
      <c r="AQ20" s="458"/>
      <c r="AR20" s="458"/>
      <c r="AS20" s="458"/>
      <c r="AT20" s="458"/>
      <c r="AU20" s="458"/>
      <c r="AV20" s="458"/>
      <c r="AW20" s="458"/>
      <c r="AX20" s="458"/>
      <c r="AY20" s="458"/>
      <c r="AZ20" s="458"/>
      <c r="BA20" s="458"/>
    </row>
    <row r="21" spans="1:60" ht="60.45" customHeight="1" thickBot="1">
      <c r="A21" s="2369" t="s">
        <v>877</v>
      </c>
      <c r="B21" s="2370"/>
      <c r="C21" s="861">
        <f>SUM(C11:C20)</f>
        <v>0</v>
      </c>
      <c r="D21" s="862" t="str">
        <f>IF(OR(C21="",C21=0,O21="",O21=0),"ND",(SQRT((O11)^2+(O12)^2+(O13)^2+(O14)^2+(O15)^2+(O16)^2+(O17)^2+(O18)^2+(O19)^2+(O20)^2))/C21)</f>
        <v>ND</v>
      </c>
      <c r="E21" s="861">
        <f t="shared" ref="E21:K21" si="24">SUM(E11:E20)</f>
        <v>0</v>
      </c>
      <c r="F21" s="862" t="str">
        <f>IF(OR(E21="",E21=0,Q21="",Q21=0),"ND",(SQRT((Q11)^2+(Q12)^2+(Q13)^2+(Q14)^2+(Q15)^2+(Q16)^2+(Q17)^2+(Q18)^2+(Q19)^2+(Q20)^2))/E21)</f>
        <v>ND</v>
      </c>
      <c r="G21" s="863">
        <f t="shared" si="24"/>
        <v>0</v>
      </c>
      <c r="H21" s="862" t="str">
        <f>IF(OR(G21="",G21=0,S21="",S21=0),"ND",(SQRT((S11)^2+(S12)^2+(S13)^2+(S14)^2+(S15)^2+(S16)^2+(S17)^2+(S18)^2+(S19)^2+(S20)^2))/G21)</f>
        <v>ND</v>
      </c>
      <c r="I21" s="863">
        <f t="shared" si="24"/>
        <v>0</v>
      </c>
      <c r="J21" s="862" t="str">
        <f>IF(OR(I21="",I21=0,U21="",U21=0),"ND",(SQRT((U11)^2+(U12)^2+(U13)^2+(U14)^2+(U15)^2+(U16)^2+(U17)^2+(U18)^2+(U19)^2+(U20)^2))/I21)</f>
        <v>ND</v>
      </c>
      <c r="K21" s="861">
        <f t="shared" si="24"/>
        <v>0</v>
      </c>
      <c r="L21" s="862" t="str">
        <f>IF(OR(K21="",K21=0,W21="",W21=0),"ND",(SQRT((W11)^2+(W12)^2+(W13)^2+(W14)^2+(W15)^2+(W16)^2+(W17)^2+(W18)^2+(W19)^2+(W20)^2))/K21)</f>
        <v>ND</v>
      </c>
      <c r="M21" s="458"/>
      <c r="N21" s="458"/>
      <c r="O21" s="635">
        <f>SUM(O11:O20)</f>
        <v>0</v>
      </c>
      <c r="P21" s="458"/>
      <c r="Q21" s="635">
        <f t="shared" ref="Q21:W21" si="25">SUM(Q11:Q20)</f>
        <v>0</v>
      </c>
      <c r="R21" s="458"/>
      <c r="S21" s="635">
        <f t="shared" si="25"/>
        <v>0</v>
      </c>
      <c r="T21" s="458"/>
      <c r="U21" s="635">
        <f t="shared" si="25"/>
        <v>0</v>
      </c>
      <c r="V21" s="458"/>
      <c r="W21" s="635">
        <f t="shared" si="25"/>
        <v>0</v>
      </c>
      <c r="X21" s="458"/>
      <c r="Y21" s="458"/>
      <c r="Z21" s="458"/>
      <c r="AA21" s="458"/>
      <c r="AB21" s="458"/>
      <c r="AC21" s="458"/>
      <c r="AD21" s="458"/>
      <c r="AE21" s="458"/>
      <c r="AF21" s="458"/>
      <c r="AG21" s="458"/>
      <c r="AH21" s="458"/>
      <c r="AI21" s="458"/>
      <c r="AJ21" s="458"/>
      <c r="AK21" s="458"/>
      <c r="AL21" s="458"/>
      <c r="AM21" s="458"/>
      <c r="AN21" s="458"/>
      <c r="AO21" s="458"/>
      <c r="AP21" s="458"/>
      <c r="AQ21" s="458"/>
      <c r="AR21" s="458"/>
      <c r="AS21" s="458"/>
      <c r="AT21" s="458"/>
      <c r="AU21" s="458"/>
      <c r="AV21" s="458"/>
      <c r="AW21" s="458"/>
      <c r="AX21" s="458"/>
      <c r="AY21" s="458"/>
      <c r="AZ21" s="458"/>
      <c r="BA21" s="458"/>
    </row>
    <row r="22" spans="1:60" ht="27.45" customHeight="1">
      <c r="A22" s="2365" t="s">
        <v>875</v>
      </c>
      <c r="B22" s="2366"/>
      <c r="C22" s="2366"/>
      <c r="D22" s="2366"/>
      <c r="E22" s="2366"/>
      <c r="F22" s="2366"/>
      <c r="G22" s="2366"/>
      <c r="H22" s="2366"/>
      <c r="I22" s="2366"/>
      <c r="J22" s="2366"/>
      <c r="K22" s="2366"/>
      <c r="L22" s="2367"/>
      <c r="M22" s="458"/>
      <c r="N22" s="458"/>
      <c r="O22" s="511"/>
      <c r="P22" s="458"/>
      <c r="Q22" s="511"/>
      <c r="R22" s="458"/>
      <c r="S22" s="511"/>
      <c r="T22" s="458"/>
      <c r="U22" s="511"/>
      <c r="V22" s="458"/>
      <c r="W22" s="511"/>
      <c r="X22" s="458"/>
      <c r="Y22" s="458"/>
      <c r="Z22" s="458"/>
      <c r="AA22" s="458"/>
      <c r="AB22" s="458"/>
      <c r="AC22" s="458"/>
      <c r="AD22" s="458"/>
      <c r="AE22" s="458"/>
      <c r="AF22" s="458"/>
      <c r="AG22" s="458"/>
      <c r="AH22" s="458"/>
      <c r="AI22" s="458"/>
      <c r="AJ22" s="458"/>
      <c r="AK22" s="458"/>
      <c r="AL22" s="458"/>
      <c r="AM22" s="458"/>
      <c r="AN22" s="458"/>
      <c r="AO22" s="458"/>
      <c r="AP22" s="458"/>
      <c r="AQ22" s="458"/>
      <c r="AR22" s="458"/>
      <c r="AS22" s="458"/>
      <c r="AT22" s="458"/>
      <c r="AU22" s="458"/>
      <c r="AV22" s="458"/>
      <c r="AW22" s="458"/>
      <c r="AX22" s="458"/>
      <c r="AY22" s="458"/>
      <c r="AZ22" s="458"/>
      <c r="BA22" s="458"/>
    </row>
    <row r="23" spans="1:60" ht="298.05" customHeight="1" thickBot="1">
      <c r="A23" s="2352"/>
      <c r="B23" s="2353"/>
      <c r="C23" s="2353"/>
      <c r="D23" s="2353"/>
      <c r="E23" s="2353"/>
      <c r="F23" s="2353"/>
      <c r="G23" s="2353"/>
      <c r="H23" s="2353"/>
      <c r="I23" s="2353"/>
      <c r="J23" s="2353"/>
      <c r="K23" s="2353"/>
      <c r="L23" s="2354"/>
      <c r="M23" s="458"/>
      <c r="N23" s="458"/>
      <c r="O23" s="458"/>
      <c r="P23" s="458"/>
      <c r="Q23" s="458"/>
      <c r="R23" s="458"/>
      <c r="S23" s="458"/>
      <c r="T23" s="458"/>
      <c r="U23" s="458"/>
      <c r="V23" s="458"/>
      <c r="W23" s="458"/>
      <c r="X23" s="458"/>
      <c r="Y23" s="458"/>
      <c r="Z23" s="458"/>
      <c r="AA23" s="458"/>
      <c r="AB23" s="458"/>
      <c r="AC23" s="458"/>
      <c r="AD23" s="458"/>
      <c r="AE23" s="458"/>
      <c r="AF23" s="458"/>
      <c r="AG23" s="458"/>
      <c r="AH23" s="458"/>
      <c r="AI23" s="458"/>
      <c r="AJ23" s="458"/>
      <c r="AK23" s="458"/>
      <c r="AL23" s="458"/>
      <c r="AM23" s="458"/>
      <c r="AN23" s="458"/>
      <c r="AO23" s="458"/>
      <c r="AP23" s="458"/>
      <c r="AQ23" s="458"/>
      <c r="AR23" s="458"/>
      <c r="AS23" s="458"/>
      <c r="AT23" s="458"/>
      <c r="AU23" s="458"/>
      <c r="AV23" s="458"/>
      <c r="AW23" s="458"/>
      <c r="AX23" s="458"/>
      <c r="AY23" s="458"/>
      <c r="AZ23" s="458"/>
      <c r="BA23" s="458"/>
    </row>
    <row r="24" spans="1:60" ht="15.6" hidden="1" thickBot="1">
      <c r="M24" s="458"/>
      <c r="N24" s="458"/>
      <c r="O24" s="458"/>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8"/>
      <c r="AM24" s="458"/>
      <c r="AN24" s="458"/>
      <c r="AO24" s="458"/>
      <c r="AP24" s="458"/>
      <c r="AQ24" s="458"/>
      <c r="AR24" s="458"/>
      <c r="AS24" s="458"/>
      <c r="AT24" s="458"/>
      <c r="AU24" s="458"/>
      <c r="AV24" s="458"/>
      <c r="AW24" s="458"/>
      <c r="AX24" s="458"/>
      <c r="AY24" s="458"/>
      <c r="AZ24" s="458"/>
      <c r="BA24" s="458"/>
    </row>
    <row r="25" spans="1:60" s="438" customFormat="1" ht="37.950000000000003" customHeight="1">
      <c r="A25" s="1212" t="s">
        <v>878</v>
      </c>
      <c r="B25" s="2358"/>
      <c r="C25" s="2358"/>
      <c r="D25" s="2358"/>
      <c r="E25" s="2358"/>
      <c r="F25" s="2358"/>
      <c r="G25" s="2358"/>
      <c r="H25" s="2358"/>
      <c r="I25" s="2358"/>
      <c r="J25" s="2358"/>
      <c r="K25" s="2358"/>
      <c r="L25" s="2359"/>
      <c r="M25" s="458"/>
      <c r="N25" s="458"/>
      <c r="O25" s="458"/>
      <c r="P25" s="758"/>
      <c r="Q25" s="758"/>
      <c r="R25" s="758"/>
      <c r="S25" s="758"/>
      <c r="T25" s="758"/>
      <c r="U25" s="758"/>
      <c r="V25" s="758"/>
      <c r="W25" s="758"/>
      <c r="X25" s="758"/>
      <c r="Y25" s="758"/>
      <c r="Z25" s="758"/>
      <c r="AA25" s="758"/>
      <c r="AB25" s="758"/>
      <c r="AC25" s="758"/>
      <c r="AD25" s="758"/>
      <c r="AE25" s="758"/>
      <c r="AF25" s="758"/>
      <c r="AG25" s="758"/>
      <c r="AH25" s="510"/>
      <c r="AI25" s="758"/>
      <c r="AJ25" s="758"/>
      <c r="AK25" s="758"/>
      <c r="AL25" s="758"/>
      <c r="AM25" s="758"/>
      <c r="AN25" s="510"/>
      <c r="AO25" s="458"/>
      <c r="AP25" s="458"/>
      <c r="AQ25" s="458"/>
      <c r="AR25" s="458"/>
      <c r="AS25" s="458"/>
      <c r="AT25" s="458"/>
      <c r="AU25" s="458"/>
      <c r="AV25" s="458"/>
      <c r="AW25" s="458"/>
      <c r="AX25" s="458"/>
      <c r="AY25" s="458"/>
      <c r="AZ25" s="458"/>
      <c r="BA25" s="458"/>
      <c r="BB25" s="98"/>
      <c r="BC25" s="98"/>
      <c r="BD25" s="98"/>
      <c r="BE25" s="98"/>
      <c r="BF25" s="98"/>
      <c r="BG25" s="98"/>
      <c r="BH25" s="98"/>
    </row>
    <row r="26" spans="1:60" s="438" customFormat="1" ht="115.5" customHeight="1" thickBot="1">
      <c r="A26" s="1024" t="s">
        <v>1561</v>
      </c>
      <c r="B26" s="1025"/>
      <c r="C26" s="1025"/>
      <c r="D26" s="1025"/>
      <c r="E26" s="1025"/>
      <c r="F26" s="1025"/>
      <c r="G26" s="1025"/>
      <c r="H26" s="1025"/>
      <c r="I26" s="1025"/>
      <c r="J26" s="1025"/>
      <c r="K26" s="1025"/>
      <c r="L26" s="1026"/>
      <c r="M26" s="458"/>
      <c r="N26" s="458"/>
      <c r="O26" s="458"/>
      <c r="P26" s="758"/>
      <c r="Q26" s="758"/>
      <c r="R26" s="758"/>
      <c r="S26" s="758"/>
      <c r="T26" s="758"/>
      <c r="U26" s="758"/>
      <c r="V26" s="758"/>
      <c r="W26" s="758"/>
      <c r="X26" s="758"/>
      <c r="Y26" s="758"/>
      <c r="Z26" s="758"/>
      <c r="AA26" s="758"/>
      <c r="AB26" s="758"/>
      <c r="AC26" s="758"/>
      <c r="AD26" s="758"/>
      <c r="AE26" s="758"/>
      <c r="AF26" s="758"/>
      <c r="AG26" s="758"/>
      <c r="AH26" s="510"/>
      <c r="AI26" s="758"/>
      <c r="AJ26" s="758"/>
      <c r="AK26" s="758"/>
      <c r="AL26" s="758"/>
      <c r="AM26" s="758"/>
      <c r="AN26" s="510"/>
      <c r="AO26" s="458"/>
      <c r="AP26" s="458"/>
      <c r="AQ26" s="458"/>
      <c r="AR26" s="458"/>
      <c r="AS26" s="458"/>
      <c r="AT26" s="458"/>
      <c r="AU26" s="458"/>
      <c r="AV26" s="458"/>
      <c r="AW26" s="458"/>
      <c r="AX26" s="458"/>
      <c r="AY26" s="458"/>
      <c r="AZ26" s="458"/>
      <c r="BA26" s="458"/>
      <c r="BB26" s="98"/>
      <c r="BC26" s="98"/>
      <c r="BD26" s="98"/>
      <c r="BE26" s="98"/>
      <c r="BF26" s="98"/>
      <c r="BG26" s="98"/>
      <c r="BH26" s="98"/>
    </row>
    <row r="27" spans="1:60">
      <c r="A27" s="458"/>
      <c r="B27" s="458"/>
      <c r="C27" s="458"/>
      <c r="D27" s="458"/>
      <c r="E27" s="458"/>
      <c r="F27" s="458"/>
      <c r="G27" s="458"/>
      <c r="H27" s="458"/>
      <c r="I27" s="458"/>
      <c r="J27" s="458"/>
      <c r="K27" s="458"/>
      <c r="L27" s="458"/>
      <c r="M27" s="458"/>
      <c r="N27" s="458"/>
      <c r="O27" s="458"/>
      <c r="P27" s="458"/>
      <c r="Q27" s="458"/>
      <c r="R27" s="458"/>
      <c r="S27" s="458"/>
      <c r="T27" s="458"/>
      <c r="U27" s="458"/>
      <c r="V27" s="458"/>
      <c r="W27" s="458"/>
      <c r="X27" s="458"/>
      <c r="Y27" s="458"/>
      <c r="Z27" s="458"/>
      <c r="AA27" s="458"/>
      <c r="AB27" s="458"/>
      <c r="AC27" s="458"/>
      <c r="AD27" s="458"/>
      <c r="AE27" s="458"/>
      <c r="AF27" s="458"/>
      <c r="AG27" s="458"/>
      <c r="AH27" s="458"/>
      <c r="AI27" s="458"/>
      <c r="AJ27" s="458"/>
      <c r="AK27" s="458"/>
      <c r="AL27" s="458"/>
      <c r="AM27" s="458"/>
      <c r="AN27" s="458"/>
      <c r="AO27" s="458"/>
      <c r="AP27" s="458"/>
      <c r="AQ27" s="458"/>
      <c r="AR27" s="458"/>
      <c r="AS27" s="458"/>
      <c r="AT27" s="458"/>
      <c r="AU27" s="458"/>
      <c r="AV27" s="458"/>
      <c r="AW27" s="458"/>
      <c r="AX27" s="458"/>
      <c r="AY27" s="458"/>
      <c r="AZ27" s="458"/>
      <c r="BA27" s="458"/>
    </row>
    <row r="28" spans="1:60">
      <c r="A28" s="458"/>
      <c r="B28" s="458"/>
      <c r="C28" s="458"/>
      <c r="D28" s="458"/>
      <c r="E28" s="458"/>
      <c r="F28" s="458"/>
      <c r="G28" s="458"/>
      <c r="H28" s="458"/>
      <c r="I28" s="458"/>
      <c r="J28" s="458"/>
      <c r="K28" s="458"/>
      <c r="L28" s="458"/>
      <c r="M28" s="458"/>
      <c r="N28" s="458"/>
      <c r="O28" s="458"/>
      <c r="P28" s="458"/>
      <c r="Q28" s="458"/>
      <c r="R28" s="458"/>
      <c r="S28" s="458"/>
      <c r="T28" s="458"/>
      <c r="U28" s="458"/>
      <c r="V28" s="458"/>
      <c r="W28" s="458"/>
      <c r="X28" s="458"/>
      <c r="Y28" s="458"/>
      <c r="Z28" s="458"/>
      <c r="AA28" s="458"/>
      <c r="AB28" s="458"/>
      <c r="AC28" s="458"/>
      <c r="AD28" s="458"/>
      <c r="AE28" s="458"/>
      <c r="AF28" s="458"/>
      <c r="AG28" s="458"/>
      <c r="AH28" s="458"/>
      <c r="AI28" s="458"/>
      <c r="AJ28" s="458"/>
      <c r="AK28" s="458"/>
      <c r="AL28" s="458"/>
      <c r="AM28" s="458"/>
      <c r="AN28" s="458"/>
      <c r="AO28" s="458"/>
      <c r="AP28" s="458"/>
      <c r="AQ28" s="458"/>
      <c r="AR28" s="458"/>
      <c r="AS28" s="458"/>
      <c r="AT28" s="458"/>
      <c r="AU28" s="458"/>
      <c r="AV28" s="458"/>
      <c r="AW28" s="458"/>
      <c r="AX28" s="458"/>
      <c r="AY28" s="458"/>
      <c r="AZ28" s="458"/>
      <c r="BA28" s="458"/>
    </row>
    <row r="29" spans="1:60">
      <c r="A29" s="458"/>
      <c r="B29" s="458"/>
      <c r="C29" s="458"/>
      <c r="D29" s="458"/>
      <c r="E29" s="458"/>
      <c r="F29" s="458"/>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458"/>
      <c r="AJ29" s="458"/>
      <c r="AK29" s="458"/>
      <c r="AL29" s="458"/>
      <c r="AM29" s="458"/>
      <c r="AN29" s="458"/>
      <c r="AO29" s="458"/>
      <c r="AP29" s="458"/>
      <c r="AQ29" s="458"/>
      <c r="AR29" s="458"/>
      <c r="AS29" s="458"/>
      <c r="AT29" s="458"/>
      <c r="AU29" s="458"/>
      <c r="AV29" s="458"/>
      <c r="AW29" s="458"/>
      <c r="AX29" s="458"/>
      <c r="AY29" s="458"/>
      <c r="AZ29" s="458"/>
      <c r="BA29" s="458"/>
    </row>
    <row r="30" spans="1:60">
      <c r="A30" s="458"/>
      <c r="B30" s="458"/>
      <c r="C30" s="458"/>
      <c r="D30" s="458"/>
      <c r="E30" s="458"/>
      <c r="F30" s="458"/>
      <c r="G30" s="458"/>
      <c r="H30" s="458"/>
      <c r="I30" s="458"/>
      <c r="J30" s="458"/>
      <c r="K30" s="458"/>
      <c r="L30" s="458"/>
      <c r="M30" s="458"/>
      <c r="N30" s="458"/>
      <c r="O30" s="458"/>
      <c r="P30" s="458"/>
      <c r="Q30" s="458"/>
      <c r="R30" s="458"/>
      <c r="S30" s="458"/>
      <c r="T30" s="458"/>
      <c r="U30" s="458"/>
      <c r="V30" s="458"/>
      <c r="W30" s="458"/>
      <c r="X30" s="458"/>
      <c r="Y30" s="458"/>
      <c r="Z30" s="458"/>
      <c r="AA30" s="458"/>
      <c r="AB30" s="458"/>
      <c r="AC30" s="458"/>
      <c r="AD30" s="458"/>
      <c r="AE30" s="458"/>
      <c r="AF30" s="458"/>
      <c r="AG30" s="458"/>
      <c r="AH30" s="458"/>
      <c r="AI30" s="458"/>
      <c r="AJ30" s="458"/>
      <c r="AK30" s="458"/>
      <c r="AL30" s="458"/>
      <c r="AM30" s="458"/>
      <c r="AN30" s="458"/>
      <c r="AO30" s="458"/>
      <c r="AP30" s="458"/>
      <c r="AQ30" s="458"/>
      <c r="AR30" s="458"/>
      <c r="AS30" s="458"/>
      <c r="AT30" s="458"/>
      <c r="AU30" s="458"/>
      <c r="AV30" s="458"/>
      <c r="AW30" s="458"/>
      <c r="AX30" s="458"/>
      <c r="AY30" s="458"/>
      <c r="AZ30" s="458"/>
      <c r="BA30" s="458"/>
    </row>
    <row r="31" spans="1:60">
      <c r="A31" s="458"/>
      <c r="B31" s="458"/>
      <c r="C31" s="458"/>
      <c r="D31" s="458"/>
      <c r="E31" s="458"/>
      <c r="F31" s="458"/>
      <c r="G31" s="458"/>
      <c r="H31" s="458"/>
      <c r="I31" s="458"/>
      <c r="J31" s="458"/>
      <c r="K31" s="458"/>
      <c r="L31" s="458"/>
      <c r="M31" s="458"/>
      <c r="N31" s="458"/>
      <c r="O31" s="458"/>
      <c r="P31" s="458"/>
      <c r="Q31" s="458"/>
      <c r="R31" s="458"/>
      <c r="S31" s="458"/>
      <c r="T31" s="458"/>
      <c r="U31" s="458"/>
      <c r="V31" s="458"/>
      <c r="W31" s="458"/>
      <c r="X31" s="458"/>
      <c r="Y31" s="458"/>
      <c r="Z31" s="458"/>
      <c r="AA31" s="458"/>
      <c r="AB31" s="458"/>
      <c r="AC31" s="458"/>
      <c r="AD31" s="458"/>
      <c r="AE31" s="458"/>
      <c r="AF31" s="458"/>
      <c r="AG31" s="458"/>
      <c r="AH31" s="458"/>
      <c r="AI31" s="458"/>
      <c r="AJ31" s="458"/>
      <c r="AK31" s="458"/>
      <c r="AL31" s="458"/>
      <c r="AM31" s="458"/>
      <c r="AN31" s="458"/>
      <c r="AO31" s="458"/>
      <c r="AP31" s="458"/>
      <c r="AQ31" s="458"/>
      <c r="AR31" s="458"/>
      <c r="AS31" s="458"/>
      <c r="AT31" s="458"/>
      <c r="AU31" s="458"/>
      <c r="AV31" s="458"/>
      <c r="AW31" s="458"/>
      <c r="AX31" s="458"/>
      <c r="AY31" s="458"/>
      <c r="AZ31" s="458"/>
      <c r="BA31" s="458"/>
    </row>
    <row r="32" spans="1:60">
      <c r="A32" s="458"/>
      <c r="B32" s="458"/>
      <c r="C32" s="458"/>
      <c r="D32" s="458"/>
      <c r="E32" s="458"/>
      <c r="F32" s="458"/>
      <c r="G32" s="458"/>
      <c r="H32" s="458"/>
      <c r="I32" s="458"/>
      <c r="J32" s="458"/>
      <c r="K32" s="458"/>
      <c r="L32" s="458"/>
      <c r="M32" s="458"/>
      <c r="N32" s="458"/>
      <c r="O32" s="458"/>
      <c r="P32" s="458"/>
      <c r="Q32" s="458"/>
      <c r="R32" s="458"/>
      <c r="S32" s="458"/>
      <c r="T32" s="458"/>
      <c r="U32" s="458"/>
      <c r="V32" s="458"/>
      <c r="W32" s="458"/>
      <c r="X32" s="458"/>
      <c r="Y32" s="458"/>
      <c r="Z32" s="458"/>
      <c r="AA32" s="458"/>
      <c r="AB32" s="458"/>
      <c r="AC32" s="458"/>
      <c r="AD32" s="458"/>
      <c r="AE32" s="458"/>
      <c r="AF32" s="458"/>
      <c r="AG32" s="458"/>
      <c r="AH32" s="458"/>
      <c r="AI32" s="458"/>
      <c r="AJ32" s="458"/>
      <c r="AK32" s="458"/>
      <c r="AL32" s="458"/>
      <c r="AM32" s="458"/>
      <c r="AN32" s="458"/>
      <c r="AO32" s="458"/>
      <c r="AP32" s="458"/>
      <c r="AQ32" s="458"/>
      <c r="AR32" s="458"/>
      <c r="AS32" s="458"/>
      <c r="AT32" s="458"/>
      <c r="AU32" s="458"/>
      <c r="AV32" s="458"/>
      <c r="AW32" s="458"/>
      <c r="AX32" s="458"/>
      <c r="AY32" s="458"/>
      <c r="AZ32" s="458"/>
      <c r="BA32" s="458"/>
    </row>
    <row r="33" spans="1:53">
      <c r="A33" s="458"/>
      <c r="B33" s="458"/>
      <c r="C33" s="458"/>
      <c r="D33" s="458"/>
      <c r="E33" s="458"/>
      <c r="F33" s="458"/>
      <c r="G33" s="458"/>
      <c r="H33" s="458"/>
      <c r="I33" s="458"/>
      <c r="J33" s="458"/>
      <c r="K33" s="458"/>
      <c r="L33" s="458"/>
      <c r="M33" s="458"/>
      <c r="N33" s="458"/>
      <c r="O33" s="458"/>
      <c r="P33" s="458"/>
      <c r="Q33" s="458"/>
      <c r="R33" s="458"/>
      <c r="S33" s="458"/>
      <c r="T33" s="458"/>
      <c r="U33" s="458"/>
      <c r="V33" s="458"/>
      <c r="W33" s="458"/>
      <c r="X33" s="458"/>
      <c r="Y33" s="458"/>
      <c r="Z33" s="458"/>
      <c r="AA33" s="458"/>
      <c r="AB33" s="458"/>
      <c r="AC33" s="458"/>
      <c r="AD33" s="458"/>
      <c r="AE33" s="458"/>
      <c r="AF33" s="458"/>
      <c r="AG33" s="458"/>
      <c r="AH33" s="458"/>
      <c r="AI33" s="458"/>
      <c r="AJ33" s="458"/>
      <c r="AK33" s="458"/>
      <c r="AL33" s="458"/>
      <c r="AM33" s="458"/>
      <c r="AN33" s="458"/>
      <c r="AO33" s="458"/>
      <c r="AP33" s="458"/>
      <c r="AQ33" s="458"/>
      <c r="AR33" s="458"/>
      <c r="AS33" s="458"/>
      <c r="AT33" s="458"/>
      <c r="AU33" s="458"/>
      <c r="AV33" s="458"/>
      <c r="AW33" s="458"/>
      <c r="AX33" s="458"/>
      <c r="AY33" s="458"/>
      <c r="AZ33" s="458"/>
      <c r="BA33" s="458"/>
    </row>
    <row r="34" spans="1:53">
      <c r="A34" s="458"/>
      <c r="B34" s="458"/>
      <c r="C34" s="458"/>
      <c r="D34" s="458"/>
      <c r="E34" s="458"/>
      <c r="F34" s="458"/>
      <c r="G34" s="458"/>
      <c r="H34" s="458"/>
      <c r="I34" s="458"/>
      <c r="J34" s="458"/>
      <c r="K34" s="458"/>
      <c r="L34" s="458"/>
      <c r="M34" s="458"/>
      <c r="N34" s="458"/>
      <c r="O34" s="458"/>
      <c r="P34" s="458"/>
      <c r="Q34" s="458"/>
      <c r="R34" s="458"/>
      <c r="S34" s="458"/>
      <c r="T34" s="458"/>
      <c r="U34" s="458"/>
      <c r="V34" s="458"/>
      <c r="W34" s="458"/>
      <c r="X34" s="458"/>
      <c r="Y34" s="458"/>
      <c r="Z34" s="458"/>
      <c r="AA34" s="458"/>
      <c r="AB34" s="458"/>
      <c r="AC34" s="458"/>
      <c r="AD34" s="458"/>
      <c r="AE34" s="458"/>
      <c r="AF34" s="458"/>
      <c r="AG34" s="458"/>
      <c r="AH34" s="458"/>
      <c r="AI34" s="458"/>
      <c r="AJ34" s="458"/>
      <c r="AK34" s="458"/>
      <c r="AL34" s="458"/>
      <c r="AM34" s="458"/>
      <c r="AN34" s="458"/>
      <c r="AO34" s="458"/>
      <c r="AP34" s="458"/>
      <c r="AQ34" s="458"/>
      <c r="AR34" s="458"/>
      <c r="AS34" s="458"/>
      <c r="AT34" s="458"/>
      <c r="AU34" s="458"/>
      <c r="AV34" s="458"/>
      <c r="AW34" s="458"/>
      <c r="AX34" s="458"/>
      <c r="AY34" s="458"/>
      <c r="AZ34" s="458"/>
      <c r="BA34" s="458"/>
    </row>
    <row r="35" spans="1:53">
      <c r="A35" s="458"/>
      <c r="B35" s="458"/>
      <c r="C35" s="458"/>
      <c r="D35" s="458"/>
      <c r="E35" s="458"/>
      <c r="F35" s="458"/>
      <c r="G35" s="458"/>
      <c r="H35" s="458"/>
      <c r="I35" s="458"/>
      <c r="J35" s="458"/>
      <c r="K35" s="458"/>
      <c r="L35" s="458"/>
      <c r="M35" s="458"/>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8"/>
      <c r="AU35" s="458"/>
      <c r="AV35" s="458"/>
      <c r="AW35" s="458"/>
      <c r="AX35" s="458"/>
      <c r="AY35" s="458"/>
      <c r="AZ35" s="458"/>
      <c r="BA35" s="458"/>
    </row>
    <row r="36" spans="1:53">
      <c r="A36" s="458"/>
      <c r="B36" s="458"/>
      <c r="C36" s="458"/>
      <c r="D36" s="458"/>
      <c r="E36" s="458"/>
      <c r="F36" s="458"/>
      <c r="G36" s="458"/>
      <c r="H36" s="458"/>
      <c r="I36" s="458"/>
      <c r="J36" s="458"/>
      <c r="K36" s="458"/>
      <c r="L36" s="458"/>
      <c r="M36" s="458"/>
      <c r="N36" s="458"/>
      <c r="O36" s="458"/>
      <c r="P36" s="458"/>
      <c r="Q36" s="458"/>
      <c r="R36" s="458"/>
      <c r="S36" s="458"/>
      <c r="T36" s="458"/>
      <c r="U36" s="458"/>
      <c r="V36" s="458"/>
      <c r="W36" s="458"/>
      <c r="X36" s="458"/>
      <c r="Y36" s="458"/>
      <c r="Z36" s="458"/>
      <c r="AA36" s="458"/>
      <c r="AB36" s="458"/>
      <c r="AC36" s="458"/>
      <c r="AD36" s="458"/>
      <c r="AE36" s="458"/>
      <c r="AF36" s="458"/>
      <c r="AG36" s="458"/>
      <c r="AH36" s="458"/>
      <c r="AI36" s="458"/>
      <c r="AJ36" s="458"/>
      <c r="AK36" s="458"/>
      <c r="AL36" s="458"/>
      <c r="AM36" s="458"/>
      <c r="AN36" s="458"/>
      <c r="AO36" s="458"/>
      <c r="AP36" s="458"/>
      <c r="AQ36" s="458"/>
      <c r="AR36" s="458"/>
      <c r="AS36" s="458"/>
      <c r="AT36" s="458"/>
      <c r="AU36" s="458"/>
      <c r="AV36" s="458"/>
      <c r="AW36" s="458"/>
      <c r="AX36" s="458"/>
      <c r="AY36" s="458"/>
      <c r="AZ36" s="458"/>
      <c r="BA36" s="458"/>
    </row>
    <row r="37" spans="1:53">
      <c r="A37" s="458"/>
      <c r="B37" s="458"/>
      <c r="C37" s="458"/>
      <c r="D37" s="458"/>
      <c r="E37" s="458"/>
      <c r="F37" s="458"/>
      <c r="G37" s="458"/>
      <c r="H37" s="458"/>
      <c r="I37" s="458"/>
      <c r="J37" s="458"/>
      <c r="K37" s="458"/>
      <c r="L37" s="458"/>
      <c r="M37" s="458"/>
      <c r="N37" s="458"/>
      <c r="O37" s="458"/>
      <c r="P37" s="458"/>
      <c r="Q37" s="458"/>
      <c r="R37" s="458"/>
      <c r="S37" s="458"/>
      <c r="T37" s="458"/>
      <c r="U37" s="458"/>
      <c r="V37" s="458"/>
      <c r="W37" s="458"/>
      <c r="X37" s="458"/>
      <c r="Y37" s="458"/>
      <c r="Z37" s="458"/>
      <c r="AA37" s="458"/>
      <c r="AB37" s="458"/>
      <c r="AC37" s="458"/>
      <c r="AD37" s="458"/>
      <c r="AE37" s="458"/>
      <c r="AF37" s="458"/>
      <c r="AG37" s="458"/>
      <c r="AH37" s="458"/>
      <c r="AI37" s="458"/>
      <c r="AJ37" s="458"/>
      <c r="AK37" s="458"/>
      <c r="AL37" s="458"/>
      <c r="AM37" s="458"/>
      <c r="AN37" s="458"/>
      <c r="AO37" s="458"/>
      <c r="AP37" s="458"/>
      <c r="AQ37" s="458"/>
      <c r="AR37" s="458"/>
      <c r="AS37" s="458"/>
      <c r="AT37" s="458"/>
      <c r="AU37" s="458"/>
      <c r="AV37" s="458"/>
      <c r="AW37" s="458"/>
      <c r="AX37" s="458"/>
      <c r="AY37" s="458"/>
      <c r="AZ37" s="458"/>
      <c r="BA37" s="458"/>
    </row>
    <row r="38" spans="1:53">
      <c r="A38" s="458"/>
      <c r="B38" s="458"/>
      <c r="C38" s="458"/>
      <c r="D38" s="458"/>
      <c r="E38" s="458"/>
      <c r="F38" s="458"/>
      <c r="G38" s="458"/>
      <c r="H38" s="458"/>
      <c r="I38" s="458"/>
      <c r="J38" s="458"/>
      <c r="K38" s="458"/>
      <c r="L38" s="458"/>
      <c r="M38" s="458"/>
      <c r="N38" s="458"/>
      <c r="O38" s="458"/>
      <c r="P38" s="458"/>
      <c r="Q38" s="458"/>
      <c r="R38" s="458"/>
      <c r="S38" s="458"/>
      <c r="T38" s="458"/>
      <c r="U38" s="458"/>
      <c r="V38" s="458"/>
      <c r="W38" s="458"/>
      <c r="X38" s="458"/>
      <c r="Y38" s="458"/>
      <c r="Z38" s="458"/>
      <c r="AA38" s="458"/>
      <c r="AB38" s="458"/>
      <c r="AC38" s="458"/>
      <c r="AD38" s="458"/>
      <c r="AE38" s="458"/>
      <c r="AF38" s="458"/>
      <c r="AG38" s="458"/>
      <c r="AH38" s="458"/>
      <c r="AI38" s="458"/>
      <c r="AJ38" s="458"/>
      <c r="AK38" s="458"/>
      <c r="AL38" s="458"/>
      <c r="AM38" s="458"/>
      <c r="AN38" s="458"/>
      <c r="AO38" s="458"/>
      <c r="AP38" s="458"/>
      <c r="AQ38" s="458"/>
      <c r="AR38" s="458"/>
      <c r="AS38" s="458"/>
      <c r="AT38" s="458"/>
      <c r="AU38" s="458"/>
      <c r="AV38" s="458"/>
      <c r="AW38" s="458"/>
      <c r="AX38" s="458"/>
      <c r="AY38" s="458"/>
      <c r="AZ38" s="458"/>
      <c r="BA38" s="458"/>
    </row>
    <row r="39" spans="1:53">
      <c r="A39" s="458"/>
      <c r="B39" s="458"/>
      <c r="C39" s="458"/>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58"/>
      <c r="AB39" s="458"/>
      <c r="AC39" s="458"/>
      <c r="AD39" s="458"/>
      <c r="AE39" s="458"/>
      <c r="AF39" s="458"/>
      <c r="AG39" s="458"/>
      <c r="AH39" s="458"/>
      <c r="AI39" s="458"/>
      <c r="AJ39" s="458"/>
      <c r="AK39" s="458"/>
      <c r="AL39" s="458"/>
      <c r="AM39" s="458"/>
      <c r="AN39" s="458"/>
      <c r="AO39" s="458"/>
      <c r="AP39" s="458"/>
      <c r="AQ39" s="458"/>
      <c r="AR39" s="458"/>
      <c r="AS39" s="458"/>
      <c r="AT39" s="458"/>
      <c r="AU39" s="458"/>
      <c r="AV39" s="458"/>
      <c r="AW39" s="458"/>
      <c r="AX39" s="458"/>
      <c r="AY39" s="458"/>
      <c r="AZ39" s="458"/>
      <c r="BA39" s="458"/>
    </row>
    <row r="40" spans="1:53">
      <c r="A40" s="458"/>
      <c r="B40" s="458"/>
      <c r="C40" s="458"/>
      <c r="D40" s="458"/>
      <c r="E40" s="458"/>
      <c r="F40" s="458"/>
      <c r="G40" s="458"/>
      <c r="H40" s="458"/>
      <c r="I40" s="458"/>
      <c r="J40" s="458"/>
      <c r="K40" s="458"/>
      <c r="L40" s="458"/>
      <c r="M40" s="458"/>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8"/>
    </row>
    <row r="41" spans="1:53">
      <c r="A41" s="458"/>
      <c r="B41" s="458"/>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8"/>
      <c r="AU41" s="458"/>
      <c r="AV41" s="458"/>
      <c r="AW41" s="458"/>
      <c r="AX41" s="458"/>
      <c r="AY41" s="458"/>
      <c r="AZ41" s="458"/>
      <c r="BA41" s="458"/>
    </row>
    <row r="42" spans="1:53">
      <c r="A42" s="458"/>
      <c r="B42" s="458"/>
      <c r="C42" s="458"/>
      <c r="D42" s="458"/>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c r="AQ42" s="458"/>
      <c r="AR42" s="458"/>
      <c r="AS42" s="458"/>
      <c r="AT42" s="458"/>
      <c r="AU42" s="458"/>
      <c r="AV42" s="458"/>
      <c r="AW42" s="458"/>
      <c r="AX42" s="458"/>
      <c r="AY42" s="458"/>
      <c r="AZ42" s="458"/>
      <c r="BA42" s="458"/>
    </row>
    <row r="43" spans="1:53">
      <c r="A43" s="458"/>
      <c r="B43" s="458"/>
      <c r="C43" s="458"/>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c r="AQ43" s="458"/>
      <c r="AR43" s="458"/>
      <c r="AS43" s="458"/>
      <c r="AT43" s="458"/>
      <c r="AU43" s="458"/>
      <c r="AV43" s="458"/>
      <c r="AW43" s="458"/>
      <c r="AX43" s="458"/>
      <c r="AY43" s="458"/>
      <c r="AZ43" s="458"/>
      <c r="BA43" s="458"/>
    </row>
    <row r="44" spans="1:53">
      <c r="A44" s="458"/>
      <c r="B44" s="458"/>
      <c r="C44" s="458"/>
      <c r="D44" s="458"/>
      <c r="E44" s="458"/>
      <c r="F44" s="458"/>
      <c r="G44" s="458"/>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c r="AQ44" s="458"/>
      <c r="AR44" s="458"/>
      <c r="AS44" s="458"/>
      <c r="AT44" s="458"/>
      <c r="AU44" s="458"/>
      <c r="AV44" s="458"/>
      <c r="AW44" s="458"/>
      <c r="AX44" s="458"/>
      <c r="AY44" s="458"/>
      <c r="AZ44" s="458"/>
      <c r="BA44" s="458"/>
    </row>
    <row r="45" spans="1:53">
      <c r="A45" s="458"/>
      <c r="B45" s="458"/>
      <c r="C45" s="458"/>
      <c r="D45" s="458"/>
      <c r="E45" s="458"/>
      <c r="F45" s="458"/>
      <c r="G45" s="458"/>
      <c r="H45" s="458"/>
      <c r="I45" s="458"/>
      <c r="J45" s="458"/>
      <c r="K45" s="458"/>
      <c r="L45" s="458"/>
      <c r="M45" s="458"/>
      <c r="N45" s="458"/>
      <c r="O45" s="458"/>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8"/>
      <c r="AM45" s="458"/>
      <c r="AN45" s="458"/>
      <c r="AO45" s="458"/>
      <c r="AP45" s="458"/>
      <c r="AQ45" s="458"/>
      <c r="AR45" s="458"/>
      <c r="AS45" s="458"/>
      <c r="AT45" s="458"/>
      <c r="AU45" s="458"/>
      <c r="AV45" s="458"/>
      <c r="AW45" s="458"/>
      <c r="AX45" s="458"/>
      <c r="AY45" s="458"/>
      <c r="AZ45" s="458"/>
      <c r="BA45" s="458"/>
    </row>
    <row r="46" spans="1:53">
      <c r="A46" s="458"/>
      <c r="B46" s="458"/>
      <c r="C46" s="458"/>
      <c r="D46" s="458"/>
      <c r="E46" s="458"/>
      <c r="F46" s="458"/>
      <c r="G46" s="458"/>
      <c r="H46" s="458"/>
      <c r="I46" s="458"/>
      <c r="J46" s="458"/>
      <c r="K46" s="458"/>
      <c r="L46" s="458"/>
      <c r="M46" s="458"/>
      <c r="N46" s="458"/>
      <c r="O46" s="458"/>
      <c r="P46" s="458"/>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8"/>
      <c r="AR46" s="458"/>
      <c r="AS46" s="458"/>
      <c r="AT46" s="458"/>
      <c r="AU46" s="458"/>
      <c r="AV46" s="458"/>
      <c r="AW46" s="458"/>
      <c r="AX46" s="458"/>
      <c r="AY46" s="458"/>
      <c r="AZ46" s="458"/>
      <c r="BA46" s="458"/>
    </row>
    <row r="47" spans="1:53">
      <c r="A47" s="458"/>
      <c r="B47" s="458"/>
      <c r="C47" s="458"/>
      <c r="D47" s="458"/>
      <c r="E47" s="458"/>
      <c r="F47" s="458"/>
      <c r="G47" s="458"/>
      <c r="H47" s="458"/>
      <c r="I47" s="458"/>
      <c r="J47" s="458"/>
      <c r="K47" s="458"/>
      <c r="L47" s="458"/>
      <c r="M47" s="458"/>
      <c r="N47" s="458"/>
      <c r="O47" s="458"/>
      <c r="P47" s="458"/>
      <c r="Q47" s="458"/>
      <c r="R47" s="458"/>
      <c r="S47" s="458"/>
      <c r="T47" s="458"/>
      <c r="U47" s="458"/>
      <c r="V47" s="458"/>
      <c r="W47" s="458"/>
      <c r="X47" s="458"/>
      <c r="Y47" s="458"/>
      <c r="Z47" s="458"/>
      <c r="AA47" s="458"/>
      <c r="AB47" s="458"/>
      <c r="AC47" s="458"/>
      <c r="AD47" s="458"/>
      <c r="AE47" s="458"/>
      <c r="AF47" s="458"/>
      <c r="AG47" s="458"/>
      <c r="AH47" s="458"/>
      <c r="AI47" s="458"/>
      <c r="AJ47" s="458"/>
      <c r="AK47" s="458"/>
      <c r="AL47" s="458"/>
      <c r="AM47" s="458"/>
      <c r="AN47" s="458"/>
      <c r="AO47" s="458"/>
      <c r="AP47" s="458"/>
      <c r="AQ47" s="458"/>
      <c r="AR47" s="458"/>
      <c r="AS47" s="458"/>
      <c r="AT47" s="458"/>
      <c r="AU47" s="458"/>
      <c r="AV47" s="458"/>
      <c r="AW47" s="458"/>
      <c r="AX47" s="458"/>
      <c r="AY47" s="458"/>
      <c r="AZ47" s="458"/>
      <c r="BA47" s="458"/>
    </row>
    <row r="48" spans="1:53">
      <c r="A48" s="458"/>
      <c r="B48" s="458"/>
      <c r="C48" s="458"/>
      <c r="D48" s="458"/>
      <c r="E48" s="458"/>
      <c r="F48" s="458"/>
      <c r="G48" s="458"/>
      <c r="H48" s="458"/>
      <c r="I48" s="458"/>
      <c r="J48" s="458"/>
      <c r="K48" s="458"/>
      <c r="L48" s="458"/>
      <c r="M48" s="458"/>
      <c r="N48" s="458"/>
      <c r="O48" s="458"/>
      <c r="P48" s="458"/>
      <c r="Q48" s="458"/>
      <c r="R48" s="458"/>
      <c r="S48" s="458"/>
      <c r="T48" s="458"/>
      <c r="U48" s="458"/>
      <c r="V48" s="458"/>
      <c r="W48" s="458"/>
      <c r="X48" s="458"/>
      <c r="Y48" s="458"/>
      <c r="Z48" s="458"/>
      <c r="AA48" s="458"/>
      <c r="AB48" s="458"/>
      <c r="AC48" s="458"/>
      <c r="AD48" s="458"/>
      <c r="AE48" s="458"/>
      <c r="AF48" s="458"/>
      <c r="AG48" s="458"/>
      <c r="AH48" s="458"/>
      <c r="AI48" s="458"/>
      <c r="AJ48" s="458"/>
      <c r="AK48" s="458"/>
      <c r="AL48" s="458"/>
      <c r="AM48" s="458"/>
      <c r="AN48" s="458"/>
      <c r="AO48" s="458"/>
      <c r="AP48" s="458"/>
      <c r="AQ48" s="458"/>
      <c r="AR48" s="458"/>
      <c r="AS48" s="458"/>
      <c r="AT48" s="458"/>
      <c r="AU48" s="458"/>
      <c r="AV48" s="458"/>
      <c r="AW48" s="458"/>
      <c r="AX48" s="458"/>
      <c r="AY48" s="458"/>
      <c r="AZ48" s="458"/>
      <c r="BA48" s="458"/>
    </row>
    <row r="49" spans="1:53">
      <c r="A49" s="458"/>
      <c r="B49" s="458"/>
      <c r="C49" s="458"/>
      <c r="D49" s="458"/>
      <c r="E49" s="458"/>
      <c r="F49" s="458"/>
      <c r="G49" s="458"/>
      <c r="H49" s="458"/>
      <c r="I49" s="458"/>
      <c r="J49" s="458"/>
      <c r="K49" s="458"/>
      <c r="L49" s="458"/>
      <c r="M49" s="458"/>
      <c r="N49" s="458"/>
      <c r="O49" s="458"/>
      <c r="P49" s="458"/>
      <c r="Q49" s="458"/>
      <c r="R49" s="458"/>
      <c r="S49" s="458"/>
      <c r="T49" s="458"/>
      <c r="U49" s="458"/>
      <c r="V49" s="458"/>
      <c r="W49" s="458"/>
      <c r="X49" s="458"/>
      <c r="Y49" s="458"/>
      <c r="Z49" s="458"/>
      <c r="AA49" s="458"/>
      <c r="AB49" s="458"/>
      <c r="AC49" s="458"/>
      <c r="AD49" s="458"/>
      <c r="AE49" s="458"/>
      <c r="AF49" s="458"/>
      <c r="AG49" s="458"/>
      <c r="AH49" s="458"/>
      <c r="AI49" s="458"/>
      <c r="AJ49" s="458"/>
      <c r="AK49" s="458"/>
      <c r="AL49" s="458"/>
      <c r="AM49" s="458"/>
      <c r="AN49" s="458"/>
      <c r="AO49" s="458"/>
      <c r="AP49" s="458"/>
      <c r="AQ49" s="458"/>
      <c r="AR49" s="458"/>
      <c r="AS49" s="458"/>
      <c r="AT49" s="458"/>
      <c r="AU49" s="458"/>
      <c r="AV49" s="458"/>
      <c r="AW49" s="458"/>
      <c r="AX49" s="458"/>
      <c r="AY49" s="458"/>
      <c r="AZ49" s="458"/>
      <c r="BA49" s="458"/>
    </row>
    <row r="50" spans="1:53">
      <c r="A50" s="458"/>
      <c r="B50" s="458"/>
      <c r="C50" s="458"/>
      <c r="D50" s="458"/>
      <c r="E50" s="458"/>
      <c r="F50" s="458"/>
      <c r="G50" s="458"/>
      <c r="H50" s="458"/>
      <c r="I50" s="458"/>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c r="AH50" s="458"/>
      <c r="AI50" s="458"/>
      <c r="AJ50" s="458"/>
      <c r="AK50" s="458"/>
      <c r="AL50" s="458"/>
      <c r="AM50" s="458"/>
      <c r="AN50" s="458"/>
      <c r="AO50" s="458"/>
      <c r="AP50" s="458"/>
      <c r="AQ50" s="458"/>
      <c r="AR50" s="458"/>
      <c r="AS50" s="458"/>
      <c r="AT50" s="458"/>
      <c r="AU50" s="458"/>
      <c r="AV50" s="458"/>
      <c r="AW50" s="458"/>
      <c r="AX50" s="458"/>
      <c r="AY50" s="458"/>
      <c r="AZ50" s="458"/>
      <c r="BA50" s="458"/>
    </row>
    <row r="51" spans="1:53">
      <c r="A51" s="458"/>
      <c r="B51" s="458"/>
      <c r="C51" s="458"/>
      <c r="D51" s="458"/>
      <c r="E51" s="458"/>
      <c r="F51" s="458"/>
      <c r="G51" s="458"/>
      <c r="H51" s="458"/>
      <c r="I51" s="458"/>
      <c r="J51" s="458"/>
      <c r="K51" s="458"/>
      <c r="L51" s="458"/>
      <c r="M51" s="458"/>
      <c r="N51" s="458"/>
      <c r="O51" s="458"/>
      <c r="P51" s="458"/>
      <c r="Q51" s="458"/>
      <c r="R51" s="458"/>
      <c r="S51" s="458"/>
      <c r="T51" s="458"/>
      <c r="U51" s="458"/>
      <c r="V51" s="458"/>
      <c r="W51" s="458"/>
      <c r="X51" s="458"/>
      <c r="Y51" s="458"/>
      <c r="Z51" s="458"/>
      <c r="AA51" s="458"/>
      <c r="AB51" s="458"/>
      <c r="AC51" s="458"/>
      <c r="AD51" s="458"/>
      <c r="AE51" s="458"/>
      <c r="AF51" s="458"/>
      <c r="AG51" s="458"/>
      <c r="AH51" s="458"/>
      <c r="AI51" s="458"/>
      <c r="AJ51" s="458"/>
      <c r="AK51" s="458"/>
      <c r="AL51" s="458"/>
      <c r="AM51" s="458"/>
      <c r="AN51" s="458"/>
      <c r="AO51" s="458"/>
      <c r="AP51" s="458"/>
      <c r="AQ51" s="458"/>
      <c r="AR51" s="458"/>
      <c r="AS51" s="458"/>
      <c r="AT51" s="458"/>
      <c r="AU51" s="458"/>
      <c r="AV51" s="458"/>
      <c r="AW51" s="458"/>
      <c r="AX51" s="458"/>
      <c r="AY51" s="458"/>
      <c r="AZ51" s="458"/>
      <c r="BA51" s="458"/>
    </row>
    <row r="52" spans="1:53">
      <c r="A52" s="458"/>
      <c r="B52" s="458"/>
      <c r="C52" s="458"/>
      <c r="D52" s="458"/>
      <c r="E52" s="458"/>
      <c r="F52" s="458"/>
      <c r="G52" s="458"/>
      <c r="H52" s="458"/>
      <c r="I52" s="458"/>
      <c r="J52" s="458"/>
      <c r="K52" s="458"/>
      <c r="L52" s="458"/>
      <c r="M52" s="458"/>
      <c r="N52" s="458"/>
      <c r="O52" s="458"/>
      <c r="P52" s="458"/>
      <c r="Q52" s="458"/>
      <c r="R52" s="458"/>
      <c r="S52" s="458"/>
      <c r="T52" s="458"/>
      <c r="U52" s="458"/>
      <c r="V52" s="458"/>
      <c r="W52" s="458"/>
      <c r="X52" s="458"/>
      <c r="Y52" s="458"/>
      <c r="Z52" s="458"/>
      <c r="AA52" s="458"/>
      <c r="AB52" s="458"/>
      <c r="AC52" s="458"/>
      <c r="AD52" s="458"/>
      <c r="AE52" s="458"/>
      <c r="AF52" s="458"/>
      <c r="AG52" s="458"/>
      <c r="AH52" s="458"/>
      <c r="AI52" s="458"/>
      <c r="AJ52" s="458"/>
      <c r="AK52" s="458"/>
      <c r="AL52" s="458"/>
      <c r="AM52" s="458"/>
      <c r="AN52" s="458"/>
      <c r="AO52" s="458"/>
      <c r="AP52" s="458"/>
      <c r="AQ52" s="458"/>
      <c r="AR52" s="458"/>
      <c r="AS52" s="458"/>
      <c r="AT52" s="458"/>
      <c r="AU52" s="458"/>
      <c r="AV52" s="458"/>
      <c r="AW52" s="458"/>
      <c r="AX52" s="458"/>
      <c r="AY52" s="458"/>
      <c r="AZ52" s="458"/>
      <c r="BA52" s="458"/>
    </row>
    <row r="53" spans="1:53">
      <c r="A53" s="458"/>
      <c r="B53" s="458"/>
      <c r="C53" s="458"/>
      <c r="D53" s="458"/>
      <c r="E53" s="458"/>
      <c r="F53" s="458"/>
      <c r="G53" s="458"/>
      <c r="H53" s="458"/>
      <c r="I53" s="458"/>
      <c r="J53" s="458"/>
      <c r="K53" s="458"/>
      <c r="L53" s="458"/>
      <c r="M53" s="458"/>
      <c r="N53" s="458"/>
      <c r="O53" s="458"/>
      <c r="P53" s="458"/>
      <c r="Q53" s="458"/>
      <c r="R53" s="458"/>
      <c r="S53" s="458"/>
      <c r="T53" s="458"/>
      <c r="U53" s="458"/>
      <c r="V53" s="458"/>
      <c r="W53" s="458"/>
      <c r="X53" s="458"/>
      <c r="Y53" s="458"/>
      <c r="Z53" s="458"/>
      <c r="AA53" s="458"/>
      <c r="AB53" s="458"/>
      <c r="AC53" s="458"/>
      <c r="AD53" s="458"/>
      <c r="AE53" s="458"/>
      <c r="AF53" s="458"/>
      <c r="AG53" s="458"/>
      <c r="AH53" s="458"/>
      <c r="AI53" s="458"/>
      <c r="AJ53" s="458"/>
      <c r="AK53" s="458"/>
      <c r="AL53" s="458"/>
      <c r="AM53" s="458"/>
      <c r="AN53" s="458"/>
      <c r="AO53" s="458"/>
      <c r="AP53" s="458"/>
      <c r="AQ53" s="458"/>
      <c r="AR53" s="458"/>
      <c r="AS53" s="458"/>
      <c r="AT53" s="458"/>
      <c r="AU53" s="458"/>
      <c r="AV53" s="458"/>
      <c r="AW53" s="458"/>
      <c r="AX53" s="458"/>
      <c r="AY53" s="458"/>
      <c r="AZ53" s="458"/>
      <c r="BA53" s="458"/>
    </row>
    <row r="54" spans="1:53">
      <c r="A54" s="458"/>
      <c r="B54" s="458"/>
      <c r="C54" s="458"/>
      <c r="D54" s="458"/>
      <c r="E54" s="458"/>
      <c r="F54" s="458"/>
      <c r="G54" s="458"/>
      <c r="H54" s="458"/>
      <c r="I54" s="458"/>
      <c r="J54" s="458"/>
      <c r="K54" s="458"/>
      <c r="L54" s="458"/>
      <c r="M54" s="458"/>
      <c r="N54" s="458"/>
      <c r="O54" s="458"/>
      <c r="P54" s="458"/>
      <c r="Q54" s="458"/>
      <c r="R54" s="458"/>
      <c r="S54" s="458"/>
      <c r="T54" s="458"/>
      <c r="U54" s="458"/>
      <c r="V54" s="458"/>
      <c r="W54" s="458"/>
      <c r="X54" s="458"/>
      <c r="Y54" s="458"/>
      <c r="Z54" s="458"/>
      <c r="AA54" s="458"/>
      <c r="AB54" s="458"/>
      <c r="AC54" s="458"/>
      <c r="AD54" s="458"/>
      <c r="AE54" s="458"/>
      <c r="AF54" s="458"/>
      <c r="AG54" s="458"/>
      <c r="AH54" s="458"/>
      <c r="AI54" s="458"/>
      <c r="AJ54" s="458"/>
      <c r="AK54" s="458"/>
      <c r="AL54" s="458"/>
      <c r="AM54" s="458"/>
      <c r="AN54" s="458"/>
      <c r="AO54" s="458"/>
      <c r="AP54" s="458"/>
      <c r="AQ54" s="458"/>
      <c r="AR54" s="458"/>
      <c r="AS54" s="458"/>
      <c r="AT54" s="458"/>
      <c r="AU54" s="458"/>
      <c r="AV54" s="458"/>
      <c r="AW54" s="458"/>
      <c r="AX54" s="458"/>
      <c r="AY54" s="458"/>
      <c r="AZ54" s="458"/>
      <c r="BA54" s="458"/>
    </row>
    <row r="55" spans="1:53">
      <c r="A55" s="458"/>
      <c r="B55" s="458"/>
      <c r="C55" s="458"/>
      <c r="D55" s="458"/>
      <c r="E55" s="458"/>
      <c r="F55" s="458"/>
      <c r="G55" s="458"/>
      <c r="H55" s="458"/>
      <c r="I55" s="458"/>
      <c r="J55" s="458"/>
      <c r="K55" s="458"/>
      <c r="L55" s="458"/>
      <c r="M55" s="458"/>
      <c r="N55" s="458"/>
      <c r="O55" s="458"/>
      <c r="P55" s="458"/>
      <c r="Q55" s="458"/>
      <c r="R55" s="458"/>
      <c r="S55" s="458"/>
      <c r="T55" s="458"/>
      <c r="U55" s="458"/>
      <c r="V55" s="458"/>
      <c r="W55" s="458"/>
      <c r="X55" s="458"/>
      <c r="Y55" s="458"/>
      <c r="Z55" s="458"/>
      <c r="AA55" s="458"/>
      <c r="AB55" s="458"/>
      <c r="AC55" s="458"/>
      <c r="AD55" s="458"/>
      <c r="AE55" s="458"/>
      <c r="AF55" s="458"/>
      <c r="AG55" s="458"/>
      <c r="AH55" s="458"/>
      <c r="AI55" s="458"/>
      <c r="AJ55" s="458"/>
      <c r="AK55" s="458"/>
      <c r="AL55" s="458"/>
      <c r="AM55" s="458"/>
      <c r="AN55" s="458"/>
      <c r="AO55" s="458"/>
      <c r="AP55" s="458"/>
      <c r="AQ55" s="458"/>
      <c r="AR55" s="458"/>
      <c r="AS55" s="458"/>
      <c r="AT55" s="458"/>
      <c r="AU55" s="458"/>
      <c r="AV55" s="458"/>
      <c r="AW55" s="458"/>
      <c r="AX55" s="458"/>
      <c r="AY55" s="458"/>
      <c r="AZ55" s="458"/>
      <c r="BA55" s="458"/>
    </row>
    <row r="56" spans="1:53">
      <c r="A56" s="458"/>
      <c r="B56" s="458"/>
      <c r="C56" s="458"/>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8"/>
      <c r="AB56" s="458"/>
      <c r="AC56" s="458"/>
      <c r="AD56" s="458"/>
      <c r="AE56" s="458"/>
      <c r="AF56" s="458"/>
      <c r="AG56" s="458"/>
      <c r="AH56" s="458"/>
      <c r="AI56" s="458"/>
      <c r="AJ56" s="458"/>
      <c r="AK56" s="458"/>
      <c r="AL56" s="458"/>
      <c r="AM56" s="458"/>
      <c r="AN56" s="458"/>
      <c r="AO56" s="458"/>
      <c r="AP56" s="458"/>
      <c r="AQ56" s="458"/>
      <c r="AR56" s="458"/>
      <c r="AS56" s="458"/>
      <c r="AT56" s="458"/>
      <c r="AU56" s="458"/>
      <c r="AV56" s="458"/>
      <c r="AW56" s="458"/>
      <c r="AX56" s="458"/>
      <c r="AY56" s="458"/>
      <c r="AZ56" s="458"/>
      <c r="BA56" s="458"/>
    </row>
    <row r="57" spans="1:53">
      <c r="A57" s="458"/>
      <c r="B57" s="458"/>
      <c r="C57" s="458"/>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8"/>
      <c r="AJ57" s="458"/>
      <c r="AK57" s="458"/>
      <c r="AL57" s="458"/>
      <c r="AM57" s="458"/>
      <c r="AN57" s="458"/>
      <c r="AO57" s="458"/>
      <c r="AP57" s="458"/>
      <c r="AQ57" s="458"/>
      <c r="AR57" s="458"/>
      <c r="AS57" s="458"/>
      <c r="AT57" s="458"/>
      <c r="AU57" s="458"/>
      <c r="AV57" s="458"/>
      <c r="AW57" s="458"/>
      <c r="AX57" s="458"/>
      <c r="AY57" s="458"/>
      <c r="AZ57" s="458"/>
      <c r="BA57" s="458"/>
    </row>
    <row r="58" spans="1:53">
      <c r="A58" s="458"/>
      <c r="B58" s="458"/>
      <c r="C58" s="458"/>
      <c r="D58" s="458"/>
      <c r="E58" s="458"/>
      <c r="F58" s="458"/>
      <c r="G58" s="458"/>
      <c r="H58" s="458"/>
      <c r="I58" s="458"/>
      <c r="J58" s="458"/>
      <c r="K58" s="458"/>
      <c r="L58" s="458"/>
      <c r="M58" s="458"/>
      <c r="N58" s="458"/>
      <c r="O58" s="458"/>
      <c r="P58" s="458"/>
      <c r="Q58" s="458"/>
      <c r="R58" s="458"/>
      <c r="S58" s="458"/>
      <c r="T58" s="458"/>
      <c r="U58" s="458"/>
      <c r="V58" s="458"/>
      <c r="W58" s="458"/>
      <c r="X58" s="458"/>
      <c r="Y58" s="458"/>
      <c r="Z58" s="458"/>
      <c r="AA58" s="458"/>
      <c r="AB58" s="458"/>
      <c r="AC58" s="458"/>
      <c r="AD58" s="458"/>
      <c r="AE58" s="458"/>
      <c r="AF58" s="458"/>
      <c r="AG58" s="458"/>
      <c r="AH58" s="458"/>
      <c r="AI58" s="458"/>
      <c r="AJ58" s="458"/>
      <c r="AK58" s="458"/>
      <c r="AL58" s="458"/>
      <c r="AM58" s="458"/>
      <c r="AN58" s="458"/>
      <c r="AO58" s="458"/>
      <c r="AP58" s="458"/>
      <c r="AQ58" s="458"/>
      <c r="AR58" s="458"/>
      <c r="AS58" s="458"/>
      <c r="AT58" s="458"/>
      <c r="AU58" s="458"/>
      <c r="AV58" s="458"/>
      <c r="AW58" s="458"/>
      <c r="AX58" s="458"/>
      <c r="AY58" s="458"/>
      <c r="AZ58" s="458"/>
      <c r="BA58" s="458"/>
    </row>
    <row r="59" spans="1:53">
      <c r="A59" s="458"/>
      <c r="B59" s="458"/>
      <c r="C59" s="458"/>
      <c r="D59" s="458"/>
      <c r="E59" s="458"/>
      <c r="F59" s="458"/>
      <c r="G59" s="458"/>
      <c r="H59" s="458"/>
      <c r="I59" s="458"/>
      <c r="J59" s="458"/>
      <c r="K59" s="458"/>
      <c r="L59" s="458"/>
      <c r="M59" s="458"/>
      <c r="N59" s="458"/>
      <c r="O59" s="458"/>
      <c r="P59" s="458"/>
      <c r="Q59" s="458"/>
      <c r="R59" s="458"/>
      <c r="S59" s="458"/>
      <c r="T59" s="458"/>
      <c r="U59" s="458"/>
      <c r="V59" s="458"/>
      <c r="W59" s="458"/>
      <c r="X59" s="458"/>
      <c r="Y59" s="458"/>
      <c r="Z59" s="458"/>
      <c r="AA59" s="458"/>
      <c r="AB59" s="458"/>
      <c r="AC59" s="458"/>
      <c r="AD59" s="458"/>
      <c r="AE59" s="458"/>
      <c r="AF59" s="458"/>
      <c r="AG59" s="458"/>
      <c r="AH59" s="458"/>
      <c r="AI59" s="458"/>
      <c r="AJ59" s="458"/>
      <c r="AK59" s="458"/>
      <c r="AL59" s="458"/>
      <c r="AM59" s="458"/>
      <c r="AN59" s="458"/>
      <c r="AO59" s="458"/>
      <c r="AP59" s="458"/>
      <c r="AQ59" s="458"/>
      <c r="AR59" s="458"/>
      <c r="AS59" s="458"/>
      <c r="AT59" s="458"/>
      <c r="AU59" s="458"/>
      <c r="AV59" s="458"/>
      <c r="AW59" s="458"/>
      <c r="AX59" s="458"/>
      <c r="AY59" s="458"/>
      <c r="AZ59" s="458"/>
      <c r="BA59" s="458"/>
    </row>
    <row r="60" spans="1:53">
      <c r="A60" s="458"/>
      <c r="B60" s="458"/>
      <c r="C60" s="458"/>
      <c r="D60" s="458"/>
      <c r="E60" s="458"/>
      <c r="F60" s="458"/>
      <c r="G60" s="458"/>
      <c r="H60" s="458"/>
      <c r="I60" s="458"/>
      <c r="J60" s="458"/>
      <c r="K60" s="458"/>
      <c r="L60" s="458"/>
      <c r="M60" s="458"/>
      <c r="N60" s="458"/>
      <c r="O60" s="458"/>
      <c r="P60" s="458"/>
      <c r="Q60" s="458"/>
      <c r="R60" s="458"/>
      <c r="S60" s="458"/>
      <c r="T60" s="458"/>
      <c r="U60" s="458"/>
      <c r="V60" s="458"/>
      <c r="W60" s="458"/>
      <c r="X60" s="458"/>
      <c r="Y60" s="458"/>
      <c r="Z60" s="458"/>
      <c r="AA60" s="458"/>
      <c r="AB60" s="458"/>
      <c r="AC60" s="458"/>
      <c r="AD60" s="458"/>
      <c r="AE60" s="458"/>
      <c r="AF60" s="458"/>
      <c r="AG60" s="458"/>
      <c r="AH60" s="458"/>
      <c r="AI60" s="458"/>
      <c r="AJ60" s="458"/>
      <c r="AK60" s="458"/>
      <c r="AL60" s="458"/>
      <c r="AM60" s="458"/>
      <c r="AN60" s="458"/>
      <c r="AO60" s="458"/>
      <c r="AP60" s="458"/>
      <c r="AQ60" s="458"/>
      <c r="AR60" s="458"/>
      <c r="AS60" s="458"/>
      <c r="AT60" s="458"/>
      <c r="AU60" s="458"/>
      <c r="AV60" s="458"/>
      <c r="AW60" s="458"/>
      <c r="AX60" s="458"/>
      <c r="AY60" s="458"/>
      <c r="AZ60" s="458"/>
      <c r="BA60" s="458"/>
    </row>
    <row r="61" spans="1:53">
      <c r="A61" s="458"/>
      <c r="B61" s="458"/>
      <c r="C61" s="458"/>
      <c r="D61" s="458"/>
      <c r="E61" s="458"/>
      <c r="F61" s="458"/>
      <c r="G61" s="458"/>
      <c r="H61" s="458"/>
      <c r="I61" s="458"/>
      <c r="J61" s="458"/>
      <c r="K61" s="458"/>
      <c r="L61" s="458"/>
      <c r="M61" s="458"/>
      <c r="N61" s="458"/>
      <c r="O61" s="458"/>
      <c r="P61" s="458"/>
      <c r="Q61" s="458"/>
      <c r="R61" s="458"/>
      <c r="S61" s="458"/>
      <c r="T61" s="458"/>
      <c r="U61" s="458"/>
      <c r="V61" s="458"/>
      <c r="W61" s="458"/>
      <c r="X61" s="458"/>
      <c r="Y61" s="458"/>
      <c r="Z61" s="458"/>
      <c r="AA61" s="458"/>
      <c r="AB61" s="458"/>
      <c r="AC61" s="458"/>
      <c r="AD61" s="458"/>
      <c r="AE61" s="458"/>
      <c r="AF61" s="458"/>
      <c r="AG61" s="458"/>
      <c r="AH61" s="458"/>
      <c r="AI61" s="458"/>
      <c r="AJ61" s="458"/>
      <c r="AK61" s="458"/>
      <c r="AL61" s="458"/>
      <c r="AM61" s="458"/>
      <c r="AN61" s="458"/>
      <c r="AO61" s="458"/>
      <c r="AP61" s="458"/>
      <c r="AQ61" s="458"/>
      <c r="AR61" s="458"/>
      <c r="AS61" s="458"/>
      <c r="AT61" s="458"/>
      <c r="AU61" s="458"/>
      <c r="AV61" s="458"/>
      <c r="AW61" s="458"/>
      <c r="AX61" s="458"/>
      <c r="AY61" s="458"/>
      <c r="AZ61" s="458"/>
      <c r="BA61" s="458"/>
    </row>
    <row r="62" spans="1:53">
      <c r="A62" s="458"/>
      <c r="B62" s="458"/>
      <c r="C62" s="458"/>
      <c r="D62" s="458"/>
      <c r="E62" s="458"/>
      <c r="F62" s="458"/>
      <c r="G62" s="458"/>
      <c r="H62" s="458"/>
      <c r="I62" s="458"/>
      <c r="J62" s="458"/>
      <c r="K62" s="458"/>
      <c r="L62" s="458"/>
      <c r="M62" s="458"/>
      <c r="N62" s="458"/>
      <c r="O62" s="458"/>
      <c r="P62" s="458"/>
      <c r="Q62" s="458"/>
      <c r="R62" s="458"/>
      <c r="S62" s="458"/>
      <c r="T62" s="458"/>
      <c r="U62" s="458"/>
      <c r="V62" s="458"/>
      <c r="W62" s="458"/>
      <c r="X62" s="458"/>
      <c r="Y62" s="458"/>
      <c r="Z62" s="458"/>
      <c r="AA62" s="458"/>
      <c r="AB62" s="458"/>
      <c r="AC62" s="458"/>
      <c r="AD62" s="458"/>
      <c r="AE62" s="458"/>
      <c r="AF62" s="458"/>
      <c r="AG62" s="458"/>
      <c r="AH62" s="458"/>
      <c r="AI62" s="458"/>
      <c r="AJ62" s="458"/>
      <c r="AK62" s="458"/>
      <c r="AL62" s="458"/>
      <c r="AM62" s="458"/>
      <c r="AN62" s="458"/>
      <c r="AO62" s="458"/>
      <c r="AP62" s="458"/>
      <c r="AQ62" s="458"/>
      <c r="AR62" s="458"/>
      <c r="AS62" s="458"/>
      <c r="AT62" s="458"/>
      <c r="AU62" s="458"/>
      <c r="AV62" s="458"/>
      <c r="AW62" s="458"/>
      <c r="AX62" s="458"/>
      <c r="AY62" s="458"/>
      <c r="AZ62" s="458"/>
      <c r="BA62" s="458"/>
    </row>
    <row r="63" spans="1:53">
      <c r="A63" s="458"/>
      <c r="B63" s="458"/>
      <c r="C63" s="458"/>
      <c r="D63" s="458"/>
      <c r="E63" s="458"/>
      <c r="F63" s="458"/>
      <c r="G63" s="458"/>
      <c r="H63" s="458"/>
      <c r="I63" s="458"/>
      <c r="J63" s="458"/>
      <c r="K63" s="458"/>
      <c r="L63" s="458"/>
      <c r="M63" s="458"/>
      <c r="N63" s="458"/>
      <c r="O63" s="458"/>
      <c r="P63" s="458"/>
      <c r="Q63" s="458"/>
      <c r="R63" s="458"/>
      <c r="S63" s="458"/>
      <c r="T63" s="458"/>
      <c r="U63" s="458"/>
      <c r="V63" s="458"/>
      <c r="W63" s="458"/>
      <c r="X63" s="458"/>
      <c r="Y63" s="458"/>
      <c r="Z63" s="458"/>
      <c r="AA63" s="458"/>
      <c r="AB63" s="458"/>
      <c r="AC63" s="458"/>
      <c r="AD63" s="458"/>
      <c r="AE63" s="458"/>
      <c r="AF63" s="458"/>
      <c r="AG63" s="458"/>
      <c r="AH63" s="458"/>
      <c r="AI63" s="458"/>
      <c r="AJ63" s="458"/>
      <c r="AK63" s="458"/>
      <c r="AL63" s="458"/>
      <c r="AM63" s="458"/>
      <c r="AN63" s="458"/>
      <c r="AO63" s="458"/>
      <c r="AP63" s="458"/>
      <c r="AQ63" s="458"/>
      <c r="AR63" s="458"/>
      <c r="AS63" s="458"/>
      <c r="AT63" s="458"/>
      <c r="AU63" s="458"/>
      <c r="AV63" s="458"/>
      <c r="AW63" s="458"/>
      <c r="AX63" s="458"/>
      <c r="AY63" s="458"/>
      <c r="AZ63" s="458"/>
      <c r="BA63" s="458"/>
    </row>
    <row r="64" spans="1:53">
      <c r="A64" s="458"/>
      <c r="B64" s="458"/>
      <c r="C64" s="458"/>
      <c r="D64" s="458"/>
      <c r="E64" s="458"/>
      <c r="F64" s="458"/>
      <c r="G64" s="458"/>
      <c r="H64" s="458"/>
      <c r="I64" s="458"/>
      <c r="J64" s="458"/>
      <c r="K64" s="458"/>
      <c r="L64" s="458"/>
      <c r="M64" s="458"/>
      <c r="N64" s="458"/>
      <c r="O64" s="458"/>
      <c r="P64" s="458"/>
      <c r="Q64" s="458"/>
      <c r="R64" s="458"/>
      <c r="S64" s="458"/>
      <c r="T64" s="458"/>
      <c r="U64" s="458"/>
      <c r="V64" s="458"/>
      <c r="W64" s="458"/>
      <c r="X64" s="458"/>
      <c r="Y64" s="458"/>
      <c r="Z64" s="458"/>
      <c r="AA64" s="458"/>
      <c r="AB64" s="458"/>
      <c r="AC64" s="458"/>
      <c r="AD64" s="458"/>
      <c r="AE64" s="458"/>
      <c r="AF64" s="458"/>
      <c r="AG64" s="458"/>
      <c r="AH64" s="458"/>
      <c r="AI64" s="458"/>
      <c r="AJ64" s="458"/>
      <c r="AK64" s="458"/>
      <c r="AL64" s="458"/>
      <c r="AM64" s="458"/>
      <c r="AN64" s="458"/>
      <c r="AO64" s="458"/>
      <c r="AP64" s="458"/>
      <c r="AQ64" s="458"/>
      <c r="AR64" s="458"/>
      <c r="AS64" s="458"/>
      <c r="AT64" s="458"/>
      <c r="AU64" s="458"/>
      <c r="AV64" s="458"/>
      <c r="AW64" s="458"/>
      <c r="AX64" s="458"/>
      <c r="AY64" s="458"/>
      <c r="AZ64" s="458"/>
      <c r="BA64" s="458"/>
    </row>
    <row r="65" spans="1:53">
      <c r="A65" s="458"/>
      <c r="B65" s="458"/>
      <c r="C65" s="458"/>
      <c r="D65" s="458"/>
      <c r="E65" s="458"/>
      <c r="F65" s="458"/>
      <c r="G65" s="458"/>
      <c r="H65" s="458"/>
      <c r="I65" s="458"/>
      <c r="J65" s="458"/>
      <c r="K65" s="458"/>
      <c r="L65" s="458"/>
      <c r="M65" s="458"/>
      <c r="N65" s="458"/>
      <c r="O65" s="458"/>
      <c r="P65" s="458"/>
      <c r="Q65" s="458"/>
      <c r="R65" s="458"/>
      <c r="S65" s="458"/>
      <c r="T65" s="458"/>
      <c r="U65" s="458"/>
      <c r="V65" s="458"/>
      <c r="W65" s="458"/>
      <c r="X65" s="458"/>
      <c r="Y65" s="458"/>
      <c r="Z65" s="458"/>
      <c r="AA65" s="458"/>
      <c r="AB65" s="458"/>
      <c r="AC65" s="458"/>
      <c r="AD65" s="458"/>
      <c r="AE65" s="458"/>
      <c r="AF65" s="458"/>
      <c r="AG65" s="458"/>
      <c r="AH65" s="458"/>
      <c r="AI65" s="458"/>
      <c r="AJ65" s="458"/>
      <c r="AK65" s="458"/>
      <c r="AL65" s="458"/>
      <c r="AM65" s="458"/>
      <c r="AN65" s="458"/>
      <c r="AO65" s="458"/>
      <c r="AP65" s="458"/>
      <c r="AQ65" s="458"/>
      <c r="AR65" s="458"/>
      <c r="AS65" s="458"/>
      <c r="AT65" s="458"/>
      <c r="AU65" s="458"/>
      <c r="AV65" s="458"/>
      <c r="AW65" s="458"/>
      <c r="AX65" s="458"/>
      <c r="AY65" s="458"/>
      <c r="AZ65" s="458"/>
      <c r="BA65" s="458"/>
    </row>
    <row r="66" spans="1:53">
      <c r="A66" s="458"/>
      <c r="B66" s="458"/>
      <c r="C66" s="458"/>
      <c r="D66" s="458"/>
      <c r="E66" s="458"/>
      <c r="F66" s="458"/>
      <c r="G66" s="458"/>
      <c r="H66" s="458"/>
      <c r="I66" s="458"/>
      <c r="J66" s="458"/>
      <c r="K66" s="458"/>
      <c r="L66" s="458"/>
      <c r="M66" s="458"/>
      <c r="N66" s="458"/>
      <c r="O66" s="458"/>
      <c r="P66" s="458"/>
      <c r="Q66" s="458"/>
      <c r="R66" s="458"/>
      <c r="S66" s="458"/>
      <c r="T66" s="458"/>
      <c r="U66" s="458"/>
      <c r="V66" s="458"/>
      <c r="W66" s="458"/>
      <c r="X66" s="458"/>
      <c r="Y66" s="458"/>
      <c r="Z66" s="458"/>
      <c r="AA66" s="458"/>
      <c r="AB66" s="458"/>
      <c r="AC66" s="458"/>
      <c r="AD66" s="458"/>
      <c r="AE66" s="458"/>
      <c r="AF66" s="458"/>
      <c r="AG66" s="458"/>
      <c r="AH66" s="458"/>
      <c r="AI66" s="458"/>
      <c r="AJ66" s="458"/>
      <c r="AK66" s="458"/>
      <c r="AL66" s="458"/>
      <c r="AM66" s="458"/>
      <c r="AN66" s="458"/>
      <c r="AO66" s="458"/>
      <c r="AP66" s="458"/>
      <c r="AQ66" s="458"/>
      <c r="AR66" s="458"/>
      <c r="AS66" s="458"/>
      <c r="AT66" s="458"/>
      <c r="AU66" s="458"/>
      <c r="AV66" s="458"/>
      <c r="AW66" s="458"/>
      <c r="AX66" s="458"/>
      <c r="AY66" s="458"/>
      <c r="AZ66" s="458"/>
      <c r="BA66" s="458"/>
    </row>
    <row r="67" spans="1:53">
      <c r="A67" s="458"/>
      <c r="B67" s="458"/>
      <c r="C67" s="458"/>
      <c r="D67" s="458"/>
      <c r="E67" s="458"/>
      <c r="F67" s="458"/>
      <c r="G67" s="458"/>
      <c r="H67" s="458"/>
      <c r="I67" s="458"/>
      <c r="J67" s="458"/>
      <c r="K67" s="458"/>
      <c r="L67" s="458"/>
      <c r="M67" s="458"/>
      <c r="N67" s="458"/>
      <c r="O67" s="458"/>
      <c r="P67" s="458"/>
      <c r="Q67" s="458"/>
      <c r="R67" s="458"/>
      <c r="S67" s="458"/>
      <c r="T67" s="458"/>
      <c r="U67" s="458"/>
      <c r="V67" s="458"/>
      <c r="W67" s="458"/>
      <c r="X67" s="458"/>
      <c r="Y67" s="458"/>
      <c r="Z67" s="458"/>
      <c r="AA67" s="458"/>
      <c r="AB67" s="458"/>
      <c r="AC67" s="458"/>
      <c r="AD67" s="458"/>
      <c r="AE67" s="458"/>
      <c r="AF67" s="458"/>
      <c r="AG67" s="458"/>
      <c r="AH67" s="458"/>
      <c r="AI67" s="458"/>
      <c r="AJ67" s="458"/>
      <c r="AK67" s="458"/>
      <c r="AL67" s="458"/>
      <c r="AM67" s="458"/>
      <c r="AN67" s="458"/>
      <c r="AO67" s="458"/>
      <c r="AP67" s="458"/>
      <c r="AQ67" s="458"/>
      <c r="AR67" s="458"/>
      <c r="AS67" s="458"/>
      <c r="AT67" s="458"/>
      <c r="AU67" s="458"/>
      <c r="AV67" s="458"/>
      <c r="AW67" s="458"/>
      <c r="AX67" s="458"/>
      <c r="AY67" s="458"/>
      <c r="AZ67" s="458"/>
      <c r="BA67" s="458"/>
    </row>
    <row r="68" spans="1:53">
      <c r="A68" s="458"/>
      <c r="B68" s="458"/>
      <c r="C68" s="458"/>
      <c r="D68" s="458"/>
      <c r="E68" s="458"/>
      <c r="F68" s="458"/>
      <c r="G68" s="458"/>
      <c r="H68" s="458"/>
      <c r="I68" s="458"/>
      <c r="J68" s="458"/>
      <c r="K68" s="458"/>
      <c r="L68" s="458"/>
      <c r="M68" s="458"/>
      <c r="N68" s="458"/>
      <c r="O68" s="458"/>
      <c r="P68" s="458"/>
      <c r="Q68" s="458"/>
      <c r="R68" s="458"/>
      <c r="S68" s="458"/>
      <c r="T68" s="458"/>
      <c r="U68" s="458"/>
      <c r="V68" s="458"/>
      <c r="W68" s="458"/>
      <c r="X68" s="458"/>
      <c r="Y68" s="458"/>
      <c r="Z68" s="458"/>
      <c r="AA68" s="458"/>
      <c r="AB68" s="458"/>
      <c r="AC68" s="458"/>
      <c r="AD68" s="458"/>
      <c r="AE68" s="458"/>
      <c r="AF68" s="458"/>
      <c r="AG68" s="458"/>
      <c r="AH68" s="458"/>
      <c r="AI68" s="458"/>
      <c r="AJ68" s="458"/>
      <c r="AK68" s="458"/>
      <c r="AL68" s="458"/>
      <c r="AM68" s="458"/>
      <c r="AN68" s="458"/>
      <c r="AO68" s="458"/>
      <c r="AP68" s="458"/>
      <c r="AQ68" s="458"/>
      <c r="AR68" s="458"/>
      <c r="AS68" s="458"/>
      <c r="AT68" s="458"/>
      <c r="AU68" s="458"/>
      <c r="AV68" s="458"/>
      <c r="AW68" s="458"/>
      <c r="AX68" s="458"/>
      <c r="AY68" s="458"/>
      <c r="AZ68" s="458"/>
      <c r="BA68" s="458"/>
    </row>
  </sheetData>
  <sheetProtection password="9F15" sheet="1" objects="1" scenarios="1"/>
  <mergeCells count="36">
    <mergeCell ref="A6:B6"/>
    <mergeCell ref="C6:L6"/>
    <mergeCell ref="A4:B4"/>
    <mergeCell ref="C4:F4"/>
    <mergeCell ref="G4:H4"/>
    <mergeCell ref="I4:L4"/>
    <mergeCell ref="A5:B5"/>
    <mergeCell ref="C5:L5"/>
    <mergeCell ref="K8:L8"/>
    <mergeCell ref="K9:K10"/>
    <mergeCell ref="A7:B10"/>
    <mergeCell ref="C7:L7"/>
    <mergeCell ref="C8:D8"/>
    <mergeCell ref="E8:F8"/>
    <mergeCell ref="G8:H8"/>
    <mergeCell ref="C9:C10"/>
    <mergeCell ref="D9:D10"/>
    <mergeCell ref="E9:E10"/>
    <mergeCell ref="G9:G10"/>
    <mergeCell ref="I9:I10"/>
    <mergeCell ref="A23:L23"/>
    <mergeCell ref="A1:L1"/>
    <mergeCell ref="A25:L25"/>
    <mergeCell ref="A26:L26"/>
    <mergeCell ref="F9:F10"/>
    <mergeCell ref="H9:H10"/>
    <mergeCell ref="J9:J10"/>
    <mergeCell ref="L9:L10"/>
    <mergeCell ref="A2:L2"/>
    <mergeCell ref="A3:L3"/>
    <mergeCell ref="A22:L22"/>
    <mergeCell ref="A18:A20"/>
    <mergeCell ref="A21:B21"/>
    <mergeCell ref="A11:A14"/>
    <mergeCell ref="A15:A17"/>
    <mergeCell ref="I8:J8"/>
  </mergeCells>
  <pageMargins left="0.7" right="0.7" top="0.75" bottom="0.75" header="0.3" footer="0.3"/>
  <pageSetup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1484"/>
  </sheetPr>
  <dimension ref="A1:LF222"/>
  <sheetViews>
    <sheetView rightToLeft="1" zoomScale="50" zoomScaleNormal="50" workbookViewId="0">
      <selection sqref="A1:BX1"/>
    </sheetView>
  </sheetViews>
  <sheetFormatPr defaultColWidth="8.69921875" defaultRowHeight="15.6"/>
  <cols>
    <col min="1" max="1" width="44" style="459" customWidth="1"/>
    <col min="2" max="2" width="8.8984375" style="459" customWidth="1"/>
    <col min="3" max="5" width="7.8984375" style="459" customWidth="1"/>
    <col min="6" max="6" width="7.8984375" style="438" customWidth="1"/>
    <col min="7" max="7" width="44" style="459" customWidth="1"/>
    <col min="8" max="11" width="7.8984375" style="459" customWidth="1"/>
    <col min="12" max="12" width="7.8984375" style="438" customWidth="1"/>
    <col min="13" max="13" width="44" style="459" customWidth="1"/>
    <col min="14" max="17" width="7.8984375" style="459" customWidth="1"/>
    <col min="18" max="18" width="7.8984375" style="438" customWidth="1"/>
    <col min="19" max="19" width="44" style="459" customWidth="1"/>
    <col min="20" max="23" width="7.8984375" style="459" customWidth="1"/>
    <col min="24" max="24" width="7.8984375" style="438" customWidth="1"/>
    <col min="25" max="25" width="44" style="459" customWidth="1"/>
    <col min="26" max="29" width="7.8984375" style="459" customWidth="1"/>
    <col min="30" max="30" width="7.8984375" style="474" customWidth="1"/>
    <col min="31" max="31" width="44" style="459" customWidth="1"/>
    <col min="32" max="35" width="7.8984375" style="459" customWidth="1"/>
    <col min="36" max="36" width="7.8984375" style="474" customWidth="1"/>
    <col min="37" max="37" width="44" style="459" customWidth="1"/>
    <col min="38" max="41" width="7.8984375" style="459" customWidth="1"/>
    <col min="42" max="42" width="7.8984375" style="474" customWidth="1"/>
    <col min="43" max="43" width="44" style="459" customWidth="1"/>
    <col min="44" max="47" width="7.8984375" style="459" customWidth="1"/>
    <col min="48" max="48" width="7.8984375" style="474" customWidth="1"/>
    <col min="49" max="49" width="44" style="459" customWidth="1"/>
    <col min="50" max="53" width="7.8984375" style="459" customWidth="1"/>
    <col min="54" max="54" width="7.8984375" style="474" customWidth="1"/>
    <col min="55" max="55" width="44" style="459" customWidth="1"/>
    <col min="56" max="59" width="7.8984375" style="459" customWidth="1"/>
    <col min="60" max="60" width="7.8984375" style="438" customWidth="1"/>
    <col min="61" max="61" width="8.69921875" style="438"/>
    <col min="62" max="62" width="13.296875" style="438" customWidth="1"/>
    <col min="63" max="66" width="9.59765625" style="438" customWidth="1"/>
    <col min="67" max="69" width="8.69921875" style="438"/>
    <col min="70" max="70" width="13.296875" style="438" customWidth="1"/>
    <col min="71" max="76" width="8.69921875" style="438"/>
    <col min="77" max="77" width="0" style="438" hidden="1" customWidth="1"/>
    <col min="78" max="79" width="8.69921875" style="438" hidden="1" customWidth="1"/>
    <col min="80" max="80" width="11.59765625" style="438" hidden="1" customWidth="1"/>
    <col min="81" max="81" width="11.796875" style="438" hidden="1" customWidth="1"/>
    <col min="82" max="82" width="10" style="438" hidden="1" customWidth="1"/>
    <col min="83" max="83" width="10.69921875" style="438" hidden="1" customWidth="1"/>
    <col min="84" max="84" width="16.796875" style="438" hidden="1" customWidth="1"/>
    <col min="85" max="85" width="11.59765625" style="438" hidden="1" customWidth="1"/>
    <col min="86" max="87" width="10.296875" style="438" hidden="1" customWidth="1"/>
    <col min="88" max="89" width="16.19921875" style="438" hidden="1" customWidth="1"/>
    <col min="90" max="91" width="17.19921875" style="438" hidden="1" customWidth="1"/>
    <col min="92" max="95" width="19.296875" style="438" hidden="1" customWidth="1"/>
    <col min="96" max="96" width="11.796875" style="438" hidden="1" customWidth="1"/>
    <col min="97" max="97" width="17.69921875" style="438" hidden="1" customWidth="1"/>
    <col min="98" max="98" width="30.796875" style="438" hidden="1" customWidth="1"/>
    <col min="99" max="101" width="8.69921875" style="438" hidden="1" customWidth="1"/>
    <col min="102" max="102" width="9.69921875" style="438" hidden="1" customWidth="1"/>
    <col min="103" max="103" width="12.19921875" style="438" hidden="1" customWidth="1"/>
    <col min="104" max="104" width="8.69921875" style="438" hidden="1" customWidth="1"/>
    <col min="105" max="105" width="16.796875" style="438" hidden="1" customWidth="1"/>
    <col min="106" max="106" width="11.59765625" style="438" hidden="1" customWidth="1"/>
    <col min="107" max="108" width="8.69921875" style="438" hidden="1" customWidth="1"/>
    <col min="109" max="110" width="16.19921875" style="438" hidden="1" customWidth="1"/>
    <col min="111" max="112" width="16.3984375" style="438" hidden="1" customWidth="1"/>
    <col min="113" max="118" width="20.19921875" style="438" hidden="1" customWidth="1"/>
    <col min="119" max="119" width="31.796875" style="438" hidden="1" customWidth="1"/>
    <col min="120" max="123" width="8.69921875" style="438" hidden="1" customWidth="1"/>
    <col min="124" max="124" width="10.69921875" style="438" hidden="1" customWidth="1"/>
    <col min="125" max="125" width="8.69921875" style="438" hidden="1" customWidth="1"/>
    <col min="126" max="126" width="16.796875" style="438" hidden="1" customWidth="1"/>
    <col min="127" max="127" width="11.59765625" style="438" hidden="1" customWidth="1"/>
    <col min="128" max="129" width="8.69921875" style="438" hidden="1" customWidth="1"/>
    <col min="130" max="131" width="16.19921875" style="438" hidden="1" customWidth="1"/>
    <col min="132" max="133" width="17.5" style="438" hidden="1" customWidth="1"/>
    <col min="134" max="139" width="20" style="438" hidden="1" customWidth="1"/>
    <col min="140" max="140" width="31.09765625" style="438" hidden="1" customWidth="1"/>
    <col min="141" max="144" width="8.69921875" style="438" hidden="1" customWidth="1"/>
    <col min="145" max="145" width="10.69921875" style="438" hidden="1" customWidth="1"/>
    <col min="146" max="146" width="8.69921875" style="438" hidden="1" customWidth="1"/>
    <col min="147" max="147" width="16.796875" style="438" hidden="1" customWidth="1"/>
    <col min="148" max="148" width="11.59765625" style="438" hidden="1" customWidth="1"/>
    <col min="149" max="150" width="8.69921875" style="438" hidden="1" customWidth="1"/>
    <col min="151" max="152" width="16.19921875" style="438" hidden="1" customWidth="1"/>
    <col min="153" max="154" width="16" style="438" hidden="1" customWidth="1"/>
    <col min="155" max="160" width="20" style="438" hidden="1" customWidth="1"/>
    <col min="161" max="161" width="34" style="438" hidden="1" customWidth="1"/>
    <col min="162" max="165" width="8.69921875" style="438" hidden="1" customWidth="1"/>
    <col min="166" max="166" width="10.59765625" style="438" hidden="1" customWidth="1"/>
    <col min="167" max="167" width="8.69921875" style="438" hidden="1" customWidth="1"/>
    <col min="168" max="168" width="16.796875" style="438" hidden="1" customWidth="1"/>
    <col min="169" max="169" width="11.59765625" style="438" hidden="1" customWidth="1"/>
    <col min="170" max="171" width="8.69921875" style="438" hidden="1" customWidth="1"/>
    <col min="172" max="175" width="16.19921875" style="438" hidden="1" customWidth="1"/>
    <col min="176" max="181" width="20" style="438" hidden="1" customWidth="1"/>
    <col min="182" max="182" width="31.8984375" style="438" hidden="1" customWidth="1"/>
    <col min="183" max="186" width="8.69921875" style="438" hidden="1" customWidth="1"/>
    <col min="187" max="187" width="10.69921875" style="438" hidden="1" customWidth="1"/>
    <col min="188" max="188" width="8.69921875" style="438" hidden="1" customWidth="1"/>
    <col min="189" max="189" width="16.796875" style="438" hidden="1" customWidth="1"/>
    <col min="190" max="190" width="11.3984375" style="438" hidden="1" customWidth="1"/>
    <col min="191" max="192" width="8.69921875" style="438" hidden="1" customWidth="1"/>
    <col min="193" max="194" width="16.3984375" style="438" hidden="1" customWidth="1"/>
    <col min="195" max="196" width="16.796875" style="438" hidden="1" customWidth="1"/>
    <col min="197" max="202" width="20.59765625" style="438" hidden="1" customWidth="1"/>
    <col min="203" max="203" width="33.19921875" style="438" hidden="1" customWidth="1"/>
    <col min="204" max="207" width="8.69921875" style="438" hidden="1" customWidth="1"/>
    <col min="208" max="208" width="10.296875" style="438" hidden="1" customWidth="1"/>
    <col min="209" max="209" width="8.69921875" style="438" hidden="1" customWidth="1"/>
    <col min="210" max="210" width="16.796875" style="438" hidden="1" customWidth="1"/>
    <col min="211" max="211" width="11.3984375" style="438" hidden="1" customWidth="1"/>
    <col min="212" max="213" width="8.69921875" style="438" hidden="1" customWidth="1"/>
    <col min="214" max="215" width="16.3984375" style="438" hidden="1" customWidth="1"/>
    <col min="216" max="217" width="16.59765625" style="438" hidden="1" customWidth="1"/>
    <col min="218" max="223" width="20.3984375" style="438" hidden="1" customWidth="1"/>
    <col min="224" max="224" width="33.796875" style="438" hidden="1" customWidth="1"/>
    <col min="225" max="228" width="8.69921875" style="438" hidden="1" customWidth="1"/>
    <col min="229" max="229" width="10.296875" style="438" hidden="1" customWidth="1"/>
    <col min="230" max="230" width="8.69921875" style="438" hidden="1" customWidth="1"/>
    <col min="231" max="231" width="16.796875" style="438" hidden="1" customWidth="1"/>
    <col min="232" max="232" width="11.3984375" style="438" hidden="1" customWidth="1"/>
    <col min="233" max="234" width="8.69921875" style="438" hidden="1" customWidth="1"/>
    <col min="235" max="236" width="16.3984375" style="438" hidden="1" customWidth="1"/>
    <col min="237" max="238" width="16.59765625" style="438" hidden="1" customWidth="1"/>
    <col min="239" max="244" width="19.69921875" style="438" hidden="1" customWidth="1"/>
    <col min="245" max="245" width="34.796875" style="438" hidden="1" customWidth="1"/>
    <col min="246" max="249" width="8.69921875" style="438" hidden="1" customWidth="1"/>
    <col min="250" max="250" width="9.8984375" style="438" hidden="1" customWidth="1"/>
    <col min="251" max="251" width="8.69921875" style="438" hidden="1" customWidth="1"/>
    <col min="252" max="252" width="16.796875" style="438" hidden="1" customWidth="1"/>
    <col min="253" max="253" width="11.3984375" style="438" hidden="1" customWidth="1"/>
    <col min="254" max="255" width="8.69921875" style="438" hidden="1" customWidth="1"/>
    <col min="256" max="257" width="16.3984375" style="438" hidden="1" customWidth="1"/>
    <col min="258" max="259" width="16.59765625" style="438" hidden="1" customWidth="1"/>
    <col min="260" max="265" width="20.69921875" style="438" hidden="1" customWidth="1"/>
    <col min="266" max="266" width="33.296875" style="438" hidden="1" customWidth="1"/>
    <col min="267" max="270" width="8.69921875" style="438" hidden="1" customWidth="1"/>
    <col min="271" max="271" width="10.296875" style="438" hidden="1" customWidth="1"/>
    <col min="272" max="272" width="8.69921875" style="438" hidden="1" customWidth="1"/>
    <col min="273" max="273" width="16.796875" style="438" hidden="1" customWidth="1"/>
    <col min="274" max="274" width="11.3984375" style="438" hidden="1" customWidth="1"/>
    <col min="275" max="276" width="8.69921875" style="438" hidden="1" customWidth="1"/>
    <col min="277" max="278" width="16.3984375" style="438" hidden="1" customWidth="1"/>
    <col min="279" max="280" width="16.59765625" style="438" hidden="1" customWidth="1"/>
    <col min="281" max="286" width="20.19921875" style="438" hidden="1" customWidth="1"/>
    <col min="287" max="287" width="33.19921875" style="438" hidden="1" customWidth="1"/>
    <col min="288" max="288" width="8.69921875" style="438" hidden="1" customWidth="1"/>
    <col min="289" max="289" width="0" style="438" hidden="1" customWidth="1"/>
    <col min="290" max="16384" width="8.69921875" style="438"/>
  </cols>
  <sheetData>
    <row r="1" spans="1:318" s="213" customFormat="1" ht="33" thickBot="1">
      <c r="A1" s="1706" t="s">
        <v>1027</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c r="AY1" s="1707"/>
      <c r="AZ1" s="1707"/>
      <c r="BA1" s="1707"/>
      <c r="BB1" s="1707"/>
      <c r="BC1" s="1707"/>
      <c r="BD1" s="1707"/>
      <c r="BE1" s="1707"/>
      <c r="BF1" s="1707"/>
      <c r="BG1" s="1707"/>
      <c r="BH1" s="1707"/>
      <c r="BI1" s="1707"/>
      <c r="BJ1" s="1707"/>
      <c r="BK1" s="1707"/>
      <c r="BL1" s="1707"/>
      <c r="BM1" s="1707"/>
      <c r="BN1" s="1707"/>
      <c r="BO1" s="1707"/>
      <c r="BP1" s="1707"/>
      <c r="BQ1" s="1707"/>
      <c r="BR1" s="1707"/>
      <c r="BS1" s="1707"/>
      <c r="BT1" s="1707"/>
      <c r="BU1" s="1707"/>
      <c r="BV1" s="1707"/>
      <c r="BW1" s="1707"/>
      <c r="BX1" s="1708"/>
      <c r="BY1" s="478"/>
      <c r="BZ1" s="478"/>
      <c r="CA1" s="478"/>
      <c r="CB1" s="478"/>
      <c r="CC1" s="478"/>
      <c r="CD1" s="478"/>
      <c r="CE1" s="478"/>
      <c r="CF1" s="478"/>
      <c r="CG1" s="478"/>
      <c r="CH1" s="478"/>
      <c r="CI1" s="478"/>
      <c r="CJ1" s="478"/>
      <c r="CK1" s="478"/>
      <c r="CL1" s="478"/>
      <c r="CM1" s="478"/>
      <c r="CN1" s="478"/>
      <c r="CO1" s="478"/>
      <c r="CP1" s="478"/>
      <c r="CQ1" s="478"/>
      <c r="CR1" s="478"/>
      <c r="CS1" s="478"/>
      <c r="CT1" s="478"/>
      <c r="CU1" s="478"/>
      <c r="CV1" s="478"/>
      <c r="CW1" s="478"/>
      <c r="CX1" s="478"/>
      <c r="CY1" s="478"/>
      <c r="CZ1" s="478"/>
      <c r="DA1" s="478"/>
      <c r="DB1" s="478"/>
      <c r="DC1" s="478"/>
      <c r="DD1" s="478"/>
      <c r="DE1" s="478"/>
      <c r="DF1" s="478"/>
      <c r="DG1" s="478"/>
      <c r="DH1" s="478"/>
      <c r="DI1" s="478"/>
      <c r="DJ1" s="478"/>
      <c r="DK1" s="478"/>
      <c r="DL1" s="478"/>
      <c r="DM1" s="478"/>
      <c r="DN1" s="478"/>
      <c r="DO1" s="478"/>
      <c r="DP1" s="478"/>
      <c r="DQ1" s="478"/>
      <c r="DR1" s="478"/>
      <c r="DS1" s="478"/>
      <c r="DT1" s="478"/>
      <c r="DU1" s="478"/>
      <c r="DV1" s="478"/>
      <c r="DW1" s="478"/>
      <c r="DX1" s="478"/>
      <c r="DY1" s="478"/>
      <c r="DZ1" s="478"/>
      <c r="EA1" s="478"/>
      <c r="EB1" s="478"/>
      <c r="EC1" s="478"/>
      <c r="ED1" s="478"/>
      <c r="EE1" s="478"/>
      <c r="EF1" s="478"/>
      <c r="EG1" s="478"/>
      <c r="EH1" s="478"/>
      <c r="EI1" s="478"/>
      <c r="EJ1" s="478"/>
      <c r="EK1" s="478"/>
      <c r="EL1" s="478"/>
      <c r="EM1" s="478"/>
      <c r="EN1" s="478"/>
      <c r="EO1" s="478"/>
      <c r="EP1" s="478"/>
      <c r="EQ1" s="478"/>
      <c r="ER1" s="478"/>
      <c r="ES1" s="478"/>
      <c r="ET1" s="478"/>
      <c r="EU1" s="478"/>
      <c r="EV1" s="478"/>
      <c r="EW1" s="478"/>
      <c r="EX1" s="478"/>
      <c r="EY1" s="478"/>
      <c r="EZ1" s="478"/>
      <c r="FA1" s="478"/>
      <c r="FB1" s="478"/>
      <c r="FC1" s="478"/>
      <c r="FD1" s="478"/>
      <c r="FE1" s="478"/>
      <c r="FF1" s="478"/>
      <c r="FG1" s="478"/>
      <c r="FH1" s="478"/>
      <c r="FI1" s="478"/>
      <c r="FJ1" s="478"/>
      <c r="FK1" s="478"/>
      <c r="FL1" s="478"/>
      <c r="FM1" s="478"/>
      <c r="FN1" s="478"/>
      <c r="FO1" s="478"/>
      <c r="FP1" s="478"/>
      <c r="FQ1" s="478"/>
      <c r="FR1" s="478"/>
      <c r="FS1" s="478"/>
      <c r="FT1" s="478"/>
      <c r="FU1" s="478"/>
      <c r="FV1" s="478"/>
      <c r="FW1" s="478"/>
      <c r="FX1" s="478"/>
      <c r="FY1" s="478"/>
      <c r="FZ1" s="478"/>
      <c r="GA1" s="478"/>
      <c r="GB1" s="478"/>
      <c r="GC1" s="478"/>
      <c r="GD1" s="478"/>
      <c r="GE1" s="478"/>
      <c r="GF1" s="478"/>
      <c r="GG1" s="478"/>
      <c r="GH1" s="478"/>
      <c r="GI1" s="478"/>
      <c r="GJ1" s="478"/>
      <c r="GK1" s="478"/>
      <c r="GL1" s="478"/>
      <c r="GM1" s="478"/>
      <c r="GN1" s="478"/>
      <c r="GO1" s="478"/>
      <c r="GP1" s="478"/>
      <c r="GQ1" s="478"/>
      <c r="GR1" s="478"/>
      <c r="GS1" s="478"/>
      <c r="GT1" s="478"/>
      <c r="GU1" s="478"/>
      <c r="GV1" s="478"/>
      <c r="GW1" s="478"/>
      <c r="GX1" s="478"/>
      <c r="GY1" s="478"/>
      <c r="GZ1" s="478"/>
      <c r="HA1" s="478"/>
      <c r="HB1" s="478"/>
      <c r="HC1" s="478"/>
      <c r="HD1" s="478"/>
      <c r="HE1" s="478"/>
      <c r="HF1" s="478"/>
      <c r="HG1" s="478"/>
      <c r="HH1" s="478"/>
      <c r="HI1" s="478"/>
      <c r="HJ1" s="478"/>
      <c r="HK1" s="478"/>
      <c r="HL1" s="478"/>
      <c r="HM1" s="478"/>
      <c r="HN1" s="478"/>
      <c r="HO1" s="478"/>
      <c r="HP1" s="478"/>
      <c r="HQ1" s="478"/>
      <c r="HR1" s="478"/>
      <c r="HS1" s="478"/>
      <c r="HT1" s="478"/>
      <c r="HU1" s="478"/>
      <c r="HV1" s="478"/>
      <c r="HW1" s="478"/>
      <c r="HX1" s="478"/>
      <c r="HY1" s="478"/>
      <c r="HZ1" s="478"/>
      <c r="IA1" s="478"/>
      <c r="IB1" s="478"/>
      <c r="IC1" s="478"/>
      <c r="ID1" s="478"/>
      <c r="IE1" s="478"/>
      <c r="IF1" s="478"/>
      <c r="IG1" s="478"/>
      <c r="IH1" s="478"/>
      <c r="II1" s="478"/>
      <c r="IJ1" s="478"/>
      <c r="IK1" s="478"/>
      <c r="IL1" s="478"/>
      <c r="IM1" s="478"/>
      <c r="IN1" s="478"/>
      <c r="IO1" s="478"/>
      <c r="IP1" s="478"/>
      <c r="IQ1" s="478"/>
      <c r="IR1" s="478"/>
      <c r="IS1" s="478"/>
      <c r="IT1" s="478"/>
      <c r="IU1" s="478"/>
      <c r="IV1" s="478"/>
      <c r="IW1" s="478"/>
      <c r="IX1" s="478"/>
      <c r="IY1" s="478"/>
      <c r="IZ1" s="478"/>
      <c r="JA1" s="478"/>
      <c r="JB1" s="478"/>
      <c r="JC1" s="478"/>
      <c r="JD1" s="478"/>
      <c r="JE1" s="478"/>
      <c r="JF1" s="478"/>
      <c r="JG1" s="478"/>
      <c r="JH1" s="478"/>
      <c r="JI1" s="478"/>
      <c r="JJ1" s="478"/>
      <c r="JK1" s="478"/>
      <c r="JL1" s="478"/>
      <c r="JM1" s="478"/>
      <c r="JN1" s="478"/>
      <c r="JO1" s="478"/>
      <c r="JP1" s="478"/>
      <c r="JQ1" s="478"/>
      <c r="JR1" s="478"/>
      <c r="JS1" s="478"/>
      <c r="JT1" s="478"/>
      <c r="JU1" s="478"/>
      <c r="JV1" s="478"/>
      <c r="JW1" s="478"/>
      <c r="JX1" s="478"/>
      <c r="JY1" s="478"/>
      <c r="JZ1" s="478"/>
      <c r="KA1" s="478"/>
      <c r="KB1" s="478"/>
      <c r="KC1" s="478"/>
      <c r="KD1" s="478"/>
      <c r="KE1" s="478"/>
      <c r="KF1" s="478"/>
      <c r="KG1" s="478"/>
      <c r="KH1" s="478"/>
      <c r="KI1" s="478"/>
      <c r="KJ1" s="478"/>
      <c r="KK1" s="478"/>
      <c r="KL1" s="478"/>
      <c r="KM1" s="478"/>
      <c r="KN1" s="478"/>
      <c r="KO1" s="478"/>
      <c r="KP1" s="478"/>
      <c r="KQ1" s="478"/>
      <c r="KR1" s="478"/>
      <c r="KS1" s="478"/>
      <c r="KT1" s="478"/>
      <c r="KU1" s="478"/>
      <c r="KV1" s="478"/>
      <c r="KW1" s="478"/>
      <c r="KX1" s="478"/>
      <c r="KY1" s="478"/>
      <c r="KZ1" s="478"/>
      <c r="LA1" s="478"/>
      <c r="LB1" s="478"/>
      <c r="LC1" s="478"/>
      <c r="LD1" s="478"/>
      <c r="LE1" s="478"/>
      <c r="LF1" s="478"/>
    </row>
    <row r="2" spans="1:318" s="213" customFormat="1" ht="43.5" customHeight="1">
      <c r="A2" s="2520" t="s">
        <v>839</v>
      </c>
      <c r="B2" s="2520"/>
      <c r="C2" s="2520"/>
      <c r="D2" s="2520"/>
      <c r="E2" s="2520"/>
      <c r="F2" s="2520"/>
      <c r="G2" s="2520"/>
      <c r="H2" s="2520"/>
      <c r="I2" s="2520"/>
      <c r="J2" s="2520"/>
      <c r="K2" s="2520"/>
      <c r="L2" s="2520"/>
      <c r="M2" s="2520"/>
      <c r="N2" s="2520"/>
      <c r="O2" s="2520"/>
      <c r="P2" s="2520"/>
      <c r="Q2" s="2520"/>
      <c r="R2" s="2520"/>
      <c r="S2" s="2520"/>
      <c r="T2" s="2520"/>
      <c r="U2" s="2520"/>
      <c r="V2" s="2520"/>
      <c r="W2" s="2520"/>
      <c r="X2" s="2520"/>
      <c r="Y2" s="2520"/>
      <c r="Z2" s="2520"/>
      <c r="AA2" s="2520"/>
      <c r="AB2" s="2520"/>
      <c r="AC2" s="2520"/>
      <c r="AD2" s="2520"/>
      <c r="AE2" s="2520"/>
      <c r="AF2" s="2520"/>
      <c r="AG2" s="2520"/>
      <c r="AH2" s="2520"/>
      <c r="AI2" s="2520"/>
      <c r="AJ2" s="2520"/>
      <c r="AK2" s="2520"/>
      <c r="AL2" s="2520"/>
      <c r="AM2" s="2520"/>
      <c r="AN2" s="2520"/>
      <c r="AO2" s="2520"/>
      <c r="AP2" s="2520"/>
      <c r="AQ2" s="2520"/>
      <c r="AR2" s="2520"/>
      <c r="AS2" s="2520"/>
      <c r="AT2" s="2520"/>
      <c r="AU2" s="2520"/>
      <c r="AV2" s="2520"/>
      <c r="AW2" s="2520"/>
      <c r="AX2" s="2520"/>
      <c r="AY2" s="2520"/>
      <c r="AZ2" s="2520"/>
      <c r="BA2" s="2520"/>
      <c r="BB2" s="2520"/>
      <c r="BC2" s="2520"/>
      <c r="BD2" s="2520"/>
      <c r="BE2" s="2520"/>
      <c r="BF2" s="2520"/>
      <c r="BG2" s="2520"/>
      <c r="BH2" s="2520"/>
      <c r="BI2" s="478"/>
      <c r="BJ2" s="2560" t="s">
        <v>1525</v>
      </c>
      <c r="BK2" s="2560"/>
      <c r="BL2" s="2560"/>
      <c r="BM2" s="2560"/>
      <c r="BN2" s="2560"/>
      <c r="BO2" s="2560"/>
      <c r="BP2" s="2560"/>
      <c r="BQ2" s="2560"/>
      <c r="BR2" s="2560"/>
      <c r="BS2" s="2560"/>
      <c r="BT2" s="2560"/>
      <c r="BU2" s="2560"/>
      <c r="BV2" s="2560"/>
      <c r="BW2" s="2560"/>
      <c r="BX2" s="2560"/>
      <c r="BY2" s="908"/>
      <c r="BZ2" s="908"/>
      <c r="CA2" s="908"/>
      <c r="CB2" s="908"/>
      <c r="CC2" s="908"/>
      <c r="CD2" s="908"/>
      <c r="CE2" s="908"/>
      <c r="CF2" s="908"/>
      <c r="CG2" s="908"/>
      <c r="CH2" s="908"/>
      <c r="CI2" s="908"/>
      <c r="CJ2" s="908"/>
      <c r="CK2" s="908"/>
      <c r="CL2" s="908"/>
      <c r="CM2" s="908"/>
      <c r="CN2" s="908"/>
      <c r="CO2" s="908"/>
      <c r="CP2" s="908"/>
      <c r="CQ2" s="908"/>
      <c r="CR2" s="908"/>
      <c r="CS2" s="908"/>
      <c r="CT2" s="908"/>
      <c r="CU2" s="908"/>
      <c r="CV2" s="908"/>
      <c r="CW2" s="908"/>
      <c r="CX2" s="908"/>
      <c r="CY2" s="908"/>
      <c r="CZ2" s="908"/>
      <c r="DA2" s="908"/>
      <c r="DB2" s="908"/>
      <c r="DC2" s="908"/>
      <c r="DD2" s="908"/>
      <c r="DE2" s="908"/>
      <c r="DF2" s="908"/>
      <c r="DG2" s="908"/>
      <c r="DH2" s="908"/>
      <c r="DI2" s="908"/>
      <c r="DJ2" s="908"/>
      <c r="DK2" s="908"/>
      <c r="DL2" s="908"/>
      <c r="DM2" s="908"/>
      <c r="DN2" s="908"/>
      <c r="DO2" s="908"/>
      <c r="DP2" s="908"/>
      <c r="DQ2" s="908"/>
      <c r="DR2" s="478"/>
      <c r="DS2" s="478"/>
      <c r="DT2" s="478"/>
      <c r="DU2" s="478"/>
      <c r="DV2" s="478"/>
      <c r="DW2" s="478"/>
      <c r="DX2" s="478"/>
      <c r="DY2" s="478"/>
      <c r="DZ2" s="478"/>
      <c r="EA2" s="478"/>
      <c r="EB2" s="478"/>
      <c r="EC2" s="478"/>
      <c r="ED2" s="478"/>
      <c r="EE2" s="478"/>
      <c r="EF2" s="478"/>
      <c r="EG2" s="478"/>
      <c r="EH2" s="478"/>
      <c r="EI2" s="478"/>
      <c r="EJ2" s="478"/>
      <c r="EK2" s="478"/>
      <c r="EL2" s="478"/>
      <c r="EM2" s="478"/>
      <c r="EN2" s="478"/>
      <c r="EO2" s="478"/>
      <c r="EP2" s="478"/>
      <c r="EQ2" s="478"/>
      <c r="ER2" s="478"/>
      <c r="ES2" s="478"/>
      <c r="ET2" s="478"/>
      <c r="EU2" s="478"/>
      <c r="EV2" s="478"/>
      <c r="EW2" s="478"/>
      <c r="EX2" s="478"/>
      <c r="EY2" s="478"/>
      <c r="EZ2" s="478"/>
      <c r="FA2" s="478"/>
      <c r="FB2" s="478"/>
      <c r="FC2" s="478"/>
      <c r="FD2" s="478"/>
      <c r="FE2" s="478"/>
      <c r="FF2" s="478"/>
      <c r="FG2" s="478"/>
      <c r="FH2" s="478"/>
      <c r="FI2" s="478"/>
      <c r="FJ2" s="478"/>
      <c r="FK2" s="478"/>
      <c r="FL2" s="478"/>
      <c r="FM2" s="478"/>
      <c r="FN2" s="478"/>
      <c r="FO2" s="478"/>
      <c r="FP2" s="478"/>
      <c r="FQ2" s="478"/>
      <c r="FR2" s="478"/>
      <c r="FS2" s="478"/>
      <c r="FT2" s="478"/>
      <c r="FU2" s="478"/>
      <c r="FV2" s="478"/>
      <c r="FW2" s="478"/>
      <c r="FX2" s="478"/>
      <c r="FY2" s="478"/>
      <c r="FZ2" s="478"/>
      <c r="GA2" s="478"/>
      <c r="GB2" s="478"/>
      <c r="GC2" s="478"/>
      <c r="GD2" s="478"/>
      <c r="GE2" s="478"/>
      <c r="GF2" s="478"/>
      <c r="GG2" s="478"/>
      <c r="GH2" s="478"/>
      <c r="GI2" s="478"/>
      <c r="GJ2" s="478"/>
      <c r="GK2" s="478"/>
      <c r="GL2" s="478"/>
      <c r="GM2" s="478"/>
      <c r="GN2" s="478"/>
      <c r="GO2" s="478"/>
      <c r="GP2" s="478"/>
      <c r="GQ2" s="478"/>
      <c r="GR2" s="478"/>
      <c r="GS2" s="478"/>
      <c r="GT2" s="478"/>
      <c r="GU2" s="478"/>
      <c r="GV2" s="478"/>
      <c r="GW2" s="478"/>
      <c r="GX2" s="478"/>
      <c r="GY2" s="478"/>
      <c r="GZ2" s="478"/>
      <c r="HA2" s="478"/>
      <c r="HB2" s="478"/>
      <c r="HC2" s="478"/>
      <c r="HD2" s="478"/>
      <c r="HE2" s="478"/>
      <c r="HF2" s="478"/>
      <c r="HG2" s="478"/>
      <c r="HH2" s="478"/>
      <c r="HI2" s="478"/>
      <c r="HJ2" s="478"/>
      <c r="HK2" s="478"/>
      <c r="HL2" s="478"/>
      <c r="HM2" s="478"/>
      <c r="HN2" s="478"/>
      <c r="HO2" s="478"/>
      <c r="HP2" s="478"/>
      <c r="HQ2" s="478"/>
      <c r="HR2" s="478"/>
      <c r="HS2" s="478"/>
      <c r="HT2" s="478"/>
      <c r="HU2" s="478"/>
      <c r="HV2" s="478"/>
      <c r="HW2" s="478"/>
      <c r="HX2" s="478"/>
      <c r="HY2" s="478"/>
      <c r="HZ2" s="478"/>
      <c r="IA2" s="478"/>
      <c r="IB2" s="478"/>
      <c r="IC2" s="478"/>
      <c r="ID2" s="478"/>
      <c r="IE2" s="478"/>
      <c r="IF2" s="478"/>
      <c r="IG2" s="478"/>
      <c r="IH2" s="478"/>
      <c r="II2" s="478"/>
      <c r="IJ2" s="478"/>
      <c r="IK2" s="478"/>
      <c r="IL2" s="478"/>
      <c r="IM2" s="478"/>
      <c r="IN2" s="478"/>
      <c r="IO2" s="478"/>
      <c r="IP2" s="478"/>
      <c r="IQ2" s="478"/>
      <c r="IR2" s="478"/>
      <c r="IS2" s="478"/>
      <c r="IT2" s="478"/>
      <c r="IU2" s="478"/>
      <c r="IV2" s="478"/>
      <c r="IW2" s="478"/>
      <c r="IX2" s="478"/>
      <c r="IY2" s="478"/>
      <c r="IZ2" s="478"/>
      <c r="JA2" s="478"/>
      <c r="JB2" s="478"/>
      <c r="JC2" s="478"/>
      <c r="JD2" s="478"/>
      <c r="JE2" s="478"/>
      <c r="JF2" s="478"/>
      <c r="JG2" s="478"/>
      <c r="JH2" s="478"/>
      <c r="JI2" s="478"/>
      <c r="JJ2" s="478"/>
      <c r="JK2" s="478"/>
      <c r="JL2" s="478"/>
      <c r="JM2" s="478"/>
      <c r="JN2" s="478"/>
      <c r="JO2" s="478"/>
      <c r="JP2" s="478"/>
      <c r="JQ2" s="478"/>
      <c r="JR2" s="478"/>
      <c r="JS2" s="478"/>
      <c r="JT2" s="478"/>
      <c r="JU2" s="478"/>
      <c r="JV2" s="478"/>
      <c r="JW2" s="478"/>
      <c r="JX2" s="478"/>
      <c r="JY2" s="478"/>
      <c r="JZ2" s="478"/>
      <c r="KA2" s="478"/>
      <c r="KB2" s="478"/>
      <c r="KC2" s="478"/>
      <c r="KD2" s="478"/>
      <c r="KE2" s="478"/>
      <c r="KF2" s="478"/>
      <c r="KG2" s="478"/>
      <c r="KH2" s="478"/>
      <c r="KI2" s="478"/>
      <c r="KJ2" s="478"/>
      <c r="KK2" s="478"/>
      <c r="KL2" s="478"/>
      <c r="KM2" s="478"/>
      <c r="KN2" s="478"/>
      <c r="KO2" s="478"/>
      <c r="KP2" s="478"/>
      <c r="KQ2" s="478"/>
      <c r="KR2" s="478"/>
      <c r="KS2" s="478"/>
      <c r="KT2" s="478"/>
      <c r="KU2" s="478"/>
      <c r="KV2" s="478"/>
      <c r="KW2" s="478"/>
      <c r="KX2" s="478"/>
      <c r="KY2" s="478"/>
      <c r="KZ2" s="478"/>
      <c r="LA2" s="478"/>
      <c r="LB2" s="478"/>
      <c r="LC2" s="478"/>
      <c r="LD2" s="478"/>
      <c r="LE2" s="478"/>
      <c r="LF2" s="478"/>
    </row>
    <row r="3" spans="1:318" s="213" customFormat="1" ht="19.05" customHeight="1">
      <c r="A3" s="2520"/>
      <c r="B3" s="2520"/>
      <c r="C3" s="2520"/>
      <c r="D3" s="2520"/>
      <c r="E3" s="2520"/>
      <c r="F3" s="2520"/>
      <c r="G3" s="2520"/>
      <c r="H3" s="2520"/>
      <c r="I3" s="2520"/>
      <c r="J3" s="2520"/>
      <c r="K3" s="2520"/>
      <c r="L3" s="2520"/>
      <c r="M3" s="2520"/>
      <c r="N3" s="2520"/>
      <c r="O3" s="2520"/>
      <c r="P3" s="2520"/>
      <c r="Q3" s="2520"/>
      <c r="R3" s="2520"/>
      <c r="S3" s="2520"/>
      <c r="T3" s="2520"/>
      <c r="U3" s="2520"/>
      <c r="V3" s="2520"/>
      <c r="W3" s="2520"/>
      <c r="X3" s="2520"/>
      <c r="Y3" s="2520"/>
      <c r="Z3" s="2520"/>
      <c r="AA3" s="2520"/>
      <c r="AB3" s="2520"/>
      <c r="AC3" s="2520"/>
      <c r="AD3" s="2520"/>
      <c r="AE3" s="2520"/>
      <c r="AF3" s="2520"/>
      <c r="AG3" s="2520"/>
      <c r="AH3" s="2520"/>
      <c r="AI3" s="2520"/>
      <c r="AJ3" s="2520"/>
      <c r="AK3" s="2520"/>
      <c r="AL3" s="2520"/>
      <c r="AM3" s="2520"/>
      <c r="AN3" s="2520"/>
      <c r="AO3" s="2520"/>
      <c r="AP3" s="2520"/>
      <c r="AQ3" s="2520"/>
      <c r="AR3" s="2520"/>
      <c r="AS3" s="2520"/>
      <c r="AT3" s="2520"/>
      <c r="AU3" s="2520"/>
      <c r="AV3" s="2520"/>
      <c r="AW3" s="2520"/>
      <c r="AX3" s="2520"/>
      <c r="AY3" s="2520"/>
      <c r="AZ3" s="2520"/>
      <c r="BA3" s="2520"/>
      <c r="BB3" s="2520"/>
      <c r="BC3" s="2520"/>
      <c r="BD3" s="2520"/>
      <c r="BE3" s="2520"/>
      <c r="BF3" s="2520"/>
      <c r="BG3" s="2520"/>
      <c r="BH3" s="2520"/>
      <c r="BI3" s="478"/>
      <c r="BJ3" s="659"/>
      <c r="BK3" s="659"/>
      <c r="BL3" s="659"/>
      <c r="BM3" s="659"/>
      <c r="BN3" s="659"/>
      <c r="BO3" s="659"/>
      <c r="BP3" s="659"/>
      <c r="BQ3" s="659"/>
      <c r="BR3" s="659"/>
      <c r="BS3" s="659"/>
      <c r="BT3" s="659"/>
      <c r="BU3" s="659"/>
      <c r="BV3" s="659"/>
      <c r="BW3" s="659"/>
      <c r="BX3" s="659"/>
      <c r="BY3" s="908"/>
      <c r="BZ3" s="908"/>
      <c r="CA3" s="908"/>
      <c r="CB3" s="908"/>
      <c r="CC3" s="908"/>
      <c r="CD3" s="908"/>
      <c r="CE3" s="908"/>
      <c r="CF3" s="908"/>
      <c r="CG3" s="908"/>
      <c r="CH3" s="908"/>
      <c r="CI3" s="908"/>
      <c r="CJ3" s="908"/>
      <c r="CK3" s="908"/>
      <c r="CL3" s="908"/>
      <c r="CM3" s="908"/>
      <c r="CN3" s="908"/>
      <c r="CO3" s="908"/>
      <c r="CP3" s="908"/>
      <c r="CQ3" s="908"/>
      <c r="CR3" s="908"/>
      <c r="CS3" s="908"/>
      <c r="CT3" s="908"/>
      <c r="CU3" s="908"/>
      <c r="CV3" s="908"/>
      <c r="CW3" s="908"/>
      <c r="CX3" s="908"/>
      <c r="CY3" s="908"/>
      <c r="CZ3" s="908"/>
      <c r="DA3" s="908"/>
      <c r="DB3" s="908"/>
      <c r="DC3" s="908"/>
      <c r="DD3" s="908"/>
      <c r="DE3" s="908"/>
      <c r="DF3" s="908"/>
      <c r="DG3" s="908"/>
      <c r="DH3" s="908"/>
      <c r="DI3" s="908"/>
      <c r="DJ3" s="908"/>
      <c r="DK3" s="908"/>
      <c r="DL3" s="908"/>
      <c r="DM3" s="908"/>
      <c r="DN3" s="908"/>
      <c r="DO3" s="908"/>
      <c r="DP3" s="908"/>
      <c r="DQ3" s="908"/>
      <c r="DR3" s="478"/>
      <c r="DS3" s="478"/>
      <c r="DT3" s="478"/>
      <c r="DU3" s="478"/>
      <c r="DV3" s="478"/>
      <c r="DW3" s="478"/>
      <c r="DX3" s="478"/>
      <c r="DY3" s="478"/>
      <c r="DZ3" s="478"/>
      <c r="EA3" s="478"/>
      <c r="EB3" s="478"/>
      <c r="EC3" s="478"/>
      <c r="ED3" s="478"/>
      <c r="EE3" s="478"/>
      <c r="EF3" s="478"/>
      <c r="EG3" s="478"/>
      <c r="EH3" s="478"/>
      <c r="EI3" s="478"/>
      <c r="EJ3" s="478"/>
      <c r="EK3" s="478"/>
      <c r="EL3" s="478"/>
      <c r="EM3" s="478"/>
      <c r="EN3" s="478"/>
      <c r="EO3" s="478"/>
      <c r="EP3" s="478"/>
      <c r="EQ3" s="478"/>
      <c r="ER3" s="478"/>
      <c r="ES3" s="478"/>
      <c r="ET3" s="478"/>
      <c r="EU3" s="478"/>
      <c r="EV3" s="478"/>
      <c r="EW3" s="478"/>
      <c r="EX3" s="478"/>
      <c r="EY3" s="478"/>
      <c r="EZ3" s="478"/>
      <c r="FA3" s="478"/>
      <c r="FB3" s="478"/>
      <c r="FC3" s="478"/>
      <c r="FD3" s="478"/>
      <c r="FE3" s="478"/>
      <c r="FF3" s="478"/>
      <c r="FG3" s="478"/>
      <c r="FH3" s="478"/>
      <c r="FI3" s="478"/>
      <c r="FJ3" s="478"/>
      <c r="FK3" s="478"/>
      <c r="FL3" s="478"/>
      <c r="FM3" s="478"/>
      <c r="FN3" s="478"/>
      <c r="FO3" s="478"/>
      <c r="FP3" s="478"/>
      <c r="FQ3" s="478"/>
      <c r="FR3" s="478"/>
      <c r="FS3" s="478"/>
      <c r="FT3" s="478"/>
      <c r="FU3" s="478"/>
      <c r="FV3" s="478"/>
      <c r="FW3" s="478"/>
      <c r="FX3" s="478"/>
      <c r="FY3" s="478"/>
      <c r="FZ3" s="478"/>
      <c r="GA3" s="478"/>
      <c r="GB3" s="478"/>
      <c r="GC3" s="478"/>
      <c r="GD3" s="478"/>
      <c r="GE3" s="478"/>
      <c r="GF3" s="478"/>
      <c r="GG3" s="478"/>
      <c r="GH3" s="478"/>
      <c r="GI3" s="478"/>
      <c r="GJ3" s="478"/>
      <c r="GK3" s="478"/>
      <c r="GL3" s="478"/>
      <c r="GM3" s="478"/>
      <c r="GN3" s="478"/>
      <c r="GO3" s="478"/>
      <c r="GP3" s="478"/>
      <c r="GQ3" s="478"/>
      <c r="GR3" s="478"/>
      <c r="GS3" s="478"/>
      <c r="GT3" s="478"/>
      <c r="GU3" s="478"/>
      <c r="GV3" s="478"/>
      <c r="GW3" s="478"/>
      <c r="GX3" s="478"/>
      <c r="GY3" s="478"/>
      <c r="GZ3" s="478"/>
      <c r="HA3" s="478"/>
      <c r="HB3" s="478"/>
      <c r="HC3" s="478"/>
      <c r="HD3" s="478"/>
      <c r="HE3" s="478"/>
      <c r="HF3" s="478"/>
      <c r="HG3" s="478"/>
      <c r="HH3" s="478"/>
      <c r="HI3" s="478"/>
      <c r="HJ3" s="478"/>
      <c r="HK3" s="478"/>
      <c r="HL3" s="478"/>
      <c r="HM3" s="478"/>
      <c r="HN3" s="478"/>
      <c r="HO3" s="478"/>
      <c r="HP3" s="478"/>
      <c r="HQ3" s="478"/>
      <c r="HR3" s="478"/>
      <c r="HS3" s="478"/>
      <c r="HT3" s="478"/>
      <c r="HU3" s="478"/>
      <c r="HV3" s="478"/>
      <c r="HW3" s="478"/>
      <c r="HX3" s="478"/>
      <c r="HY3" s="478"/>
      <c r="HZ3" s="478"/>
      <c r="IA3" s="478"/>
      <c r="IB3" s="478"/>
      <c r="IC3" s="478"/>
      <c r="ID3" s="478"/>
      <c r="IE3" s="478"/>
      <c r="IF3" s="478"/>
      <c r="IG3" s="478"/>
      <c r="IH3" s="478"/>
      <c r="II3" s="478"/>
      <c r="IJ3" s="478"/>
      <c r="IK3" s="478"/>
      <c r="IL3" s="478"/>
      <c r="IM3" s="478"/>
      <c r="IN3" s="478"/>
      <c r="IO3" s="478"/>
      <c r="IP3" s="478"/>
      <c r="IQ3" s="478"/>
      <c r="IR3" s="478"/>
      <c r="IS3" s="478"/>
      <c r="IT3" s="478"/>
      <c r="IU3" s="478"/>
      <c r="IV3" s="478"/>
      <c r="IW3" s="478"/>
      <c r="IX3" s="478"/>
      <c r="IY3" s="478"/>
      <c r="IZ3" s="478"/>
      <c r="JA3" s="478"/>
      <c r="JB3" s="478"/>
      <c r="JC3" s="478"/>
      <c r="JD3" s="478"/>
      <c r="JE3" s="478"/>
      <c r="JF3" s="478"/>
      <c r="JG3" s="478"/>
      <c r="JH3" s="478"/>
      <c r="JI3" s="478"/>
      <c r="JJ3" s="478"/>
      <c r="JK3" s="478"/>
      <c r="JL3" s="478"/>
      <c r="JM3" s="478"/>
      <c r="JN3" s="478"/>
      <c r="JO3" s="478"/>
      <c r="JP3" s="478"/>
      <c r="JQ3" s="478"/>
      <c r="JR3" s="478"/>
      <c r="JS3" s="478"/>
      <c r="JT3" s="478"/>
      <c r="JU3" s="478"/>
      <c r="JV3" s="478"/>
      <c r="JW3" s="478"/>
      <c r="JX3" s="478"/>
      <c r="JY3" s="478"/>
      <c r="JZ3" s="478"/>
      <c r="KA3" s="478"/>
      <c r="KB3" s="478"/>
      <c r="KC3" s="478"/>
      <c r="KD3" s="478"/>
      <c r="KE3" s="478"/>
      <c r="KF3" s="478"/>
      <c r="KG3" s="478"/>
      <c r="KH3" s="478"/>
      <c r="KI3" s="478"/>
      <c r="KJ3" s="478"/>
      <c r="KK3" s="478"/>
      <c r="KL3" s="478"/>
      <c r="KM3" s="478"/>
      <c r="KN3" s="478"/>
      <c r="KO3" s="478"/>
      <c r="KP3" s="478"/>
      <c r="KQ3" s="478"/>
      <c r="KR3" s="478"/>
      <c r="KS3" s="478"/>
      <c r="KT3" s="478"/>
      <c r="KU3" s="478"/>
      <c r="KV3" s="478"/>
      <c r="KW3" s="478"/>
      <c r="KX3" s="478"/>
      <c r="KY3" s="478"/>
      <c r="KZ3" s="478"/>
      <c r="LA3" s="478"/>
      <c r="LB3" s="478"/>
      <c r="LC3" s="478"/>
      <c r="LD3" s="478"/>
      <c r="LE3" s="478"/>
      <c r="LF3" s="478"/>
    </row>
    <row r="4" spans="1:318" s="213" customFormat="1" ht="46.5" customHeight="1">
      <c r="A4" s="2520"/>
      <c r="B4" s="2520"/>
      <c r="C4" s="2520"/>
      <c r="D4" s="2520"/>
      <c r="E4" s="2520"/>
      <c r="F4" s="2520"/>
      <c r="G4" s="2520"/>
      <c r="H4" s="2520"/>
      <c r="I4" s="2520"/>
      <c r="J4" s="2520"/>
      <c r="K4" s="2520"/>
      <c r="L4" s="2520"/>
      <c r="M4" s="2520"/>
      <c r="N4" s="2520"/>
      <c r="O4" s="2520"/>
      <c r="P4" s="2520"/>
      <c r="Q4" s="2520"/>
      <c r="R4" s="2520"/>
      <c r="S4" s="2520"/>
      <c r="T4" s="2520"/>
      <c r="U4" s="2520"/>
      <c r="V4" s="2520"/>
      <c r="W4" s="2520"/>
      <c r="X4" s="2520"/>
      <c r="Y4" s="2520"/>
      <c r="Z4" s="2520"/>
      <c r="AA4" s="2520"/>
      <c r="AB4" s="2520"/>
      <c r="AC4" s="2520"/>
      <c r="AD4" s="2520"/>
      <c r="AE4" s="2520"/>
      <c r="AF4" s="2520"/>
      <c r="AG4" s="2520"/>
      <c r="AH4" s="2520"/>
      <c r="AI4" s="2520"/>
      <c r="AJ4" s="2520"/>
      <c r="AK4" s="2520"/>
      <c r="AL4" s="2520"/>
      <c r="AM4" s="2520"/>
      <c r="AN4" s="2520"/>
      <c r="AO4" s="2520"/>
      <c r="AP4" s="2520"/>
      <c r="AQ4" s="2520"/>
      <c r="AR4" s="2520"/>
      <c r="AS4" s="2520"/>
      <c r="AT4" s="2520"/>
      <c r="AU4" s="2520"/>
      <c r="AV4" s="2520"/>
      <c r="AW4" s="2520"/>
      <c r="AX4" s="2520"/>
      <c r="AY4" s="2520"/>
      <c r="AZ4" s="2520"/>
      <c r="BA4" s="2520"/>
      <c r="BB4" s="2520"/>
      <c r="BC4" s="2520"/>
      <c r="BD4" s="2520"/>
      <c r="BE4" s="2520"/>
      <c r="BF4" s="2520"/>
      <c r="BG4" s="2520"/>
      <c r="BH4" s="2520"/>
      <c r="BI4" s="865"/>
      <c r="BJ4" s="659"/>
      <c r="BK4" s="659"/>
      <c r="BL4" s="659"/>
      <c r="BM4" s="659"/>
      <c r="BN4" s="659"/>
      <c r="BO4" s="659"/>
      <c r="BP4" s="659"/>
      <c r="BQ4" s="659"/>
      <c r="BR4" s="659"/>
      <c r="BS4" s="659"/>
      <c r="BT4" s="659"/>
      <c r="BU4" s="659"/>
      <c r="BV4" s="659"/>
      <c r="BW4" s="659"/>
      <c r="BX4" s="659"/>
      <c r="BY4" s="908"/>
      <c r="BZ4" s="908"/>
      <c r="CA4" s="908"/>
      <c r="CB4" s="908"/>
      <c r="CC4" s="908"/>
      <c r="CD4" s="908"/>
      <c r="CE4" s="908"/>
      <c r="CF4" s="908"/>
      <c r="CG4" s="908"/>
      <c r="CH4" s="908"/>
      <c r="CI4" s="908"/>
      <c r="CJ4" s="908"/>
      <c r="CK4" s="908"/>
      <c r="CL4" s="908"/>
      <c r="CM4" s="908"/>
      <c r="CN4" s="908"/>
      <c r="CO4" s="908"/>
      <c r="CP4" s="908"/>
      <c r="CQ4" s="908"/>
      <c r="CR4" s="908"/>
      <c r="CS4" s="908"/>
      <c r="CT4" s="908"/>
      <c r="CU4" s="908"/>
      <c r="CV4" s="908"/>
      <c r="CW4" s="908"/>
      <c r="CX4" s="908"/>
      <c r="CY4" s="908"/>
      <c r="CZ4" s="908"/>
      <c r="DA4" s="908"/>
      <c r="DB4" s="908"/>
      <c r="DC4" s="908"/>
      <c r="DD4" s="908"/>
      <c r="DE4" s="908"/>
      <c r="DF4" s="908"/>
      <c r="DG4" s="908"/>
      <c r="DH4" s="908"/>
      <c r="DI4" s="908"/>
      <c r="DJ4" s="908"/>
      <c r="DK4" s="908"/>
      <c r="DL4" s="908"/>
      <c r="DM4" s="908"/>
      <c r="DN4" s="908"/>
      <c r="DO4" s="908"/>
      <c r="DP4" s="908"/>
      <c r="DQ4" s="908"/>
      <c r="DR4" s="478"/>
      <c r="DS4" s="478"/>
      <c r="DT4" s="478"/>
      <c r="DU4" s="478"/>
      <c r="DV4" s="874"/>
      <c r="DW4" s="874"/>
      <c r="DX4" s="874"/>
      <c r="DY4" s="874"/>
      <c r="DZ4" s="874"/>
      <c r="EA4" s="874"/>
      <c r="EB4" s="874"/>
      <c r="EC4" s="874"/>
      <c r="ED4" s="478"/>
      <c r="EE4" s="478"/>
      <c r="EF4" s="478"/>
      <c r="EG4" s="478"/>
      <c r="EH4" s="478"/>
      <c r="EI4" s="478"/>
      <c r="EJ4" s="478"/>
      <c r="EK4" s="478"/>
      <c r="EL4" s="478"/>
      <c r="EM4" s="478"/>
      <c r="EN4" s="478"/>
      <c r="EO4" s="478"/>
      <c r="EP4" s="478"/>
      <c r="EQ4" s="874"/>
      <c r="ER4" s="874"/>
      <c r="ES4" s="874"/>
      <c r="ET4" s="874"/>
      <c r="EU4" s="874"/>
      <c r="EV4" s="874"/>
      <c r="EW4" s="874"/>
      <c r="EX4" s="874"/>
      <c r="EY4" s="478"/>
      <c r="EZ4" s="478"/>
      <c r="FA4" s="478"/>
      <c r="FB4" s="478"/>
      <c r="FC4" s="478"/>
      <c r="FD4" s="478"/>
      <c r="FE4" s="478"/>
      <c r="FF4" s="478"/>
      <c r="FG4" s="478"/>
      <c r="FH4" s="478"/>
      <c r="FI4" s="478"/>
      <c r="FJ4" s="478"/>
      <c r="FK4" s="478"/>
      <c r="FL4" s="874"/>
      <c r="FM4" s="874"/>
      <c r="FN4" s="874"/>
      <c r="FO4" s="874"/>
      <c r="FP4" s="874"/>
      <c r="FQ4" s="874"/>
      <c r="FR4" s="874"/>
      <c r="FS4" s="874"/>
      <c r="FT4" s="478"/>
      <c r="FU4" s="478"/>
      <c r="FV4" s="478"/>
      <c r="FW4" s="478"/>
      <c r="FX4" s="478"/>
      <c r="FY4" s="478"/>
      <c r="FZ4" s="478"/>
      <c r="GA4" s="478"/>
      <c r="GB4" s="478"/>
      <c r="GC4" s="478"/>
      <c r="GD4" s="478"/>
      <c r="GE4" s="478"/>
      <c r="GF4" s="478"/>
      <c r="GG4" s="874"/>
      <c r="GH4" s="874"/>
      <c r="GI4" s="874"/>
      <c r="GJ4" s="874"/>
      <c r="GK4" s="874"/>
      <c r="GL4" s="874"/>
      <c r="GM4" s="874"/>
      <c r="GN4" s="874"/>
      <c r="GO4" s="478"/>
      <c r="GP4" s="478"/>
      <c r="GQ4" s="478"/>
      <c r="GR4" s="478"/>
      <c r="GS4" s="478"/>
      <c r="GT4" s="478"/>
      <c r="GU4" s="478"/>
      <c r="GV4" s="478"/>
      <c r="GW4" s="478"/>
      <c r="GX4" s="478"/>
      <c r="GY4" s="478"/>
      <c r="GZ4" s="478"/>
      <c r="HA4" s="478"/>
      <c r="HB4" s="874"/>
      <c r="HC4" s="874"/>
      <c r="HD4" s="874"/>
      <c r="HE4" s="874"/>
      <c r="HF4" s="874"/>
      <c r="HG4" s="874"/>
      <c r="HH4" s="874"/>
      <c r="HI4" s="874"/>
      <c r="HJ4" s="478"/>
      <c r="HK4" s="478"/>
      <c r="HL4" s="478"/>
      <c r="HM4" s="478"/>
      <c r="HN4" s="478"/>
      <c r="HO4" s="478"/>
      <c r="HP4" s="478"/>
      <c r="HQ4" s="478"/>
      <c r="HR4" s="478"/>
      <c r="HS4" s="478"/>
      <c r="HT4" s="478"/>
      <c r="HU4" s="478"/>
      <c r="HV4" s="478"/>
      <c r="HW4" s="874"/>
      <c r="HX4" s="874"/>
      <c r="HY4" s="874"/>
      <c r="HZ4" s="874"/>
      <c r="IA4" s="874"/>
      <c r="IB4" s="874"/>
      <c r="IC4" s="874"/>
      <c r="ID4" s="874"/>
      <c r="IE4" s="478"/>
      <c r="IF4" s="478"/>
      <c r="IG4" s="478"/>
      <c r="IH4" s="478"/>
      <c r="II4" s="478"/>
      <c r="IJ4" s="478"/>
      <c r="IK4" s="478"/>
      <c r="IL4" s="478"/>
      <c r="IM4" s="478"/>
      <c r="IN4" s="478"/>
      <c r="IO4" s="478"/>
      <c r="IP4" s="478"/>
      <c r="IQ4" s="478"/>
      <c r="IR4" s="874"/>
      <c r="IS4" s="874"/>
      <c r="IT4" s="874"/>
      <c r="IU4" s="874"/>
      <c r="IV4" s="874"/>
      <c r="IW4" s="874"/>
      <c r="IX4" s="874"/>
      <c r="IY4" s="874"/>
      <c r="IZ4" s="478"/>
      <c r="JA4" s="478"/>
      <c r="JB4" s="478"/>
      <c r="JC4" s="478"/>
      <c r="JD4" s="478"/>
      <c r="JE4" s="478"/>
      <c r="JF4" s="478"/>
      <c r="JG4" s="478"/>
      <c r="JH4" s="478"/>
      <c r="JI4" s="478"/>
      <c r="JJ4" s="478"/>
      <c r="JK4" s="478"/>
      <c r="JL4" s="478"/>
      <c r="JM4" s="478"/>
      <c r="JN4" s="478"/>
      <c r="JO4" s="478"/>
      <c r="JP4" s="478"/>
      <c r="JQ4" s="478"/>
      <c r="JR4" s="478"/>
      <c r="JS4" s="478"/>
      <c r="JT4" s="478"/>
      <c r="JU4" s="478"/>
      <c r="JV4" s="478"/>
      <c r="JW4" s="478"/>
      <c r="JX4" s="478"/>
      <c r="JY4" s="478"/>
      <c r="JZ4" s="478"/>
      <c r="KA4" s="478"/>
      <c r="KB4" s="478"/>
      <c r="KC4" s="478"/>
      <c r="KD4" s="478"/>
      <c r="KE4" s="478"/>
      <c r="KF4" s="478"/>
      <c r="KG4" s="478"/>
      <c r="KH4" s="478"/>
      <c r="KI4" s="478"/>
      <c r="KJ4" s="478"/>
      <c r="KK4" s="478"/>
      <c r="KL4" s="478"/>
      <c r="KM4" s="478"/>
      <c r="KN4" s="478"/>
      <c r="KO4" s="478"/>
      <c r="KP4" s="478"/>
      <c r="KQ4" s="478"/>
      <c r="KR4" s="478"/>
      <c r="KS4" s="478"/>
      <c r="KT4" s="478"/>
      <c r="KU4" s="478"/>
      <c r="KV4" s="478"/>
      <c r="KW4" s="478"/>
      <c r="KX4" s="478"/>
      <c r="KY4" s="478"/>
      <c r="KZ4" s="478"/>
      <c r="LA4" s="478"/>
      <c r="LB4" s="478"/>
      <c r="LC4" s="478"/>
      <c r="LD4" s="478"/>
      <c r="LE4" s="478"/>
      <c r="LF4" s="478"/>
    </row>
    <row r="5" spans="1:318" s="213" customFormat="1" ht="49.05" hidden="1" customHeight="1">
      <c r="A5" s="2520"/>
      <c r="B5" s="2520"/>
      <c r="C5" s="2520"/>
      <c r="D5" s="2520"/>
      <c r="E5" s="2520"/>
      <c r="F5" s="2520"/>
      <c r="G5" s="2520"/>
      <c r="H5" s="2520"/>
      <c r="I5" s="2520"/>
      <c r="J5" s="2520"/>
      <c r="K5" s="2520"/>
      <c r="L5" s="2520"/>
      <c r="M5" s="2520"/>
      <c r="N5" s="2520"/>
      <c r="O5" s="2520"/>
      <c r="P5" s="2520"/>
      <c r="Q5" s="2520"/>
      <c r="R5" s="2520"/>
      <c r="S5" s="2520"/>
      <c r="T5" s="2520"/>
      <c r="U5" s="2520"/>
      <c r="V5" s="2520"/>
      <c r="W5" s="2520"/>
      <c r="X5" s="2520"/>
      <c r="Y5" s="2520"/>
      <c r="Z5" s="2520"/>
      <c r="AA5" s="2520"/>
      <c r="AB5" s="2520"/>
      <c r="AC5" s="2520"/>
      <c r="AD5" s="2520"/>
      <c r="AE5" s="2520"/>
      <c r="AF5" s="2520"/>
      <c r="AG5" s="2520"/>
      <c r="AH5" s="2520"/>
      <c r="AI5" s="2520"/>
      <c r="AJ5" s="2520"/>
      <c r="AK5" s="2520"/>
      <c r="AL5" s="2520"/>
      <c r="AM5" s="2520"/>
      <c r="AN5" s="2520"/>
      <c r="AO5" s="2520"/>
      <c r="AP5" s="2520"/>
      <c r="AQ5" s="2520"/>
      <c r="AR5" s="2520"/>
      <c r="AS5" s="2520"/>
      <c r="AT5" s="2520"/>
      <c r="AU5" s="2520"/>
      <c r="AV5" s="2520"/>
      <c r="AW5" s="2520"/>
      <c r="AX5" s="2520"/>
      <c r="AY5" s="2520"/>
      <c r="AZ5" s="2520"/>
      <c r="BA5" s="2520"/>
      <c r="BB5" s="2520"/>
      <c r="BC5" s="2520"/>
      <c r="BD5" s="2520"/>
      <c r="BE5" s="2520"/>
      <c r="BF5" s="2520"/>
      <c r="BG5" s="2520"/>
      <c r="BH5" s="2520"/>
      <c r="BI5" s="865"/>
      <c r="BJ5" s="658"/>
      <c r="BK5" s="658"/>
      <c r="BL5" s="658"/>
      <c r="BM5" s="658"/>
      <c r="BN5" s="658"/>
      <c r="BO5" s="658"/>
      <c r="BP5" s="658"/>
      <c r="BQ5" s="658"/>
      <c r="BR5" s="658"/>
      <c r="BS5" s="658"/>
      <c r="BT5" s="658"/>
      <c r="BU5" s="658"/>
      <c r="BV5" s="658"/>
      <c r="BW5" s="658"/>
      <c r="BX5" s="658"/>
      <c r="BY5" s="908"/>
      <c r="BZ5" s="908"/>
      <c r="CA5" s="908"/>
      <c r="CB5" s="908"/>
      <c r="CC5" s="908"/>
      <c r="CD5" s="908"/>
      <c r="CE5" s="908"/>
      <c r="CF5" s="908"/>
      <c r="CG5" s="908"/>
      <c r="CH5" s="908"/>
      <c r="CI5" s="908"/>
      <c r="CJ5" s="908"/>
      <c r="CK5" s="908"/>
      <c r="CL5" s="908"/>
      <c r="CM5" s="908"/>
      <c r="CN5" s="908"/>
      <c r="CO5" s="908"/>
      <c r="CP5" s="908"/>
      <c r="CQ5" s="908"/>
      <c r="CR5" s="908"/>
      <c r="CS5" s="908"/>
      <c r="CT5" s="908"/>
      <c r="CU5" s="908"/>
      <c r="CV5" s="908"/>
      <c r="CW5" s="908"/>
      <c r="CX5" s="908"/>
      <c r="CY5" s="908"/>
      <c r="CZ5" s="908"/>
      <c r="DA5" s="908"/>
      <c r="DB5" s="908"/>
      <c r="DC5" s="908"/>
      <c r="DD5" s="908"/>
      <c r="DE5" s="908"/>
      <c r="DF5" s="908"/>
      <c r="DG5" s="908"/>
      <c r="DH5" s="908"/>
      <c r="DI5" s="908"/>
      <c r="DJ5" s="908"/>
      <c r="DK5" s="908"/>
      <c r="DL5" s="908"/>
      <c r="DM5" s="908"/>
      <c r="DN5" s="908"/>
      <c r="DO5" s="908"/>
      <c r="DP5" s="908"/>
      <c r="DQ5" s="908"/>
      <c r="DR5" s="478"/>
      <c r="DS5" s="478"/>
      <c r="DT5" s="478"/>
      <c r="DU5" s="478"/>
      <c r="DV5" s="874"/>
      <c r="DW5" s="874"/>
      <c r="DX5" s="874"/>
      <c r="DY5" s="874"/>
      <c r="DZ5" s="874"/>
      <c r="EA5" s="874"/>
      <c r="EB5" s="874"/>
      <c r="EC5" s="874"/>
      <c r="ED5" s="478"/>
      <c r="EE5" s="478"/>
      <c r="EF5" s="478"/>
      <c r="EG5" s="478"/>
      <c r="EH5" s="478"/>
      <c r="EI5" s="478"/>
      <c r="EJ5" s="478"/>
      <c r="EK5" s="478"/>
      <c r="EL5" s="478"/>
      <c r="EM5" s="478"/>
      <c r="EN5" s="478"/>
      <c r="EO5" s="478"/>
      <c r="EP5" s="478"/>
      <c r="EQ5" s="874"/>
      <c r="ER5" s="874"/>
      <c r="ES5" s="874"/>
      <c r="ET5" s="874"/>
      <c r="EU5" s="874"/>
      <c r="EV5" s="874"/>
      <c r="EW5" s="874"/>
      <c r="EX5" s="874"/>
      <c r="EY5" s="478"/>
      <c r="EZ5" s="478"/>
      <c r="FA5" s="478"/>
      <c r="FB5" s="478"/>
      <c r="FC5" s="478"/>
      <c r="FD5" s="478"/>
      <c r="FE5" s="478"/>
      <c r="FF5" s="478"/>
      <c r="FG5" s="478"/>
      <c r="FH5" s="478"/>
      <c r="FI5" s="478"/>
      <c r="FJ5" s="478"/>
      <c r="FK5" s="478"/>
      <c r="FL5" s="874"/>
      <c r="FM5" s="874"/>
      <c r="FN5" s="874"/>
      <c r="FO5" s="874"/>
      <c r="FP5" s="874"/>
      <c r="FQ5" s="874"/>
      <c r="FR5" s="874"/>
      <c r="FS5" s="874"/>
      <c r="FT5" s="478"/>
      <c r="FU5" s="478"/>
      <c r="FV5" s="478"/>
      <c r="FW5" s="478"/>
      <c r="FX5" s="478"/>
      <c r="FY5" s="478"/>
      <c r="FZ5" s="478"/>
      <c r="GA5" s="478"/>
      <c r="GB5" s="478"/>
      <c r="GC5" s="478"/>
      <c r="GD5" s="478"/>
      <c r="GE5" s="478"/>
      <c r="GF5" s="478"/>
      <c r="GG5" s="874"/>
      <c r="GH5" s="874"/>
      <c r="GI5" s="874"/>
      <c r="GJ5" s="874"/>
      <c r="GK5" s="874"/>
      <c r="GL5" s="874"/>
      <c r="GM5" s="874"/>
      <c r="GN5" s="874"/>
      <c r="GO5" s="478"/>
      <c r="GP5" s="478"/>
      <c r="GQ5" s="478"/>
      <c r="GR5" s="478"/>
      <c r="GS5" s="478"/>
      <c r="GT5" s="478"/>
      <c r="GU5" s="478"/>
      <c r="GV5" s="478"/>
      <c r="GW5" s="478"/>
      <c r="GX5" s="478"/>
      <c r="GY5" s="478"/>
      <c r="GZ5" s="478"/>
      <c r="HA5" s="478"/>
      <c r="HB5" s="874"/>
      <c r="HC5" s="874"/>
      <c r="HD5" s="874"/>
      <c r="HE5" s="874"/>
      <c r="HF5" s="874"/>
      <c r="HG5" s="874"/>
      <c r="HH5" s="874"/>
      <c r="HI5" s="874"/>
      <c r="HJ5" s="478"/>
      <c r="HK5" s="478"/>
      <c r="HL5" s="478"/>
      <c r="HM5" s="478"/>
      <c r="HN5" s="478"/>
      <c r="HO5" s="478"/>
      <c r="HP5" s="478"/>
      <c r="HQ5" s="478"/>
      <c r="HR5" s="478"/>
      <c r="HS5" s="478"/>
      <c r="HT5" s="478"/>
      <c r="HU5" s="478"/>
      <c r="HV5" s="478"/>
      <c r="HW5" s="874"/>
      <c r="HX5" s="874"/>
      <c r="HY5" s="874"/>
      <c r="HZ5" s="874"/>
      <c r="IA5" s="874"/>
      <c r="IB5" s="874"/>
      <c r="IC5" s="874"/>
      <c r="ID5" s="874"/>
      <c r="IE5" s="478"/>
      <c r="IF5" s="478"/>
      <c r="IG5" s="478"/>
      <c r="IH5" s="478"/>
      <c r="II5" s="478"/>
      <c r="IJ5" s="478"/>
      <c r="IK5" s="478"/>
      <c r="IL5" s="478"/>
      <c r="IM5" s="478"/>
      <c r="IN5" s="478"/>
      <c r="IO5" s="478"/>
      <c r="IP5" s="478"/>
      <c r="IQ5" s="478"/>
      <c r="IR5" s="874"/>
      <c r="IS5" s="874"/>
      <c r="IT5" s="874"/>
      <c r="IU5" s="874"/>
      <c r="IV5" s="874"/>
      <c r="IW5" s="874"/>
      <c r="IX5" s="874"/>
      <c r="IY5" s="874"/>
      <c r="IZ5" s="478"/>
      <c r="JA5" s="478"/>
      <c r="JB5" s="478"/>
      <c r="JC5" s="478"/>
      <c r="JD5" s="478"/>
      <c r="JE5" s="478"/>
      <c r="JF5" s="478"/>
      <c r="JG5" s="478"/>
      <c r="JH5" s="478"/>
      <c r="JI5" s="478"/>
      <c r="JJ5" s="478"/>
      <c r="JK5" s="478"/>
      <c r="JL5" s="478"/>
      <c r="JM5" s="478"/>
      <c r="JN5" s="478"/>
      <c r="JO5" s="478"/>
      <c r="JP5" s="478"/>
      <c r="JQ5" s="478"/>
      <c r="JR5" s="478"/>
      <c r="JS5" s="478"/>
      <c r="JT5" s="478"/>
      <c r="JU5" s="478"/>
      <c r="JV5" s="478"/>
      <c r="JW5" s="478"/>
      <c r="JX5" s="478"/>
      <c r="JY5" s="478"/>
      <c r="JZ5" s="478"/>
      <c r="KA5" s="478"/>
      <c r="KB5" s="478"/>
      <c r="KC5" s="478"/>
      <c r="KD5" s="478"/>
      <c r="KE5" s="478"/>
      <c r="KF5" s="478"/>
      <c r="KG5" s="478"/>
      <c r="KH5" s="478"/>
      <c r="KI5" s="478"/>
      <c r="KJ5" s="478"/>
      <c r="KK5" s="478"/>
      <c r="KL5" s="478"/>
      <c r="KM5" s="478"/>
      <c r="KN5" s="478"/>
      <c r="KO5" s="478"/>
      <c r="KP5" s="478"/>
      <c r="KQ5" s="478"/>
      <c r="KR5" s="478"/>
      <c r="KS5" s="478"/>
      <c r="KT5" s="478"/>
      <c r="KU5" s="478"/>
      <c r="KV5" s="478"/>
      <c r="KW5" s="478"/>
      <c r="KX5" s="478"/>
      <c r="KY5" s="478"/>
      <c r="KZ5" s="478"/>
      <c r="LA5" s="478"/>
      <c r="LB5" s="478"/>
      <c r="LC5" s="478"/>
      <c r="LD5" s="478"/>
      <c r="LE5" s="478"/>
      <c r="LF5" s="478"/>
    </row>
    <row r="6" spans="1:318" s="213" customFormat="1" ht="49.05" hidden="1" customHeight="1">
      <c r="A6" s="2520"/>
      <c r="B6" s="2520"/>
      <c r="C6" s="2520"/>
      <c r="D6" s="2520"/>
      <c r="E6" s="2520"/>
      <c r="F6" s="2520"/>
      <c r="G6" s="2520"/>
      <c r="H6" s="2520"/>
      <c r="I6" s="2520"/>
      <c r="J6" s="2520"/>
      <c r="K6" s="2520"/>
      <c r="L6" s="2520"/>
      <c r="M6" s="2520"/>
      <c r="N6" s="2520"/>
      <c r="O6" s="2520"/>
      <c r="P6" s="2520"/>
      <c r="Q6" s="2520"/>
      <c r="R6" s="2520"/>
      <c r="S6" s="2520"/>
      <c r="T6" s="2520"/>
      <c r="U6" s="2520"/>
      <c r="V6" s="2520"/>
      <c r="W6" s="2520"/>
      <c r="X6" s="2520"/>
      <c r="Y6" s="2520"/>
      <c r="Z6" s="2520"/>
      <c r="AA6" s="2520"/>
      <c r="AB6" s="2520"/>
      <c r="AC6" s="2520"/>
      <c r="AD6" s="2520"/>
      <c r="AE6" s="2520"/>
      <c r="AF6" s="2520"/>
      <c r="AG6" s="2520"/>
      <c r="AH6" s="2520"/>
      <c r="AI6" s="2520"/>
      <c r="AJ6" s="2520"/>
      <c r="AK6" s="2520"/>
      <c r="AL6" s="2520"/>
      <c r="AM6" s="2520"/>
      <c r="AN6" s="2520"/>
      <c r="AO6" s="2520"/>
      <c r="AP6" s="2520"/>
      <c r="AQ6" s="2520"/>
      <c r="AR6" s="2520"/>
      <c r="AS6" s="2520"/>
      <c r="AT6" s="2520"/>
      <c r="AU6" s="2520"/>
      <c r="AV6" s="2520"/>
      <c r="AW6" s="2520"/>
      <c r="AX6" s="2520"/>
      <c r="AY6" s="2520"/>
      <c r="AZ6" s="2520"/>
      <c r="BA6" s="2520"/>
      <c r="BB6" s="2520"/>
      <c r="BC6" s="2520"/>
      <c r="BD6" s="2520"/>
      <c r="BE6" s="2520"/>
      <c r="BF6" s="2520"/>
      <c r="BG6" s="2520"/>
      <c r="BH6" s="2520"/>
      <c r="BI6" s="865"/>
      <c r="BJ6" s="658"/>
      <c r="BK6" s="658"/>
      <c r="BL6" s="658"/>
      <c r="BM6" s="658"/>
      <c r="BN6" s="658"/>
      <c r="BO6" s="658"/>
      <c r="BP6" s="658"/>
      <c r="BQ6" s="658"/>
      <c r="BR6" s="658"/>
      <c r="BS6" s="658"/>
      <c r="BT6" s="658"/>
      <c r="BU6" s="658"/>
      <c r="BV6" s="658"/>
      <c r="BW6" s="658"/>
      <c r="BX6" s="658"/>
      <c r="BY6" s="908"/>
      <c r="BZ6" s="908"/>
      <c r="CA6" s="908"/>
      <c r="CB6" s="908"/>
      <c r="CC6" s="908"/>
      <c r="CD6" s="908"/>
      <c r="CE6" s="908"/>
      <c r="CF6" s="908"/>
      <c r="CG6" s="908"/>
      <c r="CH6" s="908"/>
      <c r="CI6" s="908"/>
      <c r="CJ6" s="908"/>
      <c r="CK6" s="908"/>
      <c r="CL6" s="908"/>
      <c r="CM6" s="908"/>
      <c r="CN6" s="908"/>
      <c r="CO6" s="908"/>
      <c r="CP6" s="908"/>
      <c r="CQ6" s="908"/>
      <c r="CR6" s="908"/>
      <c r="CS6" s="908"/>
      <c r="CT6" s="908"/>
      <c r="CU6" s="908"/>
      <c r="CV6" s="908"/>
      <c r="CW6" s="908"/>
      <c r="CX6" s="908"/>
      <c r="CY6" s="908"/>
      <c r="CZ6" s="908"/>
      <c r="DA6" s="908"/>
      <c r="DB6" s="908"/>
      <c r="DC6" s="908"/>
      <c r="DD6" s="908"/>
      <c r="DE6" s="908"/>
      <c r="DF6" s="908"/>
      <c r="DG6" s="908"/>
      <c r="DH6" s="908"/>
      <c r="DI6" s="908"/>
      <c r="DJ6" s="908"/>
      <c r="DK6" s="908"/>
      <c r="DL6" s="908"/>
      <c r="DM6" s="908"/>
      <c r="DN6" s="908"/>
      <c r="DO6" s="908"/>
      <c r="DP6" s="908"/>
      <c r="DQ6" s="908"/>
      <c r="DR6" s="478"/>
      <c r="DS6" s="478"/>
      <c r="DT6" s="478"/>
      <c r="DU6" s="478"/>
      <c r="DV6" s="874"/>
      <c r="DW6" s="874"/>
      <c r="DX6" s="874"/>
      <c r="DY6" s="874"/>
      <c r="DZ6" s="874"/>
      <c r="EA6" s="874"/>
      <c r="EB6" s="874"/>
      <c r="EC6" s="874"/>
      <c r="ED6" s="478"/>
      <c r="EE6" s="478"/>
      <c r="EF6" s="478"/>
      <c r="EG6" s="478"/>
      <c r="EH6" s="478"/>
      <c r="EI6" s="478"/>
      <c r="EJ6" s="478"/>
      <c r="EK6" s="478"/>
      <c r="EL6" s="478"/>
      <c r="EM6" s="478"/>
      <c r="EN6" s="478"/>
      <c r="EO6" s="478"/>
      <c r="EP6" s="478"/>
      <c r="EQ6" s="874"/>
      <c r="ER6" s="874"/>
      <c r="ES6" s="874"/>
      <c r="ET6" s="874"/>
      <c r="EU6" s="874"/>
      <c r="EV6" s="874"/>
      <c r="EW6" s="874"/>
      <c r="EX6" s="874"/>
      <c r="EY6" s="478"/>
      <c r="EZ6" s="478"/>
      <c r="FA6" s="478"/>
      <c r="FB6" s="478"/>
      <c r="FC6" s="478"/>
      <c r="FD6" s="478"/>
      <c r="FE6" s="478"/>
      <c r="FF6" s="478"/>
      <c r="FG6" s="478"/>
      <c r="FH6" s="478"/>
      <c r="FI6" s="478"/>
      <c r="FJ6" s="478"/>
      <c r="FK6" s="478"/>
      <c r="FL6" s="874"/>
      <c r="FM6" s="874"/>
      <c r="FN6" s="874"/>
      <c r="FO6" s="874"/>
      <c r="FP6" s="874"/>
      <c r="FQ6" s="874"/>
      <c r="FR6" s="874"/>
      <c r="FS6" s="874"/>
      <c r="FT6" s="478"/>
      <c r="FU6" s="478"/>
      <c r="FV6" s="478"/>
      <c r="FW6" s="478"/>
      <c r="FX6" s="478"/>
      <c r="FY6" s="478"/>
      <c r="FZ6" s="478"/>
      <c r="GA6" s="478"/>
      <c r="GB6" s="478"/>
      <c r="GC6" s="478"/>
      <c r="GD6" s="478"/>
      <c r="GE6" s="478"/>
      <c r="GF6" s="478"/>
      <c r="GG6" s="874"/>
      <c r="GH6" s="874"/>
      <c r="GI6" s="874"/>
      <c r="GJ6" s="874"/>
      <c r="GK6" s="874"/>
      <c r="GL6" s="874"/>
      <c r="GM6" s="874"/>
      <c r="GN6" s="874"/>
      <c r="GO6" s="478"/>
      <c r="GP6" s="478"/>
      <c r="GQ6" s="478"/>
      <c r="GR6" s="478"/>
      <c r="GS6" s="478"/>
      <c r="GT6" s="478"/>
      <c r="GU6" s="478"/>
      <c r="GV6" s="478"/>
      <c r="GW6" s="478"/>
      <c r="GX6" s="478"/>
      <c r="GY6" s="478"/>
      <c r="GZ6" s="478"/>
      <c r="HA6" s="478"/>
      <c r="HB6" s="874"/>
      <c r="HC6" s="874"/>
      <c r="HD6" s="874"/>
      <c r="HE6" s="874"/>
      <c r="HF6" s="874"/>
      <c r="HG6" s="874"/>
      <c r="HH6" s="874"/>
      <c r="HI6" s="874"/>
      <c r="HJ6" s="478"/>
      <c r="HK6" s="478"/>
      <c r="HL6" s="478"/>
      <c r="HM6" s="478"/>
      <c r="HN6" s="478"/>
      <c r="HO6" s="478"/>
      <c r="HP6" s="478"/>
      <c r="HQ6" s="478"/>
      <c r="HR6" s="478"/>
      <c r="HS6" s="478"/>
      <c r="HT6" s="478"/>
      <c r="HU6" s="478"/>
      <c r="HV6" s="478"/>
      <c r="HW6" s="874"/>
      <c r="HX6" s="874"/>
      <c r="HY6" s="874"/>
      <c r="HZ6" s="874"/>
      <c r="IA6" s="874"/>
      <c r="IB6" s="874"/>
      <c r="IC6" s="874"/>
      <c r="ID6" s="874"/>
      <c r="IE6" s="478"/>
      <c r="IF6" s="478"/>
      <c r="IG6" s="478"/>
      <c r="IH6" s="478"/>
      <c r="II6" s="478"/>
      <c r="IJ6" s="478"/>
      <c r="IK6" s="478"/>
      <c r="IL6" s="478"/>
      <c r="IM6" s="478"/>
      <c r="IN6" s="478"/>
      <c r="IO6" s="478"/>
      <c r="IP6" s="478"/>
      <c r="IQ6" s="478"/>
      <c r="IR6" s="874"/>
      <c r="IS6" s="874"/>
      <c r="IT6" s="874"/>
      <c r="IU6" s="874"/>
      <c r="IV6" s="874"/>
      <c r="IW6" s="874"/>
      <c r="IX6" s="874"/>
      <c r="IY6" s="874"/>
      <c r="IZ6" s="478"/>
      <c r="JA6" s="478"/>
      <c r="JB6" s="478"/>
      <c r="JC6" s="478"/>
      <c r="JD6" s="478"/>
      <c r="JE6" s="478"/>
      <c r="JF6" s="478"/>
      <c r="JG6" s="478"/>
      <c r="JH6" s="478"/>
      <c r="JI6" s="478"/>
      <c r="JJ6" s="478"/>
      <c r="JK6" s="478"/>
      <c r="JL6" s="478"/>
      <c r="JM6" s="478"/>
      <c r="JN6" s="478"/>
      <c r="JO6" s="478"/>
      <c r="JP6" s="478"/>
      <c r="JQ6" s="478"/>
      <c r="JR6" s="478"/>
      <c r="JS6" s="478"/>
      <c r="JT6" s="478"/>
      <c r="JU6" s="478"/>
      <c r="JV6" s="478"/>
      <c r="JW6" s="478"/>
      <c r="JX6" s="478"/>
      <c r="JY6" s="478"/>
      <c r="JZ6" s="478"/>
      <c r="KA6" s="478"/>
      <c r="KB6" s="478"/>
      <c r="KC6" s="478"/>
      <c r="KD6" s="478"/>
      <c r="KE6" s="478"/>
      <c r="KF6" s="478"/>
      <c r="KG6" s="478"/>
      <c r="KH6" s="478"/>
      <c r="KI6" s="478"/>
      <c r="KJ6" s="478"/>
      <c r="KK6" s="478"/>
      <c r="KL6" s="478"/>
      <c r="KM6" s="478"/>
      <c r="KN6" s="478"/>
      <c r="KO6" s="478"/>
      <c r="KP6" s="478"/>
      <c r="KQ6" s="478"/>
      <c r="KR6" s="478"/>
      <c r="KS6" s="478"/>
      <c r="KT6" s="478"/>
      <c r="KU6" s="478"/>
      <c r="KV6" s="478"/>
      <c r="KW6" s="478"/>
      <c r="KX6" s="478"/>
      <c r="KY6" s="478"/>
      <c r="KZ6" s="478"/>
      <c r="LA6" s="478"/>
      <c r="LB6" s="478"/>
      <c r="LC6" s="478"/>
      <c r="LD6" s="478"/>
      <c r="LE6" s="478"/>
      <c r="LF6" s="478"/>
    </row>
    <row r="7" spans="1:318" s="213" customFormat="1" ht="49.05" hidden="1" customHeight="1">
      <c r="A7" s="2520"/>
      <c r="B7" s="2520"/>
      <c r="C7" s="2520"/>
      <c r="D7" s="2520"/>
      <c r="E7" s="2520"/>
      <c r="F7" s="2520"/>
      <c r="G7" s="2520"/>
      <c r="H7" s="2520"/>
      <c r="I7" s="2520"/>
      <c r="J7" s="2520"/>
      <c r="K7" s="2520"/>
      <c r="L7" s="2520"/>
      <c r="M7" s="2520"/>
      <c r="N7" s="2520"/>
      <c r="O7" s="2520"/>
      <c r="P7" s="2520"/>
      <c r="Q7" s="2520"/>
      <c r="R7" s="2520"/>
      <c r="S7" s="2520"/>
      <c r="T7" s="2520"/>
      <c r="U7" s="2520"/>
      <c r="V7" s="2520"/>
      <c r="W7" s="2520"/>
      <c r="X7" s="2520"/>
      <c r="Y7" s="2520"/>
      <c r="Z7" s="2520"/>
      <c r="AA7" s="2520"/>
      <c r="AB7" s="2520"/>
      <c r="AC7" s="2520"/>
      <c r="AD7" s="2520"/>
      <c r="AE7" s="2520"/>
      <c r="AF7" s="2520"/>
      <c r="AG7" s="2520"/>
      <c r="AH7" s="2520"/>
      <c r="AI7" s="2520"/>
      <c r="AJ7" s="2520"/>
      <c r="AK7" s="2520"/>
      <c r="AL7" s="2520"/>
      <c r="AM7" s="2520"/>
      <c r="AN7" s="2520"/>
      <c r="AO7" s="2520"/>
      <c r="AP7" s="2520"/>
      <c r="AQ7" s="2520"/>
      <c r="AR7" s="2520"/>
      <c r="AS7" s="2520"/>
      <c r="AT7" s="2520"/>
      <c r="AU7" s="2520"/>
      <c r="AV7" s="2520"/>
      <c r="AW7" s="2520"/>
      <c r="AX7" s="2520"/>
      <c r="AY7" s="2520"/>
      <c r="AZ7" s="2520"/>
      <c r="BA7" s="2520"/>
      <c r="BB7" s="2520"/>
      <c r="BC7" s="2520"/>
      <c r="BD7" s="2520"/>
      <c r="BE7" s="2520"/>
      <c r="BF7" s="2520"/>
      <c r="BG7" s="2520"/>
      <c r="BH7" s="2520"/>
      <c r="BI7" s="865"/>
      <c r="BJ7" s="658"/>
      <c r="BK7" s="658"/>
      <c r="BL7" s="658"/>
      <c r="BM7" s="658"/>
      <c r="BN7" s="658"/>
      <c r="BO7" s="658"/>
      <c r="BP7" s="658"/>
      <c r="BQ7" s="658"/>
      <c r="BR7" s="658"/>
      <c r="BS7" s="658"/>
      <c r="BT7" s="658"/>
      <c r="BU7" s="658"/>
      <c r="BV7" s="658"/>
      <c r="BW7" s="658"/>
      <c r="BX7" s="658"/>
      <c r="BY7" s="908"/>
      <c r="BZ7" s="908"/>
      <c r="CA7" s="908"/>
      <c r="CB7" s="908"/>
      <c r="CC7" s="908"/>
      <c r="CD7" s="908"/>
      <c r="CE7" s="908"/>
      <c r="CF7" s="908"/>
      <c r="CG7" s="908"/>
      <c r="CH7" s="908"/>
      <c r="CI7" s="908"/>
      <c r="CJ7" s="908"/>
      <c r="CK7" s="908"/>
      <c r="CL7" s="908"/>
      <c r="CM7" s="908"/>
      <c r="CN7" s="908"/>
      <c r="CO7" s="908"/>
      <c r="CP7" s="908"/>
      <c r="CQ7" s="908"/>
      <c r="CR7" s="908"/>
      <c r="CS7" s="908"/>
      <c r="CT7" s="908"/>
      <c r="CU7" s="908"/>
      <c r="CV7" s="908"/>
      <c r="CW7" s="908"/>
      <c r="CX7" s="908"/>
      <c r="CY7" s="908"/>
      <c r="CZ7" s="908"/>
      <c r="DA7" s="908"/>
      <c r="DB7" s="908"/>
      <c r="DC7" s="908"/>
      <c r="DD7" s="908"/>
      <c r="DE7" s="908"/>
      <c r="DF7" s="908"/>
      <c r="DG7" s="908"/>
      <c r="DH7" s="908"/>
      <c r="DI7" s="908"/>
      <c r="DJ7" s="908"/>
      <c r="DK7" s="908"/>
      <c r="DL7" s="908"/>
      <c r="DM7" s="908"/>
      <c r="DN7" s="908"/>
      <c r="DO7" s="908"/>
      <c r="DP7" s="908"/>
      <c r="DQ7" s="908"/>
      <c r="DR7" s="478"/>
      <c r="DS7" s="478"/>
      <c r="DT7" s="478"/>
      <c r="DU7" s="478"/>
      <c r="DV7" s="874"/>
      <c r="DW7" s="874"/>
      <c r="DX7" s="874"/>
      <c r="DY7" s="874"/>
      <c r="DZ7" s="874"/>
      <c r="EA7" s="874"/>
      <c r="EB7" s="874"/>
      <c r="EC7" s="874"/>
      <c r="ED7" s="478"/>
      <c r="EE7" s="478"/>
      <c r="EF7" s="478"/>
      <c r="EG7" s="478"/>
      <c r="EH7" s="478"/>
      <c r="EI7" s="478"/>
      <c r="EJ7" s="478"/>
      <c r="EK7" s="478"/>
      <c r="EL7" s="478"/>
      <c r="EM7" s="478"/>
      <c r="EN7" s="478"/>
      <c r="EO7" s="478"/>
      <c r="EP7" s="478"/>
      <c r="EQ7" s="874"/>
      <c r="ER7" s="874"/>
      <c r="ES7" s="874"/>
      <c r="ET7" s="874"/>
      <c r="EU7" s="874"/>
      <c r="EV7" s="874"/>
      <c r="EW7" s="874"/>
      <c r="EX7" s="874"/>
      <c r="EY7" s="478"/>
      <c r="EZ7" s="478"/>
      <c r="FA7" s="478"/>
      <c r="FB7" s="478"/>
      <c r="FC7" s="478"/>
      <c r="FD7" s="478"/>
      <c r="FE7" s="478"/>
      <c r="FF7" s="478"/>
      <c r="FG7" s="478"/>
      <c r="FH7" s="478"/>
      <c r="FI7" s="478"/>
      <c r="FJ7" s="478"/>
      <c r="FK7" s="478"/>
      <c r="FL7" s="874"/>
      <c r="FM7" s="874"/>
      <c r="FN7" s="874"/>
      <c r="FO7" s="874"/>
      <c r="FP7" s="874"/>
      <c r="FQ7" s="874"/>
      <c r="FR7" s="874"/>
      <c r="FS7" s="874"/>
      <c r="FT7" s="478"/>
      <c r="FU7" s="478"/>
      <c r="FV7" s="478"/>
      <c r="FW7" s="478"/>
      <c r="FX7" s="478"/>
      <c r="FY7" s="478"/>
      <c r="FZ7" s="478"/>
      <c r="GA7" s="478"/>
      <c r="GB7" s="478"/>
      <c r="GC7" s="478"/>
      <c r="GD7" s="478"/>
      <c r="GE7" s="478"/>
      <c r="GF7" s="478"/>
      <c r="GG7" s="874"/>
      <c r="GH7" s="874"/>
      <c r="GI7" s="874"/>
      <c r="GJ7" s="874"/>
      <c r="GK7" s="874"/>
      <c r="GL7" s="874"/>
      <c r="GM7" s="874"/>
      <c r="GN7" s="874"/>
      <c r="GO7" s="478"/>
      <c r="GP7" s="478"/>
      <c r="GQ7" s="478"/>
      <c r="GR7" s="478"/>
      <c r="GS7" s="478"/>
      <c r="GT7" s="478"/>
      <c r="GU7" s="478"/>
      <c r="GV7" s="478"/>
      <c r="GW7" s="478"/>
      <c r="GX7" s="478"/>
      <c r="GY7" s="478"/>
      <c r="GZ7" s="478"/>
      <c r="HA7" s="478"/>
      <c r="HB7" s="874"/>
      <c r="HC7" s="874"/>
      <c r="HD7" s="874"/>
      <c r="HE7" s="874"/>
      <c r="HF7" s="874"/>
      <c r="HG7" s="874"/>
      <c r="HH7" s="874"/>
      <c r="HI7" s="874"/>
      <c r="HJ7" s="478"/>
      <c r="HK7" s="478"/>
      <c r="HL7" s="478"/>
      <c r="HM7" s="478"/>
      <c r="HN7" s="478"/>
      <c r="HO7" s="478"/>
      <c r="HP7" s="478"/>
      <c r="HQ7" s="478"/>
      <c r="HR7" s="478"/>
      <c r="HS7" s="478"/>
      <c r="HT7" s="478"/>
      <c r="HU7" s="478"/>
      <c r="HV7" s="478"/>
      <c r="HW7" s="874"/>
      <c r="HX7" s="874"/>
      <c r="HY7" s="874"/>
      <c r="HZ7" s="874"/>
      <c r="IA7" s="874"/>
      <c r="IB7" s="874"/>
      <c r="IC7" s="874"/>
      <c r="ID7" s="874"/>
      <c r="IE7" s="478"/>
      <c r="IF7" s="478"/>
      <c r="IG7" s="478"/>
      <c r="IH7" s="478"/>
      <c r="II7" s="478"/>
      <c r="IJ7" s="478"/>
      <c r="IK7" s="478"/>
      <c r="IL7" s="478"/>
      <c r="IM7" s="478"/>
      <c r="IN7" s="478"/>
      <c r="IO7" s="478"/>
      <c r="IP7" s="478"/>
      <c r="IQ7" s="478"/>
      <c r="IR7" s="874"/>
      <c r="IS7" s="874"/>
      <c r="IT7" s="874"/>
      <c r="IU7" s="874"/>
      <c r="IV7" s="874"/>
      <c r="IW7" s="874"/>
      <c r="IX7" s="874"/>
      <c r="IY7" s="874"/>
      <c r="IZ7" s="478"/>
      <c r="JA7" s="478"/>
      <c r="JB7" s="478"/>
      <c r="JC7" s="478"/>
      <c r="JD7" s="478"/>
      <c r="JE7" s="478"/>
      <c r="JF7" s="478"/>
      <c r="JG7" s="478"/>
      <c r="JH7" s="478"/>
      <c r="JI7" s="478"/>
      <c r="JJ7" s="478"/>
      <c r="JK7" s="478"/>
      <c r="JL7" s="478"/>
      <c r="JM7" s="478"/>
      <c r="JN7" s="478"/>
      <c r="JO7" s="478"/>
      <c r="JP7" s="478"/>
      <c r="JQ7" s="478"/>
      <c r="JR7" s="478"/>
      <c r="JS7" s="478"/>
      <c r="JT7" s="478"/>
      <c r="JU7" s="478"/>
      <c r="JV7" s="478"/>
      <c r="JW7" s="478"/>
      <c r="JX7" s="478"/>
      <c r="JY7" s="478"/>
      <c r="JZ7" s="478"/>
      <c r="KA7" s="478"/>
      <c r="KB7" s="478"/>
      <c r="KC7" s="478"/>
      <c r="KD7" s="478"/>
      <c r="KE7" s="478"/>
      <c r="KF7" s="478"/>
      <c r="KG7" s="478"/>
      <c r="KH7" s="478"/>
      <c r="KI7" s="478"/>
      <c r="KJ7" s="478"/>
      <c r="KK7" s="478"/>
      <c r="KL7" s="478"/>
      <c r="KM7" s="478"/>
      <c r="KN7" s="478"/>
      <c r="KO7" s="478"/>
      <c r="KP7" s="478"/>
      <c r="KQ7" s="478"/>
      <c r="KR7" s="478"/>
      <c r="KS7" s="478"/>
      <c r="KT7" s="478"/>
      <c r="KU7" s="478"/>
      <c r="KV7" s="478"/>
      <c r="KW7" s="478"/>
      <c r="KX7" s="478"/>
      <c r="KY7" s="478"/>
      <c r="KZ7" s="478"/>
      <c r="LA7" s="478"/>
      <c r="LB7" s="478"/>
      <c r="LC7" s="478"/>
      <c r="LD7" s="478"/>
      <c r="LE7" s="478"/>
      <c r="LF7" s="478"/>
    </row>
    <row r="8" spans="1:318" s="213" customFormat="1" ht="27.45" hidden="1" customHeight="1">
      <c r="A8" s="438"/>
      <c r="B8" s="438"/>
      <c r="C8" s="438"/>
      <c r="D8" s="438"/>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59"/>
      <c r="AL8" s="459"/>
      <c r="AM8" s="459"/>
      <c r="AN8" s="459"/>
      <c r="AO8" s="459"/>
      <c r="AP8" s="459"/>
      <c r="AQ8" s="459"/>
      <c r="AR8" s="459"/>
      <c r="AS8" s="459"/>
      <c r="AT8" s="459"/>
      <c r="AU8" s="459"/>
      <c r="AV8" s="459"/>
      <c r="AW8" s="459"/>
      <c r="AX8" s="459"/>
      <c r="AY8" s="459"/>
      <c r="AZ8" s="459"/>
      <c r="BA8" s="459"/>
      <c r="BB8" s="459"/>
      <c r="BC8" s="459"/>
      <c r="BD8" s="459"/>
      <c r="BE8" s="459"/>
      <c r="BF8" s="459"/>
      <c r="BG8" s="459"/>
      <c r="BH8" s="459"/>
      <c r="BI8" s="865"/>
      <c r="BJ8" s="865"/>
      <c r="BK8" s="865"/>
      <c r="BL8" s="478"/>
      <c r="BM8" s="478"/>
      <c r="BN8" s="478"/>
      <c r="BO8" s="478"/>
      <c r="BP8" s="478"/>
      <c r="BQ8" s="478"/>
      <c r="BR8" s="478"/>
      <c r="BS8" s="478"/>
      <c r="BT8" s="478"/>
      <c r="BU8" s="478"/>
      <c r="BV8" s="478"/>
      <c r="BW8" s="478"/>
      <c r="BX8" s="478"/>
      <c r="BY8" s="874"/>
      <c r="BZ8" s="874"/>
      <c r="CA8" s="874"/>
      <c r="CB8" s="874"/>
      <c r="CC8" s="874"/>
      <c r="CD8" s="874"/>
      <c r="CE8" s="874"/>
      <c r="CF8" s="874"/>
      <c r="CG8" s="874"/>
      <c r="CH8" s="874"/>
      <c r="CI8" s="874"/>
      <c r="CJ8" s="874"/>
      <c r="CK8" s="874"/>
      <c r="CL8" s="874"/>
      <c r="CM8" s="874"/>
      <c r="CN8" s="874"/>
      <c r="CO8" s="874"/>
      <c r="CP8" s="874"/>
      <c r="CQ8" s="874"/>
      <c r="CR8" s="874"/>
      <c r="CS8" s="874"/>
      <c r="CT8" s="874"/>
      <c r="CU8" s="874"/>
      <c r="CV8" s="874"/>
      <c r="CW8" s="874"/>
      <c r="CX8" s="478"/>
      <c r="CY8" s="478"/>
      <c r="CZ8" s="478"/>
      <c r="DA8" s="874"/>
      <c r="DB8" s="874"/>
      <c r="DC8" s="874"/>
      <c r="DD8" s="874"/>
      <c r="DE8" s="874"/>
      <c r="DF8" s="874"/>
      <c r="DG8" s="874"/>
      <c r="DH8" s="874"/>
      <c r="DI8" s="478"/>
      <c r="DJ8" s="478"/>
      <c r="DK8" s="478"/>
      <c r="DL8" s="478"/>
      <c r="DM8" s="478"/>
      <c r="DN8" s="478"/>
      <c r="DO8" s="478"/>
      <c r="DP8" s="478"/>
      <c r="DQ8" s="478"/>
      <c r="DR8" s="478"/>
      <c r="DS8" s="478"/>
      <c r="DT8" s="478"/>
      <c r="DU8" s="478"/>
      <c r="DV8" s="874"/>
      <c r="DW8" s="874"/>
      <c r="DX8" s="874"/>
      <c r="DY8" s="874"/>
      <c r="DZ8" s="874"/>
      <c r="EA8" s="874"/>
      <c r="EB8" s="874"/>
      <c r="EC8" s="874"/>
      <c r="ED8" s="478"/>
      <c r="EE8" s="478"/>
      <c r="EF8" s="478"/>
      <c r="EG8" s="478"/>
      <c r="EH8" s="478"/>
      <c r="EI8" s="478"/>
      <c r="EJ8" s="478"/>
      <c r="EK8" s="478"/>
      <c r="EL8" s="478"/>
      <c r="EM8" s="478"/>
      <c r="EN8" s="478"/>
      <c r="EO8" s="478"/>
      <c r="EP8" s="478"/>
      <c r="EQ8" s="874"/>
      <c r="ER8" s="874"/>
      <c r="ES8" s="874"/>
      <c r="ET8" s="874"/>
      <c r="EU8" s="874"/>
      <c r="EV8" s="874"/>
      <c r="EW8" s="874"/>
      <c r="EX8" s="874"/>
      <c r="EY8" s="478"/>
      <c r="EZ8" s="478"/>
      <c r="FA8" s="478"/>
      <c r="FB8" s="478"/>
      <c r="FC8" s="478"/>
      <c r="FD8" s="478"/>
      <c r="FE8" s="478"/>
      <c r="FF8" s="478"/>
      <c r="FG8" s="478"/>
      <c r="FH8" s="478"/>
      <c r="FI8" s="478"/>
      <c r="FJ8" s="478"/>
      <c r="FK8" s="478"/>
      <c r="FL8" s="874"/>
      <c r="FM8" s="874"/>
      <c r="FN8" s="874"/>
      <c r="FO8" s="874"/>
      <c r="FP8" s="874"/>
      <c r="FQ8" s="874"/>
      <c r="FR8" s="874"/>
      <c r="FS8" s="874"/>
      <c r="FT8" s="478"/>
      <c r="FU8" s="478"/>
      <c r="FV8" s="478"/>
      <c r="FW8" s="478"/>
      <c r="FX8" s="478"/>
      <c r="FY8" s="478"/>
      <c r="FZ8" s="478"/>
      <c r="GA8" s="478"/>
      <c r="GB8" s="478"/>
      <c r="GC8" s="478"/>
      <c r="GD8" s="478"/>
      <c r="GE8" s="478"/>
      <c r="GF8" s="478"/>
      <c r="GG8" s="874"/>
      <c r="GH8" s="874"/>
      <c r="GI8" s="874"/>
      <c r="GJ8" s="874"/>
      <c r="GK8" s="874"/>
      <c r="GL8" s="874"/>
      <c r="GM8" s="874"/>
      <c r="GN8" s="874"/>
      <c r="GO8" s="478"/>
      <c r="GP8" s="478"/>
      <c r="GQ8" s="478"/>
      <c r="GR8" s="478"/>
      <c r="GS8" s="478"/>
      <c r="GT8" s="478"/>
      <c r="GU8" s="478"/>
      <c r="GV8" s="478"/>
      <c r="GW8" s="478"/>
      <c r="GX8" s="478"/>
      <c r="GY8" s="478"/>
      <c r="GZ8" s="478"/>
      <c r="HA8" s="478"/>
      <c r="HB8" s="874"/>
      <c r="HC8" s="874"/>
      <c r="HD8" s="874"/>
      <c r="HE8" s="874"/>
      <c r="HF8" s="874"/>
      <c r="HG8" s="874"/>
      <c r="HH8" s="874"/>
      <c r="HI8" s="874"/>
      <c r="HJ8" s="478"/>
      <c r="HK8" s="478"/>
      <c r="HL8" s="478"/>
      <c r="HM8" s="478"/>
      <c r="HN8" s="478"/>
      <c r="HO8" s="478"/>
      <c r="HP8" s="478"/>
      <c r="HQ8" s="478"/>
      <c r="HR8" s="478"/>
      <c r="HS8" s="478"/>
      <c r="HT8" s="478"/>
      <c r="HU8" s="478"/>
      <c r="HV8" s="478"/>
      <c r="HW8" s="874"/>
      <c r="HX8" s="874"/>
      <c r="HY8" s="874"/>
      <c r="HZ8" s="874"/>
      <c r="IA8" s="874"/>
      <c r="IB8" s="874"/>
      <c r="IC8" s="874"/>
      <c r="ID8" s="874"/>
      <c r="IE8" s="478"/>
      <c r="IF8" s="478"/>
      <c r="IG8" s="478"/>
      <c r="IH8" s="478"/>
      <c r="II8" s="478"/>
      <c r="IJ8" s="478"/>
      <c r="IK8" s="478"/>
      <c r="IL8" s="478"/>
      <c r="IM8" s="478"/>
      <c r="IN8" s="478"/>
      <c r="IO8" s="478"/>
      <c r="IP8" s="478"/>
      <c r="IQ8" s="478"/>
      <c r="IR8" s="874"/>
      <c r="IS8" s="874"/>
      <c r="IT8" s="874"/>
      <c r="IU8" s="874"/>
      <c r="IV8" s="874"/>
      <c r="IW8" s="874"/>
      <c r="IX8" s="874"/>
      <c r="IY8" s="874"/>
      <c r="IZ8" s="478"/>
      <c r="JA8" s="478"/>
      <c r="JB8" s="478"/>
      <c r="JC8" s="478"/>
      <c r="JD8" s="478"/>
      <c r="JE8" s="478"/>
      <c r="JF8" s="478"/>
      <c r="JG8" s="478"/>
      <c r="JH8" s="478"/>
      <c r="JI8" s="478"/>
      <c r="JJ8" s="478"/>
      <c r="JK8" s="478"/>
      <c r="JL8" s="478"/>
      <c r="JM8" s="478"/>
      <c r="JN8" s="478"/>
      <c r="JO8" s="478"/>
      <c r="JP8" s="478"/>
      <c r="JQ8" s="478"/>
      <c r="JR8" s="478"/>
      <c r="JS8" s="478"/>
      <c r="JT8" s="478"/>
      <c r="JU8" s="478"/>
      <c r="JV8" s="478"/>
      <c r="JW8" s="478"/>
      <c r="JX8" s="478"/>
      <c r="JY8" s="478"/>
      <c r="JZ8" s="478"/>
      <c r="KA8" s="478"/>
      <c r="KB8" s="478"/>
      <c r="KC8" s="478"/>
      <c r="KD8" s="478"/>
      <c r="KE8" s="478"/>
      <c r="KF8" s="478"/>
      <c r="KG8" s="478"/>
      <c r="KH8" s="478"/>
      <c r="KI8" s="478"/>
      <c r="KJ8" s="478"/>
      <c r="KK8" s="478"/>
      <c r="KL8" s="478"/>
      <c r="KM8" s="478"/>
      <c r="KN8" s="478"/>
      <c r="KO8" s="478"/>
      <c r="KP8" s="478"/>
      <c r="KQ8" s="478"/>
      <c r="KR8" s="478"/>
      <c r="KS8" s="478"/>
      <c r="KT8" s="478"/>
      <c r="KU8" s="478"/>
      <c r="KV8" s="478"/>
      <c r="KW8" s="478"/>
      <c r="KX8" s="478"/>
      <c r="KY8" s="478"/>
      <c r="KZ8" s="478"/>
      <c r="LA8" s="478"/>
      <c r="LB8" s="478"/>
      <c r="LC8" s="478"/>
      <c r="LD8" s="478"/>
      <c r="LE8" s="478"/>
      <c r="LF8" s="478"/>
    </row>
    <row r="9" spans="1:318" s="213" customFormat="1" ht="27.45" hidden="1" customHeight="1">
      <c r="A9" s="438"/>
      <c r="B9" s="438"/>
      <c r="C9" s="438"/>
      <c r="D9" s="438"/>
      <c r="E9" s="438"/>
      <c r="F9" s="438"/>
      <c r="G9" s="438"/>
      <c r="H9" s="438"/>
      <c r="I9" s="438"/>
      <c r="J9" s="438"/>
      <c r="K9" s="438"/>
      <c r="L9" s="438"/>
      <c r="M9" s="438"/>
      <c r="N9" s="438"/>
      <c r="O9" s="438"/>
      <c r="P9" s="438"/>
      <c r="Q9" s="438"/>
      <c r="R9" s="438"/>
      <c r="S9" s="438"/>
      <c r="T9" s="438"/>
      <c r="U9" s="438"/>
      <c r="V9" s="438"/>
      <c r="W9" s="438"/>
      <c r="X9" s="438"/>
      <c r="Y9" s="438"/>
      <c r="Z9" s="438"/>
      <c r="AA9" s="438"/>
      <c r="AB9" s="438"/>
      <c r="AC9" s="438"/>
      <c r="AD9" s="438"/>
      <c r="AE9" s="438"/>
      <c r="AF9" s="438"/>
      <c r="AG9" s="438"/>
      <c r="AH9" s="438"/>
      <c r="AI9" s="438"/>
      <c r="AJ9" s="438"/>
      <c r="AK9" s="459"/>
      <c r="AL9" s="459"/>
      <c r="AM9" s="459"/>
      <c r="AN9" s="459"/>
      <c r="AO9" s="459"/>
      <c r="AP9" s="459"/>
      <c r="AQ9" s="459"/>
      <c r="AR9" s="459"/>
      <c r="AS9" s="459"/>
      <c r="AT9" s="459"/>
      <c r="AU9" s="459"/>
      <c r="AV9" s="459"/>
      <c r="AW9" s="459"/>
      <c r="AX9" s="459"/>
      <c r="AY9" s="459"/>
      <c r="AZ9" s="459"/>
      <c r="BA9" s="459"/>
      <c r="BB9" s="459"/>
      <c r="BC9" s="459"/>
      <c r="BD9" s="459"/>
      <c r="BE9" s="459"/>
      <c r="BF9" s="459"/>
      <c r="BG9" s="459"/>
      <c r="BH9" s="459"/>
      <c r="BI9" s="865"/>
      <c r="BJ9" s="865"/>
      <c r="BK9" s="865"/>
      <c r="BL9" s="478"/>
      <c r="BM9" s="478"/>
      <c r="BN9" s="478"/>
      <c r="BO9" s="478"/>
      <c r="BP9" s="478"/>
      <c r="BQ9" s="478"/>
      <c r="BR9" s="478"/>
      <c r="BS9" s="478"/>
      <c r="BT9" s="478"/>
      <c r="BU9" s="478"/>
      <c r="BV9" s="478"/>
      <c r="BW9" s="478"/>
      <c r="BX9" s="478"/>
      <c r="BY9" s="874"/>
      <c r="BZ9" s="874"/>
      <c r="CA9" s="874"/>
      <c r="CB9" s="874"/>
      <c r="CC9" s="874"/>
      <c r="CD9" s="874"/>
      <c r="CE9" s="874"/>
      <c r="CF9" s="874"/>
      <c r="CG9" s="874"/>
      <c r="CH9" s="874"/>
      <c r="CI9" s="874"/>
      <c r="CJ9" s="874"/>
      <c r="CK9" s="874"/>
      <c r="CL9" s="874"/>
      <c r="CM9" s="874"/>
      <c r="CN9" s="874"/>
      <c r="CO9" s="874"/>
      <c r="CP9" s="874"/>
      <c r="CQ9" s="874"/>
      <c r="CR9" s="874"/>
      <c r="CS9" s="874"/>
      <c r="CT9" s="874"/>
      <c r="CU9" s="874"/>
      <c r="CV9" s="874"/>
      <c r="CW9" s="874"/>
      <c r="CX9" s="478"/>
      <c r="CY9" s="478"/>
      <c r="CZ9" s="478"/>
      <c r="DA9" s="874"/>
      <c r="DB9" s="874"/>
      <c r="DC9" s="874"/>
      <c r="DD9" s="874"/>
      <c r="DE9" s="874"/>
      <c r="DF9" s="874"/>
      <c r="DG9" s="874"/>
      <c r="DH9" s="874"/>
      <c r="DI9" s="478"/>
      <c r="DJ9" s="478"/>
      <c r="DK9" s="478"/>
      <c r="DL9" s="478"/>
      <c r="DM9" s="478"/>
      <c r="DN9" s="478"/>
      <c r="DO9" s="478"/>
      <c r="DP9" s="478"/>
      <c r="DQ9" s="478"/>
      <c r="DR9" s="478"/>
      <c r="DS9" s="478"/>
      <c r="DT9" s="478"/>
      <c r="DU9" s="478"/>
      <c r="DV9" s="874"/>
      <c r="DW9" s="874"/>
      <c r="DX9" s="874"/>
      <c r="DY9" s="874"/>
      <c r="DZ9" s="874"/>
      <c r="EA9" s="874"/>
      <c r="EB9" s="874"/>
      <c r="EC9" s="874"/>
      <c r="ED9" s="478"/>
      <c r="EE9" s="478"/>
      <c r="EF9" s="478"/>
      <c r="EG9" s="478"/>
      <c r="EH9" s="478"/>
      <c r="EI9" s="478"/>
      <c r="EJ9" s="478"/>
      <c r="EK9" s="478"/>
      <c r="EL9" s="478"/>
      <c r="EM9" s="478"/>
      <c r="EN9" s="478"/>
      <c r="EO9" s="478"/>
      <c r="EP9" s="478"/>
      <c r="EQ9" s="874"/>
      <c r="ER9" s="874"/>
      <c r="ES9" s="874"/>
      <c r="ET9" s="874"/>
      <c r="EU9" s="874"/>
      <c r="EV9" s="874"/>
      <c r="EW9" s="874"/>
      <c r="EX9" s="874"/>
      <c r="EY9" s="478"/>
      <c r="EZ9" s="478"/>
      <c r="FA9" s="478"/>
      <c r="FB9" s="478"/>
      <c r="FC9" s="478"/>
      <c r="FD9" s="478"/>
      <c r="FE9" s="478"/>
      <c r="FF9" s="478"/>
      <c r="FG9" s="478"/>
      <c r="FH9" s="478"/>
      <c r="FI9" s="478"/>
      <c r="FJ9" s="478"/>
      <c r="FK9" s="478"/>
      <c r="FL9" s="874"/>
      <c r="FM9" s="874"/>
      <c r="FN9" s="874"/>
      <c r="FO9" s="874"/>
      <c r="FP9" s="874"/>
      <c r="FQ9" s="874"/>
      <c r="FR9" s="874"/>
      <c r="FS9" s="874"/>
      <c r="FT9" s="478"/>
      <c r="FU9" s="478"/>
      <c r="FV9" s="478"/>
      <c r="FW9" s="478"/>
      <c r="FX9" s="478"/>
      <c r="FY9" s="478"/>
      <c r="FZ9" s="478"/>
      <c r="GA9" s="478"/>
      <c r="GB9" s="478"/>
      <c r="GC9" s="478"/>
      <c r="GD9" s="478"/>
      <c r="GE9" s="478"/>
      <c r="GF9" s="478"/>
      <c r="GG9" s="874"/>
      <c r="GH9" s="874"/>
      <c r="GI9" s="874"/>
      <c r="GJ9" s="874"/>
      <c r="GK9" s="874"/>
      <c r="GL9" s="874"/>
      <c r="GM9" s="874"/>
      <c r="GN9" s="874"/>
      <c r="GO9" s="478"/>
      <c r="GP9" s="478"/>
      <c r="GQ9" s="478"/>
      <c r="GR9" s="478"/>
      <c r="GS9" s="478"/>
      <c r="GT9" s="478"/>
      <c r="GU9" s="478"/>
      <c r="GV9" s="478"/>
      <c r="GW9" s="478"/>
      <c r="GX9" s="478"/>
      <c r="GY9" s="478"/>
      <c r="GZ9" s="478"/>
      <c r="HA9" s="478"/>
      <c r="HB9" s="874"/>
      <c r="HC9" s="874"/>
      <c r="HD9" s="874"/>
      <c r="HE9" s="874"/>
      <c r="HF9" s="874"/>
      <c r="HG9" s="874"/>
      <c r="HH9" s="874"/>
      <c r="HI9" s="874"/>
      <c r="HJ9" s="478"/>
      <c r="HK9" s="478"/>
      <c r="HL9" s="478"/>
      <c r="HM9" s="478"/>
      <c r="HN9" s="478"/>
      <c r="HO9" s="478"/>
      <c r="HP9" s="478"/>
      <c r="HQ9" s="478"/>
      <c r="HR9" s="478"/>
      <c r="HS9" s="478"/>
      <c r="HT9" s="478"/>
      <c r="HU9" s="478"/>
      <c r="HV9" s="478"/>
      <c r="HW9" s="874"/>
      <c r="HX9" s="874"/>
      <c r="HY9" s="874"/>
      <c r="HZ9" s="874"/>
      <c r="IA9" s="874"/>
      <c r="IB9" s="874"/>
      <c r="IC9" s="874"/>
      <c r="ID9" s="874"/>
      <c r="IE9" s="478"/>
      <c r="IF9" s="478"/>
      <c r="IG9" s="478"/>
      <c r="IH9" s="478"/>
      <c r="II9" s="478"/>
      <c r="IJ9" s="478"/>
      <c r="IK9" s="478"/>
      <c r="IL9" s="478"/>
      <c r="IM9" s="478"/>
      <c r="IN9" s="478"/>
      <c r="IO9" s="478"/>
      <c r="IP9" s="478"/>
      <c r="IQ9" s="478"/>
      <c r="IR9" s="874"/>
      <c r="IS9" s="874"/>
      <c r="IT9" s="874"/>
      <c r="IU9" s="874"/>
      <c r="IV9" s="874"/>
      <c r="IW9" s="874"/>
      <c r="IX9" s="874"/>
      <c r="IY9" s="874"/>
      <c r="IZ9" s="478"/>
      <c r="JA9" s="478"/>
      <c r="JB9" s="478"/>
      <c r="JC9" s="478"/>
      <c r="JD9" s="478"/>
      <c r="JE9" s="478"/>
      <c r="JF9" s="478"/>
      <c r="JG9" s="478"/>
      <c r="JH9" s="478"/>
      <c r="JI9" s="478"/>
      <c r="JJ9" s="478"/>
      <c r="JK9" s="478"/>
      <c r="JL9" s="478"/>
      <c r="JM9" s="478"/>
      <c r="JN9" s="478"/>
      <c r="JO9" s="478"/>
      <c r="JP9" s="478"/>
      <c r="JQ9" s="478"/>
      <c r="JR9" s="478"/>
      <c r="JS9" s="478"/>
      <c r="JT9" s="478"/>
      <c r="JU9" s="478"/>
      <c r="JV9" s="478"/>
      <c r="JW9" s="478"/>
      <c r="JX9" s="478"/>
      <c r="JY9" s="478"/>
      <c r="JZ9" s="478"/>
      <c r="KA9" s="478"/>
      <c r="KB9" s="478"/>
      <c r="KC9" s="478"/>
      <c r="KD9" s="478"/>
      <c r="KE9" s="478"/>
      <c r="KF9" s="478"/>
      <c r="KG9" s="478"/>
      <c r="KH9" s="478"/>
      <c r="KI9" s="478"/>
      <c r="KJ9" s="478"/>
      <c r="KK9" s="478"/>
      <c r="KL9" s="478"/>
      <c r="KM9" s="478"/>
      <c r="KN9" s="478"/>
      <c r="KO9" s="478"/>
      <c r="KP9" s="478"/>
      <c r="KQ9" s="478"/>
      <c r="KR9" s="478"/>
      <c r="KS9" s="478"/>
      <c r="KT9" s="478"/>
      <c r="KU9" s="478"/>
      <c r="KV9" s="478"/>
      <c r="KW9" s="478"/>
      <c r="KX9" s="478"/>
      <c r="KY9" s="478"/>
      <c r="KZ9" s="478"/>
      <c r="LA9" s="478"/>
      <c r="LB9" s="478"/>
      <c r="LC9" s="478"/>
      <c r="LD9" s="478"/>
      <c r="LE9" s="478"/>
      <c r="LF9" s="478"/>
    </row>
    <row r="10" spans="1:318" s="213" customFormat="1" ht="27.45" customHeight="1">
      <c r="A10" s="865"/>
      <c r="B10" s="865"/>
      <c r="C10" s="865"/>
      <c r="D10" s="865"/>
      <c r="E10" s="865"/>
      <c r="F10" s="865"/>
      <c r="G10" s="865"/>
      <c r="H10" s="865"/>
      <c r="I10" s="865"/>
      <c r="J10" s="865"/>
      <c r="K10" s="865"/>
      <c r="L10" s="865"/>
      <c r="M10" s="865"/>
      <c r="N10" s="865"/>
      <c r="O10" s="865"/>
      <c r="P10" s="865"/>
      <c r="Q10" s="865"/>
      <c r="R10" s="865"/>
      <c r="S10" s="865"/>
      <c r="T10" s="865"/>
      <c r="U10" s="865"/>
      <c r="V10" s="865"/>
      <c r="W10" s="865"/>
      <c r="X10" s="865"/>
      <c r="Y10" s="865"/>
      <c r="Z10" s="865"/>
      <c r="AA10" s="865"/>
      <c r="AB10" s="865"/>
      <c r="AC10" s="865"/>
      <c r="AD10" s="865"/>
      <c r="AE10" s="865"/>
      <c r="AF10" s="865"/>
      <c r="AG10" s="865"/>
      <c r="AH10" s="865"/>
      <c r="AI10" s="865"/>
      <c r="AJ10" s="865"/>
      <c r="AK10" s="865"/>
      <c r="AL10" s="865"/>
      <c r="AM10" s="865"/>
      <c r="AN10" s="865"/>
      <c r="AO10" s="865"/>
      <c r="AP10" s="865"/>
      <c r="AQ10" s="865"/>
      <c r="AR10" s="865"/>
      <c r="AS10" s="865"/>
      <c r="AT10" s="865"/>
      <c r="AU10" s="865"/>
      <c r="AV10" s="865"/>
      <c r="AW10" s="865"/>
      <c r="AX10" s="865"/>
      <c r="AY10" s="865"/>
      <c r="AZ10" s="865"/>
      <c r="BA10" s="865"/>
      <c r="BB10" s="865"/>
      <c r="BC10" s="865"/>
      <c r="BD10" s="865"/>
      <c r="BE10" s="865"/>
      <c r="BF10" s="865"/>
      <c r="BG10" s="865"/>
      <c r="BH10" s="865"/>
      <c r="BI10" s="865"/>
      <c r="BJ10" s="865"/>
      <c r="BK10" s="865"/>
      <c r="BL10" s="478"/>
      <c r="BM10" s="478"/>
      <c r="BN10" s="478"/>
      <c r="BO10" s="478"/>
      <c r="BP10" s="478"/>
      <c r="BQ10" s="478"/>
      <c r="BR10" s="478"/>
      <c r="BS10" s="478"/>
      <c r="BT10" s="478"/>
      <c r="BU10" s="478"/>
      <c r="BV10" s="478"/>
      <c r="BW10" s="478"/>
      <c r="BX10" s="478"/>
      <c r="BY10" s="874"/>
      <c r="BZ10" s="874"/>
      <c r="CA10" s="874"/>
      <c r="CB10" s="874"/>
      <c r="CC10" s="874"/>
      <c r="CD10" s="874"/>
      <c r="CE10" s="874"/>
      <c r="CF10" s="874"/>
      <c r="CG10" s="874"/>
      <c r="CH10" s="874"/>
      <c r="CI10" s="874"/>
      <c r="CJ10" s="874"/>
      <c r="CK10" s="874"/>
      <c r="CL10" s="874"/>
      <c r="CM10" s="874"/>
      <c r="CN10" s="874"/>
      <c r="CO10" s="874"/>
      <c r="CP10" s="874"/>
      <c r="CQ10" s="874"/>
      <c r="CR10" s="874"/>
      <c r="CS10" s="874"/>
      <c r="CT10" s="874"/>
      <c r="CU10" s="874"/>
      <c r="CV10" s="874"/>
      <c r="CW10" s="874"/>
      <c r="CX10" s="478"/>
      <c r="CY10" s="478"/>
      <c r="CZ10" s="478"/>
      <c r="DA10" s="874"/>
      <c r="DB10" s="874"/>
      <c r="DC10" s="874"/>
      <c r="DD10" s="874"/>
      <c r="DE10" s="874"/>
      <c r="DF10" s="874"/>
      <c r="DG10" s="874"/>
      <c r="DH10" s="874"/>
      <c r="DI10" s="478"/>
      <c r="DJ10" s="478"/>
      <c r="DK10" s="478"/>
      <c r="DL10" s="478"/>
      <c r="DM10" s="478"/>
      <c r="DN10" s="478"/>
      <c r="DO10" s="478"/>
      <c r="DP10" s="478"/>
      <c r="DQ10" s="478"/>
      <c r="DR10" s="478"/>
      <c r="DS10" s="478"/>
      <c r="DT10" s="478"/>
      <c r="DU10" s="478"/>
      <c r="DV10" s="874"/>
      <c r="DW10" s="874"/>
      <c r="DX10" s="874"/>
      <c r="DY10" s="874"/>
      <c r="DZ10" s="874"/>
      <c r="EA10" s="874"/>
      <c r="EB10" s="874"/>
      <c r="EC10" s="874"/>
      <c r="ED10" s="478"/>
      <c r="EE10" s="478"/>
      <c r="EF10" s="478"/>
      <c r="EG10" s="478"/>
      <c r="EH10" s="478"/>
      <c r="EI10" s="478"/>
      <c r="EJ10" s="478"/>
      <c r="EK10" s="478"/>
      <c r="EL10" s="478"/>
      <c r="EM10" s="478"/>
      <c r="EN10" s="478"/>
      <c r="EO10" s="478"/>
      <c r="EP10" s="478"/>
      <c r="EQ10" s="874"/>
      <c r="ER10" s="874"/>
      <c r="ES10" s="874"/>
      <c r="ET10" s="874"/>
      <c r="EU10" s="874"/>
      <c r="EV10" s="874"/>
      <c r="EW10" s="874"/>
      <c r="EX10" s="874"/>
      <c r="EY10" s="478"/>
      <c r="EZ10" s="478"/>
      <c r="FA10" s="478"/>
      <c r="FB10" s="478"/>
      <c r="FC10" s="478"/>
      <c r="FD10" s="478"/>
      <c r="FE10" s="478"/>
      <c r="FF10" s="478"/>
      <c r="FG10" s="478"/>
      <c r="FH10" s="478"/>
      <c r="FI10" s="478"/>
      <c r="FJ10" s="478"/>
      <c r="FK10" s="478"/>
      <c r="FL10" s="874"/>
      <c r="FM10" s="874"/>
      <c r="FN10" s="874"/>
      <c r="FO10" s="874"/>
      <c r="FP10" s="874"/>
      <c r="FQ10" s="874"/>
      <c r="FR10" s="874"/>
      <c r="FS10" s="874"/>
      <c r="FT10" s="478"/>
      <c r="FU10" s="478"/>
      <c r="FV10" s="478"/>
      <c r="FW10" s="478"/>
      <c r="FX10" s="478"/>
      <c r="FY10" s="478"/>
      <c r="FZ10" s="478"/>
      <c r="GA10" s="478"/>
      <c r="GB10" s="478"/>
      <c r="GC10" s="478"/>
      <c r="GD10" s="478"/>
      <c r="GE10" s="478"/>
      <c r="GF10" s="478"/>
      <c r="GG10" s="874"/>
      <c r="GH10" s="874"/>
      <c r="GI10" s="874"/>
      <c r="GJ10" s="874"/>
      <c r="GK10" s="874"/>
      <c r="GL10" s="874"/>
      <c r="GM10" s="874"/>
      <c r="GN10" s="874"/>
      <c r="GO10" s="478"/>
      <c r="GP10" s="478"/>
      <c r="GQ10" s="478"/>
      <c r="GR10" s="478"/>
      <c r="GS10" s="478"/>
      <c r="GT10" s="478"/>
      <c r="GU10" s="478"/>
      <c r="GV10" s="478"/>
      <c r="GW10" s="478"/>
      <c r="GX10" s="478"/>
      <c r="GY10" s="478"/>
      <c r="GZ10" s="478"/>
      <c r="HA10" s="478"/>
      <c r="HB10" s="874"/>
      <c r="HC10" s="874"/>
      <c r="HD10" s="874"/>
      <c r="HE10" s="874"/>
      <c r="HF10" s="874"/>
      <c r="HG10" s="874"/>
      <c r="HH10" s="874"/>
      <c r="HI10" s="874"/>
      <c r="HJ10" s="478"/>
      <c r="HK10" s="478"/>
      <c r="HL10" s="478"/>
      <c r="HM10" s="478"/>
      <c r="HN10" s="478"/>
      <c r="HO10" s="478"/>
      <c r="HP10" s="478"/>
      <c r="HQ10" s="478"/>
      <c r="HR10" s="478"/>
      <c r="HS10" s="478"/>
      <c r="HT10" s="478"/>
      <c r="HU10" s="478"/>
      <c r="HV10" s="478"/>
      <c r="HW10" s="874"/>
      <c r="HX10" s="874"/>
      <c r="HY10" s="874"/>
      <c r="HZ10" s="874"/>
      <c r="IA10" s="874"/>
      <c r="IB10" s="874"/>
      <c r="IC10" s="874"/>
      <c r="ID10" s="874"/>
      <c r="IE10" s="478"/>
      <c r="IF10" s="478"/>
      <c r="IG10" s="478"/>
      <c r="IH10" s="478"/>
      <c r="II10" s="478"/>
      <c r="IJ10" s="478"/>
      <c r="IK10" s="478"/>
      <c r="IL10" s="478"/>
      <c r="IM10" s="478"/>
      <c r="IN10" s="478"/>
      <c r="IO10" s="478"/>
      <c r="IP10" s="478"/>
      <c r="IQ10" s="478"/>
      <c r="IR10" s="874"/>
      <c r="IS10" s="874"/>
      <c r="IT10" s="874"/>
      <c r="IU10" s="874"/>
      <c r="IV10" s="874"/>
      <c r="IW10" s="874"/>
      <c r="IX10" s="874"/>
      <c r="IY10" s="874"/>
      <c r="IZ10" s="478"/>
      <c r="JA10" s="478"/>
      <c r="JB10" s="478"/>
      <c r="JC10" s="478"/>
      <c r="JD10" s="478"/>
      <c r="JE10" s="478"/>
      <c r="JF10" s="478"/>
      <c r="JG10" s="478"/>
      <c r="JH10" s="478"/>
      <c r="JI10" s="478"/>
      <c r="JJ10" s="478"/>
      <c r="JK10" s="478"/>
      <c r="JL10" s="478"/>
      <c r="JM10" s="478"/>
      <c r="JN10" s="478"/>
      <c r="JO10" s="478"/>
      <c r="JP10" s="478"/>
      <c r="JQ10" s="478"/>
      <c r="JR10" s="478"/>
      <c r="JS10" s="478"/>
      <c r="JT10" s="478"/>
      <c r="JU10" s="478"/>
      <c r="JV10" s="478"/>
      <c r="JW10" s="478"/>
      <c r="JX10" s="478"/>
      <c r="JY10" s="478"/>
      <c r="JZ10" s="478"/>
      <c r="KA10" s="478"/>
      <c r="KB10" s="478"/>
      <c r="KC10" s="478"/>
      <c r="KD10" s="478"/>
      <c r="KE10" s="478"/>
      <c r="KF10" s="478"/>
      <c r="KG10" s="478"/>
      <c r="KH10" s="478"/>
      <c r="KI10" s="478"/>
      <c r="KJ10" s="478"/>
      <c r="KK10" s="478"/>
      <c r="KL10" s="478"/>
      <c r="KM10" s="478"/>
      <c r="KN10" s="478"/>
      <c r="KO10" s="478"/>
      <c r="KP10" s="478"/>
      <c r="KQ10" s="478"/>
      <c r="KR10" s="478"/>
      <c r="KS10" s="478"/>
      <c r="KT10" s="478"/>
      <c r="KU10" s="478"/>
      <c r="KV10" s="478"/>
      <c r="KW10" s="478"/>
      <c r="KX10" s="478"/>
      <c r="KY10" s="478"/>
      <c r="KZ10" s="478"/>
      <c r="LA10" s="478"/>
      <c r="LB10" s="478"/>
      <c r="LC10" s="478"/>
      <c r="LD10" s="478"/>
      <c r="LE10" s="478"/>
      <c r="LF10" s="478"/>
    </row>
    <row r="11" spans="1:318" ht="27.45" customHeight="1" thickBot="1">
      <c r="A11" s="865"/>
      <c r="B11" s="865"/>
      <c r="C11" s="865"/>
      <c r="D11" s="865"/>
      <c r="E11" s="865"/>
      <c r="F11" s="865"/>
      <c r="G11" s="865"/>
      <c r="H11" s="865"/>
      <c r="I11" s="865"/>
      <c r="J11" s="865"/>
      <c r="K11" s="865"/>
      <c r="L11" s="865"/>
      <c r="M11" s="865"/>
      <c r="N11" s="865"/>
      <c r="O11" s="865"/>
      <c r="P11" s="865"/>
      <c r="Q11" s="865"/>
      <c r="R11" s="865"/>
      <c r="S11" s="865"/>
      <c r="T11" s="865"/>
      <c r="U11" s="865"/>
      <c r="V11" s="865"/>
      <c r="W11" s="865"/>
      <c r="X11" s="865"/>
      <c r="Y11" s="865"/>
      <c r="Z11" s="865"/>
      <c r="AA11" s="865"/>
      <c r="AB11" s="865"/>
      <c r="AC11" s="865"/>
      <c r="AD11" s="865"/>
      <c r="AE11" s="865"/>
      <c r="AF11" s="865"/>
      <c r="AG11" s="865"/>
      <c r="AH11" s="865"/>
      <c r="AI11" s="865"/>
      <c r="AJ11" s="865"/>
      <c r="AK11" s="865"/>
      <c r="AL11" s="865"/>
      <c r="AM11" s="865"/>
      <c r="AN11" s="865"/>
      <c r="AO11" s="865"/>
      <c r="AP11" s="865"/>
      <c r="AQ11" s="865"/>
      <c r="AR11" s="865"/>
      <c r="AS11" s="865"/>
      <c r="AT11" s="865"/>
      <c r="AU11" s="865"/>
      <c r="AV11" s="865"/>
      <c r="AW11" s="865"/>
      <c r="AX11" s="865"/>
      <c r="AY11" s="865"/>
      <c r="AZ11" s="865"/>
      <c r="BA11" s="865"/>
      <c r="BB11" s="865"/>
      <c r="BC11" s="865"/>
      <c r="BD11" s="865"/>
      <c r="BE11" s="865"/>
      <c r="BF11" s="865"/>
      <c r="BG11" s="865"/>
      <c r="BH11" s="865"/>
      <c r="BI11" s="865"/>
      <c r="BJ11" s="865"/>
      <c r="BK11" s="865"/>
      <c r="BL11" s="478"/>
      <c r="BM11" s="478"/>
      <c r="BN11" s="478"/>
      <c r="BO11" s="478"/>
      <c r="BP11" s="478"/>
      <c r="BQ11" s="478"/>
      <c r="BR11" s="478"/>
      <c r="BS11" s="478"/>
      <c r="BT11" s="478"/>
      <c r="BU11" s="478"/>
      <c r="BV11" s="478"/>
      <c r="BW11" s="478"/>
      <c r="BX11" s="478"/>
      <c r="BY11" s="874"/>
      <c r="BZ11" s="874"/>
      <c r="CA11" s="874"/>
      <c r="CB11" s="874"/>
      <c r="CC11" s="874"/>
      <c r="CD11" s="874"/>
      <c r="CE11" s="874"/>
      <c r="CF11" s="874"/>
      <c r="CG11" s="874"/>
      <c r="CH11" s="874"/>
      <c r="CI11" s="874"/>
      <c r="CJ11" s="874"/>
      <c r="CK11" s="874"/>
      <c r="CL11" s="874"/>
      <c r="CM11" s="874"/>
      <c r="CN11" s="874"/>
      <c r="CO11" s="874"/>
      <c r="CP11" s="874"/>
      <c r="CQ11" s="874"/>
      <c r="CR11" s="874"/>
      <c r="CS11" s="874"/>
      <c r="CT11" s="874"/>
      <c r="CU11" s="874"/>
      <c r="CV11" s="874"/>
      <c r="CW11" s="874"/>
      <c r="CX11" s="874"/>
      <c r="CY11" s="874"/>
      <c r="CZ11" s="874"/>
      <c r="DA11" s="874"/>
      <c r="DB11" s="874"/>
      <c r="DC11" s="874"/>
      <c r="DD11" s="874"/>
      <c r="DE11" s="874"/>
      <c r="DF11" s="874"/>
      <c r="DG11" s="874"/>
      <c r="DH11" s="874"/>
      <c r="DI11" s="874"/>
      <c r="DJ11" s="874"/>
      <c r="DK11" s="874"/>
      <c r="DL11" s="874"/>
      <c r="DM11" s="874"/>
      <c r="DN11" s="874"/>
      <c r="DO11" s="874"/>
      <c r="DP11" s="874"/>
      <c r="DQ11" s="874"/>
      <c r="DR11" s="874"/>
      <c r="DS11" s="874"/>
      <c r="DT11" s="874"/>
      <c r="DU11" s="874"/>
      <c r="DV11" s="874"/>
      <c r="DW11" s="874"/>
      <c r="DX11" s="874"/>
      <c r="DY11" s="874"/>
      <c r="DZ11" s="874"/>
      <c r="EA11" s="874"/>
      <c r="EB11" s="874"/>
      <c r="EC11" s="874"/>
      <c r="ED11" s="874"/>
      <c r="EE11" s="874"/>
      <c r="EF11" s="874"/>
      <c r="EG11" s="874"/>
      <c r="EH11" s="874"/>
      <c r="EI11" s="874"/>
      <c r="EJ11" s="874"/>
      <c r="EK11" s="874"/>
      <c r="EL11" s="874"/>
      <c r="EM11" s="874"/>
      <c r="EN11" s="874"/>
      <c r="EO11" s="874"/>
      <c r="EP11" s="874"/>
      <c r="EQ11" s="874"/>
      <c r="ER11" s="874"/>
      <c r="ES11" s="874"/>
      <c r="ET11" s="874"/>
      <c r="EU11" s="874"/>
      <c r="EV11" s="874"/>
      <c r="EW11" s="874"/>
      <c r="EX11" s="874"/>
      <c r="EY11" s="874"/>
      <c r="EZ11" s="874"/>
      <c r="FA11" s="874"/>
      <c r="FB11" s="874"/>
      <c r="FC11" s="874"/>
      <c r="FD11" s="874"/>
      <c r="FE11" s="874"/>
      <c r="FF11" s="874"/>
      <c r="FG11" s="874"/>
      <c r="FH11" s="874"/>
      <c r="FI11" s="874"/>
      <c r="FJ11" s="874"/>
      <c r="FK11" s="874"/>
      <c r="FL11" s="874"/>
      <c r="FM11" s="874"/>
      <c r="FN11" s="874"/>
      <c r="FO11" s="874"/>
      <c r="FP11" s="874"/>
      <c r="FQ11" s="874"/>
      <c r="FR11" s="874"/>
      <c r="FS11" s="874"/>
      <c r="FT11" s="874"/>
      <c r="FU11" s="874"/>
      <c r="FV11" s="874"/>
      <c r="FW11" s="874"/>
      <c r="FX11" s="874"/>
      <c r="FY11" s="874"/>
      <c r="FZ11" s="874"/>
      <c r="GA11" s="874"/>
      <c r="GB11" s="874"/>
      <c r="GC11" s="874"/>
      <c r="GD11" s="874"/>
      <c r="GE11" s="874"/>
      <c r="GF11" s="874"/>
      <c r="GG11" s="874"/>
      <c r="GH11" s="874"/>
      <c r="GI11" s="874"/>
      <c r="GJ11" s="874"/>
      <c r="GK11" s="874"/>
      <c r="GL11" s="874"/>
      <c r="GM11" s="874"/>
      <c r="GN11" s="874"/>
      <c r="GO11" s="874"/>
      <c r="GP11" s="874"/>
      <c r="GQ11" s="874"/>
      <c r="GR11" s="874"/>
      <c r="GS11" s="874"/>
      <c r="GT11" s="874"/>
      <c r="GU11" s="874"/>
      <c r="GV11" s="874"/>
      <c r="GW11" s="874"/>
      <c r="GX11" s="874"/>
      <c r="GY11" s="874"/>
      <c r="GZ11" s="874"/>
      <c r="HA11" s="874"/>
      <c r="HB11" s="874"/>
      <c r="HC11" s="874"/>
      <c r="HD11" s="874"/>
      <c r="HE11" s="874"/>
      <c r="HF11" s="874"/>
      <c r="HG11" s="874"/>
      <c r="HH11" s="874"/>
      <c r="HI11" s="874"/>
      <c r="HJ11" s="874"/>
      <c r="HK11" s="874"/>
      <c r="HL11" s="874"/>
      <c r="HM11" s="874"/>
      <c r="HN11" s="874"/>
      <c r="HO11" s="874"/>
      <c r="HP11" s="874"/>
      <c r="HQ11" s="874"/>
      <c r="HR11" s="874"/>
      <c r="HS11" s="874"/>
      <c r="HT11" s="874"/>
      <c r="HU11" s="874"/>
      <c r="HV11" s="874"/>
      <c r="HW11" s="874"/>
      <c r="HX11" s="874"/>
      <c r="HY11" s="874"/>
      <c r="HZ11" s="874"/>
      <c r="IA11" s="874"/>
      <c r="IB11" s="874"/>
      <c r="IC11" s="874"/>
      <c r="ID11" s="874"/>
      <c r="IE11" s="874"/>
      <c r="IF11" s="874"/>
      <c r="IG11" s="874"/>
      <c r="IH11" s="874"/>
      <c r="II11" s="874"/>
      <c r="IJ11" s="874"/>
      <c r="IK11" s="874"/>
      <c r="IL11" s="874"/>
      <c r="IM11" s="874"/>
      <c r="IN11" s="874"/>
      <c r="IO11" s="874"/>
      <c r="IP11" s="874"/>
      <c r="IQ11" s="874"/>
      <c r="IR11" s="874"/>
      <c r="IS11" s="874"/>
      <c r="IT11" s="874"/>
      <c r="IU11" s="874"/>
      <c r="IV11" s="874"/>
      <c r="IW11" s="874"/>
      <c r="IX11" s="874"/>
      <c r="IY11" s="874"/>
      <c r="IZ11" s="874"/>
      <c r="JA11" s="874"/>
      <c r="JB11" s="874"/>
      <c r="JC11" s="874"/>
      <c r="JD11" s="874"/>
      <c r="JE11" s="874"/>
      <c r="JF11" s="874"/>
      <c r="JG11" s="874"/>
      <c r="JH11" s="874"/>
      <c r="JI11" s="874"/>
      <c r="JJ11" s="874"/>
      <c r="JK11" s="874"/>
      <c r="JL11" s="874"/>
      <c r="JM11" s="874"/>
      <c r="JN11" s="874"/>
      <c r="JO11" s="874"/>
      <c r="JP11" s="874"/>
      <c r="JQ11" s="874"/>
      <c r="JR11" s="874"/>
      <c r="JS11" s="874"/>
      <c r="JT11" s="874"/>
      <c r="JU11" s="874"/>
      <c r="JV11" s="874"/>
      <c r="JW11" s="874"/>
      <c r="JX11" s="874"/>
      <c r="JY11" s="874"/>
      <c r="JZ11" s="874"/>
      <c r="KA11" s="874"/>
      <c r="KB11" s="874"/>
      <c r="KC11" s="874"/>
      <c r="KD11" s="874"/>
      <c r="KE11" s="874"/>
      <c r="KF11" s="874"/>
      <c r="KG11" s="874"/>
      <c r="KH11" s="865"/>
      <c r="KI11" s="865"/>
      <c r="KJ11" s="865"/>
      <c r="KK11" s="865"/>
      <c r="KL11" s="865"/>
      <c r="KM11" s="865"/>
      <c r="KN11" s="865"/>
      <c r="KO11" s="865"/>
      <c r="KP11" s="865"/>
      <c r="KQ11" s="865"/>
      <c r="KR11" s="865"/>
      <c r="KS11" s="865"/>
      <c r="KT11" s="865"/>
      <c r="KU11" s="865"/>
      <c r="KV11" s="865"/>
      <c r="KW11" s="865"/>
      <c r="KX11" s="865"/>
      <c r="KY11" s="865"/>
      <c r="KZ11" s="865"/>
      <c r="LA11" s="865"/>
      <c r="LB11" s="865"/>
      <c r="LC11" s="865"/>
      <c r="LD11" s="865"/>
      <c r="LE11" s="865"/>
      <c r="LF11" s="865"/>
    </row>
    <row r="12" spans="1:318" ht="13.95" customHeight="1">
      <c r="A12" s="2507" t="s">
        <v>249</v>
      </c>
      <c r="B12" s="2523"/>
      <c r="C12" s="2523"/>
      <c r="D12" s="2523"/>
      <c r="E12" s="2523"/>
      <c r="F12" s="2523"/>
      <c r="G12" s="2523"/>
      <c r="H12" s="2523"/>
      <c r="I12" s="2523"/>
      <c r="J12" s="2523"/>
      <c r="K12" s="2523"/>
      <c r="L12" s="2523"/>
      <c r="M12" s="2523"/>
      <c r="N12" s="2523"/>
      <c r="O12" s="2523"/>
      <c r="P12" s="2523"/>
      <c r="Q12" s="2523"/>
      <c r="R12" s="2523"/>
      <c r="S12" s="2523"/>
      <c r="T12" s="2523"/>
      <c r="U12" s="2523"/>
      <c r="V12" s="2523"/>
      <c r="W12" s="2523"/>
      <c r="X12" s="2523"/>
      <c r="Y12" s="2523"/>
      <c r="Z12" s="2523"/>
      <c r="AA12" s="2523"/>
      <c r="AB12" s="2523"/>
      <c r="AC12" s="2523"/>
      <c r="AD12" s="2523"/>
      <c r="AE12" s="2523"/>
      <c r="AF12" s="2523"/>
      <c r="AG12" s="2523"/>
      <c r="AH12" s="2523"/>
      <c r="AI12" s="2524"/>
      <c r="AJ12" s="510"/>
      <c r="AK12" s="865"/>
      <c r="AL12" s="865"/>
      <c r="AM12" s="865"/>
      <c r="AN12" s="865"/>
      <c r="AO12" s="865"/>
      <c r="AP12" s="865"/>
      <c r="AQ12" s="865"/>
      <c r="AR12" s="865"/>
      <c r="AS12" s="865"/>
      <c r="AT12" s="865"/>
      <c r="AU12" s="865"/>
      <c r="AV12" s="865"/>
      <c r="AW12" s="865"/>
      <c r="AX12" s="865"/>
      <c r="AY12" s="865"/>
      <c r="AZ12" s="865"/>
      <c r="BA12" s="865"/>
      <c r="BB12" s="865"/>
      <c r="BC12" s="865"/>
      <c r="BD12" s="865"/>
      <c r="BE12" s="865"/>
      <c r="BF12" s="865"/>
      <c r="BG12" s="865"/>
      <c r="BH12" s="865"/>
      <c r="BI12" s="865"/>
      <c r="BJ12" s="2536"/>
      <c r="BK12" s="2537"/>
      <c r="BL12" s="2537"/>
      <c r="BM12" s="2537"/>
      <c r="BN12" s="2537"/>
      <c r="BO12" s="2537"/>
      <c r="BP12" s="2537"/>
      <c r="BQ12" s="2537"/>
      <c r="BR12" s="2537"/>
      <c r="BS12" s="2537"/>
      <c r="BT12" s="2537"/>
      <c r="BU12" s="2537"/>
      <c r="BV12" s="2537"/>
      <c r="BW12" s="2537"/>
      <c r="BX12" s="2538"/>
      <c r="BY12" s="874"/>
      <c r="BZ12" s="909" t="s">
        <v>249</v>
      </c>
      <c r="CA12" s="910"/>
      <c r="CB12" s="910"/>
      <c r="CC12" s="910"/>
      <c r="CD12" s="910"/>
      <c r="CE12" s="910"/>
      <c r="CF12" s="910"/>
      <c r="CG12" s="910"/>
      <c r="CH12" s="910"/>
      <c r="CI12" s="910"/>
      <c r="CJ12" s="910"/>
      <c r="CK12" s="910"/>
      <c r="CL12" s="910"/>
      <c r="CM12" s="910"/>
      <c r="CN12" s="910"/>
      <c r="CO12" s="910"/>
      <c r="CP12" s="910"/>
      <c r="CQ12" s="910"/>
      <c r="CR12" s="910"/>
      <c r="CS12" s="910"/>
      <c r="CT12" s="910"/>
      <c r="CU12" s="910"/>
      <c r="CV12" s="910"/>
      <c r="CW12" s="910"/>
      <c r="CX12" s="910"/>
      <c r="CY12" s="910"/>
      <c r="CZ12" s="910"/>
      <c r="DA12" s="910"/>
      <c r="DB12" s="910"/>
      <c r="DC12" s="910"/>
      <c r="DD12" s="910"/>
      <c r="DE12" s="910"/>
      <c r="DF12" s="910"/>
      <c r="DG12" s="910"/>
      <c r="DH12" s="910"/>
      <c r="DI12" s="910"/>
      <c r="DJ12" s="910"/>
      <c r="DK12" s="910"/>
      <c r="DL12" s="910"/>
      <c r="DM12" s="910"/>
      <c r="DN12" s="910"/>
      <c r="DO12" s="910"/>
      <c r="DP12" s="910"/>
      <c r="DQ12" s="910"/>
      <c r="DR12" s="910"/>
      <c r="DS12" s="910"/>
      <c r="DT12" s="910"/>
      <c r="DU12" s="910"/>
      <c r="DV12" s="910"/>
      <c r="DW12" s="910"/>
      <c r="DX12" s="910"/>
      <c r="DY12" s="910"/>
      <c r="DZ12" s="910"/>
      <c r="EA12" s="910"/>
      <c r="EB12" s="910"/>
      <c r="EC12" s="910"/>
      <c r="ED12" s="910"/>
      <c r="EE12" s="910"/>
      <c r="EF12" s="910"/>
      <c r="EG12" s="910"/>
      <c r="EH12" s="910"/>
      <c r="EI12" s="910"/>
      <c r="EJ12" s="910"/>
      <c r="EK12" s="910"/>
      <c r="EL12" s="910"/>
      <c r="EM12" s="910"/>
      <c r="EN12" s="910"/>
      <c r="EO12" s="910"/>
      <c r="EP12" s="910"/>
      <c r="EQ12" s="910"/>
      <c r="ER12" s="910"/>
      <c r="ES12" s="910"/>
      <c r="ET12" s="910"/>
      <c r="EU12" s="910"/>
      <c r="EV12" s="910"/>
      <c r="EW12" s="910"/>
      <c r="EX12" s="910"/>
      <c r="EY12" s="910"/>
      <c r="EZ12" s="910"/>
      <c r="FA12" s="910"/>
      <c r="FB12" s="910"/>
      <c r="FC12" s="910"/>
      <c r="FD12" s="910"/>
      <c r="FE12" s="910"/>
      <c r="FF12" s="910"/>
      <c r="FG12" s="910"/>
      <c r="FH12" s="910"/>
      <c r="FI12" s="910"/>
      <c r="FJ12" s="910"/>
      <c r="FK12" s="910"/>
      <c r="FL12" s="910"/>
      <c r="FM12" s="910"/>
      <c r="FN12" s="910"/>
      <c r="FO12" s="910"/>
      <c r="FP12" s="910"/>
      <c r="FQ12" s="910"/>
      <c r="FR12" s="910"/>
      <c r="FS12" s="910"/>
      <c r="FT12" s="910"/>
      <c r="FU12" s="910"/>
      <c r="FV12" s="910"/>
      <c r="FW12" s="910"/>
      <c r="FX12" s="910"/>
      <c r="FY12" s="910"/>
      <c r="FZ12" s="910"/>
      <c r="GA12" s="910"/>
      <c r="GB12" s="910"/>
      <c r="GC12" s="910"/>
      <c r="GD12" s="910"/>
      <c r="GE12" s="910"/>
      <c r="GF12" s="911"/>
      <c r="GG12" s="910"/>
      <c r="GH12" s="910"/>
      <c r="GI12" s="910"/>
      <c r="GJ12" s="910"/>
      <c r="GK12" s="910"/>
      <c r="GL12" s="910"/>
      <c r="GM12" s="910"/>
      <c r="GN12" s="910"/>
      <c r="GO12" s="874"/>
      <c r="GP12" s="874"/>
      <c r="GQ12" s="874"/>
      <c r="GR12" s="874"/>
      <c r="GS12" s="874"/>
      <c r="GT12" s="874"/>
      <c r="GU12" s="874"/>
      <c r="GV12" s="874"/>
      <c r="GW12" s="874"/>
      <c r="GX12" s="874"/>
      <c r="GY12" s="874"/>
      <c r="GZ12" s="874"/>
      <c r="HA12" s="874"/>
      <c r="HB12" s="910"/>
      <c r="HC12" s="910"/>
      <c r="HD12" s="910"/>
      <c r="HE12" s="910"/>
      <c r="HF12" s="910"/>
      <c r="HG12" s="910"/>
      <c r="HH12" s="910"/>
      <c r="HI12" s="910"/>
      <c r="HJ12" s="874"/>
      <c r="HK12" s="874"/>
      <c r="HL12" s="874"/>
      <c r="HM12" s="874"/>
      <c r="HN12" s="874"/>
      <c r="HO12" s="874"/>
      <c r="HP12" s="874"/>
      <c r="HQ12" s="874"/>
      <c r="HR12" s="874"/>
      <c r="HS12" s="874"/>
      <c r="HT12" s="874"/>
      <c r="HU12" s="874"/>
      <c r="HV12" s="874"/>
      <c r="HW12" s="910"/>
      <c r="HX12" s="910"/>
      <c r="HY12" s="910"/>
      <c r="HZ12" s="910"/>
      <c r="IA12" s="910"/>
      <c r="IB12" s="910"/>
      <c r="IC12" s="910"/>
      <c r="ID12" s="910"/>
      <c r="IE12" s="874"/>
      <c r="IF12" s="874"/>
      <c r="IG12" s="874"/>
      <c r="IH12" s="874"/>
      <c r="II12" s="874"/>
      <c r="IJ12" s="874"/>
      <c r="IK12" s="874"/>
      <c r="IL12" s="874"/>
      <c r="IM12" s="874"/>
      <c r="IN12" s="874"/>
      <c r="IO12" s="874"/>
      <c r="IP12" s="874"/>
      <c r="IQ12" s="874"/>
      <c r="IR12" s="910"/>
      <c r="IS12" s="910"/>
      <c r="IT12" s="910"/>
      <c r="IU12" s="910"/>
      <c r="IV12" s="910"/>
      <c r="IW12" s="910"/>
      <c r="IX12" s="910"/>
      <c r="IY12" s="910"/>
      <c r="IZ12" s="874"/>
      <c r="JA12" s="874"/>
      <c r="JB12" s="874"/>
      <c r="JC12" s="874"/>
      <c r="JD12" s="874"/>
      <c r="JE12" s="874"/>
      <c r="JF12" s="874"/>
      <c r="JG12" s="874"/>
      <c r="JH12" s="874"/>
      <c r="JI12" s="874"/>
      <c r="JJ12" s="874"/>
      <c r="JK12" s="874"/>
      <c r="JL12" s="874"/>
      <c r="JM12" s="874"/>
      <c r="JN12" s="874"/>
      <c r="JO12" s="874"/>
      <c r="JP12" s="874"/>
      <c r="JQ12" s="874"/>
      <c r="JR12" s="874"/>
      <c r="JS12" s="874"/>
      <c r="JT12" s="874"/>
      <c r="JU12" s="874"/>
      <c r="JV12" s="874"/>
      <c r="JW12" s="874"/>
      <c r="JX12" s="874"/>
      <c r="JY12" s="874"/>
      <c r="JZ12" s="874"/>
      <c r="KA12" s="874"/>
      <c r="KB12" s="874"/>
      <c r="KC12" s="874"/>
      <c r="KD12" s="874"/>
      <c r="KE12" s="874"/>
      <c r="KF12" s="874"/>
      <c r="KG12" s="874"/>
      <c r="KH12" s="865"/>
      <c r="KI12" s="865"/>
      <c r="KJ12" s="865"/>
      <c r="KK12" s="865"/>
      <c r="KL12" s="865"/>
      <c r="KM12" s="865"/>
      <c r="KN12" s="865"/>
      <c r="KO12" s="865"/>
      <c r="KP12" s="865"/>
      <c r="KQ12" s="865"/>
      <c r="KR12" s="865"/>
      <c r="KS12" s="865"/>
      <c r="KT12" s="865"/>
      <c r="KU12" s="865"/>
      <c r="KV12" s="865"/>
      <c r="KW12" s="865"/>
      <c r="KX12" s="865"/>
      <c r="KY12" s="865"/>
      <c r="KZ12" s="865"/>
      <c r="LA12" s="865"/>
      <c r="LB12" s="865"/>
      <c r="LC12" s="865"/>
      <c r="LD12" s="865"/>
      <c r="LE12" s="865"/>
      <c r="LF12" s="865"/>
    </row>
    <row r="13" spans="1:318" ht="13.95" customHeight="1">
      <c r="A13" s="2521"/>
      <c r="B13" s="2522"/>
      <c r="C13" s="2522"/>
      <c r="D13" s="2522"/>
      <c r="E13" s="2522"/>
      <c r="F13" s="2522"/>
      <c r="G13" s="2522"/>
      <c r="H13" s="2522"/>
      <c r="I13" s="2522"/>
      <c r="J13" s="2522"/>
      <c r="K13" s="2522"/>
      <c r="L13" s="2522"/>
      <c r="M13" s="2522"/>
      <c r="N13" s="2522"/>
      <c r="O13" s="2522"/>
      <c r="P13" s="2522"/>
      <c r="Q13" s="2522"/>
      <c r="R13" s="2522"/>
      <c r="S13" s="2522"/>
      <c r="T13" s="2522"/>
      <c r="U13" s="2522"/>
      <c r="V13" s="2522"/>
      <c r="W13" s="2522"/>
      <c r="X13" s="2522"/>
      <c r="Y13" s="2522"/>
      <c r="Z13" s="2522"/>
      <c r="AA13" s="2522"/>
      <c r="AB13" s="2522"/>
      <c r="AC13" s="2522"/>
      <c r="AD13" s="2522"/>
      <c r="AE13" s="2522"/>
      <c r="AF13" s="2522"/>
      <c r="AG13" s="2522"/>
      <c r="AH13" s="2522"/>
      <c r="AI13" s="2525"/>
      <c r="AJ13" s="510"/>
      <c r="AK13" s="865"/>
      <c r="AL13" s="865"/>
      <c r="AM13" s="865"/>
      <c r="AN13" s="865"/>
      <c r="AO13" s="865"/>
      <c r="AP13" s="865"/>
      <c r="AQ13" s="865"/>
      <c r="AR13" s="865"/>
      <c r="AS13" s="865"/>
      <c r="AT13" s="865"/>
      <c r="AU13" s="865"/>
      <c r="AV13" s="865"/>
      <c r="AW13" s="865"/>
      <c r="AX13" s="865"/>
      <c r="AY13" s="865"/>
      <c r="AZ13" s="865"/>
      <c r="BA13" s="865"/>
      <c r="BB13" s="865"/>
      <c r="BC13" s="865"/>
      <c r="BD13" s="865"/>
      <c r="BE13" s="865"/>
      <c r="BF13" s="865"/>
      <c r="BG13" s="865"/>
      <c r="BH13" s="865"/>
      <c r="BI13" s="865"/>
      <c r="BJ13" s="2539"/>
      <c r="BK13" s="2540"/>
      <c r="BL13" s="2540"/>
      <c r="BM13" s="2540"/>
      <c r="BN13" s="2540"/>
      <c r="BO13" s="2540"/>
      <c r="BP13" s="2540"/>
      <c r="BQ13" s="2540"/>
      <c r="BR13" s="2540"/>
      <c r="BS13" s="2540"/>
      <c r="BT13" s="2540"/>
      <c r="BU13" s="2540"/>
      <c r="BV13" s="2540"/>
      <c r="BW13" s="2540"/>
      <c r="BX13" s="2541"/>
      <c r="BY13" s="874"/>
      <c r="BZ13" s="912"/>
      <c r="CA13" s="913"/>
      <c r="CB13" s="913"/>
      <c r="CC13" s="913"/>
      <c r="CD13" s="913"/>
      <c r="CE13" s="913"/>
      <c r="CF13" s="913"/>
      <c r="CG13" s="913"/>
      <c r="CH13" s="913"/>
      <c r="CI13" s="913"/>
      <c r="CJ13" s="913"/>
      <c r="CK13" s="913"/>
      <c r="CL13" s="913"/>
      <c r="CM13" s="913"/>
      <c r="CN13" s="913"/>
      <c r="CO13" s="913"/>
      <c r="CP13" s="913"/>
      <c r="CQ13" s="913"/>
      <c r="CR13" s="913"/>
      <c r="CS13" s="913"/>
      <c r="CT13" s="913"/>
      <c r="CU13" s="913"/>
      <c r="CV13" s="913"/>
      <c r="CW13" s="913"/>
      <c r="CX13" s="913"/>
      <c r="CY13" s="913"/>
      <c r="CZ13" s="913"/>
      <c r="DA13" s="913"/>
      <c r="DB13" s="913"/>
      <c r="DC13" s="913"/>
      <c r="DD13" s="913"/>
      <c r="DE13" s="913"/>
      <c r="DF13" s="913"/>
      <c r="DG13" s="913"/>
      <c r="DH13" s="913"/>
      <c r="DI13" s="913"/>
      <c r="DJ13" s="913"/>
      <c r="DK13" s="913"/>
      <c r="DL13" s="913"/>
      <c r="DM13" s="913"/>
      <c r="DN13" s="913"/>
      <c r="DO13" s="913"/>
      <c r="DP13" s="913"/>
      <c r="DQ13" s="913"/>
      <c r="DR13" s="913"/>
      <c r="DS13" s="913"/>
      <c r="DT13" s="913"/>
      <c r="DU13" s="913"/>
      <c r="DV13" s="913"/>
      <c r="DW13" s="913"/>
      <c r="DX13" s="913"/>
      <c r="DY13" s="913"/>
      <c r="DZ13" s="913"/>
      <c r="EA13" s="913"/>
      <c r="EB13" s="913"/>
      <c r="EC13" s="913"/>
      <c r="ED13" s="913"/>
      <c r="EE13" s="913"/>
      <c r="EF13" s="913"/>
      <c r="EG13" s="913"/>
      <c r="EH13" s="913"/>
      <c r="EI13" s="913"/>
      <c r="EJ13" s="913"/>
      <c r="EK13" s="913"/>
      <c r="EL13" s="913"/>
      <c r="EM13" s="913"/>
      <c r="EN13" s="913"/>
      <c r="EO13" s="913"/>
      <c r="EP13" s="913"/>
      <c r="EQ13" s="913"/>
      <c r="ER13" s="913"/>
      <c r="ES13" s="913"/>
      <c r="ET13" s="913"/>
      <c r="EU13" s="913"/>
      <c r="EV13" s="913"/>
      <c r="EW13" s="913"/>
      <c r="EX13" s="913"/>
      <c r="EY13" s="913"/>
      <c r="EZ13" s="913"/>
      <c r="FA13" s="913"/>
      <c r="FB13" s="913"/>
      <c r="FC13" s="913"/>
      <c r="FD13" s="913"/>
      <c r="FE13" s="913"/>
      <c r="FF13" s="913"/>
      <c r="FG13" s="913"/>
      <c r="FH13" s="913"/>
      <c r="FI13" s="913"/>
      <c r="FJ13" s="913"/>
      <c r="FK13" s="913"/>
      <c r="FL13" s="913"/>
      <c r="FM13" s="913"/>
      <c r="FN13" s="913"/>
      <c r="FO13" s="913"/>
      <c r="FP13" s="913"/>
      <c r="FQ13" s="913"/>
      <c r="FR13" s="913"/>
      <c r="FS13" s="913"/>
      <c r="FT13" s="913"/>
      <c r="FU13" s="913"/>
      <c r="FV13" s="913"/>
      <c r="FW13" s="913"/>
      <c r="FX13" s="913"/>
      <c r="FY13" s="913"/>
      <c r="FZ13" s="913"/>
      <c r="GA13" s="913"/>
      <c r="GB13" s="913"/>
      <c r="GC13" s="913"/>
      <c r="GD13" s="913"/>
      <c r="GE13" s="913"/>
      <c r="GF13" s="914"/>
      <c r="GG13" s="913"/>
      <c r="GH13" s="913"/>
      <c r="GI13" s="913"/>
      <c r="GJ13" s="913"/>
      <c r="GK13" s="913"/>
      <c r="GL13" s="913"/>
      <c r="GM13" s="913"/>
      <c r="GN13" s="913"/>
      <c r="GO13" s="874"/>
      <c r="GP13" s="874"/>
      <c r="GQ13" s="874"/>
      <c r="GR13" s="874"/>
      <c r="GS13" s="874"/>
      <c r="GT13" s="874"/>
      <c r="GU13" s="874"/>
      <c r="GV13" s="874"/>
      <c r="GW13" s="874"/>
      <c r="GX13" s="874"/>
      <c r="GY13" s="874"/>
      <c r="GZ13" s="874"/>
      <c r="HA13" s="874"/>
      <c r="HB13" s="913"/>
      <c r="HC13" s="913"/>
      <c r="HD13" s="913"/>
      <c r="HE13" s="913"/>
      <c r="HF13" s="913"/>
      <c r="HG13" s="913"/>
      <c r="HH13" s="913"/>
      <c r="HI13" s="913"/>
      <c r="HJ13" s="874"/>
      <c r="HK13" s="874"/>
      <c r="HL13" s="874"/>
      <c r="HM13" s="874"/>
      <c r="HN13" s="874"/>
      <c r="HO13" s="874"/>
      <c r="HP13" s="874"/>
      <c r="HQ13" s="874"/>
      <c r="HR13" s="874"/>
      <c r="HS13" s="874"/>
      <c r="HT13" s="874"/>
      <c r="HU13" s="874"/>
      <c r="HV13" s="874"/>
      <c r="HW13" s="913"/>
      <c r="HX13" s="913"/>
      <c r="HY13" s="913"/>
      <c r="HZ13" s="913"/>
      <c r="IA13" s="913"/>
      <c r="IB13" s="913"/>
      <c r="IC13" s="913"/>
      <c r="ID13" s="913"/>
      <c r="IE13" s="874"/>
      <c r="IF13" s="874"/>
      <c r="IG13" s="874"/>
      <c r="IH13" s="874"/>
      <c r="II13" s="874"/>
      <c r="IJ13" s="874"/>
      <c r="IK13" s="874"/>
      <c r="IL13" s="874"/>
      <c r="IM13" s="874"/>
      <c r="IN13" s="874"/>
      <c r="IO13" s="874"/>
      <c r="IP13" s="874"/>
      <c r="IQ13" s="874"/>
      <c r="IR13" s="913"/>
      <c r="IS13" s="913"/>
      <c r="IT13" s="913"/>
      <c r="IU13" s="913"/>
      <c r="IV13" s="913"/>
      <c r="IW13" s="913"/>
      <c r="IX13" s="913"/>
      <c r="IY13" s="913"/>
      <c r="IZ13" s="874"/>
      <c r="JA13" s="874"/>
      <c r="JB13" s="874"/>
      <c r="JC13" s="874"/>
      <c r="JD13" s="874"/>
      <c r="JE13" s="874"/>
      <c r="JF13" s="874"/>
      <c r="JG13" s="874"/>
      <c r="JH13" s="874"/>
      <c r="JI13" s="874"/>
      <c r="JJ13" s="874"/>
      <c r="JK13" s="874"/>
      <c r="JL13" s="874"/>
      <c r="JM13" s="874"/>
      <c r="JN13" s="874"/>
      <c r="JO13" s="874"/>
      <c r="JP13" s="874"/>
      <c r="JQ13" s="874"/>
      <c r="JR13" s="874"/>
      <c r="JS13" s="874"/>
      <c r="JT13" s="874"/>
      <c r="JU13" s="874"/>
      <c r="JV13" s="874"/>
      <c r="JW13" s="874"/>
      <c r="JX13" s="874"/>
      <c r="JY13" s="874"/>
      <c r="JZ13" s="874"/>
      <c r="KA13" s="874"/>
      <c r="KB13" s="874"/>
      <c r="KC13" s="874"/>
      <c r="KD13" s="874"/>
      <c r="KE13" s="874"/>
      <c r="KF13" s="874"/>
      <c r="KG13" s="874"/>
      <c r="KH13" s="865"/>
      <c r="KI13" s="865"/>
      <c r="KJ13" s="865"/>
      <c r="KK13" s="865"/>
      <c r="KL13" s="865"/>
      <c r="KM13" s="865"/>
      <c r="KN13" s="865"/>
      <c r="KO13" s="865"/>
      <c r="KP13" s="865"/>
      <c r="KQ13" s="865"/>
      <c r="KR13" s="865"/>
      <c r="KS13" s="865"/>
      <c r="KT13" s="865"/>
      <c r="KU13" s="865"/>
      <c r="KV13" s="865"/>
      <c r="KW13" s="865"/>
      <c r="KX13" s="865"/>
      <c r="KY13" s="865"/>
      <c r="KZ13" s="865"/>
      <c r="LA13" s="865"/>
      <c r="LB13" s="865"/>
      <c r="LC13" s="865"/>
      <c r="LD13" s="865"/>
      <c r="LE13" s="865"/>
      <c r="LF13" s="865"/>
    </row>
    <row r="14" spans="1:318" ht="14.55" customHeight="1" thickBot="1">
      <c r="A14" s="2521"/>
      <c r="B14" s="2522"/>
      <c r="C14" s="2522"/>
      <c r="D14" s="2522"/>
      <c r="E14" s="2522"/>
      <c r="F14" s="2522"/>
      <c r="G14" s="2522"/>
      <c r="H14" s="2522"/>
      <c r="I14" s="2522"/>
      <c r="J14" s="2522"/>
      <c r="K14" s="2522"/>
      <c r="L14" s="2522"/>
      <c r="M14" s="2522"/>
      <c r="N14" s="2522"/>
      <c r="O14" s="2522"/>
      <c r="P14" s="2522"/>
      <c r="Q14" s="2522"/>
      <c r="R14" s="2522"/>
      <c r="S14" s="2522"/>
      <c r="T14" s="2522"/>
      <c r="U14" s="2522"/>
      <c r="V14" s="2522"/>
      <c r="W14" s="2522"/>
      <c r="X14" s="2522"/>
      <c r="Y14" s="2522"/>
      <c r="Z14" s="2522"/>
      <c r="AA14" s="2522"/>
      <c r="AB14" s="2522"/>
      <c r="AC14" s="2522"/>
      <c r="AD14" s="2522"/>
      <c r="AE14" s="2522"/>
      <c r="AF14" s="2522"/>
      <c r="AG14" s="2522"/>
      <c r="AH14" s="2522"/>
      <c r="AI14" s="2525"/>
      <c r="AJ14" s="510"/>
      <c r="AK14" s="865"/>
      <c r="AL14" s="865"/>
      <c r="AM14" s="865"/>
      <c r="AN14" s="865"/>
      <c r="AO14" s="865"/>
      <c r="AP14" s="865"/>
      <c r="AQ14" s="865"/>
      <c r="AR14" s="865"/>
      <c r="AS14" s="865"/>
      <c r="AT14" s="865"/>
      <c r="AU14" s="865"/>
      <c r="AV14" s="865"/>
      <c r="AW14" s="865"/>
      <c r="AX14" s="865"/>
      <c r="AY14" s="865"/>
      <c r="AZ14" s="865"/>
      <c r="BA14" s="865"/>
      <c r="BB14" s="865"/>
      <c r="BC14" s="865"/>
      <c r="BD14" s="865"/>
      <c r="BE14" s="865"/>
      <c r="BF14" s="865"/>
      <c r="BG14" s="865"/>
      <c r="BH14" s="865"/>
      <c r="BI14" s="865"/>
      <c r="BJ14" s="2542"/>
      <c r="BK14" s="2543"/>
      <c r="BL14" s="2543"/>
      <c r="BM14" s="2543"/>
      <c r="BN14" s="2543"/>
      <c r="BO14" s="2543"/>
      <c r="BP14" s="2543"/>
      <c r="BQ14" s="2543"/>
      <c r="BR14" s="2543"/>
      <c r="BS14" s="2543"/>
      <c r="BT14" s="2543"/>
      <c r="BU14" s="2543"/>
      <c r="BV14" s="2543"/>
      <c r="BW14" s="2543"/>
      <c r="BX14" s="2544"/>
      <c r="BY14" s="874"/>
      <c r="BZ14" s="912"/>
      <c r="CA14" s="913"/>
      <c r="CB14" s="913"/>
      <c r="CC14" s="913"/>
      <c r="CD14" s="913"/>
      <c r="CE14" s="913"/>
      <c r="CF14" s="913"/>
      <c r="CG14" s="913"/>
      <c r="CH14" s="913"/>
      <c r="CI14" s="913"/>
      <c r="CJ14" s="913"/>
      <c r="CK14" s="913"/>
      <c r="CL14" s="913"/>
      <c r="CM14" s="913"/>
      <c r="CN14" s="913"/>
      <c r="CO14" s="913"/>
      <c r="CP14" s="913"/>
      <c r="CQ14" s="913"/>
      <c r="CR14" s="913"/>
      <c r="CS14" s="913"/>
      <c r="CT14" s="913"/>
      <c r="CU14" s="913"/>
      <c r="CV14" s="913"/>
      <c r="CW14" s="913"/>
      <c r="CX14" s="913"/>
      <c r="CY14" s="913"/>
      <c r="CZ14" s="913"/>
      <c r="DA14" s="913"/>
      <c r="DB14" s="913"/>
      <c r="DC14" s="913"/>
      <c r="DD14" s="913"/>
      <c r="DE14" s="913"/>
      <c r="DF14" s="913"/>
      <c r="DG14" s="913"/>
      <c r="DH14" s="913"/>
      <c r="DI14" s="913"/>
      <c r="DJ14" s="913"/>
      <c r="DK14" s="913"/>
      <c r="DL14" s="913"/>
      <c r="DM14" s="913"/>
      <c r="DN14" s="913"/>
      <c r="DO14" s="913"/>
      <c r="DP14" s="913"/>
      <c r="DQ14" s="913"/>
      <c r="DR14" s="913"/>
      <c r="DS14" s="913"/>
      <c r="DT14" s="913"/>
      <c r="DU14" s="913"/>
      <c r="DV14" s="913"/>
      <c r="DW14" s="913"/>
      <c r="DX14" s="913"/>
      <c r="DY14" s="913"/>
      <c r="DZ14" s="913"/>
      <c r="EA14" s="913"/>
      <c r="EB14" s="913"/>
      <c r="EC14" s="913"/>
      <c r="ED14" s="913"/>
      <c r="EE14" s="913"/>
      <c r="EF14" s="913"/>
      <c r="EG14" s="913"/>
      <c r="EH14" s="913"/>
      <c r="EI14" s="913"/>
      <c r="EJ14" s="913"/>
      <c r="EK14" s="913"/>
      <c r="EL14" s="913"/>
      <c r="EM14" s="913"/>
      <c r="EN14" s="913"/>
      <c r="EO14" s="913"/>
      <c r="EP14" s="913"/>
      <c r="EQ14" s="913"/>
      <c r="ER14" s="913"/>
      <c r="ES14" s="913"/>
      <c r="ET14" s="913"/>
      <c r="EU14" s="913"/>
      <c r="EV14" s="913"/>
      <c r="EW14" s="913"/>
      <c r="EX14" s="913"/>
      <c r="EY14" s="913"/>
      <c r="EZ14" s="913"/>
      <c r="FA14" s="913"/>
      <c r="FB14" s="913"/>
      <c r="FC14" s="913"/>
      <c r="FD14" s="913"/>
      <c r="FE14" s="913"/>
      <c r="FF14" s="913"/>
      <c r="FG14" s="913"/>
      <c r="FH14" s="913"/>
      <c r="FI14" s="913"/>
      <c r="FJ14" s="913"/>
      <c r="FK14" s="913"/>
      <c r="FL14" s="913"/>
      <c r="FM14" s="913"/>
      <c r="FN14" s="913"/>
      <c r="FO14" s="913"/>
      <c r="FP14" s="913"/>
      <c r="FQ14" s="913"/>
      <c r="FR14" s="913"/>
      <c r="FS14" s="913"/>
      <c r="FT14" s="913"/>
      <c r="FU14" s="913"/>
      <c r="FV14" s="913"/>
      <c r="FW14" s="913"/>
      <c r="FX14" s="913"/>
      <c r="FY14" s="913"/>
      <c r="FZ14" s="913"/>
      <c r="GA14" s="913"/>
      <c r="GB14" s="913"/>
      <c r="GC14" s="913"/>
      <c r="GD14" s="913"/>
      <c r="GE14" s="913"/>
      <c r="GF14" s="914"/>
      <c r="GG14" s="913"/>
      <c r="GH14" s="913"/>
      <c r="GI14" s="913"/>
      <c r="GJ14" s="913"/>
      <c r="GK14" s="913"/>
      <c r="GL14" s="913"/>
      <c r="GM14" s="913"/>
      <c r="GN14" s="913"/>
      <c r="GO14" s="874"/>
      <c r="GP14" s="874"/>
      <c r="GQ14" s="874"/>
      <c r="GR14" s="874"/>
      <c r="GS14" s="874"/>
      <c r="GT14" s="874"/>
      <c r="GU14" s="874"/>
      <c r="GV14" s="874"/>
      <c r="GW14" s="874"/>
      <c r="GX14" s="874"/>
      <c r="GY14" s="874"/>
      <c r="GZ14" s="874"/>
      <c r="HA14" s="874"/>
      <c r="HB14" s="913"/>
      <c r="HC14" s="913"/>
      <c r="HD14" s="913"/>
      <c r="HE14" s="913"/>
      <c r="HF14" s="913"/>
      <c r="HG14" s="913"/>
      <c r="HH14" s="913"/>
      <c r="HI14" s="913"/>
      <c r="HJ14" s="874"/>
      <c r="HK14" s="874"/>
      <c r="HL14" s="874"/>
      <c r="HM14" s="874"/>
      <c r="HN14" s="874"/>
      <c r="HO14" s="874"/>
      <c r="HP14" s="874"/>
      <c r="HQ14" s="874"/>
      <c r="HR14" s="874"/>
      <c r="HS14" s="874"/>
      <c r="HT14" s="874"/>
      <c r="HU14" s="874"/>
      <c r="HV14" s="874"/>
      <c r="HW14" s="913"/>
      <c r="HX14" s="913"/>
      <c r="HY14" s="913"/>
      <c r="HZ14" s="913"/>
      <c r="IA14" s="913"/>
      <c r="IB14" s="913"/>
      <c r="IC14" s="913"/>
      <c r="ID14" s="913"/>
      <c r="IE14" s="874"/>
      <c r="IF14" s="874"/>
      <c r="IG14" s="874"/>
      <c r="IH14" s="874"/>
      <c r="II14" s="874"/>
      <c r="IJ14" s="874"/>
      <c r="IK14" s="874"/>
      <c r="IL14" s="874"/>
      <c r="IM14" s="874"/>
      <c r="IN14" s="874"/>
      <c r="IO14" s="874"/>
      <c r="IP14" s="874"/>
      <c r="IQ14" s="874"/>
      <c r="IR14" s="913"/>
      <c r="IS14" s="913"/>
      <c r="IT14" s="913"/>
      <c r="IU14" s="913"/>
      <c r="IV14" s="913"/>
      <c r="IW14" s="913"/>
      <c r="IX14" s="913"/>
      <c r="IY14" s="913"/>
      <c r="IZ14" s="874"/>
      <c r="JA14" s="874"/>
      <c r="JB14" s="874"/>
      <c r="JC14" s="874"/>
      <c r="JD14" s="874"/>
      <c r="JE14" s="874"/>
      <c r="JF14" s="874"/>
      <c r="JG14" s="874"/>
      <c r="JH14" s="874"/>
      <c r="JI14" s="874"/>
      <c r="JJ14" s="874"/>
      <c r="JK14" s="874"/>
      <c r="JL14" s="874"/>
      <c r="JM14" s="874"/>
      <c r="JN14" s="874"/>
      <c r="JO14" s="874"/>
      <c r="JP14" s="874"/>
      <c r="JQ14" s="874"/>
      <c r="JR14" s="874"/>
      <c r="JS14" s="874"/>
      <c r="JT14" s="874"/>
      <c r="JU14" s="874"/>
      <c r="JV14" s="874"/>
      <c r="JW14" s="874"/>
      <c r="JX14" s="874"/>
      <c r="JY14" s="874"/>
      <c r="JZ14" s="874"/>
      <c r="KA14" s="874"/>
      <c r="KB14" s="874"/>
      <c r="KC14" s="874"/>
      <c r="KD14" s="874"/>
      <c r="KE14" s="874"/>
      <c r="KF14" s="874"/>
      <c r="KG14" s="874"/>
      <c r="KH14" s="865"/>
      <c r="KI14" s="865"/>
      <c r="KJ14" s="865"/>
      <c r="KK14" s="865"/>
      <c r="KL14" s="865"/>
      <c r="KM14" s="865"/>
      <c r="KN14" s="865"/>
      <c r="KO14" s="865"/>
      <c r="KP14" s="865"/>
      <c r="KQ14" s="865"/>
      <c r="KR14" s="865"/>
      <c r="KS14" s="865"/>
      <c r="KT14" s="865"/>
      <c r="KU14" s="865"/>
      <c r="KV14" s="865"/>
      <c r="KW14" s="865"/>
      <c r="KX14" s="865"/>
      <c r="KY14" s="865"/>
      <c r="KZ14" s="865"/>
      <c r="LA14" s="865"/>
      <c r="LB14" s="865"/>
      <c r="LC14" s="865"/>
      <c r="LD14" s="865"/>
      <c r="LE14" s="865"/>
      <c r="LF14" s="865"/>
    </row>
    <row r="15" spans="1:318" ht="20.399999999999999">
      <c r="A15" s="498" t="s">
        <v>243</v>
      </c>
      <c r="B15" s="2518" t="s">
        <v>140</v>
      </c>
      <c r="C15" s="2518"/>
      <c r="D15" s="2518"/>
      <c r="E15" s="2519"/>
      <c r="F15" s="511"/>
      <c r="G15" s="498" t="s">
        <v>244</v>
      </c>
      <c r="H15" s="2518" t="s">
        <v>231</v>
      </c>
      <c r="I15" s="2518"/>
      <c r="J15" s="2518"/>
      <c r="K15" s="2519"/>
      <c r="L15" s="511"/>
      <c r="M15" s="498" t="s">
        <v>245</v>
      </c>
      <c r="N15" s="2518" t="s">
        <v>232</v>
      </c>
      <c r="O15" s="2518"/>
      <c r="P15" s="2518"/>
      <c r="Q15" s="2519"/>
      <c r="R15" s="511"/>
      <c r="S15" s="498" t="s">
        <v>246</v>
      </c>
      <c r="T15" s="2518" t="s">
        <v>233</v>
      </c>
      <c r="U15" s="2518"/>
      <c r="V15" s="2518"/>
      <c r="W15" s="2519"/>
      <c r="X15" s="511"/>
      <c r="Y15" s="498" t="s">
        <v>247</v>
      </c>
      <c r="Z15" s="2518" t="s">
        <v>234</v>
      </c>
      <c r="AA15" s="2518"/>
      <c r="AB15" s="2518"/>
      <c r="AC15" s="2519"/>
      <c r="AD15" s="510"/>
      <c r="AE15" s="498" t="s">
        <v>248</v>
      </c>
      <c r="AF15" s="2518" t="s">
        <v>235</v>
      </c>
      <c r="AG15" s="2518"/>
      <c r="AH15" s="2518"/>
      <c r="AI15" s="2519"/>
      <c r="AJ15" s="510"/>
      <c r="AK15" s="865"/>
      <c r="AL15" s="865"/>
      <c r="AM15" s="865"/>
      <c r="AN15" s="865"/>
      <c r="AO15" s="865"/>
      <c r="AP15" s="865"/>
      <c r="AQ15" s="865"/>
      <c r="AR15" s="865"/>
      <c r="AS15" s="865"/>
      <c r="AT15" s="865"/>
      <c r="AU15" s="865"/>
      <c r="AV15" s="865"/>
      <c r="AW15" s="865"/>
      <c r="AX15" s="865"/>
      <c r="AY15" s="865"/>
      <c r="AZ15" s="865"/>
      <c r="BA15" s="865"/>
      <c r="BB15" s="865"/>
      <c r="BC15" s="865"/>
      <c r="BD15" s="865"/>
      <c r="BE15" s="865"/>
      <c r="BF15" s="865"/>
      <c r="BG15" s="865"/>
      <c r="BH15" s="865"/>
      <c r="BI15" s="865"/>
      <c r="BJ15" s="2530" t="s">
        <v>243</v>
      </c>
      <c r="BK15" s="2530"/>
      <c r="BL15" s="2530"/>
      <c r="BM15" s="2480" t="s">
        <v>140</v>
      </c>
      <c r="BN15" s="2480"/>
      <c r="BO15" s="2480"/>
      <c r="BP15" s="2480"/>
      <c r="BQ15" s="865"/>
      <c r="BR15" s="2530" t="s">
        <v>246</v>
      </c>
      <c r="BS15" s="2530"/>
      <c r="BT15" s="2530"/>
      <c r="BU15" s="2480" t="s">
        <v>233</v>
      </c>
      <c r="BV15" s="2480"/>
      <c r="BW15" s="2480"/>
      <c r="BX15" s="2480"/>
      <c r="BY15" s="874"/>
      <c r="BZ15" s="915" t="s">
        <v>243</v>
      </c>
      <c r="CA15" s="916"/>
      <c r="CB15" s="2474" t="s">
        <v>140</v>
      </c>
      <c r="CC15" s="2474"/>
      <c r="CD15" s="2474"/>
      <c r="CE15" s="2475"/>
      <c r="CF15" s="511"/>
      <c r="CG15" s="511"/>
      <c r="CH15" s="511"/>
      <c r="CI15" s="511"/>
      <c r="CJ15" s="511"/>
      <c r="CK15" s="511"/>
      <c r="CL15" s="511"/>
      <c r="CM15" s="511"/>
      <c r="CN15" s="511"/>
      <c r="CO15" s="511"/>
      <c r="CP15" s="511"/>
      <c r="CQ15" s="511"/>
      <c r="CR15" s="511"/>
      <c r="CS15" s="511"/>
      <c r="CT15" s="511"/>
      <c r="CU15" s="915" t="s">
        <v>244</v>
      </c>
      <c r="CV15" s="916"/>
      <c r="CW15" s="2474" t="s">
        <v>231</v>
      </c>
      <c r="CX15" s="2474"/>
      <c r="CY15" s="2474"/>
      <c r="CZ15" s="2475"/>
      <c r="DA15" s="511"/>
      <c r="DB15" s="511"/>
      <c r="DC15" s="511"/>
      <c r="DD15" s="511"/>
      <c r="DE15" s="511"/>
      <c r="DF15" s="511"/>
      <c r="DG15" s="511"/>
      <c r="DH15" s="511"/>
      <c r="DI15" s="511"/>
      <c r="DJ15" s="511"/>
      <c r="DK15" s="511"/>
      <c r="DL15" s="511"/>
      <c r="DM15" s="511"/>
      <c r="DN15" s="511"/>
      <c r="DO15" s="511"/>
      <c r="DP15" s="915" t="s">
        <v>245</v>
      </c>
      <c r="DQ15" s="917"/>
      <c r="DR15" s="2471" t="s">
        <v>232</v>
      </c>
      <c r="DS15" s="2472"/>
      <c r="DT15" s="2472"/>
      <c r="DU15" s="2473"/>
      <c r="DV15" s="511"/>
      <c r="DW15" s="511"/>
      <c r="DX15" s="511"/>
      <c r="DY15" s="511"/>
      <c r="DZ15" s="511"/>
      <c r="EA15" s="511"/>
      <c r="EB15" s="511"/>
      <c r="EC15" s="511"/>
      <c r="ED15" s="511"/>
      <c r="EE15" s="511"/>
      <c r="EF15" s="511"/>
      <c r="EG15" s="511"/>
      <c r="EH15" s="511"/>
      <c r="EI15" s="511"/>
      <c r="EJ15" s="511"/>
      <c r="EK15" s="915" t="s">
        <v>246</v>
      </c>
      <c r="EL15" s="916"/>
      <c r="EM15" s="2474" t="s">
        <v>233</v>
      </c>
      <c r="EN15" s="2474"/>
      <c r="EO15" s="2474"/>
      <c r="EP15" s="2475"/>
      <c r="EQ15" s="511"/>
      <c r="ER15" s="511"/>
      <c r="ES15" s="511"/>
      <c r="ET15" s="511"/>
      <c r="EU15" s="511"/>
      <c r="EV15" s="511"/>
      <c r="EW15" s="511"/>
      <c r="EX15" s="511"/>
      <c r="EY15" s="511"/>
      <c r="EZ15" s="511"/>
      <c r="FA15" s="511"/>
      <c r="FB15" s="511"/>
      <c r="FC15" s="511"/>
      <c r="FD15" s="511"/>
      <c r="FE15" s="511"/>
      <c r="FF15" s="915" t="s">
        <v>247</v>
      </c>
      <c r="FG15" s="917"/>
      <c r="FH15" s="2471" t="s">
        <v>234</v>
      </c>
      <c r="FI15" s="2472"/>
      <c r="FJ15" s="2472"/>
      <c r="FK15" s="2473"/>
      <c r="FL15" s="511"/>
      <c r="FM15" s="511"/>
      <c r="FN15" s="511"/>
      <c r="FO15" s="511"/>
      <c r="FP15" s="511"/>
      <c r="FQ15" s="511"/>
      <c r="FR15" s="511"/>
      <c r="FS15" s="511"/>
      <c r="FT15" s="510"/>
      <c r="FU15" s="510"/>
      <c r="FV15" s="510"/>
      <c r="FW15" s="510"/>
      <c r="FX15" s="510"/>
      <c r="FY15" s="510"/>
      <c r="FZ15" s="510"/>
      <c r="GA15" s="915" t="s">
        <v>248</v>
      </c>
      <c r="GB15" s="916"/>
      <c r="GC15" s="2474" t="s">
        <v>235</v>
      </c>
      <c r="GD15" s="2474"/>
      <c r="GE15" s="2474"/>
      <c r="GF15" s="2475"/>
      <c r="GG15" s="511"/>
      <c r="GH15" s="511"/>
      <c r="GI15" s="511"/>
      <c r="GJ15" s="511"/>
      <c r="GK15" s="511"/>
      <c r="GL15" s="511"/>
      <c r="GM15" s="511"/>
      <c r="GN15" s="511"/>
      <c r="GO15" s="874"/>
      <c r="GP15" s="874"/>
      <c r="GQ15" s="874"/>
      <c r="GR15" s="874"/>
      <c r="GS15" s="874"/>
      <c r="GT15" s="874"/>
      <c r="GU15" s="874"/>
      <c r="GV15" s="874"/>
      <c r="GW15" s="874"/>
      <c r="GX15" s="874"/>
      <c r="GY15" s="874"/>
      <c r="GZ15" s="874"/>
      <c r="HA15" s="874"/>
      <c r="HB15" s="511"/>
      <c r="HC15" s="511"/>
      <c r="HD15" s="511"/>
      <c r="HE15" s="511"/>
      <c r="HF15" s="511"/>
      <c r="HG15" s="511"/>
      <c r="HH15" s="511"/>
      <c r="HI15" s="511"/>
      <c r="HJ15" s="874"/>
      <c r="HK15" s="874"/>
      <c r="HL15" s="874"/>
      <c r="HM15" s="874"/>
      <c r="HN15" s="874"/>
      <c r="HO15" s="874"/>
      <c r="HP15" s="874"/>
      <c r="HQ15" s="874"/>
      <c r="HR15" s="874"/>
      <c r="HS15" s="874"/>
      <c r="HT15" s="874"/>
      <c r="HU15" s="874"/>
      <c r="HV15" s="874"/>
      <c r="HW15" s="511"/>
      <c r="HX15" s="511"/>
      <c r="HY15" s="511"/>
      <c r="HZ15" s="511"/>
      <c r="IA15" s="511"/>
      <c r="IB15" s="511"/>
      <c r="IC15" s="511"/>
      <c r="ID15" s="511"/>
      <c r="IE15" s="874"/>
      <c r="IF15" s="874"/>
      <c r="IG15" s="874"/>
      <c r="IH15" s="874"/>
      <c r="II15" s="874"/>
      <c r="IJ15" s="874"/>
      <c r="IK15" s="874"/>
      <c r="IL15" s="874"/>
      <c r="IM15" s="874"/>
      <c r="IN15" s="874"/>
      <c r="IO15" s="874"/>
      <c r="IP15" s="874"/>
      <c r="IQ15" s="874"/>
      <c r="IR15" s="511"/>
      <c r="IS15" s="511"/>
      <c r="IT15" s="511"/>
      <c r="IU15" s="511"/>
      <c r="IV15" s="511"/>
      <c r="IW15" s="511"/>
      <c r="IX15" s="511"/>
      <c r="IY15" s="511"/>
      <c r="IZ15" s="874"/>
      <c r="JA15" s="874"/>
      <c r="JB15" s="874"/>
      <c r="JC15" s="874"/>
      <c r="JD15" s="874"/>
      <c r="JE15" s="874"/>
      <c r="JF15" s="874"/>
      <c r="JG15" s="874"/>
      <c r="JH15" s="874"/>
      <c r="JI15" s="874"/>
      <c r="JJ15" s="874"/>
      <c r="JK15" s="874"/>
      <c r="JL15" s="874"/>
      <c r="JM15" s="874"/>
      <c r="JN15" s="874"/>
      <c r="JO15" s="874"/>
      <c r="JP15" s="874"/>
      <c r="JQ15" s="874"/>
      <c r="JR15" s="874"/>
      <c r="JS15" s="874"/>
      <c r="JT15" s="874"/>
      <c r="JU15" s="874"/>
      <c r="JV15" s="874"/>
      <c r="JW15" s="874"/>
      <c r="JX15" s="874"/>
      <c r="JY15" s="874"/>
      <c r="JZ15" s="874"/>
      <c r="KA15" s="874"/>
      <c r="KB15" s="874"/>
      <c r="KC15" s="874"/>
      <c r="KD15" s="874"/>
      <c r="KE15" s="874"/>
      <c r="KF15" s="874"/>
      <c r="KG15" s="874"/>
      <c r="KH15" s="865"/>
      <c r="KI15" s="865"/>
      <c r="KJ15" s="865"/>
      <c r="KK15" s="865"/>
      <c r="KL15" s="865"/>
      <c r="KM15" s="865"/>
      <c r="KN15" s="865"/>
      <c r="KO15" s="865"/>
      <c r="KP15" s="865"/>
      <c r="KQ15" s="865"/>
      <c r="KR15" s="865"/>
      <c r="KS15" s="865"/>
      <c r="KT15" s="865"/>
      <c r="KU15" s="865"/>
      <c r="KV15" s="865"/>
      <c r="KW15" s="865"/>
      <c r="KX15" s="865"/>
      <c r="KY15" s="865"/>
      <c r="KZ15" s="865"/>
      <c r="LA15" s="865"/>
      <c r="LB15" s="865"/>
      <c r="LC15" s="865"/>
      <c r="LD15" s="865"/>
      <c r="LE15" s="865"/>
      <c r="LF15" s="865"/>
    </row>
    <row r="16" spans="1:318" ht="18.45" customHeight="1">
      <c r="A16" s="499" t="s">
        <v>1222</v>
      </c>
      <c r="B16" s="2487" t="str">
        <f>IF(B21="","",AVERAGE(B21:E21))</f>
        <v/>
      </c>
      <c r="C16" s="2487"/>
      <c r="D16" s="2487"/>
      <c r="E16" s="2488"/>
      <c r="F16" s="511"/>
      <c r="G16" s="499" t="s">
        <v>1222</v>
      </c>
      <c r="H16" s="2487" t="str">
        <f>IF(H21="","",AVERAGE(H21:K21))</f>
        <v/>
      </c>
      <c r="I16" s="2487"/>
      <c r="J16" s="2487"/>
      <c r="K16" s="2488"/>
      <c r="L16" s="511"/>
      <c r="M16" s="499" t="s">
        <v>1222</v>
      </c>
      <c r="N16" s="2487" t="str">
        <f>IF(N21="","",AVERAGE(N21:Q21))</f>
        <v/>
      </c>
      <c r="O16" s="2487"/>
      <c r="P16" s="2487"/>
      <c r="Q16" s="2488"/>
      <c r="R16" s="511"/>
      <c r="S16" s="499" t="s">
        <v>1222</v>
      </c>
      <c r="T16" s="2487" t="str">
        <f>IF(T21="","",AVERAGE(T21:W21))</f>
        <v/>
      </c>
      <c r="U16" s="2487"/>
      <c r="V16" s="2487"/>
      <c r="W16" s="2488"/>
      <c r="X16" s="511"/>
      <c r="Y16" s="499" t="s">
        <v>1222</v>
      </c>
      <c r="Z16" s="2487" t="str">
        <f>IF(Z21="","",AVERAGE(Z21:AC21))</f>
        <v/>
      </c>
      <c r="AA16" s="2487"/>
      <c r="AB16" s="2487"/>
      <c r="AC16" s="2488"/>
      <c r="AD16" s="510"/>
      <c r="AE16" s="499" t="s">
        <v>1222</v>
      </c>
      <c r="AF16" s="2487" t="str">
        <f>IF(AF21="","",AVERAGE(AF21:AI21))</f>
        <v/>
      </c>
      <c r="AG16" s="2487"/>
      <c r="AH16" s="2487"/>
      <c r="AI16" s="2488"/>
      <c r="AJ16" s="510"/>
      <c r="AK16" s="865"/>
      <c r="AL16" s="865"/>
      <c r="AM16" s="865"/>
      <c r="AN16" s="865"/>
      <c r="AO16" s="865"/>
      <c r="AP16" s="865"/>
      <c r="AQ16" s="865"/>
      <c r="AR16" s="865"/>
      <c r="AS16" s="865"/>
      <c r="AT16" s="865"/>
      <c r="AU16" s="865"/>
      <c r="AV16" s="865"/>
      <c r="AW16" s="865"/>
      <c r="AX16" s="865"/>
      <c r="AY16" s="865"/>
      <c r="AZ16" s="865"/>
      <c r="BA16" s="865"/>
      <c r="BB16" s="865"/>
      <c r="BC16" s="865"/>
      <c r="BD16" s="865"/>
      <c r="BE16" s="865"/>
      <c r="BF16" s="865"/>
      <c r="BG16" s="865"/>
      <c r="BH16" s="865"/>
      <c r="BI16" s="865"/>
      <c r="BJ16" s="2490" t="s">
        <v>1505</v>
      </c>
      <c r="BK16" s="2490"/>
      <c r="BL16" s="2490"/>
      <c r="BM16" s="1598"/>
      <c r="BN16" s="1598"/>
      <c r="BO16" s="1598"/>
      <c r="BP16" s="1598"/>
      <c r="BQ16" s="865"/>
      <c r="BR16" s="2490" t="s">
        <v>1505</v>
      </c>
      <c r="BS16" s="2490"/>
      <c r="BT16" s="2490"/>
      <c r="BU16" s="1598"/>
      <c r="BV16" s="1598"/>
      <c r="BW16" s="1598"/>
      <c r="BX16" s="1598"/>
      <c r="BY16" s="874"/>
      <c r="BZ16" s="880"/>
      <c r="CA16" s="881"/>
      <c r="CB16" s="2440" t="s">
        <v>1468</v>
      </c>
      <c r="CC16" s="2440"/>
      <c r="CD16" s="2441" t="s">
        <v>1479</v>
      </c>
      <c r="CE16" s="2442"/>
      <c r="CF16" s="511"/>
      <c r="CG16" s="511"/>
      <c r="CH16" s="511"/>
      <c r="CI16" s="511"/>
      <c r="CJ16" s="511"/>
      <c r="CK16" s="511"/>
      <c r="CL16" s="511"/>
      <c r="CM16" s="511"/>
      <c r="CN16" s="511"/>
      <c r="CO16" s="511"/>
      <c r="CP16" s="511"/>
      <c r="CQ16" s="511"/>
      <c r="CR16" s="511"/>
      <c r="CS16" s="511"/>
      <c r="CT16" s="511"/>
      <c r="CU16" s="880"/>
      <c r="CV16" s="881"/>
      <c r="CW16" s="2440" t="s">
        <v>1468</v>
      </c>
      <c r="CX16" s="2440"/>
      <c r="CY16" s="2441" t="s">
        <v>1479</v>
      </c>
      <c r="CZ16" s="2442"/>
      <c r="DA16" s="511"/>
      <c r="DB16" s="511"/>
      <c r="DC16" s="511"/>
      <c r="DD16" s="511"/>
      <c r="DE16" s="511"/>
      <c r="DF16" s="511"/>
      <c r="DG16" s="511"/>
      <c r="DH16" s="511"/>
      <c r="DI16" s="511"/>
      <c r="DJ16" s="511"/>
      <c r="DK16" s="511"/>
      <c r="DL16" s="511"/>
      <c r="DM16" s="511"/>
      <c r="DN16" s="511"/>
      <c r="DO16" s="511"/>
      <c r="DP16" s="880"/>
      <c r="DQ16" s="881"/>
      <c r="DR16" s="2440" t="s">
        <v>1468</v>
      </c>
      <c r="DS16" s="2440"/>
      <c r="DT16" s="2441" t="s">
        <v>1479</v>
      </c>
      <c r="DU16" s="2442"/>
      <c r="DV16" s="511"/>
      <c r="DW16" s="511"/>
      <c r="DX16" s="511"/>
      <c r="DY16" s="511"/>
      <c r="DZ16" s="511"/>
      <c r="EA16" s="511"/>
      <c r="EB16" s="511"/>
      <c r="EC16" s="511"/>
      <c r="ED16" s="511"/>
      <c r="EE16" s="511"/>
      <c r="EF16" s="511"/>
      <c r="EG16" s="511"/>
      <c r="EH16" s="511"/>
      <c r="EI16" s="511"/>
      <c r="EJ16" s="511"/>
      <c r="EK16" s="880"/>
      <c r="EL16" s="881"/>
      <c r="EM16" s="2440" t="s">
        <v>1468</v>
      </c>
      <c r="EN16" s="2440"/>
      <c r="EO16" s="2441" t="s">
        <v>1479</v>
      </c>
      <c r="EP16" s="2442"/>
      <c r="EQ16" s="511"/>
      <c r="ER16" s="511"/>
      <c r="ES16" s="511"/>
      <c r="ET16" s="511"/>
      <c r="EU16" s="511"/>
      <c r="EV16" s="511"/>
      <c r="EW16" s="511"/>
      <c r="EX16" s="511"/>
      <c r="EY16" s="511"/>
      <c r="EZ16" s="511"/>
      <c r="FA16" s="511"/>
      <c r="FB16" s="511"/>
      <c r="FC16" s="511"/>
      <c r="FD16" s="511"/>
      <c r="FE16" s="511"/>
      <c r="FF16" s="880"/>
      <c r="FG16" s="881"/>
      <c r="FH16" s="2440" t="s">
        <v>1468</v>
      </c>
      <c r="FI16" s="2440"/>
      <c r="FJ16" s="2441" t="s">
        <v>1479</v>
      </c>
      <c r="FK16" s="2442"/>
      <c r="FL16" s="511"/>
      <c r="FM16" s="511"/>
      <c r="FN16" s="511"/>
      <c r="FO16" s="511"/>
      <c r="FP16" s="511"/>
      <c r="FQ16" s="511"/>
      <c r="FR16" s="511"/>
      <c r="FS16" s="511"/>
      <c r="FT16" s="510"/>
      <c r="FU16" s="510"/>
      <c r="FV16" s="510"/>
      <c r="FW16" s="510"/>
      <c r="FX16" s="510"/>
      <c r="FY16" s="510"/>
      <c r="FZ16" s="510"/>
      <c r="GA16" s="880"/>
      <c r="GB16" s="881"/>
      <c r="GC16" s="2440" t="s">
        <v>1468</v>
      </c>
      <c r="GD16" s="2440"/>
      <c r="GE16" s="2441" t="s">
        <v>1479</v>
      </c>
      <c r="GF16" s="2442"/>
      <c r="GG16" s="511"/>
      <c r="GH16" s="511"/>
      <c r="GI16" s="511"/>
      <c r="GJ16" s="511"/>
      <c r="GK16" s="511"/>
      <c r="GL16" s="511"/>
      <c r="GM16" s="511"/>
      <c r="GN16" s="511"/>
      <c r="GO16" s="874"/>
      <c r="GP16" s="874"/>
      <c r="GQ16" s="874"/>
      <c r="GR16" s="874"/>
      <c r="GS16" s="874"/>
      <c r="GT16" s="874"/>
      <c r="GU16" s="874"/>
      <c r="GV16" s="874"/>
      <c r="GW16" s="874"/>
      <c r="GX16" s="874"/>
      <c r="GY16" s="874"/>
      <c r="GZ16" s="874"/>
      <c r="HA16" s="874"/>
      <c r="HB16" s="511"/>
      <c r="HC16" s="511"/>
      <c r="HD16" s="511"/>
      <c r="HE16" s="511"/>
      <c r="HF16" s="511"/>
      <c r="HG16" s="511"/>
      <c r="HH16" s="511"/>
      <c r="HI16" s="511"/>
      <c r="HJ16" s="874"/>
      <c r="HK16" s="874"/>
      <c r="HL16" s="874"/>
      <c r="HM16" s="874"/>
      <c r="HN16" s="874"/>
      <c r="HO16" s="874"/>
      <c r="HP16" s="874"/>
      <c r="HQ16" s="874"/>
      <c r="HR16" s="874"/>
      <c r="HS16" s="874"/>
      <c r="HT16" s="874"/>
      <c r="HU16" s="874"/>
      <c r="HV16" s="874"/>
      <c r="HW16" s="511"/>
      <c r="HX16" s="511"/>
      <c r="HY16" s="511"/>
      <c r="HZ16" s="511"/>
      <c r="IA16" s="511"/>
      <c r="IB16" s="511"/>
      <c r="IC16" s="511"/>
      <c r="ID16" s="511"/>
      <c r="IE16" s="874"/>
      <c r="IF16" s="874"/>
      <c r="IG16" s="874"/>
      <c r="IH16" s="874"/>
      <c r="II16" s="874"/>
      <c r="IJ16" s="874"/>
      <c r="IK16" s="874"/>
      <c r="IL16" s="874"/>
      <c r="IM16" s="874"/>
      <c r="IN16" s="874"/>
      <c r="IO16" s="874"/>
      <c r="IP16" s="874"/>
      <c r="IQ16" s="874"/>
      <c r="IR16" s="511"/>
      <c r="IS16" s="511"/>
      <c r="IT16" s="511"/>
      <c r="IU16" s="511"/>
      <c r="IV16" s="511"/>
      <c r="IW16" s="511"/>
      <c r="IX16" s="511"/>
      <c r="IY16" s="511"/>
      <c r="IZ16" s="874"/>
      <c r="JA16" s="874"/>
      <c r="JB16" s="874"/>
      <c r="JC16" s="874"/>
      <c r="JD16" s="874"/>
      <c r="JE16" s="874"/>
      <c r="JF16" s="874"/>
      <c r="JG16" s="874"/>
      <c r="JH16" s="874"/>
      <c r="JI16" s="874"/>
      <c r="JJ16" s="874"/>
      <c r="JK16" s="874"/>
      <c r="JL16" s="874"/>
      <c r="JM16" s="874"/>
      <c r="JN16" s="874"/>
      <c r="JO16" s="874"/>
      <c r="JP16" s="874"/>
      <c r="JQ16" s="874"/>
      <c r="JR16" s="874"/>
      <c r="JS16" s="874"/>
      <c r="JT16" s="874"/>
      <c r="JU16" s="874"/>
      <c r="JV16" s="874"/>
      <c r="JW16" s="874"/>
      <c r="JX16" s="874"/>
      <c r="JY16" s="874"/>
      <c r="JZ16" s="874"/>
      <c r="KA16" s="874"/>
      <c r="KB16" s="874"/>
      <c r="KC16" s="874"/>
      <c r="KD16" s="874"/>
      <c r="KE16" s="874"/>
      <c r="KF16" s="874"/>
      <c r="KG16" s="874"/>
      <c r="KH16" s="865"/>
      <c r="KI16" s="865"/>
      <c r="KJ16" s="865"/>
      <c r="KK16" s="865"/>
      <c r="KL16" s="865"/>
      <c r="KM16" s="865"/>
      <c r="KN16" s="865"/>
      <c r="KO16" s="865"/>
      <c r="KP16" s="865"/>
      <c r="KQ16" s="865"/>
      <c r="KR16" s="865"/>
      <c r="KS16" s="865"/>
      <c r="KT16" s="865"/>
      <c r="KU16" s="865"/>
      <c r="KV16" s="865"/>
      <c r="KW16" s="865"/>
      <c r="KX16" s="865"/>
      <c r="KY16" s="865"/>
      <c r="KZ16" s="865"/>
      <c r="LA16" s="865"/>
      <c r="LB16" s="865"/>
      <c r="LC16" s="865"/>
      <c r="LD16" s="865"/>
      <c r="LE16" s="865"/>
      <c r="LF16" s="865"/>
    </row>
    <row r="17" spans="1:318" ht="18.45" customHeight="1">
      <c r="A17" s="499" t="s">
        <v>1223</v>
      </c>
      <c r="B17" s="2487" t="str">
        <f>IF(B22="","",AVERAGE(B22:E22))</f>
        <v/>
      </c>
      <c r="C17" s="2487"/>
      <c r="D17" s="2487"/>
      <c r="E17" s="2488"/>
      <c r="F17" s="511"/>
      <c r="G17" s="499" t="s">
        <v>1223</v>
      </c>
      <c r="H17" s="2487" t="str">
        <f>IF(H22="","",AVERAGE(H22:K22))</f>
        <v/>
      </c>
      <c r="I17" s="2487"/>
      <c r="J17" s="2487"/>
      <c r="K17" s="2488"/>
      <c r="L17" s="511"/>
      <c r="M17" s="499" t="s">
        <v>1223</v>
      </c>
      <c r="N17" s="2487" t="str">
        <f>IF(N22="","",AVERAGE(N22:Q22))</f>
        <v/>
      </c>
      <c r="O17" s="2487"/>
      <c r="P17" s="2487"/>
      <c r="Q17" s="2488"/>
      <c r="R17" s="511"/>
      <c r="S17" s="499" t="s">
        <v>1223</v>
      </c>
      <c r="T17" s="2487" t="str">
        <f>IF(T22="","",AVERAGE(T22:W22))</f>
        <v/>
      </c>
      <c r="U17" s="2487"/>
      <c r="V17" s="2487"/>
      <c r="W17" s="2488"/>
      <c r="X17" s="511"/>
      <c r="Y17" s="499" t="s">
        <v>1223</v>
      </c>
      <c r="Z17" s="2487" t="str">
        <f>IF(Z22="","",AVERAGE(Z22:AC22))</f>
        <v/>
      </c>
      <c r="AA17" s="2487"/>
      <c r="AB17" s="2487"/>
      <c r="AC17" s="2488"/>
      <c r="AD17" s="510"/>
      <c r="AE17" s="499" t="s">
        <v>1223</v>
      </c>
      <c r="AF17" s="2487" t="str">
        <f>IF(AF22="","",AVERAGE(AF22:AI22))</f>
        <v/>
      </c>
      <c r="AG17" s="2487"/>
      <c r="AH17" s="2487"/>
      <c r="AI17" s="2488"/>
      <c r="AJ17" s="510"/>
      <c r="AK17" s="865"/>
      <c r="AL17" s="865"/>
      <c r="AM17" s="865"/>
      <c r="AN17" s="865"/>
      <c r="AO17" s="865"/>
      <c r="AP17" s="865"/>
      <c r="AQ17" s="865"/>
      <c r="AR17" s="865"/>
      <c r="AS17" s="865"/>
      <c r="AT17" s="865"/>
      <c r="AU17" s="865"/>
      <c r="AV17" s="865"/>
      <c r="AW17" s="865"/>
      <c r="AX17" s="865"/>
      <c r="AY17" s="865"/>
      <c r="AZ17" s="865"/>
      <c r="BA17" s="865"/>
      <c r="BB17" s="865"/>
      <c r="BC17" s="865"/>
      <c r="BD17" s="865"/>
      <c r="BE17" s="865"/>
      <c r="BF17" s="865"/>
      <c r="BG17" s="865"/>
      <c r="BH17" s="865"/>
      <c r="BI17" s="865"/>
      <c r="BJ17" s="2490"/>
      <c r="BK17" s="2490"/>
      <c r="BL17" s="2490"/>
      <c r="BM17" s="1598"/>
      <c r="BN17" s="1598"/>
      <c r="BO17" s="1598"/>
      <c r="BP17" s="1598"/>
      <c r="BQ17" s="865"/>
      <c r="BR17" s="2490"/>
      <c r="BS17" s="2490"/>
      <c r="BT17" s="2490"/>
      <c r="BU17" s="1598"/>
      <c r="BV17" s="1598"/>
      <c r="BW17" s="1598"/>
      <c r="BX17" s="1598"/>
      <c r="BY17" s="874"/>
      <c r="BZ17" s="882"/>
      <c r="CA17" s="883"/>
      <c r="CB17" s="2440"/>
      <c r="CC17" s="2440"/>
      <c r="CD17" s="2443"/>
      <c r="CE17" s="2444"/>
      <c r="CF17" s="511"/>
      <c r="CG17" s="511"/>
      <c r="CH17" s="511"/>
      <c r="CI17" s="511"/>
      <c r="CJ17" s="511"/>
      <c r="CK17" s="511"/>
      <c r="CL17" s="511"/>
      <c r="CM17" s="511"/>
      <c r="CN17" s="511"/>
      <c r="CO17" s="511"/>
      <c r="CP17" s="511"/>
      <c r="CQ17" s="511"/>
      <c r="CR17" s="511"/>
      <c r="CS17" s="511"/>
      <c r="CT17" s="511"/>
      <c r="CU17" s="882"/>
      <c r="CV17" s="883"/>
      <c r="CW17" s="2440"/>
      <c r="CX17" s="2440"/>
      <c r="CY17" s="2443"/>
      <c r="CZ17" s="2444"/>
      <c r="DA17" s="511"/>
      <c r="DB17" s="511"/>
      <c r="DC17" s="511"/>
      <c r="DD17" s="511"/>
      <c r="DE17" s="511"/>
      <c r="DF17" s="511"/>
      <c r="DG17" s="511"/>
      <c r="DH17" s="511"/>
      <c r="DI17" s="511"/>
      <c r="DJ17" s="511"/>
      <c r="DK17" s="511"/>
      <c r="DL17" s="511"/>
      <c r="DM17" s="511"/>
      <c r="DN17" s="511"/>
      <c r="DO17" s="511"/>
      <c r="DP17" s="882"/>
      <c r="DQ17" s="883"/>
      <c r="DR17" s="2440"/>
      <c r="DS17" s="2440"/>
      <c r="DT17" s="2443"/>
      <c r="DU17" s="2444"/>
      <c r="DV17" s="511"/>
      <c r="DW17" s="511"/>
      <c r="DX17" s="511"/>
      <c r="DY17" s="511"/>
      <c r="DZ17" s="511"/>
      <c r="EA17" s="511"/>
      <c r="EB17" s="511"/>
      <c r="EC17" s="511"/>
      <c r="ED17" s="511"/>
      <c r="EE17" s="511"/>
      <c r="EF17" s="511"/>
      <c r="EG17" s="511"/>
      <c r="EH17" s="511"/>
      <c r="EI17" s="511"/>
      <c r="EJ17" s="511"/>
      <c r="EK17" s="882"/>
      <c r="EL17" s="883"/>
      <c r="EM17" s="2440"/>
      <c r="EN17" s="2440"/>
      <c r="EO17" s="2443"/>
      <c r="EP17" s="2444"/>
      <c r="EQ17" s="511"/>
      <c r="ER17" s="511"/>
      <c r="ES17" s="511"/>
      <c r="ET17" s="511"/>
      <c r="EU17" s="511"/>
      <c r="EV17" s="511"/>
      <c r="EW17" s="511"/>
      <c r="EX17" s="511"/>
      <c r="EY17" s="511"/>
      <c r="EZ17" s="511"/>
      <c r="FA17" s="511"/>
      <c r="FB17" s="511"/>
      <c r="FC17" s="511"/>
      <c r="FD17" s="511"/>
      <c r="FE17" s="511"/>
      <c r="FF17" s="882"/>
      <c r="FG17" s="883"/>
      <c r="FH17" s="2440"/>
      <c r="FI17" s="2440"/>
      <c r="FJ17" s="2443"/>
      <c r="FK17" s="2444"/>
      <c r="FL17" s="511"/>
      <c r="FM17" s="511"/>
      <c r="FN17" s="511"/>
      <c r="FO17" s="511"/>
      <c r="FP17" s="511"/>
      <c r="FQ17" s="511"/>
      <c r="FR17" s="511"/>
      <c r="FS17" s="511"/>
      <c r="FT17" s="510"/>
      <c r="FU17" s="510"/>
      <c r="FV17" s="510"/>
      <c r="FW17" s="510"/>
      <c r="FX17" s="510"/>
      <c r="FY17" s="510"/>
      <c r="FZ17" s="510"/>
      <c r="GA17" s="882"/>
      <c r="GB17" s="883"/>
      <c r="GC17" s="2440"/>
      <c r="GD17" s="2440"/>
      <c r="GE17" s="2443"/>
      <c r="GF17" s="2444"/>
      <c r="GG17" s="511"/>
      <c r="GH17" s="511"/>
      <c r="GI17" s="511"/>
      <c r="GJ17" s="511"/>
      <c r="GK17" s="511"/>
      <c r="GL17" s="511"/>
      <c r="GM17" s="511"/>
      <c r="GN17" s="511"/>
      <c r="GO17" s="874"/>
      <c r="GP17" s="874"/>
      <c r="GQ17" s="874"/>
      <c r="GR17" s="874"/>
      <c r="GS17" s="874"/>
      <c r="GT17" s="874"/>
      <c r="GU17" s="874"/>
      <c r="GV17" s="874"/>
      <c r="GW17" s="874"/>
      <c r="GX17" s="874"/>
      <c r="GY17" s="874"/>
      <c r="GZ17" s="874"/>
      <c r="HA17" s="874"/>
      <c r="HB17" s="511"/>
      <c r="HC17" s="511"/>
      <c r="HD17" s="511"/>
      <c r="HE17" s="511"/>
      <c r="HF17" s="511"/>
      <c r="HG17" s="511"/>
      <c r="HH17" s="511"/>
      <c r="HI17" s="511"/>
      <c r="HJ17" s="874"/>
      <c r="HK17" s="874"/>
      <c r="HL17" s="874"/>
      <c r="HM17" s="874"/>
      <c r="HN17" s="874"/>
      <c r="HO17" s="874"/>
      <c r="HP17" s="874"/>
      <c r="HQ17" s="874"/>
      <c r="HR17" s="874"/>
      <c r="HS17" s="874"/>
      <c r="HT17" s="874"/>
      <c r="HU17" s="874"/>
      <c r="HV17" s="874"/>
      <c r="HW17" s="511"/>
      <c r="HX17" s="511"/>
      <c r="HY17" s="511"/>
      <c r="HZ17" s="511"/>
      <c r="IA17" s="511"/>
      <c r="IB17" s="511"/>
      <c r="IC17" s="511"/>
      <c r="ID17" s="511"/>
      <c r="IE17" s="874"/>
      <c r="IF17" s="874"/>
      <c r="IG17" s="874"/>
      <c r="IH17" s="874"/>
      <c r="II17" s="874"/>
      <c r="IJ17" s="874"/>
      <c r="IK17" s="874"/>
      <c r="IL17" s="874"/>
      <c r="IM17" s="874"/>
      <c r="IN17" s="874"/>
      <c r="IO17" s="874"/>
      <c r="IP17" s="874"/>
      <c r="IQ17" s="874"/>
      <c r="IR17" s="511"/>
      <c r="IS17" s="511"/>
      <c r="IT17" s="511"/>
      <c r="IU17" s="511"/>
      <c r="IV17" s="511"/>
      <c r="IW17" s="511"/>
      <c r="IX17" s="511"/>
      <c r="IY17" s="511"/>
      <c r="IZ17" s="874"/>
      <c r="JA17" s="874"/>
      <c r="JB17" s="874"/>
      <c r="JC17" s="874"/>
      <c r="JD17" s="874"/>
      <c r="JE17" s="874"/>
      <c r="JF17" s="874"/>
      <c r="JG17" s="874"/>
      <c r="JH17" s="874"/>
      <c r="JI17" s="874"/>
      <c r="JJ17" s="874"/>
      <c r="JK17" s="874"/>
      <c r="JL17" s="874"/>
      <c r="JM17" s="874"/>
      <c r="JN17" s="874"/>
      <c r="JO17" s="874"/>
      <c r="JP17" s="874"/>
      <c r="JQ17" s="874"/>
      <c r="JR17" s="874"/>
      <c r="JS17" s="874"/>
      <c r="JT17" s="874"/>
      <c r="JU17" s="874"/>
      <c r="JV17" s="874"/>
      <c r="JW17" s="874"/>
      <c r="JX17" s="874"/>
      <c r="JY17" s="874"/>
      <c r="JZ17" s="874"/>
      <c r="KA17" s="874"/>
      <c r="KB17" s="874"/>
      <c r="KC17" s="874"/>
      <c r="KD17" s="874"/>
      <c r="KE17" s="874"/>
      <c r="KF17" s="874"/>
      <c r="KG17" s="874"/>
      <c r="KH17" s="865"/>
      <c r="KI17" s="865"/>
      <c r="KJ17" s="865"/>
      <c r="KK17" s="865"/>
      <c r="KL17" s="865"/>
      <c r="KM17" s="865"/>
      <c r="KN17" s="865"/>
      <c r="KO17" s="865"/>
      <c r="KP17" s="865"/>
      <c r="KQ17" s="865"/>
      <c r="KR17" s="865"/>
      <c r="KS17" s="865"/>
      <c r="KT17" s="865"/>
      <c r="KU17" s="865"/>
      <c r="KV17" s="865"/>
      <c r="KW17" s="865"/>
      <c r="KX17" s="865"/>
      <c r="KY17" s="865"/>
      <c r="KZ17" s="865"/>
      <c r="LA17" s="865"/>
      <c r="LB17" s="865"/>
      <c r="LC17" s="865"/>
      <c r="LD17" s="865"/>
      <c r="LE17" s="865"/>
      <c r="LF17" s="865"/>
    </row>
    <row r="18" spans="1:318" ht="19.8">
      <c r="A18" s="499" t="s">
        <v>1224</v>
      </c>
      <c r="B18" s="2487" t="str">
        <f>IF(B23="","",AVERAGE(B23:E23))</f>
        <v/>
      </c>
      <c r="C18" s="2487"/>
      <c r="D18" s="2487"/>
      <c r="E18" s="2488"/>
      <c r="F18" s="511"/>
      <c r="G18" s="499" t="s">
        <v>1224</v>
      </c>
      <c r="H18" s="2487" t="str">
        <f>IF(H23="","",AVERAGE(H23:K23))</f>
        <v/>
      </c>
      <c r="I18" s="2487"/>
      <c r="J18" s="2487"/>
      <c r="K18" s="2488"/>
      <c r="L18" s="511"/>
      <c r="M18" s="499" t="s">
        <v>1224</v>
      </c>
      <c r="N18" s="2487" t="str">
        <f>IF(N23="","",AVERAGE(N23:Q23))</f>
        <v/>
      </c>
      <c r="O18" s="2487"/>
      <c r="P18" s="2487"/>
      <c r="Q18" s="2488"/>
      <c r="R18" s="511"/>
      <c r="S18" s="499" t="s">
        <v>1224</v>
      </c>
      <c r="T18" s="2487" t="str">
        <f>IF(T23="","",AVERAGE(T23:W23))</f>
        <v/>
      </c>
      <c r="U18" s="2487"/>
      <c r="V18" s="2487"/>
      <c r="W18" s="2488"/>
      <c r="X18" s="511"/>
      <c r="Y18" s="499" t="s">
        <v>1224</v>
      </c>
      <c r="Z18" s="2487" t="str">
        <f>IF(Z23="","",AVERAGE(Z23:AC23))</f>
        <v/>
      </c>
      <c r="AA18" s="2487"/>
      <c r="AB18" s="2487"/>
      <c r="AC18" s="2488"/>
      <c r="AD18" s="511"/>
      <c r="AE18" s="499" t="s">
        <v>1224</v>
      </c>
      <c r="AF18" s="2487" t="str">
        <f>IF(AF23="","",AVERAGE(AF23:AI23))</f>
        <v/>
      </c>
      <c r="AG18" s="2487"/>
      <c r="AH18" s="2487"/>
      <c r="AI18" s="2488"/>
      <c r="AJ18" s="511"/>
      <c r="AK18" s="865"/>
      <c r="AL18" s="865"/>
      <c r="AM18" s="865"/>
      <c r="AN18" s="865"/>
      <c r="AO18" s="865"/>
      <c r="AP18" s="865"/>
      <c r="AQ18" s="865"/>
      <c r="AR18" s="865"/>
      <c r="AS18" s="865"/>
      <c r="AT18" s="865"/>
      <c r="AU18" s="865"/>
      <c r="AV18" s="865"/>
      <c r="AW18" s="865"/>
      <c r="AX18" s="865"/>
      <c r="AY18" s="865"/>
      <c r="AZ18" s="865"/>
      <c r="BA18" s="865"/>
      <c r="BB18" s="865"/>
      <c r="BC18" s="865"/>
      <c r="BD18" s="865"/>
      <c r="BE18" s="865"/>
      <c r="BF18" s="865"/>
      <c r="BG18" s="865"/>
      <c r="BH18" s="865"/>
      <c r="BI18" s="865"/>
      <c r="BJ18" s="1201" t="str">
        <f>IF(BM16="پيش‌فرض","عدم قطعيت نسبي ارزش حرارتي ناخالص (HHV) پيش فرض وارد شود %()±","")</f>
        <v/>
      </c>
      <c r="BK18" s="1201"/>
      <c r="BL18" s="1201"/>
      <c r="BM18" s="1201"/>
      <c r="BN18" s="1201"/>
      <c r="BO18" s="2477" t="str">
        <f>IF(BM16="پيش‌فرض",40,"")</f>
        <v/>
      </c>
      <c r="BP18" s="2477"/>
      <c r="BQ18" s="865"/>
      <c r="BR18" s="1201" t="str">
        <f>IF(BU16="پيش‌فرض","عدم قطعيت نسبي ارزش حرارتي ناخالص (HHV) پيش فرض وارد شود %()±","")</f>
        <v/>
      </c>
      <c r="BS18" s="1201"/>
      <c r="BT18" s="1201"/>
      <c r="BU18" s="1201"/>
      <c r="BV18" s="1201"/>
      <c r="BW18" s="2477" t="str">
        <f>IF(BU16="پيش‌فرض",40,"")</f>
        <v/>
      </c>
      <c r="BX18" s="2477"/>
      <c r="BY18" s="874"/>
      <c r="BZ18" s="632"/>
      <c r="CA18" s="633"/>
      <c r="CB18" s="874"/>
      <c r="CC18" s="874"/>
      <c r="CD18" s="2445" t="e">
        <f>VLOOKUP(BO19,Sheet1!$A$2:$B$5,2,FALSE)</f>
        <v>#N/A</v>
      </c>
      <c r="CE18" s="2446"/>
      <c r="CF18" s="511"/>
      <c r="CG18" s="511"/>
      <c r="CH18" s="511"/>
      <c r="CI18" s="511"/>
      <c r="CJ18" s="511"/>
      <c r="CK18" s="511"/>
      <c r="CL18" s="511"/>
      <c r="CM18" s="511"/>
      <c r="CN18" s="511"/>
      <c r="CO18" s="511"/>
      <c r="CP18" s="511"/>
      <c r="CQ18" s="511"/>
      <c r="CR18" s="511"/>
      <c r="CS18" s="511"/>
      <c r="CT18" s="511"/>
      <c r="CU18" s="632"/>
      <c r="CV18" s="633"/>
      <c r="CW18" s="874"/>
      <c r="CX18" s="874"/>
      <c r="CY18" s="2445" t="e">
        <f>VLOOKUP(BO28,Sheet1!$A$2:$B$5,2,FALSE)</f>
        <v>#N/A</v>
      </c>
      <c r="CZ18" s="2446"/>
      <c r="DA18" s="511"/>
      <c r="DB18" s="511"/>
      <c r="DC18" s="511"/>
      <c r="DD18" s="511"/>
      <c r="DE18" s="511"/>
      <c r="DF18" s="511"/>
      <c r="DG18" s="511"/>
      <c r="DH18" s="511"/>
      <c r="DI18" s="511"/>
      <c r="DJ18" s="511"/>
      <c r="DK18" s="511"/>
      <c r="DL18" s="511"/>
      <c r="DM18" s="511"/>
      <c r="DN18" s="511"/>
      <c r="DO18" s="511"/>
      <c r="DP18" s="632"/>
      <c r="DQ18" s="633"/>
      <c r="DR18" s="874"/>
      <c r="DS18" s="874"/>
      <c r="DT18" s="2445" t="e">
        <f>VLOOKUP(BO37,Sheet1!$A$2:$B$5,2,FALSE)</f>
        <v>#N/A</v>
      </c>
      <c r="DU18" s="2446"/>
      <c r="DV18" s="511"/>
      <c r="DW18" s="511"/>
      <c r="DX18" s="511"/>
      <c r="DY18" s="511"/>
      <c r="DZ18" s="511"/>
      <c r="EA18" s="511"/>
      <c r="EB18" s="511"/>
      <c r="EC18" s="511"/>
      <c r="ED18" s="511"/>
      <c r="EE18" s="511"/>
      <c r="EF18" s="511"/>
      <c r="EG18" s="511"/>
      <c r="EH18" s="511"/>
      <c r="EI18" s="511"/>
      <c r="EJ18" s="511"/>
      <c r="EK18" s="632"/>
      <c r="EL18" s="633"/>
      <c r="EM18" s="874"/>
      <c r="EN18" s="874"/>
      <c r="EO18" s="2445" t="e">
        <f>VLOOKUP(BW19,Sheet1!$A$2:$B$5,2,FALSE)</f>
        <v>#N/A</v>
      </c>
      <c r="EP18" s="2446"/>
      <c r="EQ18" s="511"/>
      <c r="ER18" s="511"/>
      <c r="ES18" s="511"/>
      <c r="ET18" s="511"/>
      <c r="EU18" s="511"/>
      <c r="EV18" s="511"/>
      <c r="EW18" s="511"/>
      <c r="EX18" s="511"/>
      <c r="EY18" s="511"/>
      <c r="EZ18" s="511"/>
      <c r="FA18" s="511"/>
      <c r="FB18" s="511"/>
      <c r="FC18" s="511"/>
      <c r="FD18" s="511"/>
      <c r="FE18" s="511"/>
      <c r="FF18" s="632"/>
      <c r="FG18" s="633"/>
      <c r="FH18" s="874"/>
      <c r="FI18" s="874"/>
      <c r="FJ18" s="2445" t="e">
        <f>VLOOKUP(BW28,Sheet1!$A$2:$B$5,2,FALSE)</f>
        <v>#N/A</v>
      </c>
      <c r="FK18" s="2446"/>
      <c r="FL18" s="511"/>
      <c r="FM18" s="511"/>
      <c r="FN18" s="511"/>
      <c r="FO18" s="511"/>
      <c r="FP18" s="511"/>
      <c r="FQ18" s="511"/>
      <c r="FR18" s="511"/>
      <c r="FS18" s="511"/>
      <c r="FT18" s="511"/>
      <c r="FU18" s="511"/>
      <c r="FV18" s="511"/>
      <c r="FW18" s="511"/>
      <c r="FX18" s="511"/>
      <c r="FY18" s="511"/>
      <c r="FZ18" s="511"/>
      <c r="GA18" s="632"/>
      <c r="GB18" s="633"/>
      <c r="GC18" s="874"/>
      <c r="GD18" s="874"/>
      <c r="GE18" s="2445" t="e">
        <f>VLOOKUP(BW37,Sheet1!$A$2:$B$5,2,FALSE)</f>
        <v>#N/A</v>
      </c>
      <c r="GF18" s="2446"/>
      <c r="GG18" s="511"/>
      <c r="GH18" s="511"/>
      <c r="GI18" s="511"/>
      <c r="GJ18" s="511"/>
      <c r="GK18" s="511"/>
      <c r="GL18" s="511"/>
      <c r="GM18" s="511"/>
      <c r="GN18" s="511"/>
      <c r="GO18" s="874"/>
      <c r="GP18" s="874"/>
      <c r="GQ18" s="874"/>
      <c r="GR18" s="874"/>
      <c r="GS18" s="874"/>
      <c r="GT18" s="874"/>
      <c r="GU18" s="874"/>
      <c r="GV18" s="874"/>
      <c r="GW18" s="874"/>
      <c r="GX18" s="874"/>
      <c r="GY18" s="874"/>
      <c r="GZ18" s="874"/>
      <c r="HA18" s="874"/>
      <c r="HB18" s="511"/>
      <c r="HC18" s="511"/>
      <c r="HD18" s="511"/>
      <c r="HE18" s="511"/>
      <c r="HF18" s="511"/>
      <c r="HG18" s="511"/>
      <c r="HH18" s="511"/>
      <c r="HI18" s="511"/>
      <c r="HJ18" s="874"/>
      <c r="HK18" s="874"/>
      <c r="HL18" s="874"/>
      <c r="HM18" s="874"/>
      <c r="HN18" s="874"/>
      <c r="HO18" s="874"/>
      <c r="HP18" s="874"/>
      <c r="HQ18" s="874"/>
      <c r="HR18" s="874"/>
      <c r="HS18" s="874"/>
      <c r="HT18" s="874"/>
      <c r="HU18" s="874"/>
      <c r="HV18" s="874"/>
      <c r="HW18" s="511"/>
      <c r="HX18" s="511"/>
      <c r="HY18" s="511"/>
      <c r="HZ18" s="511"/>
      <c r="IA18" s="511"/>
      <c r="IB18" s="511"/>
      <c r="IC18" s="511"/>
      <c r="ID18" s="511"/>
      <c r="IE18" s="874"/>
      <c r="IF18" s="874"/>
      <c r="IG18" s="874"/>
      <c r="IH18" s="874"/>
      <c r="II18" s="874"/>
      <c r="IJ18" s="874"/>
      <c r="IK18" s="874"/>
      <c r="IL18" s="874"/>
      <c r="IM18" s="874"/>
      <c r="IN18" s="874"/>
      <c r="IO18" s="874"/>
      <c r="IP18" s="874"/>
      <c r="IQ18" s="874"/>
      <c r="IR18" s="511"/>
      <c r="IS18" s="511"/>
      <c r="IT18" s="511"/>
      <c r="IU18" s="511"/>
      <c r="IV18" s="511"/>
      <c r="IW18" s="511"/>
      <c r="IX18" s="511"/>
      <c r="IY18" s="511"/>
      <c r="IZ18" s="874"/>
      <c r="JA18" s="874"/>
      <c r="JB18" s="874"/>
      <c r="JC18" s="874"/>
      <c r="JD18" s="874"/>
      <c r="JE18" s="874"/>
      <c r="JF18" s="874"/>
      <c r="JG18" s="874"/>
      <c r="JH18" s="874"/>
      <c r="JI18" s="874"/>
      <c r="JJ18" s="874"/>
      <c r="JK18" s="874"/>
      <c r="JL18" s="874"/>
      <c r="JM18" s="874"/>
      <c r="JN18" s="874"/>
      <c r="JO18" s="874"/>
      <c r="JP18" s="874"/>
      <c r="JQ18" s="874"/>
      <c r="JR18" s="874"/>
      <c r="JS18" s="874"/>
      <c r="JT18" s="874"/>
      <c r="JU18" s="874"/>
      <c r="JV18" s="874"/>
      <c r="JW18" s="874"/>
      <c r="JX18" s="874"/>
      <c r="JY18" s="874"/>
      <c r="JZ18" s="874"/>
      <c r="KA18" s="874"/>
      <c r="KB18" s="874"/>
      <c r="KC18" s="874"/>
      <c r="KD18" s="874"/>
      <c r="KE18" s="874"/>
      <c r="KF18" s="874"/>
      <c r="KG18" s="874"/>
      <c r="KH18" s="865"/>
      <c r="KI18" s="865"/>
      <c r="KJ18" s="865"/>
      <c r="KK18" s="865"/>
      <c r="KL18" s="865"/>
      <c r="KM18" s="865"/>
      <c r="KN18" s="865"/>
      <c r="KO18" s="865"/>
      <c r="KP18" s="865"/>
      <c r="KQ18" s="865"/>
      <c r="KR18" s="865"/>
      <c r="KS18" s="865"/>
      <c r="KT18" s="865"/>
      <c r="KU18" s="865"/>
      <c r="KV18" s="865"/>
      <c r="KW18" s="865"/>
      <c r="KX18" s="865"/>
      <c r="KY18" s="865"/>
      <c r="KZ18" s="865"/>
      <c r="LA18" s="865"/>
      <c r="LB18" s="865"/>
      <c r="LC18" s="865"/>
      <c r="LD18" s="865"/>
      <c r="LE18" s="865"/>
      <c r="LF18" s="865"/>
    </row>
    <row r="19" spans="1:318" ht="20.399999999999999">
      <c r="A19" s="867" t="s">
        <v>236</v>
      </c>
      <c r="B19" s="866" t="s">
        <v>237</v>
      </c>
      <c r="C19" s="866" t="s">
        <v>238</v>
      </c>
      <c r="D19" s="866" t="s">
        <v>239</v>
      </c>
      <c r="E19" s="868" t="s">
        <v>240</v>
      </c>
      <c r="F19" s="511"/>
      <c r="G19" s="867" t="s">
        <v>236</v>
      </c>
      <c r="H19" s="866" t="s">
        <v>237</v>
      </c>
      <c r="I19" s="866" t="s">
        <v>238</v>
      </c>
      <c r="J19" s="866" t="s">
        <v>239</v>
      </c>
      <c r="K19" s="868" t="s">
        <v>240</v>
      </c>
      <c r="L19" s="511"/>
      <c r="M19" s="867" t="s">
        <v>236</v>
      </c>
      <c r="N19" s="866" t="s">
        <v>237</v>
      </c>
      <c r="O19" s="866" t="s">
        <v>238</v>
      </c>
      <c r="P19" s="866" t="s">
        <v>239</v>
      </c>
      <c r="Q19" s="868" t="s">
        <v>240</v>
      </c>
      <c r="R19" s="511"/>
      <c r="S19" s="867" t="s">
        <v>236</v>
      </c>
      <c r="T19" s="866" t="s">
        <v>237</v>
      </c>
      <c r="U19" s="866" t="s">
        <v>238</v>
      </c>
      <c r="V19" s="866" t="s">
        <v>239</v>
      </c>
      <c r="W19" s="868" t="s">
        <v>240</v>
      </c>
      <c r="X19" s="511"/>
      <c r="Y19" s="867" t="s">
        <v>236</v>
      </c>
      <c r="Z19" s="866" t="s">
        <v>237</v>
      </c>
      <c r="AA19" s="866" t="s">
        <v>238</v>
      </c>
      <c r="AB19" s="866" t="s">
        <v>239</v>
      </c>
      <c r="AC19" s="868" t="s">
        <v>240</v>
      </c>
      <c r="AD19" s="510"/>
      <c r="AE19" s="867" t="s">
        <v>236</v>
      </c>
      <c r="AF19" s="866" t="s">
        <v>237</v>
      </c>
      <c r="AG19" s="866" t="s">
        <v>238</v>
      </c>
      <c r="AH19" s="866" t="s">
        <v>239</v>
      </c>
      <c r="AI19" s="868" t="s">
        <v>240</v>
      </c>
      <c r="AJ19" s="510"/>
      <c r="AK19" s="865"/>
      <c r="AL19" s="865"/>
      <c r="AM19" s="865"/>
      <c r="AN19" s="865"/>
      <c r="AO19" s="865"/>
      <c r="AP19" s="865"/>
      <c r="AQ19" s="865"/>
      <c r="AR19" s="865"/>
      <c r="AS19" s="865"/>
      <c r="AT19" s="865"/>
      <c r="AU19" s="865"/>
      <c r="AV19" s="865"/>
      <c r="AW19" s="865"/>
      <c r="AX19" s="865"/>
      <c r="AY19" s="865"/>
      <c r="AZ19" s="865"/>
      <c r="BA19" s="865"/>
      <c r="BB19" s="865"/>
      <c r="BC19" s="865"/>
      <c r="BD19" s="865"/>
      <c r="BE19" s="865"/>
      <c r="BF19" s="865"/>
      <c r="BG19" s="865"/>
      <c r="BH19" s="865"/>
      <c r="BI19" s="865"/>
      <c r="BJ19" s="1201" t="str">
        <f>IF(BM16="واقعي","تعداد نمونه‌هاي وارد شده را انتخاب كنيد:","")</f>
        <v/>
      </c>
      <c r="BK19" s="1201"/>
      <c r="BL19" s="1201"/>
      <c r="BM19" s="1201"/>
      <c r="BN19" s="1201"/>
      <c r="BO19" s="2439"/>
      <c r="BP19" s="2439"/>
      <c r="BQ19" s="865"/>
      <c r="BR19" s="1201" t="str">
        <f>IF(BU16="واقعي","تعداد نمونه‌هاي وارد شده را انتخاب كنيد:","")</f>
        <v/>
      </c>
      <c r="BS19" s="1201"/>
      <c r="BT19" s="1201"/>
      <c r="BU19" s="1201"/>
      <c r="BV19" s="1201"/>
      <c r="BW19" s="2439"/>
      <c r="BX19" s="2439"/>
      <c r="BY19" s="874"/>
      <c r="BZ19" s="893" t="s">
        <v>236</v>
      </c>
      <c r="CA19" s="894"/>
      <c r="CB19" s="918" t="s">
        <v>237</v>
      </c>
      <c r="CC19" s="918" t="s">
        <v>238</v>
      </c>
      <c r="CD19" s="918" t="s">
        <v>239</v>
      </c>
      <c r="CE19" s="919" t="s">
        <v>240</v>
      </c>
      <c r="CF19" s="511"/>
      <c r="CG19" s="511"/>
      <c r="CH19" s="511"/>
      <c r="CI19" s="511"/>
      <c r="CJ19" s="511"/>
      <c r="CK19" s="511"/>
      <c r="CL19" s="511"/>
      <c r="CM19" s="511"/>
      <c r="CN19" s="511"/>
      <c r="CO19" s="511"/>
      <c r="CP19" s="511"/>
      <c r="CQ19" s="511"/>
      <c r="CR19" s="511"/>
      <c r="CS19" s="511"/>
      <c r="CT19" s="511"/>
      <c r="CU19" s="893" t="s">
        <v>236</v>
      </c>
      <c r="CV19" s="894"/>
      <c r="CW19" s="918" t="s">
        <v>237</v>
      </c>
      <c r="CX19" s="918" t="s">
        <v>238</v>
      </c>
      <c r="CY19" s="918" t="s">
        <v>239</v>
      </c>
      <c r="CZ19" s="919" t="s">
        <v>240</v>
      </c>
      <c r="DA19" s="511"/>
      <c r="DB19" s="511"/>
      <c r="DC19" s="511"/>
      <c r="DD19" s="511"/>
      <c r="DE19" s="511"/>
      <c r="DF19" s="511"/>
      <c r="DG19" s="511"/>
      <c r="DH19" s="511"/>
      <c r="DI19" s="511"/>
      <c r="DJ19" s="511"/>
      <c r="DK19" s="511"/>
      <c r="DL19" s="511"/>
      <c r="DM19" s="511"/>
      <c r="DN19" s="511"/>
      <c r="DO19" s="511"/>
      <c r="DP19" s="893" t="s">
        <v>236</v>
      </c>
      <c r="DQ19" s="894"/>
      <c r="DR19" s="918" t="s">
        <v>237</v>
      </c>
      <c r="DS19" s="918" t="s">
        <v>238</v>
      </c>
      <c r="DT19" s="918" t="s">
        <v>239</v>
      </c>
      <c r="DU19" s="919" t="s">
        <v>240</v>
      </c>
      <c r="DV19" s="511"/>
      <c r="DW19" s="511"/>
      <c r="DX19" s="511"/>
      <c r="DY19" s="511"/>
      <c r="DZ19" s="511"/>
      <c r="EA19" s="511"/>
      <c r="EB19" s="511"/>
      <c r="EC19" s="511"/>
      <c r="ED19" s="511"/>
      <c r="EE19" s="511"/>
      <c r="EF19" s="511"/>
      <c r="EG19" s="511"/>
      <c r="EH19" s="511"/>
      <c r="EI19" s="511"/>
      <c r="EJ19" s="511"/>
      <c r="EK19" s="893" t="s">
        <v>236</v>
      </c>
      <c r="EL19" s="894"/>
      <c r="EM19" s="918" t="s">
        <v>237</v>
      </c>
      <c r="EN19" s="918" t="s">
        <v>238</v>
      </c>
      <c r="EO19" s="918" t="s">
        <v>239</v>
      </c>
      <c r="EP19" s="919" t="s">
        <v>240</v>
      </c>
      <c r="EQ19" s="511"/>
      <c r="ER19" s="511"/>
      <c r="ES19" s="511"/>
      <c r="ET19" s="511"/>
      <c r="EU19" s="511"/>
      <c r="EV19" s="511"/>
      <c r="EW19" s="511"/>
      <c r="EX19" s="511"/>
      <c r="EY19" s="511"/>
      <c r="EZ19" s="511"/>
      <c r="FA19" s="511"/>
      <c r="FB19" s="511"/>
      <c r="FC19" s="511"/>
      <c r="FD19" s="511"/>
      <c r="FE19" s="511"/>
      <c r="FF19" s="893" t="s">
        <v>236</v>
      </c>
      <c r="FG19" s="894"/>
      <c r="FH19" s="918" t="s">
        <v>237</v>
      </c>
      <c r="FI19" s="918" t="s">
        <v>238</v>
      </c>
      <c r="FJ19" s="918" t="s">
        <v>239</v>
      </c>
      <c r="FK19" s="919" t="s">
        <v>240</v>
      </c>
      <c r="FL19" s="511"/>
      <c r="FM19" s="511"/>
      <c r="FN19" s="511"/>
      <c r="FO19" s="511"/>
      <c r="FP19" s="511"/>
      <c r="FQ19" s="511"/>
      <c r="FR19" s="511"/>
      <c r="FS19" s="511"/>
      <c r="FT19" s="510"/>
      <c r="FU19" s="510"/>
      <c r="FV19" s="510"/>
      <c r="FW19" s="510"/>
      <c r="FX19" s="510"/>
      <c r="FY19" s="510"/>
      <c r="FZ19" s="510"/>
      <c r="GA19" s="893" t="s">
        <v>236</v>
      </c>
      <c r="GB19" s="894"/>
      <c r="GC19" s="918" t="s">
        <v>237</v>
      </c>
      <c r="GD19" s="918" t="s">
        <v>238</v>
      </c>
      <c r="GE19" s="918" t="s">
        <v>239</v>
      </c>
      <c r="GF19" s="919" t="s">
        <v>240</v>
      </c>
      <c r="GG19" s="511"/>
      <c r="GH19" s="511"/>
      <c r="GI19" s="511"/>
      <c r="GJ19" s="511"/>
      <c r="GK19" s="511"/>
      <c r="GL19" s="511"/>
      <c r="GM19" s="511"/>
      <c r="GN19" s="511"/>
      <c r="GO19" s="874"/>
      <c r="GP19" s="874"/>
      <c r="GQ19" s="874"/>
      <c r="GR19" s="874"/>
      <c r="GS19" s="874"/>
      <c r="GT19" s="874"/>
      <c r="GU19" s="874"/>
      <c r="GV19" s="874"/>
      <c r="GW19" s="874"/>
      <c r="GX19" s="874"/>
      <c r="GY19" s="874"/>
      <c r="GZ19" s="874"/>
      <c r="HA19" s="874"/>
      <c r="HB19" s="511"/>
      <c r="HC19" s="511"/>
      <c r="HD19" s="511"/>
      <c r="HE19" s="511"/>
      <c r="HF19" s="511"/>
      <c r="HG19" s="511"/>
      <c r="HH19" s="511"/>
      <c r="HI19" s="511"/>
      <c r="HJ19" s="874"/>
      <c r="HK19" s="874"/>
      <c r="HL19" s="874"/>
      <c r="HM19" s="874"/>
      <c r="HN19" s="874"/>
      <c r="HO19" s="874"/>
      <c r="HP19" s="874"/>
      <c r="HQ19" s="874"/>
      <c r="HR19" s="874"/>
      <c r="HS19" s="874"/>
      <c r="HT19" s="874"/>
      <c r="HU19" s="874"/>
      <c r="HV19" s="874"/>
      <c r="HW19" s="511"/>
      <c r="HX19" s="511"/>
      <c r="HY19" s="511"/>
      <c r="HZ19" s="511"/>
      <c r="IA19" s="511"/>
      <c r="IB19" s="511"/>
      <c r="IC19" s="511"/>
      <c r="ID19" s="511"/>
      <c r="IE19" s="874"/>
      <c r="IF19" s="874"/>
      <c r="IG19" s="874"/>
      <c r="IH19" s="874"/>
      <c r="II19" s="874"/>
      <c r="IJ19" s="874"/>
      <c r="IK19" s="874"/>
      <c r="IL19" s="874"/>
      <c r="IM19" s="874"/>
      <c r="IN19" s="874"/>
      <c r="IO19" s="874"/>
      <c r="IP19" s="874"/>
      <c r="IQ19" s="874"/>
      <c r="IR19" s="511"/>
      <c r="IS19" s="511"/>
      <c r="IT19" s="511"/>
      <c r="IU19" s="511"/>
      <c r="IV19" s="511"/>
      <c r="IW19" s="511"/>
      <c r="IX19" s="511"/>
      <c r="IY19" s="511"/>
      <c r="IZ19" s="874"/>
      <c r="JA19" s="874"/>
      <c r="JB19" s="874"/>
      <c r="JC19" s="874"/>
      <c r="JD19" s="874"/>
      <c r="JE19" s="874"/>
      <c r="JF19" s="874"/>
      <c r="JG19" s="874"/>
      <c r="JH19" s="874"/>
      <c r="JI19" s="874"/>
      <c r="JJ19" s="874"/>
      <c r="JK19" s="874"/>
      <c r="JL19" s="874"/>
      <c r="JM19" s="874"/>
      <c r="JN19" s="874"/>
      <c r="JO19" s="874"/>
      <c r="JP19" s="874"/>
      <c r="JQ19" s="874"/>
      <c r="JR19" s="874"/>
      <c r="JS19" s="874"/>
      <c r="JT19" s="874"/>
      <c r="JU19" s="874"/>
      <c r="JV19" s="874"/>
      <c r="JW19" s="874"/>
      <c r="JX19" s="874"/>
      <c r="JY19" s="874"/>
      <c r="JZ19" s="874"/>
      <c r="KA19" s="874"/>
      <c r="KB19" s="874"/>
      <c r="KC19" s="874"/>
      <c r="KD19" s="874"/>
      <c r="KE19" s="874"/>
      <c r="KF19" s="874"/>
      <c r="KG19" s="874"/>
      <c r="KH19" s="865"/>
      <c r="KI19" s="865"/>
      <c r="KJ19" s="865"/>
      <c r="KK19" s="865"/>
      <c r="KL19" s="865"/>
      <c r="KM19" s="865"/>
      <c r="KN19" s="865"/>
      <c r="KO19" s="865"/>
      <c r="KP19" s="865"/>
      <c r="KQ19" s="865"/>
      <c r="KR19" s="865"/>
      <c r="KS19" s="865"/>
      <c r="KT19" s="865"/>
      <c r="KU19" s="865"/>
      <c r="KV19" s="865"/>
      <c r="KW19" s="865"/>
      <c r="KX19" s="865"/>
      <c r="KY19" s="865"/>
      <c r="KZ19" s="865"/>
      <c r="LA19" s="865"/>
      <c r="LB19" s="865"/>
      <c r="LC19" s="865"/>
      <c r="LD19" s="865"/>
      <c r="LE19" s="865"/>
      <c r="LF19" s="865"/>
    </row>
    <row r="20" spans="1:318" ht="20.399999999999999">
      <c r="A20" s="867"/>
      <c r="B20" s="866"/>
      <c r="C20" s="866"/>
      <c r="D20" s="866"/>
      <c r="E20" s="868"/>
      <c r="F20" s="511"/>
      <c r="G20" s="867"/>
      <c r="H20" s="866"/>
      <c r="I20" s="866"/>
      <c r="J20" s="866"/>
      <c r="K20" s="868"/>
      <c r="L20" s="511"/>
      <c r="M20" s="867"/>
      <c r="N20" s="866"/>
      <c r="O20" s="866"/>
      <c r="P20" s="866"/>
      <c r="Q20" s="868"/>
      <c r="R20" s="511"/>
      <c r="S20" s="867"/>
      <c r="T20" s="866"/>
      <c r="U20" s="866"/>
      <c r="V20" s="866"/>
      <c r="W20" s="868"/>
      <c r="X20" s="511"/>
      <c r="Y20" s="867"/>
      <c r="Z20" s="866"/>
      <c r="AA20" s="866"/>
      <c r="AB20" s="866"/>
      <c r="AC20" s="868"/>
      <c r="AD20" s="510"/>
      <c r="AE20" s="867"/>
      <c r="AF20" s="866"/>
      <c r="AG20" s="866"/>
      <c r="AH20" s="866"/>
      <c r="AI20" s="868"/>
      <c r="AJ20" s="510"/>
      <c r="AK20" s="865"/>
      <c r="AL20" s="865"/>
      <c r="AM20" s="865"/>
      <c r="AN20" s="865"/>
      <c r="AO20" s="865"/>
      <c r="AP20" s="865"/>
      <c r="AQ20" s="865"/>
      <c r="AR20" s="865"/>
      <c r="AS20" s="865"/>
      <c r="AT20" s="865"/>
      <c r="AU20" s="865"/>
      <c r="AV20" s="865"/>
      <c r="AW20" s="865"/>
      <c r="AX20" s="865"/>
      <c r="AY20" s="865"/>
      <c r="AZ20" s="865"/>
      <c r="BA20" s="865"/>
      <c r="BB20" s="865"/>
      <c r="BC20" s="865"/>
      <c r="BD20" s="865"/>
      <c r="BE20" s="865"/>
      <c r="BF20" s="865"/>
      <c r="BG20" s="865"/>
      <c r="BH20" s="865"/>
      <c r="BI20" s="865"/>
      <c r="BJ20" s="2476" t="str">
        <f>IF(BM16="واقعي","نتايج عدم قطعيت بر اساس اطلاعات واقعي تركيب درصدهاي وارد شده:","")</f>
        <v/>
      </c>
      <c r="BK20" s="2476"/>
      <c r="BL20" s="2476"/>
      <c r="BM20" s="2476"/>
      <c r="BN20" s="2476"/>
      <c r="BO20" s="2476"/>
      <c r="BP20" s="2476"/>
      <c r="BQ20" s="865"/>
      <c r="BR20" s="2476" t="str">
        <f>IF(BU16="واقعي","نتايج عدم قطعيت بر اساس اطلاعات واقعي تركيب درصدهاي وارد شده:","")</f>
        <v/>
      </c>
      <c r="BS20" s="2476"/>
      <c r="BT20" s="2476"/>
      <c r="BU20" s="2476"/>
      <c r="BV20" s="2476"/>
      <c r="BW20" s="2476"/>
      <c r="BX20" s="2476"/>
      <c r="BY20" s="874"/>
      <c r="BZ20" s="893"/>
      <c r="CA20" s="894"/>
      <c r="CB20" s="918"/>
      <c r="CC20" s="918"/>
      <c r="CD20" s="918"/>
      <c r="CE20" s="919"/>
      <c r="CF20" s="511"/>
      <c r="CG20" s="511"/>
      <c r="CH20" s="511"/>
      <c r="CI20" s="511"/>
      <c r="CJ20" s="511"/>
      <c r="CK20" s="511"/>
      <c r="CL20" s="511"/>
      <c r="CM20" s="511"/>
      <c r="CN20" s="511"/>
      <c r="CO20" s="511"/>
      <c r="CP20" s="511"/>
      <c r="CQ20" s="511"/>
      <c r="CR20" s="511"/>
      <c r="CS20" s="511"/>
      <c r="CT20" s="511"/>
      <c r="CU20" s="893"/>
      <c r="CV20" s="894"/>
      <c r="CW20" s="918"/>
      <c r="CX20" s="918"/>
      <c r="CY20" s="918"/>
      <c r="CZ20" s="919"/>
      <c r="DA20" s="511"/>
      <c r="DB20" s="511"/>
      <c r="DC20" s="511"/>
      <c r="DD20" s="511"/>
      <c r="DE20" s="511"/>
      <c r="DF20" s="511"/>
      <c r="DG20" s="511"/>
      <c r="DH20" s="511"/>
      <c r="DI20" s="511"/>
      <c r="DJ20" s="511"/>
      <c r="DK20" s="511"/>
      <c r="DL20" s="511"/>
      <c r="DM20" s="511"/>
      <c r="DN20" s="511"/>
      <c r="DO20" s="511"/>
      <c r="DP20" s="893"/>
      <c r="DQ20" s="894"/>
      <c r="DR20" s="918"/>
      <c r="DS20" s="918"/>
      <c r="DT20" s="918"/>
      <c r="DU20" s="919"/>
      <c r="DV20" s="511"/>
      <c r="DW20" s="511"/>
      <c r="DX20" s="511"/>
      <c r="DY20" s="511"/>
      <c r="DZ20" s="511"/>
      <c r="EA20" s="511"/>
      <c r="EB20" s="511"/>
      <c r="EC20" s="511"/>
      <c r="ED20" s="511"/>
      <c r="EE20" s="511"/>
      <c r="EF20" s="511"/>
      <c r="EG20" s="511"/>
      <c r="EH20" s="511"/>
      <c r="EI20" s="511"/>
      <c r="EJ20" s="511"/>
      <c r="EK20" s="893"/>
      <c r="EL20" s="894"/>
      <c r="EM20" s="918"/>
      <c r="EN20" s="918"/>
      <c r="EO20" s="918"/>
      <c r="EP20" s="919"/>
      <c r="EQ20" s="511"/>
      <c r="ER20" s="511"/>
      <c r="ES20" s="511"/>
      <c r="ET20" s="511"/>
      <c r="EU20" s="511"/>
      <c r="EV20" s="511"/>
      <c r="EW20" s="511"/>
      <c r="EX20" s="511"/>
      <c r="EY20" s="511"/>
      <c r="EZ20" s="511"/>
      <c r="FA20" s="511"/>
      <c r="FB20" s="511"/>
      <c r="FC20" s="511"/>
      <c r="FD20" s="511"/>
      <c r="FE20" s="511"/>
      <c r="FF20" s="893"/>
      <c r="FG20" s="894"/>
      <c r="FH20" s="918"/>
      <c r="FI20" s="918"/>
      <c r="FJ20" s="918"/>
      <c r="FK20" s="919"/>
      <c r="FL20" s="511"/>
      <c r="FM20" s="511"/>
      <c r="FN20" s="511"/>
      <c r="FO20" s="511"/>
      <c r="FP20" s="511"/>
      <c r="FQ20" s="511"/>
      <c r="FR20" s="511"/>
      <c r="FS20" s="511"/>
      <c r="FT20" s="510"/>
      <c r="FU20" s="510"/>
      <c r="FV20" s="510"/>
      <c r="FW20" s="510"/>
      <c r="FX20" s="510"/>
      <c r="FY20" s="510"/>
      <c r="FZ20" s="510"/>
      <c r="GA20" s="893"/>
      <c r="GB20" s="894"/>
      <c r="GC20" s="918"/>
      <c r="GD20" s="918"/>
      <c r="GE20" s="918"/>
      <c r="GF20" s="919"/>
      <c r="GG20" s="511"/>
      <c r="GH20" s="511"/>
      <c r="GI20" s="511"/>
      <c r="GJ20" s="511"/>
      <c r="GK20" s="511"/>
      <c r="GL20" s="511"/>
      <c r="GM20" s="511"/>
      <c r="GN20" s="511"/>
      <c r="GO20" s="874"/>
      <c r="GP20" s="874"/>
      <c r="GQ20" s="874"/>
      <c r="GR20" s="874"/>
      <c r="GS20" s="874"/>
      <c r="GT20" s="874"/>
      <c r="GU20" s="874"/>
      <c r="GV20" s="874"/>
      <c r="GW20" s="874"/>
      <c r="GX20" s="874"/>
      <c r="GY20" s="874"/>
      <c r="GZ20" s="874"/>
      <c r="HA20" s="874"/>
      <c r="HB20" s="511"/>
      <c r="HC20" s="511"/>
      <c r="HD20" s="511"/>
      <c r="HE20" s="511"/>
      <c r="HF20" s="511"/>
      <c r="HG20" s="511"/>
      <c r="HH20" s="511"/>
      <c r="HI20" s="511"/>
      <c r="HJ20" s="874"/>
      <c r="HK20" s="874"/>
      <c r="HL20" s="874"/>
      <c r="HM20" s="874"/>
      <c r="HN20" s="874"/>
      <c r="HO20" s="874"/>
      <c r="HP20" s="874"/>
      <c r="HQ20" s="874"/>
      <c r="HR20" s="874"/>
      <c r="HS20" s="874"/>
      <c r="HT20" s="874"/>
      <c r="HU20" s="874"/>
      <c r="HV20" s="874"/>
      <c r="HW20" s="511"/>
      <c r="HX20" s="511"/>
      <c r="HY20" s="511"/>
      <c r="HZ20" s="511"/>
      <c r="IA20" s="511"/>
      <c r="IB20" s="511"/>
      <c r="IC20" s="511"/>
      <c r="ID20" s="511"/>
      <c r="IE20" s="874"/>
      <c r="IF20" s="874"/>
      <c r="IG20" s="874"/>
      <c r="IH20" s="874"/>
      <c r="II20" s="874"/>
      <c r="IJ20" s="874"/>
      <c r="IK20" s="874"/>
      <c r="IL20" s="874"/>
      <c r="IM20" s="874"/>
      <c r="IN20" s="874"/>
      <c r="IO20" s="874"/>
      <c r="IP20" s="874"/>
      <c r="IQ20" s="874"/>
      <c r="IR20" s="511"/>
      <c r="IS20" s="511"/>
      <c r="IT20" s="511"/>
      <c r="IU20" s="511"/>
      <c r="IV20" s="511"/>
      <c r="IW20" s="511"/>
      <c r="IX20" s="511"/>
      <c r="IY20" s="511"/>
      <c r="IZ20" s="874"/>
      <c r="JA20" s="874"/>
      <c r="JB20" s="874"/>
      <c r="JC20" s="874"/>
      <c r="JD20" s="874"/>
      <c r="JE20" s="874"/>
      <c r="JF20" s="874"/>
      <c r="JG20" s="874"/>
      <c r="JH20" s="874"/>
      <c r="JI20" s="874"/>
      <c r="JJ20" s="874"/>
      <c r="JK20" s="874"/>
      <c r="JL20" s="874"/>
      <c r="JM20" s="874"/>
      <c r="JN20" s="874"/>
      <c r="JO20" s="874"/>
      <c r="JP20" s="874"/>
      <c r="JQ20" s="874"/>
      <c r="JR20" s="874"/>
      <c r="JS20" s="874"/>
      <c r="JT20" s="874"/>
      <c r="JU20" s="874"/>
      <c r="JV20" s="874"/>
      <c r="JW20" s="874"/>
      <c r="JX20" s="874"/>
      <c r="JY20" s="874"/>
      <c r="JZ20" s="874"/>
      <c r="KA20" s="874"/>
      <c r="KB20" s="874"/>
      <c r="KC20" s="874"/>
      <c r="KD20" s="874"/>
      <c r="KE20" s="874"/>
      <c r="KF20" s="874"/>
      <c r="KG20" s="874"/>
      <c r="KH20" s="865"/>
      <c r="KI20" s="865"/>
      <c r="KJ20" s="865"/>
      <c r="KK20" s="865"/>
      <c r="KL20" s="865"/>
      <c r="KM20" s="865"/>
      <c r="KN20" s="865"/>
      <c r="KO20" s="865"/>
      <c r="KP20" s="865"/>
      <c r="KQ20" s="865"/>
      <c r="KR20" s="865"/>
      <c r="KS20" s="865"/>
      <c r="KT20" s="865"/>
      <c r="KU20" s="865"/>
      <c r="KV20" s="865"/>
      <c r="KW20" s="865"/>
      <c r="KX20" s="865"/>
      <c r="KY20" s="865"/>
      <c r="KZ20" s="865"/>
      <c r="LA20" s="865"/>
      <c r="LB20" s="865"/>
      <c r="LC20" s="865"/>
      <c r="LD20" s="865"/>
      <c r="LE20" s="865"/>
      <c r="LF20" s="865"/>
    </row>
    <row r="21" spans="1:318" ht="18.600000000000001">
      <c r="A21" s="499" t="s">
        <v>1225</v>
      </c>
      <c r="B21" s="500" t="str">
        <f>'HHV-LHV-MW'!O34</f>
        <v/>
      </c>
      <c r="C21" s="500" t="str">
        <f>'HHV-LHV-MW'!AA34</f>
        <v/>
      </c>
      <c r="D21" s="500" t="str">
        <f>'HHV-LHV-MW'!AM34</f>
        <v/>
      </c>
      <c r="E21" s="501" t="str">
        <f>'HHV-LHV-MW'!AY34</f>
        <v/>
      </c>
      <c r="F21" s="511"/>
      <c r="G21" s="499" t="s">
        <v>1225</v>
      </c>
      <c r="H21" s="500" t="str">
        <f>'HHV-LHV-MW'!BL34</f>
        <v/>
      </c>
      <c r="I21" s="500" t="str">
        <f>'HHV-LHV-MW'!BX34</f>
        <v/>
      </c>
      <c r="J21" s="500" t="str">
        <f>'HHV-LHV-MW'!CJ34</f>
        <v/>
      </c>
      <c r="K21" s="501" t="str">
        <f>'HHV-LHV-MW'!CV34</f>
        <v/>
      </c>
      <c r="L21" s="511"/>
      <c r="M21" s="499" t="s">
        <v>1225</v>
      </c>
      <c r="N21" s="500" t="str">
        <f>'HHV-LHV-MW'!DI34</f>
        <v/>
      </c>
      <c r="O21" s="500" t="str">
        <f>'HHV-LHV-MW'!DU34</f>
        <v/>
      </c>
      <c r="P21" s="500" t="str">
        <f>'HHV-LHV-MW'!EG34</f>
        <v/>
      </c>
      <c r="Q21" s="501" t="str">
        <f>'HHV-LHV-MW'!ES34</f>
        <v/>
      </c>
      <c r="R21" s="511"/>
      <c r="S21" s="499" t="s">
        <v>1225</v>
      </c>
      <c r="T21" s="500" t="str">
        <f>'HHV-LHV-MW'!FF34</f>
        <v/>
      </c>
      <c r="U21" s="500" t="str">
        <f>'HHV-LHV-MW'!FR34</f>
        <v/>
      </c>
      <c r="V21" s="500" t="str">
        <f>'HHV-LHV-MW'!GD34</f>
        <v/>
      </c>
      <c r="W21" s="501" t="str">
        <f>'HHV-LHV-MW'!GP34</f>
        <v/>
      </c>
      <c r="X21" s="511"/>
      <c r="Y21" s="499" t="s">
        <v>1225</v>
      </c>
      <c r="Z21" s="500" t="str">
        <f>'HHV-LHV-MW'!HC34</f>
        <v/>
      </c>
      <c r="AA21" s="500" t="str">
        <f>'HHV-LHV-MW'!HO34</f>
        <v/>
      </c>
      <c r="AB21" s="500" t="str">
        <f>'HHV-LHV-MW'!IA34</f>
        <v/>
      </c>
      <c r="AC21" s="501" t="str">
        <f>'HHV-LHV-MW'!IM34</f>
        <v/>
      </c>
      <c r="AD21" s="510"/>
      <c r="AE21" s="499" t="s">
        <v>1225</v>
      </c>
      <c r="AF21" s="500" t="str">
        <f>'HHV-LHV-MW'!IZ34</f>
        <v/>
      </c>
      <c r="AG21" s="500" t="str">
        <f>'HHV-LHV-MW'!JL34</f>
        <v/>
      </c>
      <c r="AH21" s="500" t="str">
        <f>'HHV-LHV-MW'!JX34</f>
        <v/>
      </c>
      <c r="AI21" s="501" t="str">
        <f>'HHV-LHV-MW'!KJ34</f>
        <v/>
      </c>
      <c r="AJ21" s="510"/>
      <c r="AK21" s="865"/>
      <c r="AL21" s="865"/>
      <c r="AM21" s="865"/>
      <c r="AN21" s="865"/>
      <c r="AO21" s="865"/>
      <c r="AP21" s="865"/>
      <c r="AQ21" s="865"/>
      <c r="AR21" s="865"/>
      <c r="AS21" s="865"/>
      <c r="AT21" s="865"/>
      <c r="AU21" s="865"/>
      <c r="AV21" s="865"/>
      <c r="AW21" s="865"/>
      <c r="AX21" s="865"/>
      <c r="AY21" s="865"/>
      <c r="AZ21" s="865"/>
      <c r="BA21" s="865"/>
      <c r="BB21" s="865"/>
      <c r="BC21" s="865"/>
      <c r="BD21" s="865"/>
      <c r="BE21" s="865"/>
      <c r="BF21" s="865"/>
      <c r="BG21" s="865"/>
      <c r="BH21" s="865"/>
      <c r="BI21" s="865"/>
      <c r="BJ21" s="1201" t="str">
        <f>IF(BM16="واقعي","عدم قطعيت نسبي ارزش حرارتي ناخالص (HHV) واقعي    %()±","")</f>
        <v/>
      </c>
      <c r="BK21" s="1201"/>
      <c r="BL21" s="1201"/>
      <c r="BM21" s="1201"/>
      <c r="BN21" s="1201"/>
      <c r="BO21" s="2477" t="str">
        <f>IF(OR(B17="",B17=0),"",IF(BO19="","ND",IF(BO19=1,(CJ50/B17),(CL50/B17) ))         )</f>
        <v/>
      </c>
      <c r="BP21" s="2477"/>
      <c r="BQ21" s="865"/>
      <c r="BR21" s="1201" t="str">
        <f>IF(BU16="واقعي","عدم قطعيت نسبي ارزش حرارتي ناخالص (HHV) واقعي    %()±","")</f>
        <v/>
      </c>
      <c r="BS21" s="1201"/>
      <c r="BT21" s="1201"/>
      <c r="BU21" s="1201"/>
      <c r="BV21" s="1201"/>
      <c r="BW21" s="2477" t="str">
        <f>IF(OR(T17="",T17=0),"",IF(BW19="","ND",IF(BW19=1,(EU50/T17),(EW50/T17)  ))         )</f>
        <v/>
      </c>
      <c r="BX21" s="2477"/>
      <c r="BY21" s="874"/>
      <c r="BZ21" s="884"/>
      <c r="CA21" s="323"/>
      <c r="CB21" s="885"/>
      <c r="CC21" s="885"/>
      <c r="CD21" s="885"/>
      <c r="CE21" s="885"/>
      <c r="CF21" s="511"/>
      <c r="CG21" s="511"/>
      <c r="CH21" s="511"/>
      <c r="CI21" s="511"/>
      <c r="CJ21" s="511"/>
      <c r="CK21" s="511"/>
      <c r="CL21" s="511"/>
      <c r="CM21" s="511"/>
      <c r="CN21" s="511"/>
      <c r="CO21" s="511"/>
      <c r="CP21" s="511"/>
      <c r="CQ21" s="511"/>
      <c r="CR21" s="511"/>
      <c r="CS21" s="511"/>
      <c r="CT21" s="511"/>
      <c r="CU21" s="884"/>
      <c r="CV21" s="323"/>
      <c r="CW21" s="885"/>
      <c r="CX21" s="885"/>
      <c r="CY21" s="885"/>
      <c r="CZ21" s="886"/>
      <c r="DA21" s="511"/>
      <c r="DB21" s="511"/>
      <c r="DC21" s="511"/>
      <c r="DD21" s="511"/>
      <c r="DE21" s="511"/>
      <c r="DF21" s="511"/>
      <c r="DG21" s="511"/>
      <c r="DH21" s="511"/>
      <c r="DI21" s="511"/>
      <c r="DJ21" s="511"/>
      <c r="DK21" s="511"/>
      <c r="DL21" s="511"/>
      <c r="DM21" s="511"/>
      <c r="DN21" s="511"/>
      <c r="DO21" s="511"/>
      <c r="DP21" s="884"/>
      <c r="DQ21" s="323"/>
      <c r="DR21" s="885"/>
      <c r="DS21" s="885"/>
      <c r="DT21" s="885"/>
      <c r="DU21" s="886"/>
      <c r="DV21" s="511"/>
      <c r="DW21" s="511"/>
      <c r="DX21" s="511"/>
      <c r="DY21" s="511"/>
      <c r="DZ21" s="511"/>
      <c r="EA21" s="511"/>
      <c r="EB21" s="511"/>
      <c r="EC21" s="511"/>
      <c r="ED21" s="511"/>
      <c r="EE21" s="511"/>
      <c r="EF21" s="511"/>
      <c r="EG21" s="511"/>
      <c r="EH21" s="511"/>
      <c r="EI21" s="511"/>
      <c r="EJ21" s="511"/>
      <c r="EK21" s="884"/>
      <c r="EL21" s="323"/>
      <c r="EM21" s="885"/>
      <c r="EN21" s="885"/>
      <c r="EO21" s="885"/>
      <c r="EP21" s="886"/>
      <c r="EQ21" s="511"/>
      <c r="ER21" s="511"/>
      <c r="ES21" s="511"/>
      <c r="ET21" s="511"/>
      <c r="EU21" s="511"/>
      <c r="EV21" s="511"/>
      <c r="EW21" s="511"/>
      <c r="EX21" s="511"/>
      <c r="EY21" s="511"/>
      <c r="EZ21" s="511"/>
      <c r="FA21" s="511"/>
      <c r="FB21" s="511"/>
      <c r="FC21" s="511"/>
      <c r="FD21" s="511"/>
      <c r="FE21" s="511"/>
      <c r="FF21" s="884"/>
      <c r="FG21" s="323"/>
      <c r="FH21" s="885"/>
      <c r="FI21" s="885"/>
      <c r="FJ21" s="885"/>
      <c r="FK21" s="886"/>
      <c r="FL21" s="511"/>
      <c r="FM21" s="511"/>
      <c r="FN21" s="511"/>
      <c r="FO21" s="511"/>
      <c r="FP21" s="511"/>
      <c r="FQ21" s="511"/>
      <c r="FR21" s="511"/>
      <c r="FS21" s="511"/>
      <c r="FT21" s="510"/>
      <c r="FU21" s="510"/>
      <c r="FV21" s="510"/>
      <c r="FW21" s="510"/>
      <c r="FX21" s="510"/>
      <c r="FY21" s="510"/>
      <c r="FZ21" s="510"/>
      <c r="GA21" s="884"/>
      <c r="GB21" s="323"/>
      <c r="GC21" s="885"/>
      <c r="GD21" s="885"/>
      <c r="GE21" s="885"/>
      <c r="GF21" s="886"/>
      <c r="GG21" s="511"/>
      <c r="GH21" s="511"/>
      <c r="GI21" s="511"/>
      <c r="GJ21" s="511"/>
      <c r="GK21" s="511"/>
      <c r="GL21" s="511"/>
      <c r="GM21" s="511"/>
      <c r="GN21" s="511"/>
      <c r="GO21" s="874"/>
      <c r="GP21" s="874"/>
      <c r="GQ21" s="874"/>
      <c r="GR21" s="874"/>
      <c r="GS21" s="874"/>
      <c r="GT21" s="874"/>
      <c r="GU21" s="874"/>
      <c r="GV21" s="874"/>
      <c r="GW21" s="874"/>
      <c r="GX21" s="874"/>
      <c r="GY21" s="874"/>
      <c r="GZ21" s="874"/>
      <c r="HA21" s="874"/>
      <c r="HB21" s="511"/>
      <c r="HC21" s="511"/>
      <c r="HD21" s="511"/>
      <c r="HE21" s="511"/>
      <c r="HF21" s="511"/>
      <c r="HG21" s="511"/>
      <c r="HH21" s="511"/>
      <c r="HI21" s="511"/>
      <c r="HJ21" s="874"/>
      <c r="HK21" s="874"/>
      <c r="HL21" s="874"/>
      <c r="HM21" s="874"/>
      <c r="HN21" s="874"/>
      <c r="HO21" s="874"/>
      <c r="HP21" s="874"/>
      <c r="HQ21" s="874"/>
      <c r="HR21" s="874"/>
      <c r="HS21" s="874"/>
      <c r="HT21" s="874"/>
      <c r="HU21" s="874"/>
      <c r="HV21" s="874"/>
      <c r="HW21" s="511"/>
      <c r="HX21" s="511"/>
      <c r="HY21" s="511"/>
      <c r="HZ21" s="511"/>
      <c r="IA21" s="511"/>
      <c r="IB21" s="511"/>
      <c r="IC21" s="511"/>
      <c r="ID21" s="511"/>
      <c r="IE21" s="874"/>
      <c r="IF21" s="874"/>
      <c r="IG21" s="874"/>
      <c r="IH21" s="874"/>
      <c r="II21" s="874"/>
      <c r="IJ21" s="874"/>
      <c r="IK21" s="874"/>
      <c r="IL21" s="874"/>
      <c r="IM21" s="874"/>
      <c r="IN21" s="874"/>
      <c r="IO21" s="874"/>
      <c r="IP21" s="874"/>
      <c r="IQ21" s="874"/>
      <c r="IR21" s="511"/>
      <c r="IS21" s="511"/>
      <c r="IT21" s="511"/>
      <c r="IU21" s="511"/>
      <c r="IV21" s="511"/>
      <c r="IW21" s="511"/>
      <c r="IX21" s="511"/>
      <c r="IY21" s="511"/>
      <c r="IZ21" s="874"/>
      <c r="JA21" s="874"/>
      <c r="JB21" s="874"/>
      <c r="JC21" s="874"/>
      <c r="JD21" s="874"/>
      <c r="JE21" s="874"/>
      <c r="JF21" s="874"/>
      <c r="JG21" s="874"/>
      <c r="JH21" s="874"/>
      <c r="JI21" s="874"/>
      <c r="JJ21" s="874"/>
      <c r="JK21" s="874"/>
      <c r="JL21" s="874"/>
      <c r="JM21" s="874"/>
      <c r="JN21" s="874"/>
      <c r="JO21" s="874"/>
      <c r="JP21" s="874"/>
      <c r="JQ21" s="874"/>
      <c r="JR21" s="874"/>
      <c r="JS21" s="874"/>
      <c r="JT21" s="874"/>
      <c r="JU21" s="874"/>
      <c r="JV21" s="874"/>
      <c r="JW21" s="874"/>
      <c r="JX21" s="874"/>
      <c r="JY21" s="874"/>
      <c r="JZ21" s="874"/>
      <c r="KA21" s="874"/>
      <c r="KB21" s="874"/>
      <c r="KC21" s="874"/>
      <c r="KD21" s="874"/>
      <c r="KE21" s="874"/>
      <c r="KF21" s="874"/>
      <c r="KG21" s="874"/>
      <c r="KH21" s="865"/>
      <c r="KI21" s="865"/>
      <c r="KJ21" s="865"/>
      <c r="KK21" s="865"/>
      <c r="KL21" s="865"/>
      <c r="KM21" s="865"/>
      <c r="KN21" s="865"/>
      <c r="KO21" s="865"/>
      <c r="KP21" s="865"/>
      <c r="KQ21" s="865"/>
      <c r="KR21" s="865"/>
      <c r="KS21" s="865"/>
      <c r="KT21" s="865"/>
      <c r="KU21" s="865"/>
      <c r="KV21" s="865"/>
      <c r="KW21" s="865"/>
      <c r="KX21" s="865"/>
      <c r="KY21" s="865"/>
      <c r="KZ21" s="865"/>
      <c r="LA21" s="865"/>
      <c r="LB21" s="865"/>
      <c r="LC21" s="865"/>
      <c r="LD21" s="865"/>
      <c r="LE21" s="865"/>
      <c r="LF21" s="865"/>
    </row>
    <row r="22" spans="1:318" ht="18.600000000000001">
      <c r="A22" s="499" t="s">
        <v>1226</v>
      </c>
      <c r="B22" s="500" t="str">
        <f>'HHV-LHV-MW'!N34</f>
        <v/>
      </c>
      <c r="C22" s="500" t="str">
        <f>'HHV-LHV-MW'!Z34</f>
        <v/>
      </c>
      <c r="D22" s="500" t="str">
        <f>'HHV-LHV-MW'!AL34</f>
        <v/>
      </c>
      <c r="E22" s="501" t="str">
        <f>'HHV-LHV-MW'!AX34</f>
        <v/>
      </c>
      <c r="F22" s="511"/>
      <c r="G22" s="499" t="s">
        <v>1226</v>
      </c>
      <c r="H22" s="500" t="str">
        <f>'HHV-LHV-MW'!BK34</f>
        <v/>
      </c>
      <c r="I22" s="500" t="str">
        <f>'HHV-LHV-MW'!BW34</f>
        <v/>
      </c>
      <c r="J22" s="500" t="str">
        <f>'HHV-LHV-MW'!CI34</f>
        <v/>
      </c>
      <c r="K22" s="501" t="str">
        <f>'HHV-LHV-MW'!CU34</f>
        <v/>
      </c>
      <c r="L22" s="511"/>
      <c r="M22" s="499" t="s">
        <v>1226</v>
      </c>
      <c r="N22" s="500" t="str">
        <f>'HHV-LHV-MW'!DH34</f>
        <v/>
      </c>
      <c r="O22" s="500" t="str">
        <f>'HHV-LHV-MW'!DT34</f>
        <v/>
      </c>
      <c r="P22" s="500" t="str">
        <f>'HHV-LHV-MW'!EF34</f>
        <v/>
      </c>
      <c r="Q22" s="501" t="str">
        <f>'HHV-LHV-MW'!ER34</f>
        <v/>
      </c>
      <c r="R22" s="511"/>
      <c r="S22" s="499" t="s">
        <v>1226</v>
      </c>
      <c r="T22" s="500" t="str">
        <f>'HHV-LHV-MW'!FE34</f>
        <v/>
      </c>
      <c r="U22" s="500" t="str">
        <f>'HHV-LHV-MW'!FQ34</f>
        <v/>
      </c>
      <c r="V22" s="500" t="str">
        <f>'HHV-LHV-MW'!GC34</f>
        <v/>
      </c>
      <c r="W22" s="501" t="str">
        <f>'HHV-LHV-MW'!GO34</f>
        <v/>
      </c>
      <c r="X22" s="511"/>
      <c r="Y22" s="499" t="s">
        <v>1226</v>
      </c>
      <c r="Z22" s="500" t="str">
        <f>'HHV-LHV-MW'!HB34</f>
        <v/>
      </c>
      <c r="AA22" s="500" t="str">
        <f>'HHV-LHV-MW'!HN34</f>
        <v/>
      </c>
      <c r="AB22" s="500" t="str">
        <f>'HHV-LHV-MW'!HZ34</f>
        <v/>
      </c>
      <c r="AC22" s="501" t="str">
        <f>'HHV-LHV-MW'!IL34</f>
        <v/>
      </c>
      <c r="AD22" s="510"/>
      <c r="AE22" s="499" t="s">
        <v>1226</v>
      </c>
      <c r="AF22" s="500" t="str">
        <f>'HHV-LHV-MW'!IY34</f>
        <v/>
      </c>
      <c r="AG22" s="500" t="str">
        <f>'HHV-LHV-MW'!JK34</f>
        <v/>
      </c>
      <c r="AH22" s="500" t="str">
        <f>'HHV-LHV-MW'!JW34</f>
        <v/>
      </c>
      <c r="AI22" s="501" t="str">
        <f>'HHV-LHV-MW'!KI34</f>
        <v/>
      </c>
      <c r="AJ22" s="510"/>
      <c r="AK22" s="865"/>
      <c r="AL22" s="865"/>
      <c r="AM22" s="865"/>
      <c r="AN22" s="865"/>
      <c r="AO22" s="865"/>
      <c r="AP22" s="865"/>
      <c r="AQ22" s="865"/>
      <c r="AR22" s="865"/>
      <c r="AS22" s="865"/>
      <c r="AT22" s="865"/>
      <c r="AU22" s="865"/>
      <c r="AV22" s="865"/>
      <c r="AW22" s="865"/>
      <c r="AX22" s="865"/>
      <c r="AY22" s="865"/>
      <c r="AZ22" s="865"/>
      <c r="BA22" s="865"/>
      <c r="BB22" s="865"/>
      <c r="BC22" s="865"/>
      <c r="BD22" s="865"/>
      <c r="BE22" s="865"/>
      <c r="BF22" s="865"/>
      <c r="BG22" s="865"/>
      <c r="BH22" s="865"/>
      <c r="BI22" s="865"/>
      <c r="BJ22" s="1201" t="str">
        <f>IF(BM16="واقعي","عدم قطعيت نسبي ارزش حرارتي خالص (LHV) واقعي    %()±","")</f>
        <v/>
      </c>
      <c r="BK22" s="1201"/>
      <c r="BL22" s="1201"/>
      <c r="BM22" s="1201"/>
      <c r="BN22" s="1201"/>
      <c r="BO22" s="2477" t="str">
        <f>IF(OR(B16="",B16=0),"",IF(BO19="","ND",IF(BO19=1,(CK50/B16),(CM50/B16)))           )</f>
        <v/>
      </c>
      <c r="BP22" s="2477"/>
      <c r="BQ22" s="865"/>
      <c r="BR22" s="1201" t="str">
        <f>IF(BU16="واقعي","عدم قطعيت نسبي ارزش حرارتي خالص (LHV) واقعي    %()±","")</f>
        <v/>
      </c>
      <c r="BS22" s="1201"/>
      <c r="BT22" s="1201"/>
      <c r="BU22" s="1201"/>
      <c r="BV22" s="1201"/>
      <c r="BW22" s="2477" t="str">
        <f>IF(OR(T16="",T16=0),"",  IF(BW19="","ND",IF(BW19=1,(EV50/T16),(EX50/T16)))           )</f>
        <v/>
      </c>
      <c r="BX22" s="2477"/>
      <c r="BY22" s="874"/>
      <c r="BZ22" s="884"/>
      <c r="CA22" s="323"/>
      <c r="CB22" s="885"/>
      <c r="CC22" s="885"/>
      <c r="CD22" s="885"/>
      <c r="CE22" s="886"/>
      <c r="CF22" s="511"/>
      <c r="CG22" s="511"/>
      <c r="CH22" s="511"/>
      <c r="CI22" s="511"/>
      <c r="CJ22" s="511"/>
      <c r="CK22" s="511"/>
      <c r="CL22" s="511"/>
      <c r="CM22" s="511"/>
      <c r="CN22" s="511"/>
      <c r="CO22" s="511"/>
      <c r="CP22" s="511"/>
      <c r="CQ22" s="511"/>
      <c r="CR22" s="511"/>
      <c r="CS22" s="511"/>
      <c r="CT22" s="511"/>
      <c r="CU22" s="884"/>
      <c r="CV22" s="323"/>
      <c r="CW22" s="885"/>
      <c r="CX22" s="885"/>
      <c r="CY22" s="885"/>
      <c r="CZ22" s="886"/>
      <c r="DA22" s="511"/>
      <c r="DB22" s="511"/>
      <c r="DC22" s="511"/>
      <c r="DD22" s="511"/>
      <c r="DE22" s="511"/>
      <c r="DF22" s="511"/>
      <c r="DG22" s="511"/>
      <c r="DH22" s="511"/>
      <c r="DI22" s="511"/>
      <c r="DJ22" s="511"/>
      <c r="DK22" s="511"/>
      <c r="DL22" s="511"/>
      <c r="DM22" s="511"/>
      <c r="DN22" s="511"/>
      <c r="DO22" s="511"/>
      <c r="DP22" s="884"/>
      <c r="DQ22" s="323"/>
      <c r="DR22" s="885"/>
      <c r="DS22" s="885"/>
      <c r="DT22" s="885"/>
      <c r="DU22" s="886"/>
      <c r="DV22" s="511"/>
      <c r="DW22" s="511"/>
      <c r="DX22" s="511"/>
      <c r="DY22" s="511"/>
      <c r="DZ22" s="511"/>
      <c r="EA22" s="511"/>
      <c r="EB22" s="511"/>
      <c r="EC22" s="511"/>
      <c r="ED22" s="511"/>
      <c r="EE22" s="511"/>
      <c r="EF22" s="511"/>
      <c r="EG22" s="511"/>
      <c r="EH22" s="511"/>
      <c r="EI22" s="511"/>
      <c r="EJ22" s="511"/>
      <c r="EK22" s="884"/>
      <c r="EL22" s="323"/>
      <c r="EM22" s="885"/>
      <c r="EN22" s="885"/>
      <c r="EO22" s="885"/>
      <c r="EP22" s="886"/>
      <c r="EQ22" s="511"/>
      <c r="ER22" s="511"/>
      <c r="ES22" s="511"/>
      <c r="ET22" s="511"/>
      <c r="EU22" s="511"/>
      <c r="EV22" s="511"/>
      <c r="EW22" s="511"/>
      <c r="EX22" s="511"/>
      <c r="EY22" s="511"/>
      <c r="EZ22" s="511"/>
      <c r="FA22" s="511"/>
      <c r="FB22" s="511"/>
      <c r="FC22" s="511"/>
      <c r="FD22" s="511"/>
      <c r="FE22" s="511"/>
      <c r="FF22" s="884"/>
      <c r="FG22" s="323"/>
      <c r="FH22" s="885"/>
      <c r="FI22" s="885"/>
      <c r="FJ22" s="885"/>
      <c r="FK22" s="886"/>
      <c r="FL22" s="511"/>
      <c r="FM22" s="511"/>
      <c r="FN22" s="511"/>
      <c r="FO22" s="511"/>
      <c r="FP22" s="511"/>
      <c r="FQ22" s="511"/>
      <c r="FR22" s="511"/>
      <c r="FS22" s="511"/>
      <c r="FT22" s="510"/>
      <c r="FU22" s="510"/>
      <c r="FV22" s="510"/>
      <c r="FW22" s="510"/>
      <c r="FX22" s="510"/>
      <c r="FY22" s="510"/>
      <c r="FZ22" s="510"/>
      <c r="GA22" s="884"/>
      <c r="GB22" s="323"/>
      <c r="GC22" s="885"/>
      <c r="GD22" s="885"/>
      <c r="GE22" s="885"/>
      <c r="GF22" s="886"/>
      <c r="GG22" s="511"/>
      <c r="GH22" s="511"/>
      <c r="GI22" s="511"/>
      <c r="GJ22" s="511"/>
      <c r="GK22" s="511"/>
      <c r="GL22" s="511"/>
      <c r="GM22" s="511"/>
      <c r="GN22" s="511"/>
      <c r="GO22" s="874"/>
      <c r="GP22" s="874"/>
      <c r="GQ22" s="874"/>
      <c r="GR22" s="874"/>
      <c r="GS22" s="874"/>
      <c r="GT22" s="874"/>
      <c r="GU22" s="874"/>
      <c r="GV22" s="874"/>
      <c r="GW22" s="874"/>
      <c r="GX22" s="874"/>
      <c r="GY22" s="874"/>
      <c r="GZ22" s="874"/>
      <c r="HA22" s="874"/>
      <c r="HB22" s="511"/>
      <c r="HC22" s="511"/>
      <c r="HD22" s="511"/>
      <c r="HE22" s="511"/>
      <c r="HF22" s="511"/>
      <c r="HG22" s="511"/>
      <c r="HH22" s="511"/>
      <c r="HI22" s="511"/>
      <c r="HJ22" s="874"/>
      <c r="HK22" s="874"/>
      <c r="HL22" s="874"/>
      <c r="HM22" s="874"/>
      <c r="HN22" s="874"/>
      <c r="HO22" s="874"/>
      <c r="HP22" s="874"/>
      <c r="HQ22" s="874"/>
      <c r="HR22" s="874"/>
      <c r="HS22" s="874"/>
      <c r="HT22" s="874"/>
      <c r="HU22" s="874"/>
      <c r="HV22" s="874"/>
      <c r="HW22" s="511"/>
      <c r="HX22" s="511"/>
      <c r="HY22" s="511"/>
      <c r="HZ22" s="511"/>
      <c r="IA22" s="511"/>
      <c r="IB22" s="511"/>
      <c r="IC22" s="511"/>
      <c r="ID22" s="511"/>
      <c r="IE22" s="874"/>
      <c r="IF22" s="874"/>
      <c r="IG22" s="874"/>
      <c r="IH22" s="874"/>
      <c r="II22" s="874"/>
      <c r="IJ22" s="874"/>
      <c r="IK22" s="874"/>
      <c r="IL22" s="874"/>
      <c r="IM22" s="874"/>
      <c r="IN22" s="874"/>
      <c r="IO22" s="874"/>
      <c r="IP22" s="874"/>
      <c r="IQ22" s="874"/>
      <c r="IR22" s="511"/>
      <c r="IS22" s="511"/>
      <c r="IT22" s="511"/>
      <c r="IU22" s="511"/>
      <c r="IV22" s="511"/>
      <c r="IW22" s="511"/>
      <c r="IX22" s="511"/>
      <c r="IY22" s="511"/>
      <c r="IZ22" s="874"/>
      <c r="JA22" s="874"/>
      <c r="JB22" s="874"/>
      <c r="JC22" s="874"/>
      <c r="JD22" s="874"/>
      <c r="JE22" s="874"/>
      <c r="JF22" s="874"/>
      <c r="JG22" s="874"/>
      <c r="JH22" s="874"/>
      <c r="JI22" s="874"/>
      <c r="JJ22" s="874"/>
      <c r="JK22" s="874"/>
      <c r="JL22" s="874"/>
      <c r="JM22" s="874"/>
      <c r="JN22" s="874"/>
      <c r="JO22" s="874"/>
      <c r="JP22" s="874"/>
      <c r="JQ22" s="874"/>
      <c r="JR22" s="874"/>
      <c r="JS22" s="874"/>
      <c r="JT22" s="874"/>
      <c r="JU22" s="874"/>
      <c r="JV22" s="874"/>
      <c r="JW22" s="874"/>
      <c r="JX22" s="874"/>
      <c r="JY22" s="874"/>
      <c r="JZ22" s="874"/>
      <c r="KA22" s="874"/>
      <c r="KB22" s="874"/>
      <c r="KC22" s="874"/>
      <c r="KD22" s="874"/>
      <c r="KE22" s="874"/>
      <c r="KF22" s="874"/>
      <c r="KG22" s="874"/>
      <c r="KH22" s="865"/>
      <c r="KI22" s="865"/>
      <c r="KJ22" s="865"/>
      <c r="KK22" s="865"/>
      <c r="KL22" s="865"/>
      <c r="KM22" s="865"/>
      <c r="KN22" s="865"/>
      <c r="KO22" s="865"/>
      <c r="KP22" s="865"/>
      <c r="KQ22" s="865"/>
      <c r="KR22" s="865"/>
      <c r="KS22" s="865"/>
      <c r="KT22" s="865"/>
      <c r="KU22" s="865"/>
      <c r="KV22" s="865"/>
      <c r="KW22" s="865"/>
      <c r="KX22" s="865"/>
      <c r="KY22" s="865"/>
      <c r="KZ22" s="865"/>
      <c r="LA22" s="865"/>
      <c r="LB22" s="865"/>
      <c r="LC22" s="865"/>
      <c r="LD22" s="865"/>
      <c r="LE22" s="865"/>
      <c r="LF22" s="865"/>
    </row>
    <row r="23" spans="1:318" ht="20.399999999999999" thickBot="1">
      <c r="A23" s="499" t="s">
        <v>1227</v>
      </c>
      <c r="B23" s="500" t="str">
        <f>'HHV-LHV-MW'!P34</f>
        <v/>
      </c>
      <c r="C23" s="500" t="str">
        <f>'HHV-LHV-MW'!AB34</f>
        <v/>
      </c>
      <c r="D23" s="500" t="str">
        <f>'HHV-LHV-MW'!AN34</f>
        <v/>
      </c>
      <c r="E23" s="501" t="str">
        <f>'HHV-LHV-MW'!AZ34</f>
        <v/>
      </c>
      <c r="F23" s="511"/>
      <c r="G23" s="499" t="s">
        <v>1227</v>
      </c>
      <c r="H23" s="500" t="str">
        <f>'HHV-LHV-MW'!BM34</f>
        <v/>
      </c>
      <c r="I23" s="500" t="str">
        <f>'HHV-LHV-MW'!BY34</f>
        <v/>
      </c>
      <c r="J23" s="500" t="str">
        <f>'HHV-LHV-MW'!CK34</f>
        <v/>
      </c>
      <c r="K23" s="501" t="str">
        <f>'HHV-LHV-MW'!CW34</f>
        <v/>
      </c>
      <c r="L23" s="511"/>
      <c r="M23" s="499" t="s">
        <v>1227</v>
      </c>
      <c r="N23" s="500" t="str">
        <f>'HHV-LHV-MW'!DJ34</f>
        <v/>
      </c>
      <c r="O23" s="500" t="str">
        <f>'HHV-LHV-MW'!DV34</f>
        <v/>
      </c>
      <c r="P23" s="500" t="str">
        <f>'HHV-LHV-MW'!EH34</f>
        <v/>
      </c>
      <c r="Q23" s="501" t="str">
        <f>'HHV-LHV-MW'!ET34</f>
        <v/>
      </c>
      <c r="R23" s="511"/>
      <c r="S23" s="499" t="s">
        <v>1227</v>
      </c>
      <c r="T23" s="500" t="str">
        <f>'HHV-LHV-MW'!FG34</f>
        <v/>
      </c>
      <c r="U23" s="500" t="str">
        <f>'HHV-LHV-MW'!FS34</f>
        <v/>
      </c>
      <c r="V23" s="500" t="str">
        <f>'HHV-LHV-MW'!GE34</f>
        <v/>
      </c>
      <c r="W23" s="501" t="str">
        <f>'HHV-LHV-MW'!GQ34</f>
        <v/>
      </c>
      <c r="X23" s="511"/>
      <c r="Y23" s="499" t="s">
        <v>1227</v>
      </c>
      <c r="Z23" s="500" t="str">
        <f>'HHV-LHV-MW'!HD34</f>
        <v/>
      </c>
      <c r="AA23" s="500" t="str">
        <f>'HHV-LHV-MW'!HP34</f>
        <v/>
      </c>
      <c r="AB23" s="500" t="str">
        <f>'HHV-LHV-MW'!IB34</f>
        <v/>
      </c>
      <c r="AC23" s="501" t="str">
        <f>'HHV-LHV-MW'!IN34</f>
        <v/>
      </c>
      <c r="AD23" s="511"/>
      <c r="AE23" s="499" t="s">
        <v>1227</v>
      </c>
      <c r="AF23" s="500" t="str">
        <f>'HHV-LHV-MW'!JA34</f>
        <v/>
      </c>
      <c r="AG23" s="500" t="str">
        <f>'HHV-LHV-MW'!JM34</f>
        <v/>
      </c>
      <c r="AH23" s="500" t="str">
        <f>'HHV-LHV-MW'!JY34</f>
        <v/>
      </c>
      <c r="AI23" s="501" t="str">
        <f>'HHV-LHV-MW'!KK34</f>
        <v/>
      </c>
      <c r="AJ23" s="511"/>
      <c r="AK23" s="865"/>
      <c r="AL23" s="865"/>
      <c r="AM23" s="865"/>
      <c r="AN23" s="865"/>
      <c r="AO23" s="865"/>
      <c r="AP23" s="865"/>
      <c r="AQ23" s="865"/>
      <c r="AR23" s="865"/>
      <c r="AS23" s="865"/>
      <c r="AT23" s="865"/>
      <c r="AU23" s="865"/>
      <c r="AV23" s="865"/>
      <c r="AW23" s="865"/>
      <c r="AX23" s="865"/>
      <c r="AY23" s="865"/>
      <c r="AZ23" s="865"/>
      <c r="BA23" s="865"/>
      <c r="BB23" s="865"/>
      <c r="BC23" s="865"/>
      <c r="BD23" s="865"/>
      <c r="BE23" s="865"/>
      <c r="BF23" s="865"/>
      <c r="BG23" s="865"/>
      <c r="BH23" s="865"/>
      <c r="BI23" s="865"/>
      <c r="BJ23" s="865"/>
      <c r="BK23" s="865"/>
      <c r="BL23" s="865"/>
      <c r="BM23" s="865"/>
      <c r="BN23" s="865"/>
      <c r="BO23" s="865"/>
      <c r="BP23" s="865"/>
      <c r="BQ23" s="865"/>
      <c r="BR23" s="865"/>
      <c r="BS23" s="865"/>
      <c r="BT23" s="865"/>
      <c r="BU23" s="865"/>
      <c r="BV23" s="865"/>
      <c r="BW23" s="865"/>
      <c r="BX23" s="865"/>
      <c r="BY23" s="874"/>
      <c r="BZ23" s="884"/>
      <c r="CA23" s="323"/>
      <c r="CB23" s="885"/>
      <c r="CC23" s="885"/>
      <c r="CD23" s="885"/>
      <c r="CE23" s="886"/>
      <c r="CF23" s="511"/>
      <c r="CG23" s="511"/>
      <c r="CH23" s="511"/>
      <c r="CI23" s="511"/>
      <c r="CJ23" s="511"/>
      <c r="CK23" s="511"/>
      <c r="CL23" s="511"/>
      <c r="CM23" s="511"/>
      <c r="CN23" s="511"/>
      <c r="CO23" s="511"/>
      <c r="CP23" s="511"/>
      <c r="CQ23" s="511"/>
      <c r="CR23" s="511"/>
      <c r="CS23" s="511"/>
      <c r="CT23" s="511"/>
      <c r="CU23" s="884"/>
      <c r="CV23" s="323"/>
      <c r="CW23" s="885"/>
      <c r="CX23" s="885"/>
      <c r="CY23" s="885"/>
      <c r="CZ23" s="886"/>
      <c r="DA23" s="511"/>
      <c r="DB23" s="511"/>
      <c r="DC23" s="511"/>
      <c r="DD23" s="511"/>
      <c r="DE23" s="511"/>
      <c r="DF23" s="511"/>
      <c r="DG23" s="511"/>
      <c r="DH23" s="511"/>
      <c r="DI23" s="511"/>
      <c r="DJ23" s="511"/>
      <c r="DK23" s="511"/>
      <c r="DL23" s="511"/>
      <c r="DM23" s="511"/>
      <c r="DN23" s="511"/>
      <c r="DO23" s="511"/>
      <c r="DP23" s="884"/>
      <c r="DQ23" s="323"/>
      <c r="DR23" s="885"/>
      <c r="DS23" s="885"/>
      <c r="DT23" s="885"/>
      <c r="DU23" s="886"/>
      <c r="DV23" s="511"/>
      <c r="DW23" s="511"/>
      <c r="DX23" s="511"/>
      <c r="DY23" s="511"/>
      <c r="DZ23" s="511"/>
      <c r="EA23" s="511"/>
      <c r="EB23" s="511"/>
      <c r="EC23" s="511"/>
      <c r="ED23" s="511"/>
      <c r="EE23" s="511"/>
      <c r="EF23" s="511"/>
      <c r="EG23" s="511"/>
      <c r="EH23" s="511"/>
      <c r="EI23" s="511"/>
      <c r="EJ23" s="511"/>
      <c r="EK23" s="884"/>
      <c r="EL23" s="323"/>
      <c r="EM23" s="885"/>
      <c r="EN23" s="885"/>
      <c r="EO23" s="885"/>
      <c r="EP23" s="886"/>
      <c r="EQ23" s="511"/>
      <c r="ER23" s="511"/>
      <c r="ES23" s="511"/>
      <c r="ET23" s="511"/>
      <c r="EU23" s="511"/>
      <c r="EV23" s="511"/>
      <c r="EW23" s="511"/>
      <c r="EX23" s="511"/>
      <c r="EY23" s="511"/>
      <c r="EZ23" s="511"/>
      <c r="FA23" s="511"/>
      <c r="FB23" s="511"/>
      <c r="FC23" s="511"/>
      <c r="FD23" s="511"/>
      <c r="FE23" s="511"/>
      <c r="FF23" s="884"/>
      <c r="FG23" s="323"/>
      <c r="FH23" s="885"/>
      <c r="FI23" s="885"/>
      <c r="FJ23" s="885"/>
      <c r="FK23" s="886"/>
      <c r="FL23" s="511"/>
      <c r="FM23" s="511"/>
      <c r="FN23" s="511"/>
      <c r="FO23" s="511"/>
      <c r="FP23" s="511"/>
      <c r="FQ23" s="511"/>
      <c r="FR23" s="511"/>
      <c r="FS23" s="511"/>
      <c r="FT23" s="511"/>
      <c r="FU23" s="511"/>
      <c r="FV23" s="511"/>
      <c r="FW23" s="511"/>
      <c r="FX23" s="511"/>
      <c r="FY23" s="511"/>
      <c r="FZ23" s="511"/>
      <c r="GA23" s="884"/>
      <c r="GB23" s="323"/>
      <c r="GC23" s="885"/>
      <c r="GD23" s="885"/>
      <c r="GE23" s="885"/>
      <c r="GF23" s="886"/>
      <c r="GG23" s="511"/>
      <c r="GH23" s="511"/>
      <c r="GI23" s="511"/>
      <c r="GJ23" s="511"/>
      <c r="GK23" s="511"/>
      <c r="GL23" s="511"/>
      <c r="GM23" s="511"/>
      <c r="GN23" s="511"/>
      <c r="GO23" s="874"/>
      <c r="GP23" s="874"/>
      <c r="GQ23" s="874"/>
      <c r="GR23" s="874"/>
      <c r="GS23" s="874"/>
      <c r="GT23" s="874"/>
      <c r="GU23" s="874"/>
      <c r="GV23" s="874"/>
      <c r="GW23" s="874"/>
      <c r="GX23" s="874"/>
      <c r="GY23" s="874"/>
      <c r="GZ23" s="874"/>
      <c r="HA23" s="874"/>
      <c r="HB23" s="511"/>
      <c r="HC23" s="511"/>
      <c r="HD23" s="511"/>
      <c r="HE23" s="511"/>
      <c r="HF23" s="511"/>
      <c r="HG23" s="511"/>
      <c r="HH23" s="511"/>
      <c r="HI23" s="511"/>
      <c r="HJ23" s="874"/>
      <c r="HK23" s="874"/>
      <c r="HL23" s="874"/>
      <c r="HM23" s="874"/>
      <c r="HN23" s="874"/>
      <c r="HO23" s="874"/>
      <c r="HP23" s="874"/>
      <c r="HQ23" s="874"/>
      <c r="HR23" s="874"/>
      <c r="HS23" s="874"/>
      <c r="HT23" s="874"/>
      <c r="HU23" s="874"/>
      <c r="HV23" s="874"/>
      <c r="HW23" s="511"/>
      <c r="HX23" s="511"/>
      <c r="HY23" s="511"/>
      <c r="HZ23" s="511"/>
      <c r="IA23" s="511"/>
      <c r="IB23" s="511"/>
      <c r="IC23" s="511"/>
      <c r="ID23" s="511"/>
      <c r="IE23" s="874"/>
      <c r="IF23" s="874"/>
      <c r="IG23" s="874"/>
      <c r="IH23" s="874"/>
      <c r="II23" s="874"/>
      <c r="IJ23" s="874"/>
      <c r="IK23" s="874"/>
      <c r="IL23" s="874"/>
      <c r="IM23" s="874"/>
      <c r="IN23" s="874"/>
      <c r="IO23" s="874"/>
      <c r="IP23" s="874"/>
      <c r="IQ23" s="874"/>
      <c r="IR23" s="511"/>
      <c r="IS23" s="511"/>
      <c r="IT23" s="511"/>
      <c r="IU23" s="511"/>
      <c r="IV23" s="511"/>
      <c r="IW23" s="511"/>
      <c r="IX23" s="511"/>
      <c r="IY23" s="511"/>
      <c r="IZ23" s="874"/>
      <c r="JA23" s="874"/>
      <c r="JB23" s="874"/>
      <c r="JC23" s="874"/>
      <c r="JD23" s="874"/>
      <c r="JE23" s="874"/>
      <c r="JF23" s="874"/>
      <c r="JG23" s="874"/>
      <c r="JH23" s="874"/>
      <c r="JI23" s="874"/>
      <c r="JJ23" s="874"/>
      <c r="JK23" s="874"/>
      <c r="JL23" s="874"/>
      <c r="JM23" s="874"/>
      <c r="JN23" s="874"/>
      <c r="JO23" s="874"/>
      <c r="JP23" s="874"/>
      <c r="JQ23" s="874"/>
      <c r="JR23" s="874"/>
      <c r="JS23" s="874"/>
      <c r="JT23" s="874"/>
      <c r="JU23" s="874"/>
      <c r="JV23" s="874"/>
      <c r="JW23" s="874"/>
      <c r="JX23" s="874"/>
      <c r="JY23" s="874"/>
      <c r="JZ23" s="874"/>
      <c r="KA23" s="874"/>
      <c r="KB23" s="874"/>
      <c r="KC23" s="874"/>
      <c r="KD23" s="874"/>
      <c r="KE23" s="874"/>
      <c r="KF23" s="874"/>
      <c r="KG23" s="874"/>
      <c r="KH23" s="865"/>
      <c r="KI23" s="865"/>
      <c r="KJ23" s="865"/>
      <c r="KK23" s="865"/>
      <c r="KL23" s="865"/>
      <c r="KM23" s="865"/>
      <c r="KN23" s="865"/>
      <c r="KO23" s="865"/>
      <c r="KP23" s="865"/>
      <c r="KQ23" s="865"/>
      <c r="KR23" s="865"/>
      <c r="KS23" s="865"/>
      <c r="KT23" s="865"/>
      <c r="KU23" s="865"/>
      <c r="KV23" s="865"/>
      <c r="KW23" s="865"/>
      <c r="KX23" s="865"/>
      <c r="KY23" s="865"/>
      <c r="KZ23" s="865"/>
      <c r="LA23" s="865"/>
      <c r="LB23" s="865"/>
      <c r="LC23" s="865"/>
      <c r="LD23" s="865"/>
      <c r="LE23" s="865"/>
      <c r="LF23" s="865"/>
    </row>
    <row r="24" spans="1:318" ht="21" thickBot="1">
      <c r="A24" s="2500" t="s">
        <v>227</v>
      </c>
      <c r="B24" s="2501" t="s">
        <v>242</v>
      </c>
      <c r="C24" s="2501"/>
      <c r="D24" s="2501"/>
      <c r="E24" s="2502"/>
      <c r="F24" s="511"/>
      <c r="G24" s="2500" t="s">
        <v>227</v>
      </c>
      <c r="H24" s="2501" t="s">
        <v>242</v>
      </c>
      <c r="I24" s="2501"/>
      <c r="J24" s="2501"/>
      <c r="K24" s="2502"/>
      <c r="L24" s="511"/>
      <c r="M24" s="2500" t="s">
        <v>227</v>
      </c>
      <c r="N24" s="2501" t="s">
        <v>242</v>
      </c>
      <c r="O24" s="2501"/>
      <c r="P24" s="2501"/>
      <c r="Q24" s="2502"/>
      <c r="R24" s="511"/>
      <c r="S24" s="2500" t="s">
        <v>227</v>
      </c>
      <c r="T24" s="2501" t="s">
        <v>242</v>
      </c>
      <c r="U24" s="2501"/>
      <c r="V24" s="2501"/>
      <c r="W24" s="2502"/>
      <c r="X24" s="511"/>
      <c r="Y24" s="2500" t="s">
        <v>227</v>
      </c>
      <c r="Z24" s="2501" t="s">
        <v>242</v>
      </c>
      <c r="AA24" s="2501"/>
      <c r="AB24" s="2501"/>
      <c r="AC24" s="2502"/>
      <c r="AD24" s="510"/>
      <c r="AE24" s="2500" t="s">
        <v>227</v>
      </c>
      <c r="AF24" s="2501" t="s">
        <v>242</v>
      </c>
      <c r="AG24" s="2501"/>
      <c r="AH24" s="2501"/>
      <c r="AI24" s="2502"/>
      <c r="AJ24" s="510"/>
      <c r="AK24" s="865"/>
      <c r="AL24" s="865"/>
      <c r="AM24" s="865"/>
      <c r="AN24" s="865"/>
      <c r="AO24" s="865"/>
      <c r="AP24" s="865"/>
      <c r="AQ24" s="865"/>
      <c r="AR24" s="865"/>
      <c r="AS24" s="865"/>
      <c r="AT24" s="865"/>
      <c r="AU24" s="865"/>
      <c r="AV24" s="865"/>
      <c r="AW24" s="865"/>
      <c r="AX24" s="865"/>
      <c r="AY24" s="865"/>
      <c r="AZ24" s="865"/>
      <c r="BA24" s="865"/>
      <c r="BB24" s="865"/>
      <c r="BC24" s="865"/>
      <c r="BD24" s="865"/>
      <c r="BE24" s="865"/>
      <c r="BF24" s="865"/>
      <c r="BG24" s="865"/>
      <c r="BH24" s="865"/>
      <c r="BI24" s="865"/>
      <c r="BJ24" s="2478" t="s">
        <v>244</v>
      </c>
      <c r="BK24" s="2478"/>
      <c r="BL24" s="2478"/>
      <c r="BM24" s="2479" t="s">
        <v>231</v>
      </c>
      <c r="BN24" s="2479"/>
      <c r="BO24" s="2479"/>
      <c r="BP24" s="2479"/>
      <c r="BQ24" s="865"/>
      <c r="BR24" s="2478" t="s">
        <v>247</v>
      </c>
      <c r="BS24" s="2478"/>
      <c r="BT24" s="2478"/>
      <c r="BU24" s="2479" t="s">
        <v>234</v>
      </c>
      <c r="BV24" s="2479"/>
      <c r="BW24" s="2479"/>
      <c r="BX24" s="2479"/>
      <c r="BY24" s="874"/>
      <c r="BZ24" s="2430" t="s">
        <v>229</v>
      </c>
      <c r="CA24" s="2430" t="s">
        <v>230</v>
      </c>
      <c r="CB24" s="2428" t="s">
        <v>1482</v>
      </c>
      <c r="CC24" s="2428"/>
      <c r="CD24" s="2428"/>
      <c r="CE24" s="2431"/>
      <c r="CF24" s="2415" t="s">
        <v>1480</v>
      </c>
      <c r="CG24" s="2416"/>
      <c r="CH24" s="2416"/>
      <c r="CI24" s="2416"/>
      <c r="CJ24" s="2416"/>
      <c r="CK24" s="2416"/>
      <c r="CL24" s="2415" t="s">
        <v>1482</v>
      </c>
      <c r="CM24" s="2417"/>
      <c r="CN24" s="511"/>
      <c r="CO24" s="511"/>
      <c r="CP24" s="511"/>
      <c r="CQ24" s="511"/>
      <c r="CR24" s="511"/>
      <c r="CS24" s="511"/>
      <c r="CT24" s="511"/>
      <c r="CU24" s="2430" t="s">
        <v>229</v>
      </c>
      <c r="CV24" s="2430" t="s">
        <v>230</v>
      </c>
      <c r="CW24" s="2428" t="s">
        <v>1482</v>
      </c>
      <c r="CX24" s="2428"/>
      <c r="CY24" s="2428"/>
      <c r="CZ24" s="2431"/>
      <c r="DA24" s="2415" t="s">
        <v>1480</v>
      </c>
      <c r="DB24" s="2416"/>
      <c r="DC24" s="2416"/>
      <c r="DD24" s="2416"/>
      <c r="DE24" s="2416"/>
      <c r="DF24" s="2416"/>
      <c r="DG24" s="2415" t="s">
        <v>1482</v>
      </c>
      <c r="DH24" s="2417"/>
      <c r="DI24" s="511"/>
      <c r="DJ24" s="511"/>
      <c r="DK24" s="511"/>
      <c r="DL24" s="511"/>
      <c r="DM24" s="511"/>
      <c r="DN24" s="511"/>
      <c r="DO24" s="511"/>
      <c r="DP24" s="2430" t="s">
        <v>229</v>
      </c>
      <c r="DQ24" s="2430" t="s">
        <v>230</v>
      </c>
      <c r="DR24" s="2428" t="s">
        <v>1482</v>
      </c>
      <c r="DS24" s="2428"/>
      <c r="DT24" s="2428"/>
      <c r="DU24" s="2431"/>
      <c r="DV24" s="2415" t="s">
        <v>1480</v>
      </c>
      <c r="DW24" s="2416"/>
      <c r="DX24" s="2416"/>
      <c r="DY24" s="2416"/>
      <c r="DZ24" s="2416"/>
      <c r="EA24" s="2416"/>
      <c r="EB24" s="2415" t="s">
        <v>1482</v>
      </c>
      <c r="EC24" s="2417"/>
      <c r="ED24" s="511"/>
      <c r="EE24" s="511"/>
      <c r="EF24" s="511"/>
      <c r="EG24" s="511"/>
      <c r="EH24" s="511"/>
      <c r="EI24" s="511"/>
      <c r="EJ24" s="511"/>
      <c r="EK24" s="2430" t="s">
        <v>229</v>
      </c>
      <c r="EL24" s="2430" t="s">
        <v>230</v>
      </c>
      <c r="EM24" s="2428" t="s">
        <v>1482</v>
      </c>
      <c r="EN24" s="2428"/>
      <c r="EO24" s="2428"/>
      <c r="EP24" s="2431"/>
      <c r="EQ24" s="2415" t="s">
        <v>1480</v>
      </c>
      <c r="ER24" s="2416"/>
      <c r="ES24" s="2416"/>
      <c r="ET24" s="2416"/>
      <c r="EU24" s="2416"/>
      <c r="EV24" s="2416"/>
      <c r="EW24" s="2415" t="s">
        <v>1482</v>
      </c>
      <c r="EX24" s="2417"/>
      <c r="EY24" s="511"/>
      <c r="EZ24" s="511"/>
      <c r="FA24" s="511"/>
      <c r="FB24" s="511"/>
      <c r="FC24" s="511"/>
      <c r="FD24" s="511"/>
      <c r="FE24" s="511"/>
      <c r="FF24" s="2430" t="s">
        <v>229</v>
      </c>
      <c r="FG24" s="2430" t="s">
        <v>230</v>
      </c>
      <c r="FH24" s="2428" t="s">
        <v>1482</v>
      </c>
      <c r="FI24" s="2428"/>
      <c r="FJ24" s="2428"/>
      <c r="FK24" s="2431"/>
      <c r="FL24" s="2415" t="s">
        <v>1480</v>
      </c>
      <c r="FM24" s="2416"/>
      <c r="FN24" s="2416"/>
      <c r="FO24" s="2416"/>
      <c r="FP24" s="2416"/>
      <c r="FQ24" s="2416"/>
      <c r="FR24" s="2415" t="s">
        <v>1482</v>
      </c>
      <c r="FS24" s="2417"/>
      <c r="FT24" s="510"/>
      <c r="FU24" s="510"/>
      <c r="FV24" s="510"/>
      <c r="FW24" s="510"/>
      <c r="FX24" s="510"/>
      <c r="FY24" s="510"/>
      <c r="FZ24" s="510"/>
      <c r="GA24" s="2430" t="s">
        <v>229</v>
      </c>
      <c r="GB24" s="2430" t="s">
        <v>230</v>
      </c>
      <c r="GC24" s="2428" t="s">
        <v>1482</v>
      </c>
      <c r="GD24" s="2428"/>
      <c r="GE24" s="2428"/>
      <c r="GF24" s="2431"/>
      <c r="GG24" s="2415" t="s">
        <v>1480</v>
      </c>
      <c r="GH24" s="2416"/>
      <c r="GI24" s="2416"/>
      <c r="GJ24" s="2416"/>
      <c r="GK24" s="2416"/>
      <c r="GL24" s="2416"/>
      <c r="GM24" s="2415" t="s">
        <v>1482</v>
      </c>
      <c r="GN24" s="2417"/>
      <c r="GO24" s="874"/>
      <c r="GP24" s="874"/>
      <c r="GQ24" s="874"/>
      <c r="GR24" s="874"/>
      <c r="GS24" s="874"/>
      <c r="GT24" s="874"/>
      <c r="GU24" s="874"/>
      <c r="GV24" s="874"/>
      <c r="GW24" s="874"/>
      <c r="GX24" s="874"/>
      <c r="GY24" s="874"/>
      <c r="GZ24" s="874"/>
      <c r="HA24" s="874"/>
      <c r="HB24" s="511"/>
      <c r="HC24" s="511"/>
      <c r="HD24" s="511"/>
      <c r="HE24" s="511"/>
      <c r="HF24" s="511"/>
      <c r="HG24" s="511"/>
      <c r="HH24" s="511"/>
      <c r="HI24" s="511"/>
      <c r="HJ24" s="874"/>
      <c r="HK24" s="874"/>
      <c r="HL24" s="874"/>
      <c r="HM24" s="874"/>
      <c r="HN24" s="874"/>
      <c r="HO24" s="874"/>
      <c r="HP24" s="874"/>
      <c r="HQ24" s="874"/>
      <c r="HR24" s="874"/>
      <c r="HS24" s="874"/>
      <c r="HT24" s="874"/>
      <c r="HU24" s="874"/>
      <c r="HV24" s="874"/>
      <c r="HW24" s="511"/>
      <c r="HX24" s="511"/>
      <c r="HY24" s="511"/>
      <c r="HZ24" s="511"/>
      <c r="IA24" s="511"/>
      <c r="IB24" s="511"/>
      <c r="IC24" s="511"/>
      <c r="ID24" s="511"/>
      <c r="IE24" s="874"/>
      <c r="IF24" s="874"/>
      <c r="IG24" s="874"/>
      <c r="IH24" s="874"/>
      <c r="II24" s="874"/>
      <c r="IJ24" s="874"/>
      <c r="IK24" s="874"/>
      <c r="IL24" s="874"/>
      <c r="IM24" s="874"/>
      <c r="IN24" s="874"/>
      <c r="IO24" s="874"/>
      <c r="IP24" s="874"/>
      <c r="IQ24" s="874"/>
      <c r="IR24" s="511"/>
      <c r="IS24" s="511"/>
      <c r="IT24" s="511"/>
      <c r="IU24" s="511"/>
      <c r="IV24" s="511"/>
      <c r="IW24" s="511"/>
      <c r="IX24" s="511"/>
      <c r="IY24" s="511"/>
      <c r="IZ24" s="874"/>
      <c r="JA24" s="874"/>
      <c r="JB24" s="874"/>
      <c r="JC24" s="874"/>
      <c r="JD24" s="874"/>
      <c r="JE24" s="874"/>
      <c r="JF24" s="874"/>
      <c r="JG24" s="874"/>
      <c r="JH24" s="874"/>
      <c r="JI24" s="874"/>
      <c r="JJ24" s="874"/>
      <c r="JK24" s="874"/>
      <c r="JL24" s="874"/>
      <c r="JM24" s="874"/>
      <c r="JN24" s="874"/>
      <c r="JO24" s="874"/>
      <c r="JP24" s="874"/>
      <c r="JQ24" s="874"/>
      <c r="JR24" s="874"/>
      <c r="JS24" s="874"/>
      <c r="JT24" s="874"/>
      <c r="JU24" s="874"/>
      <c r="JV24" s="874"/>
      <c r="JW24" s="874"/>
      <c r="JX24" s="874"/>
      <c r="JY24" s="874"/>
      <c r="JZ24" s="874"/>
      <c r="KA24" s="874"/>
      <c r="KB24" s="874"/>
      <c r="KC24" s="874"/>
      <c r="KD24" s="874"/>
      <c r="KE24" s="874"/>
      <c r="KF24" s="874"/>
      <c r="KG24" s="874"/>
      <c r="KH24" s="865"/>
      <c r="KI24" s="865"/>
      <c r="KJ24" s="865"/>
      <c r="KK24" s="865"/>
      <c r="KL24" s="865"/>
      <c r="KM24" s="865"/>
      <c r="KN24" s="865"/>
      <c r="KO24" s="865"/>
      <c r="KP24" s="865"/>
      <c r="KQ24" s="865"/>
      <c r="KR24" s="865"/>
      <c r="KS24" s="865"/>
      <c r="KT24" s="865"/>
      <c r="KU24" s="865"/>
      <c r="KV24" s="865"/>
      <c r="KW24" s="865"/>
      <c r="KX24" s="865"/>
      <c r="KY24" s="865"/>
      <c r="KZ24" s="865"/>
      <c r="LA24" s="865"/>
      <c r="LB24" s="865"/>
      <c r="LC24" s="865"/>
      <c r="LD24" s="865"/>
      <c r="LE24" s="865"/>
      <c r="LF24" s="865"/>
    </row>
    <row r="25" spans="1:318" ht="16.95" customHeight="1">
      <c r="A25" s="2500"/>
      <c r="B25" s="2498" t="s">
        <v>225</v>
      </c>
      <c r="C25" s="2498" t="s">
        <v>225</v>
      </c>
      <c r="D25" s="2503" t="s">
        <v>225</v>
      </c>
      <c r="E25" s="2505" t="s">
        <v>225</v>
      </c>
      <c r="F25" s="511"/>
      <c r="G25" s="2500"/>
      <c r="H25" s="2498"/>
      <c r="I25" s="2498"/>
      <c r="J25" s="2503"/>
      <c r="K25" s="2505"/>
      <c r="L25" s="511"/>
      <c r="M25" s="2500"/>
      <c r="N25" s="2498"/>
      <c r="O25" s="2498"/>
      <c r="P25" s="2503"/>
      <c r="Q25" s="2505"/>
      <c r="R25" s="511"/>
      <c r="S25" s="2500"/>
      <c r="T25" s="2498"/>
      <c r="U25" s="2498"/>
      <c r="V25" s="2503"/>
      <c r="W25" s="2505"/>
      <c r="X25" s="511"/>
      <c r="Y25" s="2500"/>
      <c r="Z25" s="2498"/>
      <c r="AA25" s="2498"/>
      <c r="AB25" s="2503"/>
      <c r="AC25" s="2505"/>
      <c r="AD25" s="510"/>
      <c r="AE25" s="2500"/>
      <c r="AF25" s="2498"/>
      <c r="AG25" s="2498"/>
      <c r="AH25" s="2503"/>
      <c r="AI25" s="2505"/>
      <c r="AJ25" s="510"/>
      <c r="AK25" s="865"/>
      <c r="AL25" s="865"/>
      <c r="AM25" s="865"/>
      <c r="AN25" s="865"/>
      <c r="AO25" s="865"/>
      <c r="AP25" s="865"/>
      <c r="AQ25" s="865"/>
      <c r="AR25" s="865"/>
      <c r="AS25" s="865"/>
      <c r="AT25" s="865"/>
      <c r="AU25" s="865"/>
      <c r="AV25" s="865"/>
      <c r="AW25" s="865"/>
      <c r="AX25" s="865"/>
      <c r="AY25" s="865"/>
      <c r="AZ25" s="865"/>
      <c r="BA25" s="865"/>
      <c r="BB25" s="865"/>
      <c r="BC25" s="865"/>
      <c r="BD25" s="865"/>
      <c r="BE25" s="865"/>
      <c r="BF25" s="865"/>
      <c r="BG25" s="865"/>
      <c r="BH25" s="865"/>
      <c r="BI25" s="865"/>
      <c r="BJ25" s="2490" t="s">
        <v>1505</v>
      </c>
      <c r="BK25" s="2490"/>
      <c r="BL25" s="2490"/>
      <c r="BM25" s="1598"/>
      <c r="BN25" s="1598"/>
      <c r="BO25" s="1598"/>
      <c r="BP25" s="1598"/>
      <c r="BQ25" s="865"/>
      <c r="BR25" s="2490" t="s">
        <v>1505</v>
      </c>
      <c r="BS25" s="2490"/>
      <c r="BT25" s="2490"/>
      <c r="BU25" s="1598"/>
      <c r="BV25" s="1598"/>
      <c r="BW25" s="1598"/>
      <c r="BX25" s="1598"/>
      <c r="BY25" s="874"/>
      <c r="BZ25" s="2430"/>
      <c r="CA25" s="2430"/>
      <c r="CB25" s="2423" t="s">
        <v>1562</v>
      </c>
      <c r="CC25" s="2425" t="s">
        <v>1481</v>
      </c>
      <c r="CD25" s="920" t="s">
        <v>1563</v>
      </c>
      <c r="CE25" s="2421" t="s">
        <v>1473</v>
      </c>
      <c r="CF25" s="2418" t="s">
        <v>1470</v>
      </c>
      <c r="CG25" s="2407" t="s">
        <v>1471</v>
      </c>
      <c r="CH25" s="2407" t="s">
        <v>1472</v>
      </c>
      <c r="CI25" s="2407" t="s">
        <v>1473</v>
      </c>
      <c r="CJ25" s="2407" t="s">
        <v>1474</v>
      </c>
      <c r="CK25" s="2403" t="s">
        <v>1475</v>
      </c>
      <c r="CL25" s="2418" t="s">
        <v>1474</v>
      </c>
      <c r="CM25" s="2413" t="s">
        <v>1475</v>
      </c>
      <c r="CN25" s="887"/>
      <c r="CO25" s="887"/>
      <c r="CP25" s="511"/>
      <c r="CQ25" s="511"/>
      <c r="CR25" s="511"/>
      <c r="CS25" s="511"/>
      <c r="CT25" s="511"/>
      <c r="CU25" s="2430"/>
      <c r="CV25" s="2430"/>
      <c r="CW25" s="2423" t="s">
        <v>1562</v>
      </c>
      <c r="CX25" s="2425" t="s">
        <v>1481</v>
      </c>
      <c r="CY25" s="920" t="s">
        <v>1563</v>
      </c>
      <c r="CZ25" s="2421" t="s">
        <v>1473</v>
      </c>
      <c r="DA25" s="2418" t="s">
        <v>1470</v>
      </c>
      <c r="DB25" s="2407" t="s">
        <v>1471</v>
      </c>
      <c r="DC25" s="2407" t="s">
        <v>1472</v>
      </c>
      <c r="DD25" s="2407" t="s">
        <v>1473</v>
      </c>
      <c r="DE25" s="2407" t="s">
        <v>1474</v>
      </c>
      <c r="DF25" s="2407" t="s">
        <v>1475</v>
      </c>
      <c r="DG25" s="2418" t="s">
        <v>1474</v>
      </c>
      <c r="DH25" s="2413" t="s">
        <v>1475</v>
      </c>
      <c r="DI25" s="511"/>
      <c r="DJ25" s="511"/>
      <c r="DK25" s="511"/>
      <c r="DL25" s="511"/>
      <c r="DM25" s="511"/>
      <c r="DN25" s="511"/>
      <c r="DO25" s="511"/>
      <c r="DP25" s="2430"/>
      <c r="DQ25" s="2430"/>
      <c r="DR25" s="2423" t="s">
        <v>1562</v>
      </c>
      <c r="DS25" s="2425" t="s">
        <v>1481</v>
      </c>
      <c r="DT25" s="920" t="s">
        <v>1563</v>
      </c>
      <c r="DU25" s="2421" t="s">
        <v>1473</v>
      </c>
      <c r="DV25" s="2418" t="s">
        <v>1470</v>
      </c>
      <c r="DW25" s="2407" t="s">
        <v>1471</v>
      </c>
      <c r="DX25" s="2407" t="s">
        <v>1472</v>
      </c>
      <c r="DY25" s="2407" t="s">
        <v>1473</v>
      </c>
      <c r="DZ25" s="2407" t="s">
        <v>1474</v>
      </c>
      <c r="EA25" s="2407" t="s">
        <v>1475</v>
      </c>
      <c r="EB25" s="2418" t="s">
        <v>1474</v>
      </c>
      <c r="EC25" s="2413" t="s">
        <v>1475</v>
      </c>
      <c r="ED25" s="511"/>
      <c r="EE25" s="511"/>
      <c r="EF25" s="511"/>
      <c r="EG25" s="511"/>
      <c r="EH25" s="511"/>
      <c r="EI25" s="511"/>
      <c r="EJ25" s="511"/>
      <c r="EK25" s="2430"/>
      <c r="EL25" s="2430"/>
      <c r="EM25" s="2423" t="s">
        <v>1562</v>
      </c>
      <c r="EN25" s="2425" t="s">
        <v>1481</v>
      </c>
      <c r="EO25" s="920" t="s">
        <v>1563</v>
      </c>
      <c r="EP25" s="2421" t="s">
        <v>1473</v>
      </c>
      <c r="EQ25" s="2418" t="s">
        <v>1470</v>
      </c>
      <c r="ER25" s="2407" t="s">
        <v>1471</v>
      </c>
      <c r="ES25" s="2407" t="s">
        <v>1472</v>
      </c>
      <c r="ET25" s="2407" t="s">
        <v>1473</v>
      </c>
      <c r="EU25" s="2407" t="s">
        <v>1474</v>
      </c>
      <c r="EV25" s="2407" t="s">
        <v>1475</v>
      </c>
      <c r="EW25" s="2418" t="s">
        <v>1474</v>
      </c>
      <c r="EX25" s="2413" t="s">
        <v>1475</v>
      </c>
      <c r="EY25" s="511"/>
      <c r="EZ25" s="511"/>
      <c r="FA25" s="511"/>
      <c r="FB25" s="511"/>
      <c r="FC25" s="511"/>
      <c r="FD25" s="511"/>
      <c r="FE25" s="511"/>
      <c r="FF25" s="2430"/>
      <c r="FG25" s="2430"/>
      <c r="FH25" s="2423" t="s">
        <v>1562</v>
      </c>
      <c r="FI25" s="2425" t="s">
        <v>1481</v>
      </c>
      <c r="FJ25" s="920" t="s">
        <v>1563</v>
      </c>
      <c r="FK25" s="2421" t="s">
        <v>1473</v>
      </c>
      <c r="FL25" s="2418" t="s">
        <v>1470</v>
      </c>
      <c r="FM25" s="2407" t="s">
        <v>1471</v>
      </c>
      <c r="FN25" s="2407" t="s">
        <v>1472</v>
      </c>
      <c r="FO25" s="2407" t="s">
        <v>1473</v>
      </c>
      <c r="FP25" s="2407" t="s">
        <v>1474</v>
      </c>
      <c r="FQ25" s="2407" t="s">
        <v>1475</v>
      </c>
      <c r="FR25" s="2418" t="s">
        <v>1474</v>
      </c>
      <c r="FS25" s="2413" t="s">
        <v>1475</v>
      </c>
      <c r="FT25" s="510"/>
      <c r="FU25" s="510"/>
      <c r="FV25" s="510"/>
      <c r="FW25" s="510"/>
      <c r="FX25" s="510"/>
      <c r="FY25" s="510"/>
      <c r="FZ25" s="510"/>
      <c r="GA25" s="2430"/>
      <c r="GB25" s="2430"/>
      <c r="GC25" s="2423" t="s">
        <v>1562</v>
      </c>
      <c r="GD25" s="2425" t="s">
        <v>1481</v>
      </c>
      <c r="GE25" s="920" t="s">
        <v>1563</v>
      </c>
      <c r="GF25" s="2421" t="s">
        <v>1473</v>
      </c>
      <c r="GG25" s="2418" t="s">
        <v>1470</v>
      </c>
      <c r="GH25" s="2407" t="s">
        <v>1471</v>
      </c>
      <c r="GI25" s="2407" t="s">
        <v>1472</v>
      </c>
      <c r="GJ25" s="2407" t="s">
        <v>1473</v>
      </c>
      <c r="GK25" s="2407" t="s">
        <v>1474</v>
      </c>
      <c r="GL25" s="2407" t="s">
        <v>1475</v>
      </c>
      <c r="GM25" s="2418" t="s">
        <v>1474</v>
      </c>
      <c r="GN25" s="2413" t="s">
        <v>1475</v>
      </c>
      <c r="GO25" s="874"/>
      <c r="GP25" s="874"/>
      <c r="GQ25" s="874"/>
      <c r="GR25" s="874"/>
      <c r="GS25" s="874"/>
      <c r="GT25" s="874"/>
      <c r="GU25" s="874"/>
      <c r="GV25" s="874"/>
      <c r="GW25" s="874"/>
      <c r="GX25" s="874"/>
      <c r="GY25" s="874"/>
      <c r="GZ25" s="874"/>
      <c r="HA25" s="874"/>
      <c r="HB25" s="511"/>
      <c r="HC25" s="511"/>
      <c r="HD25" s="511"/>
      <c r="HE25" s="511"/>
      <c r="HF25" s="511"/>
      <c r="HG25" s="511"/>
      <c r="HH25" s="511"/>
      <c r="HI25" s="511"/>
      <c r="HJ25" s="874"/>
      <c r="HK25" s="874"/>
      <c r="HL25" s="874"/>
      <c r="HM25" s="874"/>
      <c r="HN25" s="874"/>
      <c r="HO25" s="874"/>
      <c r="HP25" s="874"/>
      <c r="HQ25" s="874"/>
      <c r="HR25" s="874"/>
      <c r="HS25" s="874"/>
      <c r="HT25" s="874"/>
      <c r="HU25" s="874"/>
      <c r="HV25" s="874"/>
      <c r="HW25" s="511"/>
      <c r="HX25" s="511"/>
      <c r="HY25" s="511"/>
      <c r="HZ25" s="511"/>
      <c r="IA25" s="511"/>
      <c r="IB25" s="511"/>
      <c r="IC25" s="511"/>
      <c r="ID25" s="511"/>
      <c r="IE25" s="874"/>
      <c r="IF25" s="874"/>
      <c r="IG25" s="874"/>
      <c r="IH25" s="874"/>
      <c r="II25" s="874"/>
      <c r="IJ25" s="874"/>
      <c r="IK25" s="874"/>
      <c r="IL25" s="874"/>
      <c r="IM25" s="874"/>
      <c r="IN25" s="874"/>
      <c r="IO25" s="874"/>
      <c r="IP25" s="874"/>
      <c r="IQ25" s="874"/>
      <c r="IR25" s="511"/>
      <c r="IS25" s="511"/>
      <c r="IT25" s="511"/>
      <c r="IU25" s="511"/>
      <c r="IV25" s="511"/>
      <c r="IW25" s="511"/>
      <c r="IX25" s="511"/>
      <c r="IY25" s="511"/>
      <c r="IZ25" s="874"/>
      <c r="JA25" s="874"/>
      <c r="JB25" s="874"/>
      <c r="JC25" s="874"/>
      <c r="JD25" s="874"/>
      <c r="JE25" s="874"/>
      <c r="JF25" s="874"/>
      <c r="JG25" s="874"/>
      <c r="JH25" s="874"/>
      <c r="JI25" s="874"/>
      <c r="JJ25" s="874"/>
      <c r="JK25" s="874"/>
      <c r="JL25" s="874"/>
      <c r="JM25" s="874"/>
      <c r="JN25" s="874"/>
      <c r="JO25" s="874"/>
      <c r="JP25" s="874"/>
      <c r="JQ25" s="874"/>
      <c r="JR25" s="874"/>
      <c r="JS25" s="874"/>
      <c r="JT25" s="874"/>
      <c r="JU25" s="874"/>
      <c r="JV25" s="874"/>
      <c r="JW25" s="874"/>
      <c r="JX25" s="874"/>
      <c r="JY25" s="874"/>
      <c r="JZ25" s="874"/>
      <c r="KA25" s="874"/>
      <c r="KB25" s="874"/>
      <c r="KC25" s="874"/>
      <c r="KD25" s="874"/>
      <c r="KE25" s="874"/>
      <c r="KF25" s="874"/>
      <c r="KG25" s="874"/>
      <c r="KH25" s="865"/>
      <c r="KI25" s="865"/>
      <c r="KJ25" s="865"/>
      <c r="KK25" s="865"/>
      <c r="KL25" s="865"/>
      <c r="KM25" s="865"/>
      <c r="KN25" s="865"/>
      <c r="KO25" s="865"/>
      <c r="KP25" s="865"/>
      <c r="KQ25" s="865"/>
      <c r="KR25" s="865"/>
      <c r="KS25" s="865"/>
      <c r="KT25" s="865"/>
      <c r="KU25" s="865"/>
      <c r="KV25" s="865"/>
      <c r="KW25" s="865"/>
      <c r="KX25" s="865"/>
      <c r="KY25" s="865"/>
      <c r="KZ25" s="865"/>
      <c r="LA25" s="865"/>
      <c r="LB25" s="865"/>
      <c r="LC25" s="865"/>
      <c r="LD25" s="865"/>
      <c r="LE25" s="865"/>
      <c r="LF25" s="865"/>
    </row>
    <row r="26" spans="1:318" ht="20.55" customHeight="1" thickBot="1">
      <c r="A26" s="2500"/>
      <c r="B26" s="2498"/>
      <c r="C26" s="2498"/>
      <c r="D26" s="2504"/>
      <c r="E26" s="2506"/>
      <c r="F26" s="511"/>
      <c r="G26" s="2500"/>
      <c r="H26" s="2498"/>
      <c r="I26" s="2498"/>
      <c r="J26" s="2504"/>
      <c r="K26" s="2506"/>
      <c r="L26" s="511"/>
      <c r="M26" s="2500"/>
      <c r="N26" s="2498"/>
      <c r="O26" s="2498"/>
      <c r="P26" s="2504"/>
      <c r="Q26" s="2506"/>
      <c r="R26" s="511"/>
      <c r="S26" s="2500"/>
      <c r="T26" s="2498"/>
      <c r="U26" s="2498"/>
      <c r="V26" s="2504"/>
      <c r="W26" s="2506"/>
      <c r="X26" s="511"/>
      <c r="Y26" s="2500"/>
      <c r="Z26" s="2498"/>
      <c r="AA26" s="2498"/>
      <c r="AB26" s="2504"/>
      <c r="AC26" s="2506"/>
      <c r="AD26" s="510"/>
      <c r="AE26" s="2500"/>
      <c r="AF26" s="2498"/>
      <c r="AG26" s="2498"/>
      <c r="AH26" s="2504"/>
      <c r="AI26" s="2506"/>
      <c r="AJ26" s="510"/>
      <c r="AK26" s="865"/>
      <c r="AL26" s="865"/>
      <c r="AM26" s="865"/>
      <c r="AN26" s="865"/>
      <c r="AO26" s="865"/>
      <c r="AP26" s="865"/>
      <c r="AQ26" s="865"/>
      <c r="AR26" s="865"/>
      <c r="AS26" s="865"/>
      <c r="AT26" s="865"/>
      <c r="AU26" s="865"/>
      <c r="AV26" s="865"/>
      <c r="AW26" s="865"/>
      <c r="AX26" s="865"/>
      <c r="AY26" s="865"/>
      <c r="AZ26" s="865"/>
      <c r="BA26" s="865"/>
      <c r="BB26" s="865"/>
      <c r="BC26" s="865"/>
      <c r="BD26" s="865"/>
      <c r="BE26" s="865"/>
      <c r="BF26" s="865"/>
      <c r="BG26" s="865"/>
      <c r="BH26" s="865"/>
      <c r="BI26" s="865"/>
      <c r="BJ26" s="2490"/>
      <c r="BK26" s="2490"/>
      <c r="BL26" s="2490"/>
      <c r="BM26" s="1598"/>
      <c r="BN26" s="1598"/>
      <c r="BO26" s="1598"/>
      <c r="BP26" s="1598"/>
      <c r="BQ26" s="865"/>
      <c r="BR26" s="2490"/>
      <c r="BS26" s="2490"/>
      <c r="BT26" s="2490"/>
      <c r="BU26" s="1598"/>
      <c r="BV26" s="1598"/>
      <c r="BW26" s="1598"/>
      <c r="BX26" s="1598"/>
      <c r="BY26" s="874"/>
      <c r="BZ26" s="2430"/>
      <c r="CA26" s="2430"/>
      <c r="CB26" s="2424"/>
      <c r="CC26" s="2426"/>
      <c r="CD26" s="921" t="s">
        <v>1472</v>
      </c>
      <c r="CE26" s="2422"/>
      <c r="CF26" s="2419"/>
      <c r="CG26" s="2432"/>
      <c r="CH26" s="2432"/>
      <c r="CI26" s="2432"/>
      <c r="CJ26" s="2432"/>
      <c r="CK26" s="2450"/>
      <c r="CL26" s="2419"/>
      <c r="CM26" s="2420"/>
      <c r="CN26" s="887"/>
      <c r="CO26" s="887"/>
      <c r="CP26" s="511"/>
      <c r="CQ26" s="511"/>
      <c r="CR26" s="511"/>
      <c r="CS26" s="511"/>
      <c r="CT26" s="511"/>
      <c r="CU26" s="2430"/>
      <c r="CV26" s="2430"/>
      <c r="CW26" s="2424"/>
      <c r="CX26" s="2426"/>
      <c r="CY26" s="921" t="s">
        <v>1472</v>
      </c>
      <c r="CZ26" s="2422"/>
      <c r="DA26" s="2419"/>
      <c r="DB26" s="2432"/>
      <c r="DC26" s="2432"/>
      <c r="DD26" s="2432"/>
      <c r="DE26" s="2408"/>
      <c r="DF26" s="2432"/>
      <c r="DG26" s="2419"/>
      <c r="DH26" s="2420"/>
      <c r="DI26" s="511"/>
      <c r="DJ26" s="511"/>
      <c r="DK26" s="511"/>
      <c r="DL26" s="511"/>
      <c r="DM26" s="511"/>
      <c r="DN26" s="511"/>
      <c r="DO26" s="511"/>
      <c r="DP26" s="2430"/>
      <c r="DQ26" s="2430"/>
      <c r="DR26" s="2424"/>
      <c r="DS26" s="2426"/>
      <c r="DT26" s="921" t="s">
        <v>1472</v>
      </c>
      <c r="DU26" s="2422"/>
      <c r="DV26" s="2419"/>
      <c r="DW26" s="2432"/>
      <c r="DX26" s="2432"/>
      <c r="DY26" s="2432"/>
      <c r="DZ26" s="2432"/>
      <c r="EA26" s="2432"/>
      <c r="EB26" s="2419"/>
      <c r="EC26" s="2420"/>
      <c r="ED26" s="511"/>
      <c r="EE26" s="511"/>
      <c r="EF26" s="511"/>
      <c r="EG26" s="511"/>
      <c r="EH26" s="511"/>
      <c r="EI26" s="511"/>
      <c r="EJ26" s="511"/>
      <c r="EK26" s="2430"/>
      <c r="EL26" s="2430"/>
      <c r="EM26" s="2424"/>
      <c r="EN26" s="2426"/>
      <c r="EO26" s="921" t="s">
        <v>1472</v>
      </c>
      <c r="EP26" s="2422"/>
      <c r="EQ26" s="2419"/>
      <c r="ER26" s="2432"/>
      <c r="ES26" s="2432"/>
      <c r="ET26" s="2432"/>
      <c r="EU26" s="2432"/>
      <c r="EV26" s="2432"/>
      <c r="EW26" s="2419"/>
      <c r="EX26" s="2420"/>
      <c r="EY26" s="511"/>
      <c r="EZ26" s="511"/>
      <c r="FA26" s="511"/>
      <c r="FB26" s="511"/>
      <c r="FC26" s="511"/>
      <c r="FD26" s="511"/>
      <c r="FE26" s="511"/>
      <c r="FF26" s="2430"/>
      <c r="FG26" s="2430"/>
      <c r="FH26" s="2424"/>
      <c r="FI26" s="2426"/>
      <c r="FJ26" s="921" t="s">
        <v>1472</v>
      </c>
      <c r="FK26" s="2422"/>
      <c r="FL26" s="2419"/>
      <c r="FM26" s="2432"/>
      <c r="FN26" s="2432"/>
      <c r="FO26" s="2432"/>
      <c r="FP26" s="2432"/>
      <c r="FQ26" s="2432"/>
      <c r="FR26" s="2419"/>
      <c r="FS26" s="2420"/>
      <c r="FT26" s="510"/>
      <c r="FU26" s="510"/>
      <c r="FV26" s="510"/>
      <c r="FW26" s="510"/>
      <c r="FX26" s="510"/>
      <c r="FY26" s="510"/>
      <c r="FZ26" s="510"/>
      <c r="GA26" s="2430"/>
      <c r="GB26" s="2430"/>
      <c r="GC26" s="2424"/>
      <c r="GD26" s="2426"/>
      <c r="GE26" s="921" t="s">
        <v>1472</v>
      </c>
      <c r="GF26" s="2422"/>
      <c r="GG26" s="2419"/>
      <c r="GH26" s="2432"/>
      <c r="GI26" s="2432"/>
      <c r="GJ26" s="2432"/>
      <c r="GK26" s="2432"/>
      <c r="GL26" s="2432"/>
      <c r="GM26" s="2419"/>
      <c r="GN26" s="2420"/>
      <c r="GO26" s="874"/>
      <c r="GP26" s="874"/>
      <c r="GQ26" s="874"/>
      <c r="GR26" s="874"/>
      <c r="GS26" s="874"/>
      <c r="GT26" s="874"/>
      <c r="GU26" s="874"/>
      <c r="GV26" s="874"/>
      <c r="GW26" s="874"/>
      <c r="GX26" s="874"/>
      <c r="GY26" s="874"/>
      <c r="GZ26" s="874"/>
      <c r="HA26" s="874"/>
      <c r="HB26" s="511"/>
      <c r="HC26" s="511"/>
      <c r="HD26" s="511"/>
      <c r="HE26" s="511"/>
      <c r="HF26" s="511"/>
      <c r="HG26" s="511"/>
      <c r="HH26" s="511"/>
      <c r="HI26" s="511"/>
      <c r="HJ26" s="874"/>
      <c r="HK26" s="874"/>
      <c r="HL26" s="874"/>
      <c r="HM26" s="874"/>
      <c r="HN26" s="874"/>
      <c r="HO26" s="874"/>
      <c r="HP26" s="874"/>
      <c r="HQ26" s="874"/>
      <c r="HR26" s="874"/>
      <c r="HS26" s="874"/>
      <c r="HT26" s="874"/>
      <c r="HU26" s="874"/>
      <c r="HV26" s="874"/>
      <c r="HW26" s="511"/>
      <c r="HX26" s="511"/>
      <c r="HY26" s="511"/>
      <c r="HZ26" s="511"/>
      <c r="IA26" s="511"/>
      <c r="IB26" s="511"/>
      <c r="IC26" s="511"/>
      <c r="ID26" s="511"/>
      <c r="IE26" s="874"/>
      <c r="IF26" s="874"/>
      <c r="IG26" s="874"/>
      <c r="IH26" s="874"/>
      <c r="II26" s="874"/>
      <c r="IJ26" s="874"/>
      <c r="IK26" s="874"/>
      <c r="IL26" s="874"/>
      <c r="IM26" s="874"/>
      <c r="IN26" s="874"/>
      <c r="IO26" s="874"/>
      <c r="IP26" s="874"/>
      <c r="IQ26" s="874"/>
      <c r="IR26" s="511"/>
      <c r="IS26" s="511"/>
      <c r="IT26" s="511"/>
      <c r="IU26" s="511"/>
      <c r="IV26" s="511"/>
      <c r="IW26" s="511"/>
      <c r="IX26" s="511"/>
      <c r="IY26" s="511"/>
      <c r="IZ26" s="874"/>
      <c r="JA26" s="874"/>
      <c r="JB26" s="874"/>
      <c r="JC26" s="874"/>
      <c r="JD26" s="874"/>
      <c r="JE26" s="874"/>
      <c r="JF26" s="874"/>
      <c r="JG26" s="874"/>
      <c r="JH26" s="874"/>
      <c r="JI26" s="874"/>
      <c r="JJ26" s="874"/>
      <c r="JK26" s="874"/>
      <c r="JL26" s="874"/>
      <c r="JM26" s="874"/>
      <c r="JN26" s="874"/>
      <c r="JO26" s="874"/>
      <c r="JP26" s="874"/>
      <c r="JQ26" s="874"/>
      <c r="JR26" s="874"/>
      <c r="JS26" s="874"/>
      <c r="JT26" s="874"/>
      <c r="JU26" s="874"/>
      <c r="JV26" s="874"/>
      <c r="JW26" s="874"/>
      <c r="JX26" s="874"/>
      <c r="JY26" s="874"/>
      <c r="JZ26" s="874"/>
      <c r="KA26" s="874"/>
      <c r="KB26" s="874"/>
      <c r="KC26" s="874"/>
      <c r="KD26" s="874"/>
      <c r="KE26" s="874"/>
      <c r="KF26" s="874"/>
      <c r="KG26" s="874"/>
      <c r="KH26" s="865"/>
      <c r="KI26" s="865"/>
      <c r="KJ26" s="865"/>
      <c r="KK26" s="865"/>
      <c r="KL26" s="865"/>
      <c r="KM26" s="865"/>
      <c r="KN26" s="865"/>
      <c r="KO26" s="865"/>
      <c r="KP26" s="865"/>
      <c r="KQ26" s="865"/>
      <c r="KR26" s="865"/>
      <c r="KS26" s="865"/>
      <c r="KT26" s="865"/>
      <c r="KU26" s="865"/>
      <c r="KV26" s="865"/>
      <c r="KW26" s="865"/>
      <c r="KX26" s="865"/>
      <c r="KY26" s="865"/>
      <c r="KZ26" s="865"/>
      <c r="LA26" s="865"/>
      <c r="LB26" s="865"/>
      <c r="LC26" s="865"/>
      <c r="LD26" s="865"/>
      <c r="LE26" s="865"/>
      <c r="LF26" s="865"/>
    </row>
    <row r="27" spans="1:318" ht="18.600000000000001">
      <c r="A27" s="864"/>
      <c r="B27" s="502"/>
      <c r="C27" s="663"/>
      <c r="D27" s="663"/>
      <c r="E27" s="663"/>
      <c r="F27" s="511"/>
      <c r="G27" s="864"/>
      <c r="H27" s="502"/>
      <c r="I27" s="663"/>
      <c r="J27" s="663"/>
      <c r="K27" s="663"/>
      <c r="L27" s="511"/>
      <c r="M27" s="864"/>
      <c r="N27" s="502"/>
      <c r="O27" s="663"/>
      <c r="P27" s="663"/>
      <c r="Q27" s="663"/>
      <c r="R27" s="511"/>
      <c r="S27" s="864"/>
      <c r="T27" s="502"/>
      <c r="U27" s="663"/>
      <c r="V27" s="663"/>
      <c r="W27" s="663"/>
      <c r="X27" s="511"/>
      <c r="Y27" s="864"/>
      <c r="Z27" s="502"/>
      <c r="AA27" s="663"/>
      <c r="AB27" s="663"/>
      <c r="AC27" s="663"/>
      <c r="AD27" s="511"/>
      <c r="AE27" s="864"/>
      <c r="AF27" s="502"/>
      <c r="AG27" s="663"/>
      <c r="AH27" s="663"/>
      <c r="AI27" s="663"/>
      <c r="AJ27" s="511"/>
      <c r="AK27" s="865"/>
      <c r="AL27" s="865"/>
      <c r="AM27" s="865"/>
      <c r="AN27" s="865"/>
      <c r="AO27" s="865"/>
      <c r="AP27" s="865"/>
      <c r="AQ27" s="865"/>
      <c r="AR27" s="865"/>
      <c r="AS27" s="865"/>
      <c r="AT27" s="865"/>
      <c r="AU27" s="865"/>
      <c r="AV27" s="865"/>
      <c r="AW27" s="865"/>
      <c r="AX27" s="865"/>
      <c r="AY27" s="865"/>
      <c r="AZ27" s="865"/>
      <c r="BA27" s="865"/>
      <c r="BB27" s="865"/>
      <c r="BC27" s="865"/>
      <c r="BD27" s="865"/>
      <c r="BE27" s="865"/>
      <c r="BF27" s="865"/>
      <c r="BG27" s="865"/>
      <c r="BH27" s="865"/>
      <c r="BI27" s="865"/>
      <c r="BJ27" s="1201" t="str">
        <f>IF(BM25="پيش‌فرض","عدم قطعيت نسبي ارزش حرارتي ناخالص (HHV) پيش فرض وارد شود %()±","")</f>
        <v/>
      </c>
      <c r="BK27" s="1201"/>
      <c r="BL27" s="1201"/>
      <c r="BM27" s="1201"/>
      <c r="BN27" s="1201"/>
      <c r="BO27" s="2477" t="str">
        <f>IF(BM25="پيش‌فرض",40,"")</f>
        <v/>
      </c>
      <c r="BP27" s="2477"/>
      <c r="BQ27" s="865"/>
      <c r="BR27" s="1201" t="str">
        <f>IF(BU25="پيش‌فرض","عدم قطعيت نسبي ارزش حرارتي ناخالص (HHV) پيش فرض وارد شود %()±","")</f>
        <v/>
      </c>
      <c r="BS27" s="1201"/>
      <c r="BT27" s="1201"/>
      <c r="BU27" s="1201"/>
      <c r="BV27" s="1201"/>
      <c r="BW27" s="2477" t="str">
        <f>IF(BU25="پيش‌فرض",40,"")</f>
        <v/>
      </c>
      <c r="BX27" s="2477"/>
      <c r="BY27" s="874"/>
      <c r="BZ27" s="888" t="str">
        <f>IF(A27="","",VLOOKUP(A27,'HHV-LHV-MW'!$A$3:$H$40,4,FALSE))</f>
        <v/>
      </c>
      <c r="CA27" s="889" t="str">
        <f>IF(A27="","",VLOOKUP(A27,'HHV-LHV-MW'!$A$3:$H$40,5,FALSE))</f>
        <v/>
      </c>
      <c r="CB27" s="890" t="e">
        <f>(PRODUCT('HHV-LHV-MW'!K11)+PRODUCT('HHV-LHV-MW'!W11)+PRODUCT('HHV-LHV-MW'!AI11)+PRODUCT('HHV-LHV-MW'!AU11))/$BO$19</f>
        <v>#DIV/0!</v>
      </c>
      <c r="CC27" s="890">
        <f>IF($BO$19=1,"",  (SQRT(  (      (IF('HHV-LHV-MW'!K11="",0,('HHV-LHV-MW'!K11-CB27)^2))      +        (IF('HHV-LHV-MW'!W11="",0,('HHV-LHV-MW'!W11-CB27)^2))       +        (IF('HHV-LHV-MW'!AI11="",0,('HHV-LHV-MW'!AI11-CB27)^2))          +        (IF('HHV-LHV-MW'!AU11="",0,('HHV-LHV-MW'!AU11-CB27)^2))          )     *(1/($BO$19-1))  )))</f>
        <v>0</v>
      </c>
      <c r="CD27" s="890" t="e">
        <f>IF($BO$19=1,"",(CC27*$CD$18)/SQRT($BO$19))</f>
        <v>#N/A</v>
      </c>
      <c r="CE27" s="890" t="e">
        <f>IF(OR(CB27="",CB27=0),"",CD27*100/CB27)</f>
        <v>#DIV/0!</v>
      </c>
      <c r="CF27" s="636" t="str">
        <f>IF('HHV-LHV-MW'!K11="","",IF(AND('HHV-LHV-MW'!K11&gt;=0,'HHV-LHV-MW'!K11&lt;=0.09),2,  IF(AND('HHV-LHV-MW'!K11&gt;=0.1,'HHV-LHV-MW'!K11&lt;=0.9),7,  IF(AND('HHV-LHV-MW'!K11&gt;=1,'HHV-LHV-MW'!K11&lt;=4.9),10,   IF(AND('HHV-LHV-MW'!K11&gt;=5,'HHV-LHV-MW'!K11&lt;=10),12, 15)))))</f>
        <v/>
      </c>
      <c r="CG27" s="636" t="str">
        <f>IF('HHV-LHV-MW'!K11="","",5*'HHV-LHV-MW'!K11)</f>
        <v/>
      </c>
      <c r="CH27" s="636" t="str">
        <f>IF(AND(CF27="",CG27=""),"",SQRT((CF27)^2+(CG27)^2))</f>
        <v/>
      </c>
      <c r="CI27" s="636" t="str">
        <f>IF(OR(CH27="",'HHV-LHV-MW'!K11=0),"",CH27/'HHV-LHV-MW'!K11)</f>
        <v/>
      </c>
      <c r="CJ27" s="636" t="str">
        <f>IF(OR(CI27="",BZ27="",'HHV-LHV-MW'!K11=""),"",((CI27*BZ27*('HHV-LHV-MW'!K11/100))/23.685)^2)</f>
        <v/>
      </c>
      <c r="CK27" s="891" t="str">
        <f>IF(OR(CI27="",CA27="",'HHV-LHV-MW'!K11=""),"",((CI27*CA27*('HHV-LHV-MW'!K11/100))/23.685)^2)</f>
        <v/>
      </c>
      <c r="CL27" s="639" t="e">
        <f>IF(OR(CE27="",BZ27="",CB27=""),"",((CE27*BZ27*(CB27/100))/23.685)^2)</f>
        <v>#DIV/0!</v>
      </c>
      <c r="CM27" s="892" t="e">
        <f>IF(OR(CE27="",CA27="",CB27=""),"",((CE27*CA27*(CB27/100))/23.685)^2)</f>
        <v>#DIV/0!</v>
      </c>
      <c r="CN27" s="511"/>
      <c r="CO27" s="511"/>
      <c r="CP27" s="511"/>
      <c r="CQ27" s="511"/>
      <c r="CR27" s="511"/>
      <c r="CS27" s="511"/>
      <c r="CT27" s="511"/>
      <c r="CU27" s="888" t="str">
        <f>IF(G27="","",VLOOKUP(G27,'HHV-LHV-MW'!$A$3:$H$40,4,FALSE))</f>
        <v/>
      </c>
      <c r="CV27" s="889" t="str">
        <f>IF(G27="","",VLOOKUP(G27,'HHV-LHV-MW'!$A$3:$H$40,5,FALSE))</f>
        <v/>
      </c>
      <c r="CW27" s="890" t="e">
        <f>(PRODUCT('HHV-LHV-MW'!BH11)+PRODUCT('HHV-LHV-MW'!BT11)+PRODUCT('HHV-LHV-MW'!CF11)+PRODUCT('HHV-LHV-MW'!CR11))/$BO$28</f>
        <v>#DIV/0!</v>
      </c>
      <c r="CX27" s="890">
        <f>IF($BO$28=1,"",  (SQRT(  (      (IF('HHV-LHV-MW'!BH11="",0,('HHV-LHV-MW'!BH11-CW27)^2))      +        (IF('HHV-LHV-MW'!BT11="",0,('HHV-LHV-MW'!BT11-CW27)^2))       +        (IF('HHV-LHV-MW'!CF11="",0,('HHV-LHV-MW'!CF11-CW27)^2))          +        (IF('HHV-LHV-MW'!CR11="",0,('HHV-LHV-MW'!CR11-CW27)^2))          )     *(1/($BO$28-1))  )))</f>
        <v>0</v>
      </c>
      <c r="CY27" s="890" t="e">
        <f>IF($BO$28=1,"",(CX27*$CY$18)/SQRT($BO$28))</f>
        <v>#N/A</v>
      </c>
      <c r="CZ27" s="890" t="e">
        <f>IF(OR(CW27="",CW27=0),"",CY27*100/CW27)</f>
        <v>#DIV/0!</v>
      </c>
      <c r="DA27" s="636" t="str">
        <f>IF('HHV-LHV-MW'!BH11="","",IF(AND('HHV-LHV-MW'!BH11&gt;=0,'HHV-LHV-MW'!BH11&lt;=0.09),2,  IF(AND('HHV-LHV-MW'!BH11&gt;=0.1,'HHV-LHV-MW'!BH11&lt;=0.9),7,  IF(AND('HHV-LHV-MW'!BH11&gt;=1,'HHV-LHV-MW'!BH11&lt;=4.9),10,   IF(AND('HHV-LHV-MW'!BH11&gt;=5,'HHV-LHV-MW'!BH11&lt;=10),12, 15)))))</f>
        <v/>
      </c>
      <c r="DB27" s="636" t="str">
        <f>IF('HHV-LHV-MW'!BH11="","",5*'HHV-LHV-MW'!BH11)</f>
        <v/>
      </c>
      <c r="DC27" s="636" t="str">
        <f>IF(AND(DA27="",DB27=""),"",SQRT((DA27)^2+(DB27)^2))</f>
        <v/>
      </c>
      <c r="DD27" s="636" t="str">
        <f>IF(OR(DC27="",'HHV-LHV-MW'!BH11=0),"",DC27/'HHV-LHV-MW'!BH11)</f>
        <v/>
      </c>
      <c r="DE27" s="635" t="str">
        <f>IF(OR(DD27="",CU27="",'HHV-LHV-MW'!BH11=""),"",((DD27*CU27*('HHV-LHV-MW'!BH11/100))/23.685)^2)</f>
        <v/>
      </c>
      <c r="DF27" s="636" t="str">
        <f>IF(OR(DD27="",CV27="",'HHV-LHV-MW'!BH11=""),"",((DD27*CV27*('HHV-LHV-MW'!BH11/100))/23.685)^2)</f>
        <v/>
      </c>
      <c r="DG27" s="639" t="e">
        <f>IF(OR(CZ27="",CU27="",CW27=""),"",((CZ27*CU27*(CW27/100))/23.685)^2)</f>
        <v>#DIV/0!</v>
      </c>
      <c r="DH27" s="892" t="e">
        <f>IF(OR(CZ27="",CV27="",CW27=""),"",((CZ27*CV27*(CW27/100))/23.685)^2)</f>
        <v>#DIV/0!</v>
      </c>
      <c r="DI27" s="511"/>
      <c r="DJ27" s="511"/>
      <c r="DK27" s="511"/>
      <c r="DL27" s="511"/>
      <c r="DM27" s="511"/>
      <c r="DN27" s="511"/>
      <c r="DO27" s="511"/>
      <c r="DP27" s="888" t="str">
        <f>IF(M27="","",VLOOKUP(M27,'HHV-LHV-MW'!$A$3:$H$40,4,FALSE))</f>
        <v/>
      </c>
      <c r="DQ27" s="889" t="str">
        <f>IF(M27="","",VLOOKUP(M27,'HHV-LHV-MW'!$A$3:$H$40,5,FALSE))</f>
        <v/>
      </c>
      <c r="DR27" s="890" t="e">
        <f>(PRODUCT('HHV-LHV-MW'!DE11)+PRODUCT('HHV-LHV-MW'!DQ11)+PRODUCT('HHV-LHV-MW'!EC11)+PRODUCT('HHV-LHV-MW'!EO11))/$BO$37</f>
        <v>#DIV/0!</v>
      </c>
      <c r="DS27" s="890">
        <f>IF($BO$37=1,"",  (SQRT(  (      (IF('HHV-LHV-MW'!DE11="",0,('HHV-LHV-MW'!DE11-DR27)^2))      +        (IF('HHV-LHV-MW'!DQ11="",0,('HHV-LHV-MW'!DQ11-DR27)^2))       +        (IF('HHV-LHV-MW'!EC11="",0,('HHV-LHV-MW'!EC11-DR27)^2))          +        (IF('HHV-LHV-MW'!EO11="",0,('HHV-LHV-MW'!EO11-DR27)^2))          )     *(1/($BO$37-1))  )))</f>
        <v>0</v>
      </c>
      <c r="DT27" s="890" t="e">
        <f t="shared" ref="DT27:DT49" si="0">IF($BO$37=1,"",(DS27*$DT$18)/SQRT($BO$37))</f>
        <v>#N/A</v>
      </c>
      <c r="DU27" s="890" t="e">
        <f>IF(OR(DR27="",DR27=0),"",DT27*100/DR27)</f>
        <v>#DIV/0!</v>
      </c>
      <c r="DV27" s="636" t="str">
        <f>IF('HHV-LHV-MW'!DE11="","",IF(AND('HHV-LHV-MW'!DE11&gt;=0,'HHV-LHV-MW'!DE11&lt;=0.09),2,  IF(AND('HHV-LHV-MW'!DE11&gt;=0.1,'HHV-LHV-MW'!DE11&lt;=0.9),7,  IF(AND('HHV-LHV-MW'!DE11&gt;=1,'HHV-LHV-MW'!DE11&lt;=4.9),10,   IF(AND('HHV-LHV-MW'!DE11&gt;=5,'HHV-LHV-MW'!DE11&lt;=10),12, 15)))))</f>
        <v/>
      </c>
      <c r="DW27" s="636" t="str">
        <f>IF('HHV-LHV-MW'!DE11="","",5*'HHV-LHV-MW'!DE11)</f>
        <v/>
      </c>
      <c r="DX27" s="636" t="str">
        <f>IF(AND(DV27="",DW27=""),"",SQRT((DV27)^2+(DW27)^2))</f>
        <v/>
      </c>
      <c r="DY27" s="636" t="str">
        <f>IF(OR(DX27="",'HHV-LHV-MW'!DE11=0),"",DX27/'HHV-LHV-MW'!DE11)</f>
        <v/>
      </c>
      <c r="DZ27" s="636" t="str">
        <f>IF(OR(DY27="",DP27="",'HHV-LHV-MW'!DE11=""),"",((DY27*DP27*('HHV-LHV-MW'!DE11/100))/23.685)^2)</f>
        <v/>
      </c>
      <c r="EA27" s="636" t="str">
        <f>IF(OR(DY27="",DQ27="",'HHV-LHV-MW'!DE11=""),"",((DY27*DQ27*('HHV-LHV-MW'!DE11/100))/23.685)^2)</f>
        <v/>
      </c>
      <c r="EB27" s="639" t="e">
        <f>IF(OR(DU27="",DP27="",DR27=""),"",((DU27*DP27*(DR27/100))/23.685)^2)</f>
        <v>#DIV/0!</v>
      </c>
      <c r="EC27" s="892" t="e">
        <f>IF(OR(DU27="",DQ27="",DR27=""),"",((DU27*DQ27*(DR27/100))/23.685)^2)</f>
        <v>#DIV/0!</v>
      </c>
      <c r="ED27" s="511"/>
      <c r="EE27" s="511"/>
      <c r="EF27" s="511"/>
      <c r="EG27" s="511"/>
      <c r="EH27" s="511"/>
      <c r="EI27" s="511"/>
      <c r="EJ27" s="511"/>
      <c r="EK27" s="888" t="str">
        <f>IF(S27="","",VLOOKUP(S27,'HHV-LHV-MW'!$A$3:$H$40,4,FALSE))</f>
        <v/>
      </c>
      <c r="EL27" s="889" t="str">
        <f>IF(S27="","",VLOOKUP(S27,'HHV-LHV-MW'!$A$3:$H$40,5,FALSE))</f>
        <v/>
      </c>
      <c r="EM27" s="890" t="e">
        <f>(PRODUCT('HHV-LHV-MW'!FB11)+PRODUCT('HHV-LHV-MW'!FN11)+PRODUCT('HHV-LHV-MW'!FZ11)+PRODUCT('HHV-LHV-MW'!GL11))/$BW$19</f>
        <v>#DIV/0!</v>
      </c>
      <c r="EN27" s="890">
        <f>IF($BW$19=1,"",  (SQRT(  (      (IF('HHV-LHV-MW'!FB11="",0,('HHV-LHV-MW'!FB11-EM27)^2))      +        (IF('HHV-LHV-MW'!FN11="",0,('HHV-LHV-MW'!FN11-EM27)^2))       +        (IF('HHV-LHV-MW'!FZ11="",0,('HHV-LHV-MW'!FZ11-EM27)^2))          +        (IF('HHV-LHV-MW'!GL11="",0,('HHV-LHV-MW'!GL11-EM27)^2))          )     *(1/($BW$19-1))  )))</f>
        <v>0</v>
      </c>
      <c r="EO27" s="890" t="e">
        <f t="shared" ref="EO27:EO49" si="1">IF($BW$19=1,"",(EN27*$EO$18)/SQRT($BW$19))</f>
        <v>#N/A</v>
      </c>
      <c r="EP27" s="890" t="e">
        <f>IF(OR(EM27="",EM27=0),"",EO27*100/EM27)</f>
        <v>#DIV/0!</v>
      </c>
      <c r="EQ27" s="636" t="str">
        <f>IF('HHV-LHV-MW'!FB11="","",IF(AND('HHV-LHV-MW'!FB11&gt;=0,'HHV-LHV-MW'!FB11&lt;=0.09),2,  IF(AND('HHV-LHV-MW'!FB11&gt;=0.1,'HHV-LHV-MW'!FB11&lt;=0.9),7,  IF(AND('HHV-LHV-MW'!FB11&gt;=1,'HHV-LHV-MW'!FB11&lt;=4.9),10,   IF(AND('HHV-LHV-MW'!FB11&gt;=5,'HHV-LHV-MW'!FB11&lt;=10),12, 15)))))</f>
        <v/>
      </c>
      <c r="ER27" s="636" t="str">
        <f>IF('HHV-LHV-MW'!FB11="","",5*'HHV-LHV-MW'!FB11)</f>
        <v/>
      </c>
      <c r="ES27" s="636" t="str">
        <f>IF(AND(EQ27="",ER27=""),"",SQRT((EQ27)^2+(ER27)^2))</f>
        <v/>
      </c>
      <c r="ET27" s="636" t="str">
        <f>IF(OR(ES27="",'HHV-LHV-MW'!FB11=0),"",ES27/'HHV-LHV-MW'!FB11)</f>
        <v/>
      </c>
      <c r="EU27" s="636" t="str">
        <f>IF(OR(ET27="",EK27="",'HHV-LHV-MW'!FB11=""),"",((ET27*EK27*('HHV-LHV-MW'!FB11/100))/23.685)^2)</f>
        <v/>
      </c>
      <c r="EV27" s="636" t="str">
        <f>IF(OR(ET27="",EL27="",'HHV-LHV-MW'!FB11=""),"",((ET27*EL27*('HHV-LHV-MW'!FB11/100))/23.685)^2)</f>
        <v/>
      </c>
      <c r="EW27" s="639" t="e">
        <f>IF(OR(EP27="",EK27="",EM27=""),"",((EP27*EK27*(EM27/100))/23.685)^2)</f>
        <v>#DIV/0!</v>
      </c>
      <c r="EX27" s="892" t="e">
        <f>IF(OR(EP27="",EL27="",EM27=""),"",((EP27*EL27*(EM27/100))/23.685)^2)</f>
        <v>#DIV/0!</v>
      </c>
      <c r="EY27" s="511"/>
      <c r="EZ27" s="511"/>
      <c r="FA27" s="511"/>
      <c r="FB27" s="511"/>
      <c r="FC27" s="511"/>
      <c r="FD27" s="511"/>
      <c r="FE27" s="511"/>
      <c r="FF27" s="888" t="str">
        <f>IF(Y27="","",VLOOKUP(Y27,'HHV-LHV-MW'!$A$3:$H$40,4,FALSE))</f>
        <v/>
      </c>
      <c r="FG27" s="889" t="str">
        <f>IF(Y27="","",VLOOKUP(Y27,'HHV-LHV-MW'!$A$3:$H$40,5,FALSE))</f>
        <v/>
      </c>
      <c r="FH27" s="890" t="e">
        <f>(PRODUCT('HHV-LHV-MW'!GY11)+PRODUCT('HHV-LHV-MW'!HK11)+PRODUCT('HHV-LHV-MW'!HW11)+PRODUCT('HHV-LHV-MW'!II11))/$BW$28</f>
        <v>#DIV/0!</v>
      </c>
      <c r="FI27" s="890">
        <f>IF($BW$28=1,"",  (SQRT(  (      (IF('HHV-LHV-MW'!GY11="",0,('HHV-LHV-MW'!GY11-FH27)^2))      +        (IF('HHV-LHV-MW'!HK11="",0,('HHV-LHV-MW'!HK11-FH27)^2))       +        (IF('HHV-LHV-MW'!HW11="",0,('HHV-LHV-MW'!HW11-FH27)^2))          +        (IF('HHV-LHV-MW'!II11="",0,('HHV-LHV-MW'!II11-FH27)^2))          )     *(1/($BW$28-1))  )))</f>
        <v>0</v>
      </c>
      <c r="FJ27" s="890" t="e">
        <f t="shared" ref="FJ27:FJ49" si="2">IF($BW$28=1,"",(FI27*$FJ$18)/SQRT($BW$28))</f>
        <v>#N/A</v>
      </c>
      <c r="FK27" s="890" t="e">
        <f>IF(OR(FH27="",FH27=0),"",FJ27*100/FH27)</f>
        <v>#DIV/0!</v>
      </c>
      <c r="FL27" s="636" t="str">
        <f>IF('HHV-LHV-MW'!GY11="","",IF(AND('HHV-LHV-MW'!GY11&gt;=0,'HHV-LHV-MW'!GY11&lt;=0.09),2,  IF(AND('HHV-LHV-MW'!GY11&gt;=0.1,'HHV-LHV-MW'!GY11&lt;=0.9),7,  IF(AND('HHV-LHV-MW'!GY11&gt;=1,'HHV-LHV-MW'!GY11&lt;=4.9),10,   IF(AND('HHV-LHV-MW'!GY11&gt;=5,'HHV-LHV-MW'!GY11&lt;=10),12, 15)))))</f>
        <v/>
      </c>
      <c r="FM27" s="636" t="str">
        <f>IF('HHV-LHV-MW'!GY11="","",5*'HHV-LHV-MW'!GY11)</f>
        <v/>
      </c>
      <c r="FN27" s="636" t="str">
        <f>IF(AND(FL27="",FM27=""),"",SQRT((FL27)^2+(FM27)^2))</f>
        <v/>
      </c>
      <c r="FO27" s="636" t="str">
        <f>IF(OR(FN27="",'HHV-LHV-MW'!GY11=0),"",FN27/'HHV-LHV-MW'!GY11)</f>
        <v/>
      </c>
      <c r="FP27" s="636" t="str">
        <f>IF(OR(FO27="",FF27="",'HHV-LHV-MW'!GY11=""),"",((FO27*FF27*('HHV-LHV-MW'!GY11/100))/23.685)^2)</f>
        <v/>
      </c>
      <c r="FQ27" s="636" t="str">
        <f>IF(OR(FO27="",FG27="",'HHV-LHV-MW'!GY11=""),"",((FO27*FG27*('HHV-LHV-MW'!GY11/100))/23.685)^2)</f>
        <v/>
      </c>
      <c r="FR27" s="639" t="e">
        <f>IF(OR(FK27="",FF27="",FH27=""),"",((FK27*FF27*(FH27/100))/23.685)^2)</f>
        <v>#DIV/0!</v>
      </c>
      <c r="FS27" s="892" t="e">
        <f>IF(OR(FK27="",FG27="",FH27=""),"",((FK27*FG27*(FH27/100))/23.685)^2)</f>
        <v>#DIV/0!</v>
      </c>
      <c r="FT27" s="511"/>
      <c r="FU27" s="511"/>
      <c r="FV27" s="511"/>
      <c r="FW27" s="511"/>
      <c r="FX27" s="511"/>
      <c r="FY27" s="511"/>
      <c r="FZ27" s="511"/>
      <c r="GA27" s="888" t="str">
        <f>IF(AE27="","",VLOOKUP(AE27,'HHV-LHV-MW'!$A$3:$H$40,4,FALSE))</f>
        <v/>
      </c>
      <c r="GB27" s="889" t="str">
        <f>IF(AE27="","",VLOOKUP(AE27,'HHV-LHV-MW'!$A$3:$H$40,5,FALSE))</f>
        <v/>
      </c>
      <c r="GC27" s="890" t="e">
        <f>(PRODUCT('HHV-LHV-MW'!IV11)+PRODUCT('HHV-LHV-MW'!JH11)+PRODUCT('HHV-LHV-MW'!JT11)+PRODUCT('HHV-LHV-MW'!KF11))/$BW$37</f>
        <v>#DIV/0!</v>
      </c>
      <c r="GD27" s="890">
        <f>IF($BW$37=1,"",  (SQRT(  (      (IF('HHV-LHV-MW'!IV11="",0,('HHV-LHV-MW'!IV11-GC27)^2))      +        (IF('HHV-LHV-MW'!JH11="",0,('HHV-LHV-MW'!JH11-GC27)^2))       +        (IF('HHV-LHV-MW'!JT11="",0,('HHV-LHV-MW'!JT11-GC27)^2))          +        (IF('HHV-LHV-MW'!KF11="",0,('HHV-LHV-MW'!KF11-GC27)^2))          )     *(1/($BW$37-1))  )))</f>
        <v>0</v>
      </c>
      <c r="GE27" s="890" t="e">
        <f t="shared" ref="GE27:GE49" si="3">IF($BW$37=1,"",(GD27*$GE$18)/SQRT($BW$37))</f>
        <v>#N/A</v>
      </c>
      <c r="GF27" s="890" t="e">
        <f>IF(OR(GC27="",GC27=0),"",GE27*100/GC27)</f>
        <v>#DIV/0!</v>
      </c>
      <c r="GG27" s="636" t="str">
        <f>IF('HHV-LHV-MW'!IV11="","",IF(AND('HHV-LHV-MW'!IV11&gt;=0,'HHV-LHV-MW'!IV11&lt;=0.09),2,  IF(AND('HHV-LHV-MW'!IV11&gt;=0.1,'HHV-LHV-MW'!IV11&lt;=0.9),7,  IF(AND('HHV-LHV-MW'!IV11&gt;=1,'HHV-LHV-MW'!IV11&lt;=4.9),10,   IF(AND('HHV-LHV-MW'!IV11&gt;=5,'HHV-LHV-MW'!IV11&lt;=10),12, 15)))))</f>
        <v/>
      </c>
      <c r="GH27" s="636" t="str">
        <f>IF('HHV-LHV-MW'!IV11="","",5*'HHV-LHV-MW'!IV11)</f>
        <v/>
      </c>
      <c r="GI27" s="636" t="str">
        <f>IF(AND(GG27="",GH27=""),"",SQRT((GG27)^2+(GH27)^2))</f>
        <v/>
      </c>
      <c r="GJ27" s="636" t="str">
        <f>IF(OR(GI27="",'HHV-LHV-MW'!IV11=0),"",GI27/'HHV-LHV-MW'!IV11)</f>
        <v/>
      </c>
      <c r="GK27" s="636" t="str">
        <f>IF(OR(GJ27="",GA27="",'HHV-LHV-MW'!IV11=""),"",((GJ27*GA27*('HHV-LHV-MW'!IV11/100))/23.685)^2)</f>
        <v/>
      </c>
      <c r="GL27" s="636" t="str">
        <f>IF(OR(GJ27="",GB27="",'HHV-LHV-MW'!IV11=""),"",((GJ27*GB27*('HHV-LHV-MW'!IV11/100))/23.685)^2)</f>
        <v/>
      </c>
      <c r="GM27" s="639" t="e">
        <f>IF(OR(GF27="",GA27="",GC27=""),"",((GF27*GA27*(GC27/100))/23.685)^2)</f>
        <v>#DIV/0!</v>
      </c>
      <c r="GN27" s="892" t="e">
        <f>IF(OR(GF27="",GB27="",GC27=""),"",((GF27*GB27*(GC27/100))/23.685)^2)</f>
        <v>#DIV/0!</v>
      </c>
      <c r="GO27" s="874"/>
      <c r="GP27" s="874"/>
      <c r="GQ27" s="874"/>
      <c r="GR27" s="874"/>
      <c r="GS27" s="874"/>
      <c r="GT27" s="874"/>
      <c r="GU27" s="874"/>
      <c r="GV27" s="874"/>
      <c r="GW27" s="874"/>
      <c r="GX27" s="874"/>
      <c r="GY27" s="874"/>
      <c r="GZ27" s="874"/>
      <c r="HA27" s="874"/>
      <c r="HB27" s="511"/>
      <c r="HC27" s="511"/>
      <c r="HD27" s="511"/>
      <c r="HE27" s="511"/>
      <c r="HF27" s="511"/>
      <c r="HG27" s="511"/>
      <c r="HH27" s="511"/>
      <c r="HI27" s="511"/>
      <c r="HJ27" s="874"/>
      <c r="HK27" s="874"/>
      <c r="HL27" s="874"/>
      <c r="HM27" s="874"/>
      <c r="HN27" s="874"/>
      <c r="HO27" s="874"/>
      <c r="HP27" s="874"/>
      <c r="HQ27" s="874"/>
      <c r="HR27" s="874"/>
      <c r="HS27" s="874"/>
      <c r="HT27" s="874"/>
      <c r="HU27" s="874"/>
      <c r="HV27" s="874"/>
      <c r="HW27" s="511"/>
      <c r="HX27" s="511"/>
      <c r="HY27" s="511"/>
      <c r="HZ27" s="511"/>
      <c r="IA27" s="511"/>
      <c r="IB27" s="511"/>
      <c r="IC27" s="511"/>
      <c r="ID27" s="511"/>
      <c r="IE27" s="874"/>
      <c r="IF27" s="874"/>
      <c r="IG27" s="874"/>
      <c r="IH27" s="874"/>
      <c r="II27" s="874"/>
      <c r="IJ27" s="874"/>
      <c r="IK27" s="874"/>
      <c r="IL27" s="874"/>
      <c r="IM27" s="874"/>
      <c r="IN27" s="874"/>
      <c r="IO27" s="874"/>
      <c r="IP27" s="874"/>
      <c r="IQ27" s="874"/>
      <c r="IR27" s="511"/>
      <c r="IS27" s="511"/>
      <c r="IT27" s="511"/>
      <c r="IU27" s="511"/>
      <c r="IV27" s="511"/>
      <c r="IW27" s="511"/>
      <c r="IX27" s="511"/>
      <c r="IY27" s="511"/>
      <c r="IZ27" s="874"/>
      <c r="JA27" s="874"/>
      <c r="JB27" s="874"/>
      <c r="JC27" s="874"/>
      <c r="JD27" s="874"/>
      <c r="JE27" s="874"/>
      <c r="JF27" s="874"/>
      <c r="JG27" s="874"/>
      <c r="JH27" s="874"/>
      <c r="JI27" s="874"/>
      <c r="JJ27" s="874"/>
      <c r="JK27" s="874"/>
      <c r="JL27" s="874"/>
      <c r="JM27" s="874"/>
      <c r="JN27" s="874"/>
      <c r="JO27" s="874"/>
      <c r="JP27" s="874"/>
      <c r="JQ27" s="874"/>
      <c r="JR27" s="874"/>
      <c r="JS27" s="874"/>
      <c r="JT27" s="874"/>
      <c r="JU27" s="874"/>
      <c r="JV27" s="874"/>
      <c r="JW27" s="874"/>
      <c r="JX27" s="874"/>
      <c r="JY27" s="874"/>
      <c r="JZ27" s="874"/>
      <c r="KA27" s="874"/>
      <c r="KB27" s="874"/>
      <c r="KC27" s="874"/>
      <c r="KD27" s="874"/>
      <c r="KE27" s="874"/>
      <c r="KF27" s="874"/>
      <c r="KG27" s="874"/>
      <c r="KH27" s="865"/>
      <c r="KI27" s="865"/>
      <c r="KJ27" s="865"/>
      <c r="KK27" s="865"/>
      <c r="KL27" s="865"/>
      <c r="KM27" s="865"/>
      <c r="KN27" s="865"/>
      <c r="KO27" s="865"/>
      <c r="KP27" s="865"/>
      <c r="KQ27" s="865"/>
      <c r="KR27" s="865"/>
      <c r="KS27" s="865"/>
      <c r="KT27" s="865"/>
      <c r="KU27" s="865"/>
      <c r="KV27" s="865"/>
      <c r="KW27" s="865"/>
      <c r="KX27" s="865"/>
      <c r="KY27" s="865"/>
      <c r="KZ27" s="865"/>
      <c r="LA27" s="865"/>
      <c r="LB27" s="865"/>
      <c r="LC27" s="865"/>
      <c r="LD27" s="865"/>
      <c r="LE27" s="865"/>
      <c r="LF27" s="865"/>
    </row>
    <row r="28" spans="1:318" ht="18.600000000000001">
      <c r="A28" s="864"/>
      <c r="B28" s="502"/>
      <c r="C28" s="663"/>
      <c r="D28" s="663"/>
      <c r="E28" s="663"/>
      <c r="F28" s="511"/>
      <c r="G28" s="864"/>
      <c r="H28" s="502"/>
      <c r="I28" s="663"/>
      <c r="J28" s="663"/>
      <c r="K28" s="663"/>
      <c r="L28" s="511"/>
      <c r="M28" s="864"/>
      <c r="N28" s="502"/>
      <c r="O28" s="663"/>
      <c r="P28" s="663"/>
      <c r="Q28" s="663"/>
      <c r="R28" s="511"/>
      <c r="S28" s="864"/>
      <c r="T28" s="502"/>
      <c r="U28" s="663"/>
      <c r="V28" s="663"/>
      <c r="W28" s="663"/>
      <c r="X28" s="511"/>
      <c r="Y28" s="864"/>
      <c r="Z28" s="502"/>
      <c r="AA28" s="663"/>
      <c r="AB28" s="663"/>
      <c r="AC28" s="663"/>
      <c r="AD28" s="511"/>
      <c r="AE28" s="864"/>
      <c r="AF28" s="502"/>
      <c r="AG28" s="663"/>
      <c r="AH28" s="663"/>
      <c r="AI28" s="663"/>
      <c r="AJ28" s="511"/>
      <c r="AK28" s="865"/>
      <c r="AL28" s="865"/>
      <c r="AM28" s="865"/>
      <c r="AN28" s="865"/>
      <c r="AO28" s="865"/>
      <c r="AP28" s="865"/>
      <c r="AQ28" s="865"/>
      <c r="AR28" s="865"/>
      <c r="AS28" s="865"/>
      <c r="AT28" s="865"/>
      <c r="AU28" s="865"/>
      <c r="AV28" s="865"/>
      <c r="AW28" s="865"/>
      <c r="AX28" s="865"/>
      <c r="AY28" s="865"/>
      <c r="AZ28" s="865"/>
      <c r="BA28" s="865"/>
      <c r="BB28" s="865"/>
      <c r="BC28" s="865"/>
      <c r="BD28" s="865"/>
      <c r="BE28" s="865"/>
      <c r="BF28" s="865"/>
      <c r="BG28" s="865"/>
      <c r="BH28" s="865"/>
      <c r="BI28" s="865"/>
      <c r="BJ28" s="1201" t="str">
        <f>IF(BM25="واقعي","تعداد نمونه‌هاي وارد شده را انتخاب كنيد:","")</f>
        <v/>
      </c>
      <c r="BK28" s="1201"/>
      <c r="BL28" s="1201"/>
      <c r="BM28" s="1201"/>
      <c r="BN28" s="1201"/>
      <c r="BO28" s="2439"/>
      <c r="BP28" s="2439"/>
      <c r="BQ28" s="865"/>
      <c r="BR28" s="1201" t="str">
        <f>IF(BU25="واقعي","تعداد نمونه‌هاي وارد شده را انتخاب كنيد:","")</f>
        <v/>
      </c>
      <c r="BS28" s="1201"/>
      <c r="BT28" s="1201"/>
      <c r="BU28" s="1201"/>
      <c r="BV28" s="1201"/>
      <c r="BW28" s="2439"/>
      <c r="BX28" s="2439"/>
      <c r="BY28" s="874"/>
      <c r="BZ28" s="888" t="str">
        <f>IF(A28="","",VLOOKUP(A28,'HHV-LHV-MW'!$A$3:$H$40,4,FALSE))</f>
        <v/>
      </c>
      <c r="CA28" s="889" t="str">
        <f>IF(A28="","",VLOOKUP(A28,'HHV-LHV-MW'!$A$3:$H$40,5,FALSE))</f>
        <v/>
      </c>
      <c r="CB28" s="890" t="e">
        <f>(PRODUCT('HHV-LHV-MW'!K12)+PRODUCT('HHV-LHV-MW'!W12)+PRODUCT('HHV-LHV-MW'!AI12)+PRODUCT('HHV-LHV-MW'!AU12))/$BO$19</f>
        <v>#DIV/0!</v>
      </c>
      <c r="CC28" s="890">
        <f>IF($BO$19=1,"",  (SQRT(  (      (IF('HHV-LHV-MW'!K12="",0,('HHV-LHV-MW'!K12-CB28)^2))      +        (IF('HHV-LHV-MW'!W12="",0,('HHV-LHV-MW'!W12-CB28)^2))       +        (IF('HHV-LHV-MW'!AI12="",0,('HHV-LHV-MW'!AI12-CB28)^2))          +        (IF('HHV-LHV-MW'!AU12="",0,('HHV-LHV-MW'!AU12-CB28)^2))          )     *(1/($BO$19-1))  )))</f>
        <v>0</v>
      </c>
      <c r="CD28" s="890" t="e">
        <f t="shared" ref="CD28:CD49" si="4">IF($BO$19=1,"",(CC28*$CD$18)/SQRT($BO$19))</f>
        <v>#N/A</v>
      </c>
      <c r="CE28" s="890" t="e">
        <f t="shared" ref="CE28:CE49" si="5">IF(OR(CB28="",CB28=0),"",CD28*100/CB28)</f>
        <v>#DIV/0!</v>
      </c>
      <c r="CF28" s="636" t="str">
        <f>IF('HHV-LHV-MW'!K12="","",IF(AND('HHV-LHV-MW'!K12&gt;=0,'HHV-LHV-MW'!K12&lt;=0.09),2,  IF(AND('HHV-LHV-MW'!K12&gt;=0.1,'HHV-LHV-MW'!K12&lt;=0.9),7,  IF(AND('HHV-LHV-MW'!K12&gt;=1,'HHV-LHV-MW'!K12&lt;=4.9),10,   IF(AND('HHV-LHV-MW'!K12&gt;=5,'HHV-LHV-MW'!K12&lt;=10),12, 15)))))</f>
        <v/>
      </c>
      <c r="CG28" s="636" t="str">
        <f>IF('HHV-LHV-MW'!K12="","",5*'HHV-LHV-MW'!K12)</f>
        <v/>
      </c>
      <c r="CH28" s="635" t="str">
        <f t="shared" ref="CH28:CH49" si="6">IF(AND(CF28="",CG28=""),"",SQRT((CF28)^2+(CG28)^2))</f>
        <v/>
      </c>
      <c r="CI28" s="636" t="str">
        <f>IF(OR(CH28="",'HHV-LHV-MW'!K12=0),"",CH28/'HHV-LHV-MW'!K12)</f>
        <v/>
      </c>
      <c r="CJ28" s="636" t="str">
        <f>IF(OR(CI28="",BZ28="",'HHV-LHV-MW'!K12=""),"",((CI28*BZ28*('HHV-LHV-MW'!K12/100))/23.685)^2)</f>
        <v/>
      </c>
      <c r="CK28" s="891" t="str">
        <f>IF(OR(CI28="",CA28="",'HHV-LHV-MW'!K12=""),"",((CI28*CA28*('HHV-LHV-MW'!K12/100))/23.685)^2)</f>
        <v/>
      </c>
      <c r="CL28" s="639" t="e">
        <f t="shared" ref="CL28:CL48" si="7">IF(OR(CE28="",BZ28="",CB28=""),"",((CE28*BZ28*(CB28/100))/23.685)^2)</f>
        <v>#DIV/0!</v>
      </c>
      <c r="CM28" s="892" t="e">
        <f t="shared" ref="CM28:CM48" si="8">IF(OR(CE28="",CA28="",CB28=""),"",((CE28*CA28*(CB28/100))/23.685)^2)</f>
        <v>#DIV/0!</v>
      </c>
      <c r="CN28" s="511"/>
      <c r="CO28" s="511"/>
      <c r="CP28" s="511"/>
      <c r="CQ28" s="511"/>
      <c r="CR28" s="511"/>
      <c r="CS28" s="511"/>
      <c r="CT28" s="511"/>
      <c r="CU28" s="888" t="str">
        <f>IF(G28="","",VLOOKUP(G28,'HHV-LHV-MW'!$A$3:$H$40,4,FALSE))</f>
        <v/>
      </c>
      <c r="CV28" s="889" t="str">
        <f>IF(G28="","",VLOOKUP(G28,'HHV-LHV-MW'!$A$3:$H$40,5,FALSE))</f>
        <v/>
      </c>
      <c r="CW28" s="890" t="e">
        <f>(PRODUCT('HHV-LHV-MW'!BH12)+PRODUCT('HHV-LHV-MW'!BT12)+PRODUCT('HHV-LHV-MW'!CF12)+PRODUCT('HHV-LHV-MW'!CR12))/$BO$28</f>
        <v>#DIV/0!</v>
      </c>
      <c r="CX28" s="890">
        <f>IF($BO$28=1,"",  (SQRT(  (      (IF('HHV-LHV-MW'!BH12="",0,('HHV-LHV-MW'!BH12-CW28)^2))      +        (IF('HHV-LHV-MW'!BT12="",0,('HHV-LHV-MW'!BT12-CW28)^2))       +        (IF('HHV-LHV-MW'!CF12="",0,('HHV-LHV-MW'!CF12-CW28)^2))          +        (IF('HHV-LHV-MW'!CR12="",0,('HHV-LHV-MW'!CR12-CW28)^2))          )     *(1/($BO$28-1))  )))</f>
        <v>0</v>
      </c>
      <c r="CY28" s="890" t="e">
        <f t="shared" ref="CY28:CY49" si="9">IF($BO$28=1,"",(CX28*$CY$18)/SQRT($BO$28))</f>
        <v>#N/A</v>
      </c>
      <c r="CZ28" s="890" t="e">
        <f t="shared" ref="CZ28:CZ48" si="10">IF(OR(CW28="",CW28=0),"",CY28*100/CW28)</f>
        <v>#DIV/0!</v>
      </c>
      <c r="DA28" s="636" t="str">
        <f>IF('HHV-LHV-MW'!BH12="","",IF(AND('HHV-LHV-MW'!BH12&gt;=0,'HHV-LHV-MW'!BH12&lt;=0.09),2,  IF(AND('HHV-LHV-MW'!BH12&gt;=0.1,'HHV-LHV-MW'!BH12&lt;=0.9),7,  IF(AND('HHV-LHV-MW'!BH12&gt;=1,'HHV-LHV-MW'!BH12&lt;=4.9),10,   IF(AND('HHV-LHV-MW'!BH12&gt;=5,'HHV-LHV-MW'!BH12&lt;=10),12, 15)))))</f>
        <v/>
      </c>
      <c r="DB28" s="636" t="str">
        <f>IF('HHV-LHV-MW'!BH12="","",5*'HHV-LHV-MW'!BH12)</f>
        <v/>
      </c>
      <c r="DC28" s="635" t="str">
        <f t="shared" ref="DC28:DC49" si="11">IF(AND(DA28="",DB28=""),"",SQRT((DA28)^2+(DB28)^2))</f>
        <v/>
      </c>
      <c r="DD28" s="636" t="str">
        <f>IF(OR(DC28="",'HHV-LHV-MW'!BH12=0),"",DC28/'HHV-LHV-MW'!BH12)</f>
        <v/>
      </c>
      <c r="DE28" s="635" t="str">
        <f>IF(OR(DD28="",CU28="",'HHV-LHV-MW'!BH12=""),"",((DD28*CU28*('HHV-LHV-MW'!BH12/100))/23.685)^2)</f>
        <v/>
      </c>
      <c r="DF28" s="636" t="str">
        <f>IF(OR(DD28="",CV28="",'HHV-LHV-MW'!BH12=""),"",((DD28*CV28*('HHV-LHV-MW'!BH12/100))/23.685)^2)</f>
        <v/>
      </c>
      <c r="DG28" s="639" t="e">
        <f t="shared" ref="DG28:DG49" si="12">IF(OR(CZ28="",CU28="",CW28=""),"",((CZ28*CU28*(CW28/100))/23.685)^2)</f>
        <v>#DIV/0!</v>
      </c>
      <c r="DH28" s="892" t="e">
        <f t="shared" ref="DH28:DH49" si="13">IF(OR(CZ28="",CV28="",CW28=""),"",((CZ28*CV28*(CW28/100))/23.685)^2)</f>
        <v>#DIV/0!</v>
      </c>
      <c r="DI28" s="511"/>
      <c r="DJ28" s="511"/>
      <c r="DK28" s="511"/>
      <c r="DL28" s="511"/>
      <c r="DM28" s="511"/>
      <c r="DN28" s="511"/>
      <c r="DO28" s="511"/>
      <c r="DP28" s="888" t="str">
        <f>IF(M28="","",VLOOKUP(M28,'HHV-LHV-MW'!$A$3:$H$40,4,FALSE))</f>
        <v/>
      </c>
      <c r="DQ28" s="889" t="str">
        <f>IF(M28="","",VLOOKUP(M28,'HHV-LHV-MW'!$A$3:$H$40,5,FALSE))</f>
        <v/>
      </c>
      <c r="DR28" s="890" t="e">
        <f>(PRODUCT('HHV-LHV-MW'!DE12)+PRODUCT('HHV-LHV-MW'!DQ12)+PRODUCT('HHV-LHV-MW'!EC12)+PRODUCT('HHV-LHV-MW'!EO12))/$BO$37</f>
        <v>#DIV/0!</v>
      </c>
      <c r="DS28" s="890">
        <f>IF($BO$37=1,"",  (SQRT(  (      (IF('HHV-LHV-MW'!DE12="",0,('HHV-LHV-MW'!DE12-DR28)^2))      +        (IF('HHV-LHV-MW'!DQ12="",0,('HHV-LHV-MW'!DQ12-DR28)^2))       +        (IF('HHV-LHV-MW'!EC12="",0,('HHV-LHV-MW'!EC12-DR28)^2))          +        (IF('HHV-LHV-MW'!EO12="",0,('HHV-LHV-MW'!EO12-DR28)^2))          )     *(1/($BO$37-1))  )))</f>
        <v>0</v>
      </c>
      <c r="DT28" s="890" t="e">
        <f t="shared" si="0"/>
        <v>#N/A</v>
      </c>
      <c r="DU28" s="890" t="e">
        <f t="shared" ref="DU28:DU49" si="14">IF(OR(DR28="",DR28=0),"",DT28*100/DR28)</f>
        <v>#DIV/0!</v>
      </c>
      <c r="DV28" s="636" t="str">
        <f>IF('HHV-LHV-MW'!DE12="","",IF(AND('HHV-LHV-MW'!DE12&gt;=0,'HHV-LHV-MW'!DE12&lt;=0.09),2,  IF(AND('HHV-LHV-MW'!DE12&gt;=0.1,'HHV-LHV-MW'!DE12&lt;=0.9),7,  IF(AND('HHV-LHV-MW'!DE12&gt;=1,'HHV-LHV-MW'!DE12&lt;=4.9),10,   IF(AND('HHV-LHV-MW'!DE12&gt;=5,'HHV-LHV-MW'!DE12&lt;=10),12, 15)))))</f>
        <v/>
      </c>
      <c r="DW28" s="636" t="str">
        <f>IF('HHV-LHV-MW'!DE12="","",5*'HHV-LHV-MW'!DE12)</f>
        <v/>
      </c>
      <c r="DX28" s="635" t="str">
        <f t="shared" ref="DX28:DX49" si="15">IF(AND(DV28="",DW28=""),"",SQRT((DV28)^2+(DW28)^2))</f>
        <v/>
      </c>
      <c r="DY28" s="636" t="str">
        <f>IF(OR(DX28="",'HHV-LHV-MW'!DE12=0),"",DX28/'HHV-LHV-MW'!DE12)</f>
        <v/>
      </c>
      <c r="DZ28" s="636" t="str">
        <f>IF(OR(DY28="",DP28="",'HHV-LHV-MW'!DE12=""),"",((DY28*DP28*('HHV-LHV-MW'!DE12/100))/23.685)^2)</f>
        <v/>
      </c>
      <c r="EA28" s="636" t="str">
        <f>IF(OR(DY28="",DQ28="",'HHV-LHV-MW'!DE12=""),"",((DY28*DQ28*('HHV-LHV-MW'!DE12/100))/23.685)^2)</f>
        <v/>
      </c>
      <c r="EB28" s="639" t="e">
        <f t="shared" ref="EB28:EB49" si="16">IF(OR(DU28="",DP28="",DR28=""),"",((DU28*DP28*(DR28/100))/23.685)^2)</f>
        <v>#DIV/0!</v>
      </c>
      <c r="EC28" s="892" t="e">
        <f t="shared" ref="EC28:EC48" si="17">IF(OR(DU28="",DQ28="",DR28=""),"",((DU28*DQ28*(DR28/100))/23.685)^2)</f>
        <v>#DIV/0!</v>
      </c>
      <c r="ED28" s="511"/>
      <c r="EE28" s="511"/>
      <c r="EF28" s="511"/>
      <c r="EG28" s="511"/>
      <c r="EH28" s="511"/>
      <c r="EI28" s="511"/>
      <c r="EJ28" s="511"/>
      <c r="EK28" s="888" t="str">
        <f>IF(S28="","",VLOOKUP(S28,'HHV-LHV-MW'!$A$3:$H$40,4,FALSE))</f>
        <v/>
      </c>
      <c r="EL28" s="889" t="str">
        <f>IF(S28="","",VLOOKUP(S28,'HHV-LHV-MW'!$A$3:$H$40,5,FALSE))</f>
        <v/>
      </c>
      <c r="EM28" s="890" t="e">
        <f>(PRODUCT('HHV-LHV-MW'!FB12)+PRODUCT('HHV-LHV-MW'!FN12)+PRODUCT('HHV-LHV-MW'!FZ12)+PRODUCT('HHV-LHV-MW'!GL12))/$BW$19</f>
        <v>#DIV/0!</v>
      </c>
      <c r="EN28" s="890">
        <f>IF($BW$19=1,"",  (SQRT(  (      (IF('HHV-LHV-MW'!FB12="",0,('HHV-LHV-MW'!FB12-EM28)^2))      +        (IF('HHV-LHV-MW'!FN12="",0,('HHV-LHV-MW'!FN12-EM28)^2))       +        (IF('HHV-LHV-MW'!FZ12="",0,('HHV-LHV-MW'!FZ12-EM28)^2))          +        (IF('HHV-LHV-MW'!GL12="",0,('HHV-LHV-MW'!GL12-EM28)^2))          )     *(1/($BW$19-1))  )))</f>
        <v>0</v>
      </c>
      <c r="EO28" s="890" t="e">
        <f t="shared" si="1"/>
        <v>#N/A</v>
      </c>
      <c r="EP28" s="890" t="e">
        <f t="shared" ref="EP28:EP49" si="18">IF(OR(EM28="",EM28=0),"",EO28*100/EM28)</f>
        <v>#DIV/0!</v>
      </c>
      <c r="EQ28" s="636" t="str">
        <f>IF('HHV-LHV-MW'!FB12="","",IF(AND('HHV-LHV-MW'!FB12&gt;=0,'HHV-LHV-MW'!FB12&lt;=0.09),2,  IF(AND('HHV-LHV-MW'!FB12&gt;=0.1,'HHV-LHV-MW'!FB12&lt;=0.9),7,  IF(AND('HHV-LHV-MW'!FB12&gt;=1,'HHV-LHV-MW'!FB12&lt;=4.9),10,   IF(AND('HHV-LHV-MW'!FB12&gt;=5,'HHV-LHV-MW'!FB12&lt;=10),12, 15)))))</f>
        <v/>
      </c>
      <c r="ER28" s="636" t="str">
        <f>IF('HHV-LHV-MW'!FB12="","",5*'HHV-LHV-MW'!FB12)</f>
        <v/>
      </c>
      <c r="ES28" s="635" t="str">
        <f t="shared" ref="ES28:ES49" si="19">IF(AND(EQ28="",ER28=""),"",SQRT((EQ28)^2+(ER28)^2))</f>
        <v/>
      </c>
      <c r="ET28" s="636" t="str">
        <f>IF(OR(ES28="",'HHV-LHV-MW'!FB12=0),"",ES28/'HHV-LHV-MW'!FB12)</f>
        <v/>
      </c>
      <c r="EU28" s="636" t="str">
        <f>IF(OR(ET28="",EK28="",'HHV-LHV-MW'!FB12=""),"",((ET28*EK28*('HHV-LHV-MW'!FB12/100))/23.685)^2)</f>
        <v/>
      </c>
      <c r="EV28" s="636" t="str">
        <f>IF(OR(ET28="",EL28="",'HHV-LHV-MW'!FB12=""),"",((ET28*EL28*('HHV-LHV-MW'!FB12/100))/23.685)^2)</f>
        <v/>
      </c>
      <c r="EW28" s="639" t="e">
        <f t="shared" ref="EW28:EW49" si="20">IF(OR(EP28="",EK28="",EM28=""),"",((EP28*EK28*(EM28/100))/23.685)^2)</f>
        <v>#DIV/0!</v>
      </c>
      <c r="EX28" s="892" t="e">
        <f t="shared" ref="EX28:EX49" si="21">IF(OR(EP28="",EL28="",EM28=""),"",((EP28*EL28*(EM28/100))/23.685)^2)</f>
        <v>#DIV/0!</v>
      </c>
      <c r="EY28" s="511"/>
      <c r="EZ28" s="511"/>
      <c r="FA28" s="511"/>
      <c r="FB28" s="511"/>
      <c r="FC28" s="511"/>
      <c r="FD28" s="511"/>
      <c r="FE28" s="511"/>
      <c r="FF28" s="888" t="str">
        <f>IF(Y28="","",VLOOKUP(Y28,'HHV-LHV-MW'!$A$3:$H$40,4,FALSE))</f>
        <v/>
      </c>
      <c r="FG28" s="889" t="str">
        <f>IF(Y28="","",VLOOKUP(Y28,'HHV-LHV-MW'!$A$3:$H$40,5,FALSE))</f>
        <v/>
      </c>
      <c r="FH28" s="890" t="e">
        <f>(PRODUCT('HHV-LHV-MW'!GY12)+PRODUCT('HHV-LHV-MW'!HK12)+PRODUCT('HHV-LHV-MW'!HW12)+PRODUCT('HHV-LHV-MW'!II12))/$BW$28</f>
        <v>#DIV/0!</v>
      </c>
      <c r="FI28" s="890">
        <f>IF($BW$28=1,"",  (SQRT(  (      (IF('HHV-LHV-MW'!GY12="",0,('HHV-LHV-MW'!GY12-FH28)^2))      +        (IF('HHV-LHV-MW'!HK12="",0,('HHV-LHV-MW'!HK12-FH28)^2))       +        (IF('HHV-LHV-MW'!HW12="",0,('HHV-LHV-MW'!HW12-FH28)^2))          +        (IF('HHV-LHV-MW'!II12="",0,('HHV-LHV-MW'!II12-FH28)^2))          )     *(1/($BW$28-1))  )))</f>
        <v>0</v>
      </c>
      <c r="FJ28" s="890" t="e">
        <f t="shared" si="2"/>
        <v>#N/A</v>
      </c>
      <c r="FK28" s="890" t="e">
        <f t="shared" ref="FK28:FK49" si="22">IF(OR(FH28="",FH28=0),"",FJ28*100/FH28)</f>
        <v>#DIV/0!</v>
      </c>
      <c r="FL28" s="636" t="str">
        <f>IF('HHV-LHV-MW'!GY12="","",IF(AND('HHV-LHV-MW'!GY12&gt;=0,'HHV-LHV-MW'!GY12&lt;=0.09),2,  IF(AND('HHV-LHV-MW'!GY12&gt;=0.1,'HHV-LHV-MW'!GY12&lt;=0.9),7,  IF(AND('HHV-LHV-MW'!GY12&gt;=1,'HHV-LHV-MW'!GY12&lt;=4.9),10,   IF(AND('HHV-LHV-MW'!GY12&gt;=5,'HHV-LHV-MW'!GY12&lt;=10),12, 15)))))</f>
        <v/>
      </c>
      <c r="FM28" s="636" t="str">
        <f>IF('HHV-LHV-MW'!GY12="","",5*'HHV-LHV-MW'!GY12)</f>
        <v/>
      </c>
      <c r="FN28" s="635" t="str">
        <f t="shared" ref="FN28:FN49" si="23">IF(AND(FL28="",FM28=""),"",SQRT((FL28)^2+(FM28)^2))</f>
        <v/>
      </c>
      <c r="FO28" s="636" t="str">
        <f>IF(OR(FN28="",'HHV-LHV-MW'!GY12=0),"",FN28/'HHV-LHV-MW'!GY12)</f>
        <v/>
      </c>
      <c r="FP28" s="636" t="str">
        <f>IF(OR(FO28="",FF28="",'HHV-LHV-MW'!GY12=""),"",((FO28*FF28*('HHV-LHV-MW'!GY12/100))/23.685)^2)</f>
        <v/>
      </c>
      <c r="FQ28" s="636" t="str">
        <f>IF(OR(FO28="",FG28="",'HHV-LHV-MW'!GY12=""),"",((FO28*FG28*('HHV-LHV-MW'!GY12/100))/23.685)^2)</f>
        <v/>
      </c>
      <c r="FR28" s="639" t="e">
        <f t="shared" ref="FR28:FR49" si="24">IF(OR(FK28="",FF28="",FH28=""),"",((FK28*FF28*(FH28/100))/23.685)^2)</f>
        <v>#DIV/0!</v>
      </c>
      <c r="FS28" s="892" t="e">
        <f t="shared" ref="FS28:FS49" si="25">IF(OR(FK28="",FG28="",FH28=""),"",((FK28*FG28*(FH28/100))/23.685)^2)</f>
        <v>#DIV/0!</v>
      </c>
      <c r="FT28" s="511"/>
      <c r="FU28" s="511"/>
      <c r="FV28" s="511"/>
      <c r="FW28" s="511"/>
      <c r="FX28" s="511"/>
      <c r="FY28" s="511"/>
      <c r="FZ28" s="511"/>
      <c r="GA28" s="888" t="str">
        <f>IF(AE28="","",VLOOKUP(AE28,'HHV-LHV-MW'!$A$3:$H$40,4,FALSE))</f>
        <v/>
      </c>
      <c r="GB28" s="889" t="str">
        <f>IF(AE28="","",VLOOKUP(AE28,'HHV-LHV-MW'!$A$3:$H$40,5,FALSE))</f>
        <v/>
      </c>
      <c r="GC28" s="890" t="e">
        <f>(PRODUCT('HHV-LHV-MW'!IV12)+PRODUCT('HHV-LHV-MW'!JH12)+PRODUCT('HHV-LHV-MW'!JT12)+PRODUCT('HHV-LHV-MW'!KF12))/$BW$37</f>
        <v>#DIV/0!</v>
      </c>
      <c r="GD28" s="890">
        <f>IF($BW$37=1,"",  (SQRT(  (      (IF('HHV-LHV-MW'!IV12="",0,('HHV-LHV-MW'!IV12-GC28)^2))      +        (IF('HHV-LHV-MW'!JH12="",0,('HHV-LHV-MW'!JH12-GC28)^2))       +        (IF('HHV-LHV-MW'!JT12="",0,('HHV-LHV-MW'!JT12-GC28)^2))          +        (IF('HHV-LHV-MW'!KF12="",0,('HHV-LHV-MW'!KF12-GC28)^2))          )     *(1/($BW$37-1))  )))</f>
        <v>0</v>
      </c>
      <c r="GE28" s="890" t="e">
        <f t="shared" si="3"/>
        <v>#N/A</v>
      </c>
      <c r="GF28" s="890" t="e">
        <f t="shared" ref="GF28:GF49" si="26">IF(OR(GC28="",GC28=0),"",GE28*100/GC28)</f>
        <v>#DIV/0!</v>
      </c>
      <c r="GG28" s="636" t="str">
        <f>IF('HHV-LHV-MW'!IV12="","",IF(AND('HHV-LHV-MW'!IV12&gt;=0,'HHV-LHV-MW'!IV12&lt;=0.09),2,  IF(AND('HHV-LHV-MW'!IV12&gt;=0.1,'HHV-LHV-MW'!IV12&lt;=0.9),7,  IF(AND('HHV-LHV-MW'!IV12&gt;=1,'HHV-LHV-MW'!IV12&lt;=4.9),10,   IF(AND('HHV-LHV-MW'!IV12&gt;=5,'HHV-LHV-MW'!IV12&lt;=10),12, 15)))))</f>
        <v/>
      </c>
      <c r="GH28" s="636" t="str">
        <f>IF('HHV-LHV-MW'!IV12="","",5*'HHV-LHV-MW'!IV12)</f>
        <v/>
      </c>
      <c r="GI28" s="635" t="str">
        <f t="shared" ref="GI28:GI49" si="27">IF(AND(GG28="",GH28=""),"",SQRT((GG28)^2+(GH28)^2))</f>
        <v/>
      </c>
      <c r="GJ28" s="636" t="str">
        <f>IF(OR(GI28="",'HHV-LHV-MW'!IV12=0),"",GI28/'HHV-LHV-MW'!IV12)</f>
        <v/>
      </c>
      <c r="GK28" s="636" t="str">
        <f>IF(OR(GJ28="",GA28="",'HHV-LHV-MW'!IV12=""),"",((GJ28*GA28*('HHV-LHV-MW'!IV12/100))/23.685)^2)</f>
        <v/>
      </c>
      <c r="GL28" s="636" t="str">
        <f>IF(OR(GJ28="",GB28="",'HHV-LHV-MW'!IV12=""),"",((GJ28*GB28*('HHV-LHV-MW'!IV12/100))/23.685)^2)</f>
        <v/>
      </c>
      <c r="GM28" s="639" t="e">
        <f t="shared" ref="GM28:GM49" si="28">IF(OR(GF28="",GA28="",GC28=""),"",((GF28*GA28*(GC28/100))/23.685)^2)</f>
        <v>#DIV/0!</v>
      </c>
      <c r="GN28" s="892" t="e">
        <f t="shared" ref="GN28:GN49" si="29">IF(OR(GF28="",GB28="",GC28=""),"",((GF28*GB28*(GC28/100))/23.685)^2)</f>
        <v>#DIV/0!</v>
      </c>
      <c r="GO28" s="874"/>
      <c r="GP28" s="874"/>
      <c r="GQ28" s="874"/>
      <c r="GR28" s="874"/>
      <c r="GS28" s="874"/>
      <c r="GT28" s="874"/>
      <c r="GU28" s="874"/>
      <c r="GV28" s="874"/>
      <c r="GW28" s="874"/>
      <c r="GX28" s="874"/>
      <c r="GY28" s="874"/>
      <c r="GZ28" s="874"/>
      <c r="HA28" s="874"/>
      <c r="HB28" s="511"/>
      <c r="HC28" s="511"/>
      <c r="HD28" s="511"/>
      <c r="HE28" s="511"/>
      <c r="HF28" s="511"/>
      <c r="HG28" s="511"/>
      <c r="HH28" s="511"/>
      <c r="HI28" s="511"/>
      <c r="HJ28" s="874"/>
      <c r="HK28" s="874"/>
      <c r="HL28" s="874"/>
      <c r="HM28" s="874"/>
      <c r="HN28" s="874"/>
      <c r="HO28" s="874"/>
      <c r="HP28" s="874"/>
      <c r="HQ28" s="874"/>
      <c r="HR28" s="874"/>
      <c r="HS28" s="874"/>
      <c r="HT28" s="874"/>
      <c r="HU28" s="874"/>
      <c r="HV28" s="874"/>
      <c r="HW28" s="511"/>
      <c r="HX28" s="511"/>
      <c r="HY28" s="511"/>
      <c r="HZ28" s="511"/>
      <c r="IA28" s="511"/>
      <c r="IB28" s="511"/>
      <c r="IC28" s="511"/>
      <c r="ID28" s="511"/>
      <c r="IE28" s="874"/>
      <c r="IF28" s="874"/>
      <c r="IG28" s="874"/>
      <c r="IH28" s="874"/>
      <c r="II28" s="874"/>
      <c r="IJ28" s="874"/>
      <c r="IK28" s="874"/>
      <c r="IL28" s="874"/>
      <c r="IM28" s="874"/>
      <c r="IN28" s="874"/>
      <c r="IO28" s="874"/>
      <c r="IP28" s="874"/>
      <c r="IQ28" s="874"/>
      <c r="IR28" s="511"/>
      <c r="IS28" s="511"/>
      <c r="IT28" s="511"/>
      <c r="IU28" s="511"/>
      <c r="IV28" s="511"/>
      <c r="IW28" s="511"/>
      <c r="IX28" s="511"/>
      <c r="IY28" s="511"/>
      <c r="IZ28" s="874"/>
      <c r="JA28" s="874"/>
      <c r="JB28" s="874"/>
      <c r="JC28" s="874"/>
      <c r="JD28" s="874"/>
      <c r="JE28" s="874"/>
      <c r="JF28" s="874"/>
      <c r="JG28" s="874"/>
      <c r="JH28" s="874"/>
      <c r="JI28" s="874"/>
      <c r="JJ28" s="874"/>
      <c r="JK28" s="874"/>
      <c r="JL28" s="874"/>
      <c r="JM28" s="874"/>
      <c r="JN28" s="874"/>
      <c r="JO28" s="874"/>
      <c r="JP28" s="874"/>
      <c r="JQ28" s="874"/>
      <c r="JR28" s="874"/>
      <c r="JS28" s="874"/>
      <c r="JT28" s="874"/>
      <c r="JU28" s="874"/>
      <c r="JV28" s="874"/>
      <c r="JW28" s="874"/>
      <c r="JX28" s="874"/>
      <c r="JY28" s="874"/>
      <c r="JZ28" s="874"/>
      <c r="KA28" s="874"/>
      <c r="KB28" s="874"/>
      <c r="KC28" s="874"/>
      <c r="KD28" s="874"/>
      <c r="KE28" s="874"/>
      <c r="KF28" s="874"/>
      <c r="KG28" s="874"/>
      <c r="KH28" s="865"/>
      <c r="KI28" s="865"/>
      <c r="KJ28" s="865"/>
      <c r="KK28" s="865"/>
      <c r="KL28" s="865"/>
      <c r="KM28" s="865"/>
      <c r="KN28" s="865"/>
      <c r="KO28" s="865"/>
      <c r="KP28" s="865"/>
      <c r="KQ28" s="865"/>
      <c r="KR28" s="865"/>
      <c r="KS28" s="865"/>
      <c r="KT28" s="865"/>
      <c r="KU28" s="865"/>
      <c r="KV28" s="865"/>
      <c r="KW28" s="865"/>
      <c r="KX28" s="865"/>
      <c r="KY28" s="865"/>
      <c r="KZ28" s="865"/>
      <c r="LA28" s="865"/>
      <c r="LB28" s="865"/>
      <c r="LC28" s="865"/>
      <c r="LD28" s="865"/>
      <c r="LE28" s="865"/>
      <c r="LF28" s="865"/>
    </row>
    <row r="29" spans="1:318" ht="20.399999999999999">
      <c r="A29" s="864"/>
      <c r="B29" s="502"/>
      <c r="C29" s="663"/>
      <c r="D29" s="663"/>
      <c r="E29" s="663"/>
      <c r="F29" s="511"/>
      <c r="G29" s="864"/>
      <c r="H29" s="502"/>
      <c r="I29" s="663"/>
      <c r="J29" s="663"/>
      <c r="K29" s="663"/>
      <c r="L29" s="511"/>
      <c r="M29" s="864"/>
      <c r="N29" s="502"/>
      <c r="O29" s="663"/>
      <c r="P29" s="663"/>
      <c r="Q29" s="663"/>
      <c r="R29" s="511"/>
      <c r="S29" s="864"/>
      <c r="T29" s="502"/>
      <c r="U29" s="663"/>
      <c r="V29" s="663"/>
      <c r="W29" s="663"/>
      <c r="X29" s="511"/>
      <c r="Y29" s="864"/>
      <c r="Z29" s="502"/>
      <c r="AA29" s="663"/>
      <c r="AB29" s="663"/>
      <c r="AC29" s="663"/>
      <c r="AD29" s="511"/>
      <c r="AE29" s="864"/>
      <c r="AF29" s="502"/>
      <c r="AG29" s="663"/>
      <c r="AH29" s="663"/>
      <c r="AI29" s="663"/>
      <c r="AJ29" s="511"/>
      <c r="AK29" s="865"/>
      <c r="AL29" s="865"/>
      <c r="AM29" s="865"/>
      <c r="AN29" s="865"/>
      <c r="AO29" s="865"/>
      <c r="AP29" s="865"/>
      <c r="AQ29" s="865"/>
      <c r="AR29" s="865"/>
      <c r="AS29" s="865"/>
      <c r="AT29" s="865"/>
      <c r="AU29" s="865"/>
      <c r="AV29" s="865"/>
      <c r="AW29" s="865"/>
      <c r="AX29" s="865"/>
      <c r="AY29" s="865"/>
      <c r="AZ29" s="865"/>
      <c r="BA29" s="865"/>
      <c r="BB29" s="865"/>
      <c r="BC29" s="865"/>
      <c r="BD29" s="865"/>
      <c r="BE29" s="865"/>
      <c r="BF29" s="865"/>
      <c r="BG29" s="865"/>
      <c r="BH29" s="865"/>
      <c r="BI29" s="865"/>
      <c r="BJ29" s="2476" t="str">
        <f>IF(BM25="واقعي","نتايج عدم قطعيت بر اساس اطلاعات واقعي تركيب درصدهاي وارد شده:","")</f>
        <v/>
      </c>
      <c r="BK29" s="2476"/>
      <c r="BL29" s="2476"/>
      <c r="BM29" s="2476"/>
      <c r="BN29" s="2476"/>
      <c r="BO29" s="2476"/>
      <c r="BP29" s="2476"/>
      <c r="BQ29" s="865"/>
      <c r="BR29" s="2476" t="str">
        <f>IF(BU25="واقعي","نتايج عدم قطعيت بر اساس اطلاعات واقعي تركيب درصدهاي وارد شده:","")</f>
        <v/>
      </c>
      <c r="BS29" s="2476"/>
      <c r="BT29" s="2476"/>
      <c r="BU29" s="2476"/>
      <c r="BV29" s="2476"/>
      <c r="BW29" s="2476"/>
      <c r="BX29" s="2476"/>
      <c r="BY29" s="874"/>
      <c r="BZ29" s="888" t="str">
        <f>IF(A29="","",VLOOKUP(A29,'HHV-LHV-MW'!$A$3:$H$40,4,FALSE))</f>
        <v/>
      </c>
      <c r="CA29" s="889" t="str">
        <f>IF(A29="","",VLOOKUP(A29,'HHV-LHV-MW'!$A$3:$H$40,5,FALSE))</f>
        <v/>
      </c>
      <c r="CB29" s="890" t="e">
        <f>(PRODUCT('HHV-LHV-MW'!K13)+PRODUCT('HHV-LHV-MW'!W13)+PRODUCT('HHV-LHV-MW'!AI13)+PRODUCT('HHV-LHV-MW'!AU13))/$BO$19</f>
        <v>#DIV/0!</v>
      </c>
      <c r="CC29" s="890">
        <f>IF($BO$19=1,"",  (SQRT(  (      (IF('HHV-LHV-MW'!K13="",0,('HHV-LHV-MW'!K13-CB29)^2))      +        (IF('HHV-LHV-MW'!W13="",0,('HHV-LHV-MW'!W13-CB29)^2))       +        (IF('HHV-LHV-MW'!AI13="",0,('HHV-LHV-MW'!AI13-CB29)^2))          +        (IF('HHV-LHV-MW'!AU13="",0,('HHV-LHV-MW'!AU13-CB29)^2))          )     *(1/($BO$19-1))  )))</f>
        <v>0</v>
      </c>
      <c r="CD29" s="890" t="e">
        <f t="shared" si="4"/>
        <v>#N/A</v>
      </c>
      <c r="CE29" s="890" t="e">
        <f t="shared" si="5"/>
        <v>#DIV/0!</v>
      </c>
      <c r="CF29" s="636" t="str">
        <f>IF('HHV-LHV-MW'!K13="","",IF(AND('HHV-LHV-MW'!K13&gt;=0,'HHV-LHV-MW'!K13&lt;=0.09),2,  IF(AND('HHV-LHV-MW'!K13&gt;=0.1,'HHV-LHV-MW'!K13&lt;=0.9),7,  IF(AND('HHV-LHV-MW'!K13&gt;=1,'HHV-LHV-MW'!K13&lt;=4.9),10,   IF(AND('HHV-LHV-MW'!K13&gt;=5,'HHV-LHV-MW'!K13&lt;=10),12, 15)))))</f>
        <v/>
      </c>
      <c r="CG29" s="636" t="str">
        <f>IF('HHV-LHV-MW'!K13="","",5*'HHV-LHV-MW'!K13)</f>
        <v/>
      </c>
      <c r="CH29" s="635" t="str">
        <f t="shared" si="6"/>
        <v/>
      </c>
      <c r="CI29" s="636" t="str">
        <f>IF(OR(CH29="",'HHV-LHV-MW'!K13=0),"",CH29/'HHV-LHV-MW'!K13)</f>
        <v/>
      </c>
      <c r="CJ29" s="636" t="str">
        <f>IF(OR(CI29="",BZ29="",'HHV-LHV-MW'!K13=""),"",((CI29*BZ29*('HHV-LHV-MW'!K13/100))/23.685)^2)</f>
        <v/>
      </c>
      <c r="CK29" s="891" t="str">
        <f>IF(OR(CI29="",CA29="",'HHV-LHV-MW'!K13=""),"",((CI29*CA29*('HHV-LHV-MW'!K13/100))/23.685)^2)</f>
        <v/>
      </c>
      <c r="CL29" s="639" t="e">
        <f t="shared" si="7"/>
        <v>#DIV/0!</v>
      </c>
      <c r="CM29" s="892" t="e">
        <f t="shared" si="8"/>
        <v>#DIV/0!</v>
      </c>
      <c r="CN29" s="511"/>
      <c r="CO29" s="511"/>
      <c r="CP29" s="511"/>
      <c r="CQ29" s="511"/>
      <c r="CR29" s="511"/>
      <c r="CS29" s="511"/>
      <c r="CT29" s="511"/>
      <c r="CU29" s="888" t="str">
        <f>IF(G29="","",VLOOKUP(G29,'HHV-LHV-MW'!$A$3:$H$40,4,FALSE))</f>
        <v/>
      </c>
      <c r="CV29" s="889" t="str">
        <f>IF(G29="","",VLOOKUP(G29,'HHV-LHV-MW'!$A$3:$H$40,5,FALSE))</f>
        <v/>
      </c>
      <c r="CW29" s="890" t="e">
        <f>(PRODUCT('HHV-LHV-MW'!BH13)+PRODUCT('HHV-LHV-MW'!BT13)+PRODUCT('HHV-LHV-MW'!CF13)+PRODUCT('HHV-LHV-MW'!CR13))/$BO$28</f>
        <v>#DIV/0!</v>
      </c>
      <c r="CX29" s="890">
        <f>IF($BO$28=1,"",  (SQRT(  (      (IF('HHV-LHV-MW'!BH13="",0,('HHV-LHV-MW'!BH13-CW29)^2))      +        (IF('HHV-LHV-MW'!BT13="",0,('HHV-LHV-MW'!BT13-CW29)^2))       +        (IF('HHV-LHV-MW'!CF13="",0,('HHV-LHV-MW'!CF13-CW29)^2))          +        (IF('HHV-LHV-MW'!CR13="",0,('HHV-LHV-MW'!CR13-CW29)^2))          )     *(1/($BO$28-1))  )))</f>
        <v>0</v>
      </c>
      <c r="CY29" s="890" t="e">
        <f t="shared" si="9"/>
        <v>#N/A</v>
      </c>
      <c r="CZ29" s="890" t="e">
        <f t="shared" si="10"/>
        <v>#DIV/0!</v>
      </c>
      <c r="DA29" s="636" t="str">
        <f>IF('HHV-LHV-MW'!BH13="","",IF(AND('HHV-LHV-MW'!BH13&gt;=0,'HHV-LHV-MW'!BH13&lt;=0.09),2,  IF(AND('HHV-LHV-MW'!BH13&gt;=0.1,'HHV-LHV-MW'!BH13&lt;=0.9),7,  IF(AND('HHV-LHV-MW'!BH13&gt;=1,'HHV-LHV-MW'!BH13&lt;=4.9),10,   IF(AND('HHV-LHV-MW'!BH13&gt;=5,'HHV-LHV-MW'!BH13&lt;=10),12, 15)))))</f>
        <v/>
      </c>
      <c r="DB29" s="636" t="str">
        <f>IF('HHV-LHV-MW'!BH13="","",5*'HHV-LHV-MW'!BH13)</f>
        <v/>
      </c>
      <c r="DC29" s="635" t="str">
        <f t="shared" si="11"/>
        <v/>
      </c>
      <c r="DD29" s="636" t="str">
        <f>IF(OR(DC29="",'HHV-LHV-MW'!BH13=0),"",DC29/'HHV-LHV-MW'!BH13)</f>
        <v/>
      </c>
      <c r="DE29" s="635" t="str">
        <f>IF(OR(DD29="",CU29="",'HHV-LHV-MW'!BH13=""),"",((DD29*CU29*('HHV-LHV-MW'!BH13/100))/23.685)^2)</f>
        <v/>
      </c>
      <c r="DF29" s="636" t="str">
        <f>IF(OR(DD29="",CV29="",'HHV-LHV-MW'!BH13=""),"",((DD29*CV29*('HHV-LHV-MW'!BH13/100))/23.685)^2)</f>
        <v/>
      </c>
      <c r="DG29" s="639" t="e">
        <f t="shared" si="12"/>
        <v>#DIV/0!</v>
      </c>
      <c r="DH29" s="892" t="e">
        <f t="shared" si="13"/>
        <v>#DIV/0!</v>
      </c>
      <c r="DI29" s="511"/>
      <c r="DJ29" s="511"/>
      <c r="DK29" s="511"/>
      <c r="DL29" s="511"/>
      <c r="DM29" s="511"/>
      <c r="DN29" s="511"/>
      <c r="DO29" s="511"/>
      <c r="DP29" s="888" t="str">
        <f>IF(M29="","",VLOOKUP(M29,'HHV-LHV-MW'!$A$3:$H$40,4,FALSE))</f>
        <v/>
      </c>
      <c r="DQ29" s="889" t="str">
        <f>IF(M29="","",VLOOKUP(M29,'HHV-LHV-MW'!$A$3:$H$40,5,FALSE))</f>
        <v/>
      </c>
      <c r="DR29" s="890" t="e">
        <f>(PRODUCT('HHV-LHV-MW'!DE13)+PRODUCT('HHV-LHV-MW'!DQ13)+PRODUCT('HHV-LHV-MW'!EC13)+PRODUCT('HHV-LHV-MW'!EO13))/$BO$37</f>
        <v>#DIV/0!</v>
      </c>
      <c r="DS29" s="890">
        <f>IF($BO$37=1,"",  (SQRT(  (      (IF('HHV-LHV-MW'!DE13="",0,('HHV-LHV-MW'!DE13-DR29)^2))      +        (IF('HHV-LHV-MW'!DQ13="",0,('HHV-LHV-MW'!DQ13-DR29)^2))       +        (IF('HHV-LHV-MW'!EC13="",0,('HHV-LHV-MW'!EC13-DR29)^2))          +        (IF('HHV-LHV-MW'!EO13="",0,('HHV-LHV-MW'!EO13-DR29)^2))          )     *(1/($BO$37-1))  )))</f>
        <v>0</v>
      </c>
      <c r="DT29" s="890" t="e">
        <f t="shared" si="0"/>
        <v>#N/A</v>
      </c>
      <c r="DU29" s="890" t="e">
        <f t="shared" si="14"/>
        <v>#DIV/0!</v>
      </c>
      <c r="DV29" s="636" t="str">
        <f>IF('HHV-LHV-MW'!DE13="","",IF(AND('HHV-LHV-MW'!DE13&gt;=0,'HHV-LHV-MW'!DE13&lt;=0.09),2,  IF(AND('HHV-LHV-MW'!DE13&gt;=0.1,'HHV-LHV-MW'!DE13&lt;=0.9),7,  IF(AND('HHV-LHV-MW'!DE13&gt;=1,'HHV-LHV-MW'!DE13&lt;=4.9),10,   IF(AND('HHV-LHV-MW'!DE13&gt;=5,'HHV-LHV-MW'!DE13&lt;=10),12, 15)))))</f>
        <v/>
      </c>
      <c r="DW29" s="636" t="str">
        <f>IF('HHV-LHV-MW'!DE13="","",5*'HHV-LHV-MW'!DE13)</f>
        <v/>
      </c>
      <c r="DX29" s="635" t="str">
        <f t="shared" si="15"/>
        <v/>
      </c>
      <c r="DY29" s="636" t="str">
        <f>IF(OR(DX29="",'HHV-LHV-MW'!DE13=0),"",DX29/'HHV-LHV-MW'!DE13)</f>
        <v/>
      </c>
      <c r="DZ29" s="636" t="str">
        <f>IF(OR(DY29="",DP29="",'HHV-LHV-MW'!DE13=""),"",((DY29*DP29*('HHV-LHV-MW'!DE13/100))/23.685)^2)</f>
        <v/>
      </c>
      <c r="EA29" s="636" t="str">
        <f>IF(OR(DY29="",DQ29="",'HHV-LHV-MW'!DE13=""),"",((DY29*DQ29*('HHV-LHV-MW'!DE13/100))/23.685)^2)</f>
        <v/>
      </c>
      <c r="EB29" s="639" t="e">
        <f t="shared" si="16"/>
        <v>#DIV/0!</v>
      </c>
      <c r="EC29" s="892" t="e">
        <f t="shared" si="17"/>
        <v>#DIV/0!</v>
      </c>
      <c r="ED29" s="511"/>
      <c r="EE29" s="511"/>
      <c r="EF29" s="511"/>
      <c r="EG29" s="511"/>
      <c r="EH29" s="511"/>
      <c r="EI29" s="511"/>
      <c r="EJ29" s="511"/>
      <c r="EK29" s="888" t="str">
        <f>IF(S29="","",VLOOKUP(S29,'HHV-LHV-MW'!$A$3:$H$40,4,FALSE))</f>
        <v/>
      </c>
      <c r="EL29" s="889" t="str">
        <f>IF(S29="","",VLOOKUP(S29,'HHV-LHV-MW'!$A$3:$H$40,5,FALSE))</f>
        <v/>
      </c>
      <c r="EM29" s="890" t="e">
        <f>(PRODUCT('HHV-LHV-MW'!FB13)+PRODUCT('HHV-LHV-MW'!FN13)+PRODUCT('HHV-LHV-MW'!FZ13)+PRODUCT('HHV-LHV-MW'!GL13))/$BW$19</f>
        <v>#DIV/0!</v>
      </c>
      <c r="EN29" s="890">
        <f>IF($BW$19=1,"",  (SQRT(  (      (IF('HHV-LHV-MW'!FB13="",0,('HHV-LHV-MW'!FB13-EM29)^2))      +        (IF('HHV-LHV-MW'!FN13="",0,('HHV-LHV-MW'!FN13-EM29)^2))       +        (IF('HHV-LHV-MW'!FZ13="",0,('HHV-LHV-MW'!FZ13-EM29)^2))          +        (IF('HHV-LHV-MW'!GL13="",0,('HHV-LHV-MW'!GL13-EM29)^2))          )     *(1/($BW$19-1))  )))</f>
        <v>0</v>
      </c>
      <c r="EO29" s="890" t="e">
        <f t="shared" si="1"/>
        <v>#N/A</v>
      </c>
      <c r="EP29" s="890" t="e">
        <f t="shared" si="18"/>
        <v>#DIV/0!</v>
      </c>
      <c r="EQ29" s="636" t="str">
        <f>IF('HHV-LHV-MW'!FB13="","",IF(AND('HHV-LHV-MW'!FB13&gt;=0,'HHV-LHV-MW'!FB13&lt;=0.09),2,  IF(AND('HHV-LHV-MW'!FB13&gt;=0.1,'HHV-LHV-MW'!FB13&lt;=0.9),7,  IF(AND('HHV-LHV-MW'!FB13&gt;=1,'HHV-LHV-MW'!FB13&lt;=4.9),10,   IF(AND('HHV-LHV-MW'!FB13&gt;=5,'HHV-LHV-MW'!FB13&lt;=10),12, 15)))))</f>
        <v/>
      </c>
      <c r="ER29" s="636" t="str">
        <f>IF('HHV-LHV-MW'!FB13="","",5*'HHV-LHV-MW'!FB13)</f>
        <v/>
      </c>
      <c r="ES29" s="635" t="str">
        <f t="shared" si="19"/>
        <v/>
      </c>
      <c r="ET29" s="636" t="str">
        <f>IF(OR(ES29="",'HHV-LHV-MW'!FB13=0),"",ES29/'HHV-LHV-MW'!FB13)</f>
        <v/>
      </c>
      <c r="EU29" s="636" t="str">
        <f>IF(OR(ET29="",EK29="",'HHV-LHV-MW'!FB13=""),"",((ET29*EK29*('HHV-LHV-MW'!FB13/100))/23.685)^2)</f>
        <v/>
      </c>
      <c r="EV29" s="636" t="str">
        <f>IF(OR(ET29="",EL29="",'HHV-LHV-MW'!FB13=""),"",((ET29*EL29*('HHV-LHV-MW'!FB13/100))/23.685)^2)</f>
        <v/>
      </c>
      <c r="EW29" s="639" t="e">
        <f t="shared" si="20"/>
        <v>#DIV/0!</v>
      </c>
      <c r="EX29" s="892" t="e">
        <f t="shared" si="21"/>
        <v>#DIV/0!</v>
      </c>
      <c r="EY29" s="511"/>
      <c r="EZ29" s="511"/>
      <c r="FA29" s="511"/>
      <c r="FB29" s="511"/>
      <c r="FC29" s="511"/>
      <c r="FD29" s="511"/>
      <c r="FE29" s="511"/>
      <c r="FF29" s="888" t="str">
        <f>IF(Y29="","",VLOOKUP(Y29,'HHV-LHV-MW'!$A$3:$H$40,4,FALSE))</f>
        <v/>
      </c>
      <c r="FG29" s="889" t="str">
        <f>IF(Y29="","",VLOOKUP(Y29,'HHV-LHV-MW'!$A$3:$H$40,5,FALSE))</f>
        <v/>
      </c>
      <c r="FH29" s="890" t="e">
        <f>(PRODUCT('HHV-LHV-MW'!GY13)+PRODUCT('HHV-LHV-MW'!HK13)+PRODUCT('HHV-LHV-MW'!HW13)+PRODUCT('HHV-LHV-MW'!II13))/$BW$28</f>
        <v>#DIV/0!</v>
      </c>
      <c r="FI29" s="890">
        <f>IF($BW$28=1,"",  (SQRT(  (      (IF('HHV-LHV-MW'!GY13="",0,('HHV-LHV-MW'!GY13-FH29)^2))      +        (IF('HHV-LHV-MW'!HK13="",0,('HHV-LHV-MW'!HK13-FH29)^2))       +        (IF('HHV-LHV-MW'!HW13="",0,('HHV-LHV-MW'!HW13-FH29)^2))          +        (IF('HHV-LHV-MW'!II13="",0,('HHV-LHV-MW'!II13-FH29)^2))          )     *(1/($BW$28-1))  )))</f>
        <v>0</v>
      </c>
      <c r="FJ29" s="890" t="e">
        <f t="shared" si="2"/>
        <v>#N/A</v>
      </c>
      <c r="FK29" s="890" t="e">
        <f t="shared" si="22"/>
        <v>#DIV/0!</v>
      </c>
      <c r="FL29" s="636" t="str">
        <f>IF('HHV-LHV-MW'!GY13="","",IF(AND('HHV-LHV-MW'!GY13&gt;=0,'HHV-LHV-MW'!GY13&lt;=0.09),2,  IF(AND('HHV-LHV-MW'!GY13&gt;=0.1,'HHV-LHV-MW'!GY13&lt;=0.9),7,  IF(AND('HHV-LHV-MW'!GY13&gt;=1,'HHV-LHV-MW'!GY13&lt;=4.9),10,   IF(AND('HHV-LHV-MW'!GY13&gt;=5,'HHV-LHV-MW'!GY13&lt;=10),12, 15)))))</f>
        <v/>
      </c>
      <c r="FM29" s="636" t="str">
        <f>IF('HHV-LHV-MW'!GY13="","",5*'HHV-LHV-MW'!GY13)</f>
        <v/>
      </c>
      <c r="FN29" s="635" t="str">
        <f t="shared" si="23"/>
        <v/>
      </c>
      <c r="FO29" s="636" t="str">
        <f>IF(OR(FN29="",'HHV-LHV-MW'!GY13=0),"",FN29/'HHV-LHV-MW'!GY13)</f>
        <v/>
      </c>
      <c r="FP29" s="636" t="str">
        <f>IF(OR(FO29="",FF29="",'HHV-LHV-MW'!GY13=""),"",((FO29*FF29*('HHV-LHV-MW'!GY13/100))/23.685)^2)</f>
        <v/>
      </c>
      <c r="FQ29" s="636" t="str">
        <f>IF(OR(FO29="",FG29="",'HHV-LHV-MW'!GY13=""),"",((FO29*FG29*('HHV-LHV-MW'!GY13/100))/23.685)^2)</f>
        <v/>
      </c>
      <c r="FR29" s="639" t="e">
        <f t="shared" si="24"/>
        <v>#DIV/0!</v>
      </c>
      <c r="FS29" s="892" t="e">
        <f t="shared" si="25"/>
        <v>#DIV/0!</v>
      </c>
      <c r="FT29" s="511"/>
      <c r="FU29" s="511"/>
      <c r="FV29" s="511"/>
      <c r="FW29" s="511"/>
      <c r="FX29" s="511"/>
      <c r="FY29" s="511"/>
      <c r="FZ29" s="511"/>
      <c r="GA29" s="888" t="str">
        <f>IF(AE29="","",VLOOKUP(AE29,'HHV-LHV-MW'!$A$3:$H$40,4,FALSE))</f>
        <v/>
      </c>
      <c r="GB29" s="889" t="str">
        <f>IF(AE29="","",VLOOKUP(AE29,'HHV-LHV-MW'!$A$3:$H$40,5,FALSE))</f>
        <v/>
      </c>
      <c r="GC29" s="890" t="e">
        <f>(PRODUCT('HHV-LHV-MW'!IV13)+PRODUCT('HHV-LHV-MW'!JH13)+PRODUCT('HHV-LHV-MW'!JT13)+PRODUCT('HHV-LHV-MW'!KF13))/$BW$37</f>
        <v>#DIV/0!</v>
      </c>
      <c r="GD29" s="890">
        <f>IF($BW$37=1,"",  (SQRT(  (      (IF('HHV-LHV-MW'!IV13="",0,('HHV-LHV-MW'!IV13-GC29)^2))      +        (IF('HHV-LHV-MW'!JH13="",0,('HHV-LHV-MW'!JH13-GC29)^2))       +        (IF('HHV-LHV-MW'!JT13="",0,('HHV-LHV-MW'!JT13-GC29)^2))          +        (IF('HHV-LHV-MW'!KF13="",0,('HHV-LHV-MW'!KF13-GC29)^2))          )     *(1/($BW$37-1))  )))</f>
        <v>0</v>
      </c>
      <c r="GE29" s="890" t="e">
        <f t="shared" si="3"/>
        <v>#N/A</v>
      </c>
      <c r="GF29" s="890" t="e">
        <f t="shared" si="26"/>
        <v>#DIV/0!</v>
      </c>
      <c r="GG29" s="636" t="str">
        <f>IF('HHV-LHV-MW'!IV13="","",IF(AND('HHV-LHV-MW'!IV13&gt;=0,'HHV-LHV-MW'!IV13&lt;=0.09),2,  IF(AND('HHV-LHV-MW'!IV13&gt;=0.1,'HHV-LHV-MW'!IV13&lt;=0.9),7,  IF(AND('HHV-LHV-MW'!IV13&gt;=1,'HHV-LHV-MW'!IV13&lt;=4.9),10,   IF(AND('HHV-LHV-MW'!IV13&gt;=5,'HHV-LHV-MW'!IV13&lt;=10),12, 15)))))</f>
        <v/>
      </c>
      <c r="GH29" s="636" t="str">
        <f>IF('HHV-LHV-MW'!IV13="","",5*'HHV-LHV-MW'!IV13)</f>
        <v/>
      </c>
      <c r="GI29" s="635" t="str">
        <f t="shared" si="27"/>
        <v/>
      </c>
      <c r="GJ29" s="636" t="str">
        <f>IF(OR(GI29="",'HHV-LHV-MW'!IV13=0),"",GI29/'HHV-LHV-MW'!IV13)</f>
        <v/>
      </c>
      <c r="GK29" s="636" t="str">
        <f>IF(OR(GJ29="",GA29="",'HHV-LHV-MW'!IV13=""),"",((GJ29*GA29*('HHV-LHV-MW'!IV13/100))/23.685)^2)</f>
        <v/>
      </c>
      <c r="GL29" s="636" t="str">
        <f>IF(OR(GJ29="",GB29="",'HHV-LHV-MW'!IV13=""),"",((GJ29*GB29*('HHV-LHV-MW'!IV13/100))/23.685)^2)</f>
        <v/>
      </c>
      <c r="GM29" s="639" t="e">
        <f t="shared" si="28"/>
        <v>#DIV/0!</v>
      </c>
      <c r="GN29" s="892" t="e">
        <f t="shared" si="29"/>
        <v>#DIV/0!</v>
      </c>
      <c r="GO29" s="874"/>
      <c r="GP29" s="874"/>
      <c r="GQ29" s="874"/>
      <c r="GR29" s="874"/>
      <c r="GS29" s="874"/>
      <c r="GT29" s="874"/>
      <c r="GU29" s="874"/>
      <c r="GV29" s="874"/>
      <c r="GW29" s="874"/>
      <c r="GX29" s="874"/>
      <c r="GY29" s="874"/>
      <c r="GZ29" s="874"/>
      <c r="HA29" s="874"/>
      <c r="HB29" s="511"/>
      <c r="HC29" s="511"/>
      <c r="HD29" s="511"/>
      <c r="HE29" s="511"/>
      <c r="HF29" s="511"/>
      <c r="HG29" s="511"/>
      <c r="HH29" s="511"/>
      <c r="HI29" s="511"/>
      <c r="HJ29" s="874"/>
      <c r="HK29" s="874"/>
      <c r="HL29" s="874"/>
      <c r="HM29" s="874"/>
      <c r="HN29" s="874"/>
      <c r="HO29" s="874"/>
      <c r="HP29" s="874"/>
      <c r="HQ29" s="874"/>
      <c r="HR29" s="874"/>
      <c r="HS29" s="874"/>
      <c r="HT29" s="874"/>
      <c r="HU29" s="874"/>
      <c r="HV29" s="874"/>
      <c r="HW29" s="511"/>
      <c r="HX29" s="511"/>
      <c r="HY29" s="511"/>
      <c r="HZ29" s="511"/>
      <c r="IA29" s="511"/>
      <c r="IB29" s="511"/>
      <c r="IC29" s="511"/>
      <c r="ID29" s="511"/>
      <c r="IE29" s="874"/>
      <c r="IF29" s="874"/>
      <c r="IG29" s="874"/>
      <c r="IH29" s="874"/>
      <c r="II29" s="874"/>
      <c r="IJ29" s="874"/>
      <c r="IK29" s="874"/>
      <c r="IL29" s="874"/>
      <c r="IM29" s="874"/>
      <c r="IN29" s="874"/>
      <c r="IO29" s="874"/>
      <c r="IP29" s="874"/>
      <c r="IQ29" s="874"/>
      <c r="IR29" s="511"/>
      <c r="IS29" s="511"/>
      <c r="IT29" s="511"/>
      <c r="IU29" s="511"/>
      <c r="IV29" s="511"/>
      <c r="IW29" s="511"/>
      <c r="IX29" s="511"/>
      <c r="IY29" s="511"/>
      <c r="IZ29" s="874"/>
      <c r="JA29" s="874"/>
      <c r="JB29" s="874"/>
      <c r="JC29" s="874"/>
      <c r="JD29" s="874"/>
      <c r="JE29" s="874"/>
      <c r="JF29" s="874"/>
      <c r="JG29" s="874"/>
      <c r="JH29" s="874"/>
      <c r="JI29" s="874"/>
      <c r="JJ29" s="874"/>
      <c r="JK29" s="874"/>
      <c r="JL29" s="874"/>
      <c r="JM29" s="874"/>
      <c r="JN29" s="874"/>
      <c r="JO29" s="874"/>
      <c r="JP29" s="874"/>
      <c r="JQ29" s="874"/>
      <c r="JR29" s="874"/>
      <c r="JS29" s="874"/>
      <c r="JT29" s="874"/>
      <c r="JU29" s="874"/>
      <c r="JV29" s="874"/>
      <c r="JW29" s="874"/>
      <c r="JX29" s="874"/>
      <c r="JY29" s="874"/>
      <c r="JZ29" s="874"/>
      <c r="KA29" s="874"/>
      <c r="KB29" s="874"/>
      <c r="KC29" s="874"/>
      <c r="KD29" s="874"/>
      <c r="KE29" s="874"/>
      <c r="KF29" s="874"/>
      <c r="KG29" s="874"/>
      <c r="KH29" s="865"/>
      <c r="KI29" s="865"/>
      <c r="KJ29" s="865"/>
      <c r="KK29" s="865"/>
      <c r="KL29" s="865"/>
      <c r="KM29" s="865"/>
      <c r="KN29" s="865"/>
      <c r="KO29" s="865"/>
      <c r="KP29" s="865"/>
      <c r="KQ29" s="865"/>
      <c r="KR29" s="865"/>
      <c r="KS29" s="865"/>
      <c r="KT29" s="865"/>
      <c r="KU29" s="865"/>
      <c r="KV29" s="865"/>
      <c r="KW29" s="865"/>
      <c r="KX29" s="865"/>
      <c r="KY29" s="865"/>
      <c r="KZ29" s="865"/>
      <c r="LA29" s="865"/>
      <c r="LB29" s="865"/>
      <c r="LC29" s="865"/>
      <c r="LD29" s="865"/>
      <c r="LE29" s="865"/>
      <c r="LF29" s="865"/>
    </row>
    <row r="30" spans="1:318" ht="18.600000000000001">
      <c r="A30" s="864"/>
      <c r="B30" s="502"/>
      <c r="C30" s="663"/>
      <c r="D30" s="663"/>
      <c r="E30" s="663"/>
      <c r="F30" s="511"/>
      <c r="G30" s="864"/>
      <c r="H30" s="502"/>
      <c r="I30" s="663"/>
      <c r="J30" s="663"/>
      <c r="K30" s="663"/>
      <c r="L30" s="511"/>
      <c r="M30" s="864"/>
      <c r="N30" s="502"/>
      <c r="O30" s="663"/>
      <c r="P30" s="663"/>
      <c r="Q30" s="663"/>
      <c r="R30" s="511"/>
      <c r="S30" s="864"/>
      <c r="T30" s="502"/>
      <c r="U30" s="663"/>
      <c r="V30" s="663"/>
      <c r="W30" s="663"/>
      <c r="X30" s="511"/>
      <c r="Y30" s="864"/>
      <c r="Z30" s="502"/>
      <c r="AA30" s="663"/>
      <c r="AB30" s="663"/>
      <c r="AC30" s="663"/>
      <c r="AD30" s="511"/>
      <c r="AE30" s="864"/>
      <c r="AF30" s="502"/>
      <c r="AG30" s="663"/>
      <c r="AH30" s="663"/>
      <c r="AI30" s="663"/>
      <c r="AJ30" s="511"/>
      <c r="AK30" s="865"/>
      <c r="AL30" s="865"/>
      <c r="AM30" s="865"/>
      <c r="AN30" s="865"/>
      <c r="AO30" s="865"/>
      <c r="AP30" s="865"/>
      <c r="AQ30" s="865"/>
      <c r="AR30" s="865"/>
      <c r="AS30" s="865"/>
      <c r="AT30" s="865"/>
      <c r="AU30" s="865"/>
      <c r="AV30" s="865"/>
      <c r="AW30" s="865"/>
      <c r="AX30" s="865"/>
      <c r="AY30" s="865"/>
      <c r="AZ30" s="865"/>
      <c r="BA30" s="865"/>
      <c r="BB30" s="865"/>
      <c r="BC30" s="865"/>
      <c r="BD30" s="865"/>
      <c r="BE30" s="865"/>
      <c r="BF30" s="865"/>
      <c r="BG30" s="865"/>
      <c r="BH30" s="865"/>
      <c r="BI30" s="865"/>
      <c r="BJ30" s="1201" t="str">
        <f>IF(BM25="واقعي","عدم قطعيت نسبي ارزش حرارتي ناخالص (HHV) واقعي    %()±","")</f>
        <v/>
      </c>
      <c r="BK30" s="1201"/>
      <c r="BL30" s="1201"/>
      <c r="BM30" s="1201"/>
      <c r="BN30" s="1201"/>
      <c r="BO30" s="2477" t="str">
        <f>IF(OR(H17="",H17=0),"",     IF(BO28="","ND",IF(BO28=1,(DE50/H17),(DG50/H17)))           )</f>
        <v/>
      </c>
      <c r="BP30" s="2477"/>
      <c r="BQ30" s="865"/>
      <c r="BR30" s="1201" t="str">
        <f>IF(BU25="واقعي","عدم قطعيت نسبي ارزش حرارتي ناخالص (HHV) واقعي    %()±","")</f>
        <v/>
      </c>
      <c r="BS30" s="1201"/>
      <c r="BT30" s="1201"/>
      <c r="BU30" s="1201"/>
      <c r="BV30" s="1201"/>
      <c r="BW30" s="2477" t="str">
        <f>IF(OR(Z17="",Z17=0),"",      IF(BW28="","ND",IF(BW28=1,(FP50/Z17 ),(FR50/Z17 )))          )</f>
        <v/>
      </c>
      <c r="BX30" s="2477"/>
      <c r="BY30" s="874"/>
      <c r="BZ30" s="888" t="str">
        <f>IF(A30="","",VLOOKUP(A30,'HHV-LHV-MW'!$A$3:$H$40,4,FALSE))</f>
        <v/>
      </c>
      <c r="CA30" s="889" t="str">
        <f>IF(A30="","",VLOOKUP(A30,'HHV-LHV-MW'!$A$3:$H$40,5,FALSE))</f>
        <v/>
      </c>
      <c r="CB30" s="890" t="e">
        <f>(PRODUCT('HHV-LHV-MW'!K14)+PRODUCT('HHV-LHV-MW'!W14)+PRODUCT('HHV-LHV-MW'!AI14)+PRODUCT('HHV-LHV-MW'!AU14))/$BO$19</f>
        <v>#DIV/0!</v>
      </c>
      <c r="CC30" s="890">
        <f>IF($BO$19=1,"",  (SQRT(  (      (IF('HHV-LHV-MW'!K14="",0,('HHV-LHV-MW'!K14-CB30)^2))      +        (IF('HHV-LHV-MW'!W14="",0,('HHV-LHV-MW'!W14-CB30)^2))       +        (IF('HHV-LHV-MW'!AI14="",0,('HHV-LHV-MW'!AI14-CB30)^2))          +        (IF('HHV-LHV-MW'!AU14="",0,('HHV-LHV-MW'!AU14-CB30)^2))          )     *(1/($BO$19-1))  )))</f>
        <v>0</v>
      </c>
      <c r="CD30" s="890" t="e">
        <f t="shared" si="4"/>
        <v>#N/A</v>
      </c>
      <c r="CE30" s="890" t="e">
        <f t="shared" si="5"/>
        <v>#DIV/0!</v>
      </c>
      <c r="CF30" s="636" t="str">
        <f>IF('HHV-LHV-MW'!K14="","",IF(AND('HHV-LHV-MW'!K14&gt;=0,'HHV-LHV-MW'!K14&lt;=0.09),2,  IF(AND('HHV-LHV-MW'!K14&gt;=0.1,'HHV-LHV-MW'!K14&lt;=0.9),7,  IF(AND('HHV-LHV-MW'!K14&gt;=1,'HHV-LHV-MW'!K14&lt;=4.9),10,   IF(AND('HHV-LHV-MW'!K14&gt;=5,'HHV-LHV-MW'!K14&lt;=10),12, 15)))))</f>
        <v/>
      </c>
      <c r="CG30" s="636" t="str">
        <f>IF('HHV-LHV-MW'!K14="","",5*'HHV-LHV-MW'!K14)</f>
        <v/>
      </c>
      <c r="CH30" s="635" t="str">
        <f t="shared" si="6"/>
        <v/>
      </c>
      <c r="CI30" s="636" t="str">
        <f>IF(OR(CH30="",'HHV-LHV-MW'!K14=0),"",CH30/'HHV-LHV-MW'!K14)</f>
        <v/>
      </c>
      <c r="CJ30" s="636" t="str">
        <f>IF(OR(CI30="",BZ30="",'HHV-LHV-MW'!K14=""),"",((CI30*BZ30*('HHV-LHV-MW'!K14/100))/23.685)^2)</f>
        <v/>
      </c>
      <c r="CK30" s="891" t="str">
        <f>IF(OR(CI30="",CA30="",'HHV-LHV-MW'!K14=""),"",((CI30*CA30*('HHV-LHV-MW'!K14/100))/23.685)^2)</f>
        <v/>
      </c>
      <c r="CL30" s="639" t="e">
        <f t="shared" si="7"/>
        <v>#DIV/0!</v>
      </c>
      <c r="CM30" s="892" t="e">
        <f t="shared" si="8"/>
        <v>#DIV/0!</v>
      </c>
      <c r="CN30" s="511"/>
      <c r="CO30" s="511"/>
      <c r="CP30" s="511"/>
      <c r="CQ30" s="511"/>
      <c r="CR30" s="511"/>
      <c r="CS30" s="511"/>
      <c r="CT30" s="511"/>
      <c r="CU30" s="888" t="str">
        <f>IF(G30="","",VLOOKUP(G30,'HHV-LHV-MW'!$A$3:$H$40,4,FALSE))</f>
        <v/>
      </c>
      <c r="CV30" s="889" t="str">
        <f>IF(G30="","",VLOOKUP(G30,'HHV-LHV-MW'!$A$3:$H$40,5,FALSE))</f>
        <v/>
      </c>
      <c r="CW30" s="890" t="e">
        <f>(PRODUCT('HHV-LHV-MW'!BH14)+PRODUCT('HHV-LHV-MW'!BT14)+PRODUCT('HHV-LHV-MW'!CF14)+PRODUCT('HHV-LHV-MW'!CR14))/$BO$28</f>
        <v>#DIV/0!</v>
      </c>
      <c r="CX30" s="890">
        <f>IF($BO$28=1,"",  (SQRT(  (      (IF('HHV-LHV-MW'!BH14="",0,('HHV-LHV-MW'!BH14-CW30)^2))      +        (IF('HHV-LHV-MW'!BT14="",0,('HHV-LHV-MW'!BT14-CW30)^2))       +        (IF('HHV-LHV-MW'!CF14="",0,('HHV-LHV-MW'!CF14-CW30)^2))          +        (IF('HHV-LHV-MW'!CR14="",0,('HHV-LHV-MW'!CR14-CW30)^2))          )     *(1/($BO$28-1))  )))</f>
        <v>0</v>
      </c>
      <c r="CY30" s="890" t="e">
        <f t="shared" si="9"/>
        <v>#N/A</v>
      </c>
      <c r="CZ30" s="890" t="e">
        <f t="shared" si="10"/>
        <v>#DIV/0!</v>
      </c>
      <c r="DA30" s="636" t="str">
        <f>IF('HHV-LHV-MW'!BH14="","",IF(AND('HHV-LHV-MW'!BH14&gt;=0,'HHV-LHV-MW'!BH14&lt;=0.09),2,  IF(AND('HHV-LHV-MW'!BH14&gt;=0.1,'HHV-LHV-MW'!BH14&lt;=0.9),7,  IF(AND('HHV-LHV-MW'!BH14&gt;=1,'HHV-LHV-MW'!BH14&lt;=4.9),10,   IF(AND('HHV-LHV-MW'!BH14&gt;=5,'HHV-LHV-MW'!BH14&lt;=10),12, 15)))))</f>
        <v/>
      </c>
      <c r="DB30" s="636" t="str">
        <f>IF('HHV-LHV-MW'!BH14="","",5*'HHV-LHV-MW'!BH14)</f>
        <v/>
      </c>
      <c r="DC30" s="635" t="str">
        <f t="shared" si="11"/>
        <v/>
      </c>
      <c r="DD30" s="636" t="str">
        <f>IF(OR(DC30="",'HHV-LHV-MW'!BH14=0),"",DC30/'HHV-LHV-MW'!BH14)</f>
        <v/>
      </c>
      <c r="DE30" s="635" t="str">
        <f>IF(OR(DD30="",CU30="",'HHV-LHV-MW'!BH14=""),"",((DD30*CU30*('HHV-LHV-MW'!BH14/100))/23.685)^2)</f>
        <v/>
      </c>
      <c r="DF30" s="636" t="str">
        <f>IF(OR(DD30="",CV30="",'HHV-LHV-MW'!BH14=""),"",((DD30*CV30*('HHV-LHV-MW'!BH14/100))/23.685)^2)</f>
        <v/>
      </c>
      <c r="DG30" s="639" t="e">
        <f t="shared" si="12"/>
        <v>#DIV/0!</v>
      </c>
      <c r="DH30" s="892" t="e">
        <f t="shared" si="13"/>
        <v>#DIV/0!</v>
      </c>
      <c r="DI30" s="511"/>
      <c r="DJ30" s="511"/>
      <c r="DK30" s="511"/>
      <c r="DL30" s="511"/>
      <c r="DM30" s="511"/>
      <c r="DN30" s="511"/>
      <c r="DO30" s="511"/>
      <c r="DP30" s="888" t="str">
        <f>IF(M30="","",VLOOKUP(M30,'HHV-LHV-MW'!$A$3:$H$40,4,FALSE))</f>
        <v/>
      </c>
      <c r="DQ30" s="889" t="str">
        <f>IF(M30="","",VLOOKUP(M30,'HHV-LHV-MW'!$A$3:$H$40,5,FALSE))</f>
        <v/>
      </c>
      <c r="DR30" s="890" t="e">
        <f>(PRODUCT('HHV-LHV-MW'!DE14)+PRODUCT('HHV-LHV-MW'!DQ14)+PRODUCT('HHV-LHV-MW'!EC14)+PRODUCT('HHV-LHV-MW'!EO14))/$BO$37</f>
        <v>#DIV/0!</v>
      </c>
      <c r="DS30" s="890">
        <f>IF($BO$37=1,"",  (SQRT(  (      (IF('HHV-LHV-MW'!DE14="",0,('HHV-LHV-MW'!DE14-DR30)^2))      +        (IF('HHV-LHV-MW'!DQ14="",0,('HHV-LHV-MW'!DQ14-DR30)^2))       +        (IF('HHV-LHV-MW'!EC14="",0,('HHV-LHV-MW'!EC14-DR30)^2))          +        (IF('HHV-LHV-MW'!EO14="",0,('HHV-LHV-MW'!EO14-DR30)^2))          )     *(1/($BO$37-1))  )))</f>
        <v>0</v>
      </c>
      <c r="DT30" s="890" t="e">
        <f t="shared" si="0"/>
        <v>#N/A</v>
      </c>
      <c r="DU30" s="890" t="e">
        <f t="shared" si="14"/>
        <v>#DIV/0!</v>
      </c>
      <c r="DV30" s="636" t="str">
        <f>IF('HHV-LHV-MW'!DE14="","",IF(AND('HHV-LHV-MW'!DE14&gt;=0,'HHV-LHV-MW'!DE14&lt;=0.09),2,  IF(AND('HHV-LHV-MW'!DE14&gt;=0.1,'HHV-LHV-MW'!DE14&lt;=0.9),7,  IF(AND('HHV-LHV-MW'!DE14&gt;=1,'HHV-LHV-MW'!DE14&lt;=4.9),10,   IF(AND('HHV-LHV-MW'!DE14&gt;=5,'HHV-LHV-MW'!DE14&lt;=10),12, 15)))))</f>
        <v/>
      </c>
      <c r="DW30" s="636" t="str">
        <f>IF('HHV-LHV-MW'!DE14="","",5*'HHV-LHV-MW'!DE14)</f>
        <v/>
      </c>
      <c r="DX30" s="635" t="str">
        <f t="shared" si="15"/>
        <v/>
      </c>
      <c r="DY30" s="636" t="str">
        <f>IF(OR(DX30="",'HHV-LHV-MW'!DE14=0),"",DX30/'HHV-LHV-MW'!DE14)</f>
        <v/>
      </c>
      <c r="DZ30" s="636" t="str">
        <f>IF(OR(DY30="",DP30="",'HHV-LHV-MW'!DE14=""),"",((DY30*DP30*('HHV-LHV-MW'!DE14/100))/23.685)^2)</f>
        <v/>
      </c>
      <c r="EA30" s="636" t="str">
        <f>IF(OR(DY30="",DQ30="",'HHV-LHV-MW'!DE14=""),"",((DY30*DQ30*('HHV-LHV-MW'!DE14/100))/23.685)^2)</f>
        <v/>
      </c>
      <c r="EB30" s="639" t="e">
        <f t="shared" si="16"/>
        <v>#DIV/0!</v>
      </c>
      <c r="EC30" s="892" t="e">
        <f t="shared" si="17"/>
        <v>#DIV/0!</v>
      </c>
      <c r="ED30" s="511"/>
      <c r="EE30" s="511"/>
      <c r="EF30" s="511"/>
      <c r="EG30" s="511"/>
      <c r="EH30" s="511"/>
      <c r="EI30" s="511"/>
      <c r="EJ30" s="511"/>
      <c r="EK30" s="888" t="str">
        <f>IF(S30="","",VLOOKUP(S30,'HHV-LHV-MW'!$A$3:$H$40,4,FALSE))</f>
        <v/>
      </c>
      <c r="EL30" s="889" t="str">
        <f>IF(S30="","",VLOOKUP(S30,'HHV-LHV-MW'!$A$3:$H$40,5,FALSE))</f>
        <v/>
      </c>
      <c r="EM30" s="890" t="e">
        <f>(PRODUCT('HHV-LHV-MW'!FB14)+PRODUCT('HHV-LHV-MW'!FN14)+PRODUCT('HHV-LHV-MW'!FZ14)+PRODUCT('HHV-LHV-MW'!GL14))/$BW$19</f>
        <v>#DIV/0!</v>
      </c>
      <c r="EN30" s="890">
        <f>IF($BW$19=1,"",  (SQRT(  (      (IF('HHV-LHV-MW'!FB14="",0,('HHV-LHV-MW'!FB14-EM30)^2))      +        (IF('HHV-LHV-MW'!FN14="",0,('HHV-LHV-MW'!FN14-EM30)^2))       +        (IF('HHV-LHV-MW'!FZ14="",0,('HHV-LHV-MW'!FZ14-EM30)^2))          +        (IF('HHV-LHV-MW'!GL14="",0,('HHV-LHV-MW'!GL14-EM30)^2))          )     *(1/($BW$19-1))  )))</f>
        <v>0</v>
      </c>
      <c r="EO30" s="890" t="e">
        <f t="shared" si="1"/>
        <v>#N/A</v>
      </c>
      <c r="EP30" s="890" t="e">
        <f t="shared" si="18"/>
        <v>#DIV/0!</v>
      </c>
      <c r="EQ30" s="636" t="str">
        <f>IF('HHV-LHV-MW'!FB14="","",IF(AND('HHV-LHV-MW'!FB14&gt;=0,'HHV-LHV-MW'!FB14&lt;=0.09),2,  IF(AND('HHV-LHV-MW'!FB14&gt;=0.1,'HHV-LHV-MW'!FB14&lt;=0.9),7,  IF(AND('HHV-LHV-MW'!FB14&gt;=1,'HHV-LHV-MW'!FB14&lt;=4.9),10,   IF(AND('HHV-LHV-MW'!FB14&gt;=5,'HHV-LHV-MW'!FB14&lt;=10),12, 15)))))</f>
        <v/>
      </c>
      <c r="ER30" s="636" t="str">
        <f>IF('HHV-LHV-MW'!FB14="","",5*'HHV-LHV-MW'!FB14)</f>
        <v/>
      </c>
      <c r="ES30" s="635" t="str">
        <f t="shared" si="19"/>
        <v/>
      </c>
      <c r="ET30" s="636" t="str">
        <f>IF(OR(ES30="",'HHV-LHV-MW'!FB14=0),"",ES30/'HHV-LHV-MW'!FB14)</f>
        <v/>
      </c>
      <c r="EU30" s="636" t="str">
        <f>IF(OR(ET30="",EK30="",'HHV-LHV-MW'!FB14=""),"",((ET30*EK30*('HHV-LHV-MW'!FB14/100))/23.685)^2)</f>
        <v/>
      </c>
      <c r="EV30" s="636" t="str">
        <f>IF(OR(ET30="",EL30="",'HHV-LHV-MW'!FB14=""),"",((ET30*EL30*('HHV-LHV-MW'!FB14/100))/23.685)^2)</f>
        <v/>
      </c>
      <c r="EW30" s="639" t="e">
        <f t="shared" si="20"/>
        <v>#DIV/0!</v>
      </c>
      <c r="EX30" s="892" t="e">
        <f t="shared" si="21"/>
        <v>#DIV/0!</v>
      </c>
      <c r="EY30" s="511"/>
      <c r="EZ30" s="511"/>
      <c r="FA30" s="511"/>
      <c r="FB30" s="511"/>
      <c r="FC30" s="511"/>
      <c r="FD30" s="511"/>
      <c r="FE30" s="511"/>
      <c r="FF30" s="888" t="str">
        <f>IF(Y30="","",VLOOKUP(Y30,'HHV-LHV-MW'!$A$3:$H$40,4,FALSE))</f>
        <v/>
      </c>
      <c r="FG30" s="889" t="str">
        <f>IF(Y30="","",VLOOKUP(Y30,'HHV-LHV-MW'!$A$3:$H$40,5,FALSE))</f>
        <v/>
      </c>
      <c r="FH30" s="890" t="e">
        <f>(PRODUCT('HHV-LHV-MW'!GY14)+PRODUCT('HHV-LHV-MW'!HK14)+PRODUCT('HHV-LHV-MW'!HW14)+PRODUCT('HHV-LHV-MW'!II14))/$BW$28</f>
        <v>#DIV/0!</v>
      </c>
      <c r="FI30" s="890">
        <f>IF($BW$28=1,"",  (SQRT(  (      (IF('HHV-LHV-MW'!GY14="",0,('HHV-LHV-MW'!GY14-FH30)^2))      +        (IF('HHV-LHV-MW'!HK14="",0,('HHV-LHV-MW'!HK14-FH30)^2))       +        (IF('HHV-LHV-MW'!HW14="",0,('HHV-LHV-MW'!HW14-FH30)^2))          +        (IF('HHV-LHV-MW'!II14="",0,('HHV-LHV-MW'!II14-FH30)^2))          )     *(1/($BW$28-1))  )))</f>
        <v>0</v>
      </c>
      <c r="FJ30" s="890" t="e">
        <f t="shared" si="2"/>
        <v>#N/A</v>
      </c>
      <c r="FK30" s="890" t="e">
        <f t="shared" si="22"/>
        <v>#DIV/0!</v>
      </c>
      <c r="FL30" s="636" t="str">
        <f>IF('HHV-LHV-MW'!GY14="","",IF(AND('HHV-LHV-MW'!GY14&gt;=0,'HHV-LHV-MW'!GY14&lt;=0.09),2,  IF(AND('HHV-LHV-MW'!GY14&gt;=0.1,'HHV-LHV-MW'!GY14&lt;=0.9),7,  IF(AND('HHV-LHV-MW'!GY14&gt;=1,'HHV-LHV-MW'!GY14&lt;=4.9),10,   IF(AND('HHV-LHV-MW'!GY14&gt;=5,'HHV-LHV-MW'!GY14&lt;=10),12, 15)))))</f>
        <v/>
      </c>
      <c r="FM30" s="636" t="str">
        <f>IF('HHV-LHV-MW'!GY14="","",5*'HHV-LHV-MW'!GY14)</f>
        <v/>
      </c>
      <c r="FN30" s="635" t="str">
        <f t="shared" si="23"/>
        <v/>
      </c>
      <c r="FO30" s="636" t="str">
        <f>IF(OR(FN30="",'HHV-LHV-MW'!GY14=0),"",FN30/'HHV-LHV-MW'!GY14)</f>
        <v/>
      </c>
      <c r="FP30" s="636" t="str">
        <f>IF(OR(FO30="",FF30="",'HHV-LHV-MW'!GY14=""),"",((FO30*FF30*('HHV-LHV-MW'!GY14/100))/23.685)^2)</f>
        <v/>
      </c>
      <c r="FQ30" s="636" t="str">
        <f>IF(OR(FO30="",FG30="",'HHV-LHV-MW'!GY14=""),"",((FO30*FG30*('HHV-LHV-MW'!GY14/100))/23.685)^2)</f>
        <v/>
      </c>
      <c r="FR30" s="639" t="e">
        <f t="shared" si="24"/>
        <v>#DIV/0!</v>
      </c>
      <c r="FS30" s="892" t="e">
        <f t="shared" si="25"/>
        <v>#DIV/0!</v>
      </c>
      <c r="FT30" s="511"/>
      <c r="FU30" s="511"/>
      <c r="FV30" s="511"/>
      <c r="FW30" s="511"/>
      <c r="FX30" s="511"/>
      <c r="FY30" s="511"/>
      <c r="FZ30" s="511"/>
      <c r="GA30" s="888" t="str">
        <f>IF(AE30="","",VLOOKUP(AE30,'HHV-LHV-MW'!$A$3:$H$40,4,FALSE))</f>
        <v/>
      </c>
      <c r="GB30" s="889" t="str">
        <f>IF(AE30="","",VLOOKUP(AE30,'HHV-LHV-MW'!$A$3:$H$40,5,FALSE))</f>
        <v/>
      </c>
      <c r="GC30" s="890" t="e">
        <f>(PRODUCT('HHV-LHV-MW'!IV14)+PRODUCT('HHV-LHV-MW'!JH14)+PRODUCT('HHV-LHV-MW'!JT14)+PRODUCT('HHV-LHV-MW'!KF14))/$BW$37</f>
        <v>#DIV/0!</v>
      </c>
      <c r="GD30" s="890">
        <f>IF($BW$37=1,"",  (SQRT(  (      (IF('HHV-LHV-MW'!IV14="",0,('HHV-LHV-MW'!IV14-GC30)^2))      +        (IF('HHV-LHV-MW'!JH14="",0,('HHV-LHV-MW'!JH14-GC30)^2))       +        (IF('HHV-LHV-MW'!JT14="",0,('HHV-LHV-MW'!JT14-GC30)^2))          +        (IF('HHV-LHV-MW'!KF14="",0,('HHV-LHV-MW'!KF14-GC30)^2))          )     *(1/($BW$37-1))  )))</f>
        <v>0</v>
      </c>
      <c r="GE30" s="890" t="e">
        <f t="shared" si="3"/>
        <v>#N/A</v>
      </c>
      <c r="GF30" s="890" t="e">
        <f t="shared" si="26"/>
        <v>#DIV/0!</v>
      </c>
      <c r="GG30" s="636" t="str">
        <f>IF('HHV-LHV-MW'!IV14="","",IF(AND('HHV-LHV-MW'!IV14&gt;=0,'HHV-LHV-MW'!IV14&lt;=0.09),2,  IF(AND('HHV-LHV-MW'!IV14&gt;=0.1,'HHV-LHV-MW'!IV14&lt;=0.9),7,  IF(AND('HHV-LHV-MW'!IV14&gt;=1,'HHV-LHV-MW'!IV14&lt;=4.9),10,   IF(AND('HHV-LHV-MW'!IV14&gt;=5,'HHV-LHV-MW'!IV14&lt;=10),12, 15)))))</f>
        <v/>
      </c>
      <c r="GH30" s="636" t="str">
        <f>IF('HHV-LHV-MW'!IV14="","",5*'HHV-LHV-MW'!IV14)</f>
        <v/>
      </c>
      <c r="GI30" s="635" t="str">
        <f t="shared" si="27"/>
        <v/>
      </c>
      <c r="GJ30" s="636" t="str">
        <f>IF(OR(GI30="",'HHV-LHV-MW'!IV14=0),"",GI30/'HHV-LHV-MW'!IV14)</f>
        <v/>
      </c>
      <c r="GK30" s="636" t="str">
        <f>IF(OR(GJ30="",GA30="",'HHV-LHV-MW'!IV14=""),"",((GJ30*GA30*('HHV-LHV-MW'!IV14/100))/23.685)^2)</f>
        <v/>
      </c>
      <c r="GL30" s="636" t="str">
        <f>IF(OR(GJ30="",GB30="",'HHV-LHV-MW'!IV14=""),"",((GJ30*GB30*('HHV-LHV-MW'!IV14/100))/23.685)^2)</f>
        <v/>
      </c>
      <c r="GM30" s="639" t="e">
        <f t="shared" si="28"/>
        <v>#DIV/0!</v>
      </c>
      <c r="GN30" s="892" t="e">
        <f t="shared" si="29"/>
        <v>#DIV/0!</v>
      </c>
      <c r="GO30" s="874"/>
      <c r="GP30" s="874"/>
      <c r="GQ30" s="874"/>
      <c r="GR30" s="874"/>
      <c r="GS30" s="874"/>
      <c r="GT30" s="874"/>
      <c r="GU30" s="874"/>
      <c r="GV30" s="874"/>
      <c r="GW30" s="874"/>
      <c r="GX30" s="874"/>
      <c r="GY30" s="874"/>
      <c r="GZ30" s="874"/>
      <c r="HA30" s="874"/>
      <c r="HB30" s="511"/>
      <c r="HC30" s="511"/>
      <c r="HD30" s="511"/>
      <c r="HE30" s="511"/>
      <c r="HF30" s="511"/>
      <c r="HG30" s="511"/>
      <c r="HH30" s="511"/>
      <c r="HI30" s="511"/>
      <c r="HJ30" s="874"/>
      <c r="HK30" s="874"/>
      <c r="HL30" s="874"/>
      <c r="HM30" s="874"/>
      <c r="HN30" s="874"/>
      <c r="HO30" s="874"/>
      <c r="HP30" s="874"/>
      <c r="HQ30" s="874"/>
      <c r="HR30" s="874"/>
      <c r="HS30" s="874"/>
      <c r="HT30" s="874"/>
      <c r="HU30" s="874"/>
      <c r="HV30" s="874"/>
      <c r="HW30" s="511"/>
      <c r="HX30" s="511"/>
      <c r="HY30" s="511"/>
      <c r="HZ30" s="511"/>
      <c r="IA30" s="511"/>
      <c r="IB30" s="511"/>
      <c r="IC30" s="511"/>
      <c r="ID30" s="511"/>
      <c r="IE30" s="874"/>
      <c r="IF30" s="874"/>
      <c r="IG30" s="874"/>
      <c r="IH30" s="874"/>
      <c r="II30" s="874"/>
      <c r="IJ30" s="874"/>
      <c r="IK30" s="874"/>
      <c r="IL30" s="874"/>
      <c r="IM30" s="874"/>
      <c r="IN30" s="874"/>
      <c r="IO30" s="874"/>
      <c r="IP30" s="874"/>
      <c r="IQ30" s="874"/>
      <c r="IR30" s="511"/>
      <c r="IS30" s="511"/>
      <c r="IT30" s="511"/>
      <c r="IU30" s="511"/>
      <c r="IV30" s="511"/>
      <c r="IW30" s="511"/>
      <c r="IX30" s="511"/>
      <c r="IY30" s="511"/>
      <c r="IZ30" s="874"/>
      <c r="JA30" s="874"/>
      <c r="JB30" s="874"/>
      <c r="JC30" s="874"/>
      <c r="JD30" s="874"/>
      <c r="JE30" s="874"/>
      <c r="JF30" s="874"/>
      <c r="JG30" s="874"/>
      <c r="JH30" s="874"/>
      <c r="JI30" s="874"/>
      <c r="JJ30" s="874"/>
      <c r="JK30" s="874"/>
      <c r="JL30" s="874"/>
      <c r="JM30" s="874"/>
      <c r="JN30" s="874"/>
      <c r="JO30" s="874"/>
      <c r="JP30" s="874"/>
      <c r="JQ30" s="874"/>
      <c r="JR30" s="874"/>
      <c r="JS30" s="874"/>
      <c r="JT30" s="874"/>
      <c r="JU30" s="874"/>
      <c r="JV30" s="874"/>
      <c r="JW30" s="874"/>
      <c r="JX30" s="874"/>
      <c r="JY30" s="874"/>
      <c r="JZ30" s="874"/>
      <c r="KA30" s="874"/>
      <c r="KB30" s="874"/>
      <c r="KC30" s="874"/>
      <c r="KD30" s="874"/>
      <c r="KE30" s="874"/>
      <c r="KF30" s="874"/>
      <c r="KG30" s="874"/>
      <c r="KH30" s="865"/>
      <c r="KI30" s="865"/>
      <c r="KJ30" s="865"/>
      <c r="KK30" s="865"/>
      <c r="KL30" s="865"/>
      <c r="KM30" s="865"/>
      <c r="KN30" s="865"/>
      <c r="KO30" s="865"/>
      <c r="KP30" s="865"/>
      <c r="KQ30" s="865"/>
      <c r="KR30" s="865"/>
      <c r="KS30" s="865"/>
      <c r="KT30" s="865"/>
      <c r="KU30" s="865"/>
      <c r="KV30" s="865"/>
      <c r="KW30" s="865"/>
      <c r="KX30" s="865"/>
      <c r="KY30" s="865"/>
      <c r="KZ30" s="865"/>
      <c r="LA30" s="865"/>
      <c r="LB30" s="865"/>
      <c r="LC30" s="865"/>
      <c r="LD30" s="865"/>
      <c r="LE30" s="865"/>
      <c r="LF30" s="865"/>
    </row>
    <row r="31" spans="1:318" ht="18.600000000000001">
      <c r="A31" s="864"/>
      <c r="B31" s="502"/>
      <c r="C31" s="663"/>
      <c r="D31" s="663"/>
      <c r="E31" s="663"/>
      <c r="F31" s="511"/>
      <c r="G31" s="864"/>
      <c r="H31" s="502"/>
      <c r="I31" s="663"/>
      <c r="J31" s="663"/>
      <c r="K31" s="663"/>
      <c r="L31" s="511"/>
      <c r="M31" s="864"/>
      <c r="N31" s="502"/>
      <c r="O31" s="663"/>
      <c r="P31" s="663"/>
      <c r="Q31" s="663"/>
      <c r="R31" s="511"/>
      <c r="S31" s="864"/>
      <c r="T31" s="502"/>
      <c r="U31" s="663"/>
      <c r="V31" s="663"/>
      <c r="W31" s="663"/>
      <c r="X31" s="511"/>
      <c r="Y31" s="864"/>
      <c r="Z31" s="502"/>
      <c r="AA31" s="663"/>
      <c r="AB31" s="663"/>
      <c r="AC31" s="663"/>
      <c r="AD31" s="511"/>
      <c r="AE31" s="864"/>
      <c r="AF31" s="502"/>
      <c r="AG31" s="663"/>
      <c r="AH31" s="663"/>
      <c r="AI31" s="663"/>
      <c r="AJ31" s="511"/>
      <c r="AK31" s="865"/>
      <c r="AL31" s="865"/>
      <c r="AM31" s="865"/>
      <c r="AN31" s="865"/>
      <c r="AO31" s="865"/>
      <c r="AP31" s="865"/>
      <c r="AQ31" s="865"/>
      <c r="AR31" s="865"/>
      <c r="AS31" s="865"/>
      <c r="AT31" s="865"/>
      <c r="AU31" s="865"/>
      <c r="AV31" s="865"/>
      <c r="AW31" s="865"/>
      <c r="AX31" s="865"/>
      <c r="AY31" s="865"/>
      <c r="AZ31" s="865"/>
      <c r="BA31" s="865"/>
      <c r="BB31" s="865"/>
      <c r="BC31" s="865"/>
      <c r="BD31" s="865"/>
      <c r="BE31" s="865"/>
      <c r="BF31" s="865"/>
      <c r="BG31" s="865"/>
      <c r="BH31" s="865"/>
      <c r="BI31" s="865"/>
      <c r="BJ31" s="1201" t="str">
        <f>IF(BM25="واقعي","عدم قطعيت نسبي ارزش حرارتي خالص (LHV) واقعي    %()±","")</f>
        <v/>
      </c>
      <c r="BK31" s="1201"/>
      <c r="BL31" s="1201"/>
      <c r="BM31" s="1201"/>
      <c r="BN31" s="1201"/>
      <c r="BO31" s="2477" t="str">
        <f>IF(OR(H16="",H16=0),"",   IF(BO28="","ND",IF(BO28=1,(DF50/H16),(DH50/H16)))           )</f>
        <v/>
      </c>
      <c r="BP31" s="2477"/>
      <c r="BQ31" s="865"/>
      <c r="BR31" s="1201" t="str">
        <f>IF(BU25="واقعي","عدم قطعيت نسبي ارزش حرارتي خالص (LHV) واقعي    %()±","")</f>
        <v/>
      </c>
      <c r="BS31" s="1201"/>
      <c r="BT31" s="1201"/>
      <c r="BU31" s="1201"/>
      <c r="BV31" s="1201"/>
      <c r="BW31" s="2477" t="str">
        <f>IF(OR(Z16="",Z16=0),"",    IF(BW28="","ND",IF(BW28=1,(FQ50/Z16),(FS50/Z16)))           )</f>
        <v/>
      </c>
      <c r="BX31" s="2477"/>
      <c r="BY31" s="874"/>
      <c r="BZ31" s="888" t="str">
        <f>IF(A31="","",VLOOKUP(A31,'HHV-LHV-MW'!$A$3:$H$40,4,FALSE))</f>
        <v/>
      </c>
      <c r="CA31" s="889" t="str">
        <f>IF(A31="","",VLOOKUP(A31,'HHV-LHV-MW'!$A$3:$H$40,5,FALSE))</f>
        <v/>
      </c>
      <c r="CB31" s="890" t="e">
        <f>(PRODUCT('HHV-LHV-MW'!K15)+PRODUCT('HHV-LHV-MW'!W15)+PRODUCT('HHV-LHV-MW'!AI15)+PRODUCT('HHV-LHV-MW'!AU15))/$BO$19</f>
        <v>#DIV/0!</v>
      </c>
      <c r="CC31" s="890">
        <f>IF($BO$19=1,"",  (SQRT(  (      (IF('HHV-LHV-MW'!K15="",0,('HHV-LHV-MW'!K15-CB31)^2))      +        (IF('HHV-LHV-MW'!W15="",0,('HHV-LHV-MW'!W15-CB31)^2))       +        (IF('HHV-LHV-MW'!AI15="",0,('HHV-LHV-MW'!AI15-CB31)^2))          +        (IF('HHV-LHV-MW'!AU15="",0,('HHV-LHV-MW'!AU15-CB31)^2))          )     *(1/($BO$19-1))  )))</f>
        <v>0</v>
      </c>
      <c r="CD31" s="890" t="e">
        <f t="shared" si="4"/>
        <v>#N/A</v>
      </c>
      <c r="CE31" s="890" t="e">
        <f t="shared" si="5"/>
        <v>#DIV/0!</v>
      </c>
      <c r="CF31" s="636" t="str">
        <f>IF('HHV-LHV-MW'!K15="","",IF(AND('HHV-LHV-MW'!K15&gt;=0,'HHV-LHV-MW'!K15&lt;=0.09),2,  IF(AND('HHV-LHV-MW'!K15&gt;=0.1,'HHV-LHV-MW'!K15&lt;=0.9),7,  IF(AND('HHV-LHV-MW'!K15&gt;=1,'HHV-LHV-MW'!K15&lt;=4.9),10,   IF(AND('HHV-LHV-MW'!K15&gt;=5,'HHV-LHV-MW'!K15&lt;=10),12, 15)))))</f>
        <v/>
      </c>
      <c r="CG31" s="636" t="str">
        <f>IF('HHV-LHV-MW'!K15="","",5*'HHV-LHV-MW'!K15)</f>
        <v/>
      </c>
      <c r="CH31" s="635" t="str">
        <f t="shared" si="6"/>
        <v/>
      </c>
      <c r="CI31" s="636" t="str">
        <f>IF(OR(CH31="",'HHV-LHV-MW'!K15=0),"",CH31/'HHV-LHV-MW'!K15)</f>
        <v/>
      </c>
      <c r="CJ31" s="636" t="str">
        <f>IF(OR(CI31="",BZ31="",'HHV-LHV-MW'!K15=""),"",((CI31*BZ31*('HHV-LHV-MW'!K15/100))/23.685)^2)</f>
        <v/>
      </c>
      <c r="CK31" s="891" t="str">
        <f>IF(OR(CI31="",CA31="",'HHV-LHV-MW'!K15=""),"",((CI31*CA31*('HHV-LHV-MW'!K15/100))/23.685)^2)</f>
        <v/>
      </c>
      <c r="CL31" s="639" t="e">
        <f t="shared" si="7"/>
        <v>#DIV/0!</v>
      </c>
      <c r="CM31" s="892" t="e">
        <f t="shared" si="8"/>
        <v>#DIV/0!</v>
      </c>
      <c r="CN31" s="511"/>
      <c r="CO31" s="511"/>
      <c r="CP31" s="511"/>
      <c r="CQ31" s="511"/>
      <c r="CR31" s="511"/>
      <c r="CS31" s="511"/>
      <c r="CT31" s="511"/>
      <c r="CU31" s="888" t="str">
        <f>IF(G31="","",VLOOKUP(G31,'HHV-LHV-MW'!$A$3:$H$40,4,FALSE))</f>
        <v/>
      </c>
      <c r="CV31" s="889" t="str">
        <f>IF(G31="","",VLOOKUP(G31,'HHV-LHV-MW'!$A$3:$H$40,5,FALSE))</f>
        <v/>
      </c>
      <c r="CW31" s="890" t="e">
        <f>(PRODUCT('HHV-LHV-MW'!BH15)+PRODUCT('HHV-LHV-MW'!BT15)+PRODUCT('HHV-LHV-MW'!CF15)+PRODUCT('HHV-LHV-MW'!CR15))/$BO$28</f>
        <v>#DIV/0!</v>
      </c>
      <c r="CX31" s="890">
        <f>IF($BO$28=1,"",  (SQRT(  (      (IF('HHV-LHV-MW'!BH15="",0,('HHV-LHV-MW'!BH15-CW31)^2))      +        (IF('HHV-LHV-MW'!BT15="",0,('HHV-LHV-MW'!BT15-CW31)^2))       +        (IF('HHV-LHV-MW'!CF15="",0,('HHV-LHV-MW'!CF15-CW31)^2))          +        (IF('HHV-LHV-MW'!CR15="",0,('HHV-LHV-MW'!CR15-CW31)^2))          )     *(1/($BO$28-1))  )))</f>
        <v>0</v>
      </c>
      <c r="CY31" s="890" t="e">
        <f t="shared" si="9"/>
        <v>#N/A</v>
      </c>
      <c r="CZ31" s="890" t="e">
        <f t="shared" si="10"/>
        <v>#DIV/0!</v>
      </c>
      <c r="DA31" s="636" t="str">
        <f>IF('HHV-LHV-MW'!BH15="","",IF(AND('HHV-LHV-MW'!BH15&gt;=0,'HHV-LHV-MW'!BH15&lt;=0.09),2,  IF(AND('HHV-LHV-MW'!BH15&gt;=0.1,'HHV-LHV-MW'!BH15&lt;=0.9),7,  IF(AND('HHV-LHV-MW'!BH15&gt;=1,'HHV-LHV-MW'!BH15&lt;=4.9),10,   IF(AND('HHV-LHV-MW'!BH15&gt;=5,'HHV-LHV-MW'!BH15&lt;=10),12, 15)))))</f>
        <v/>
      </c>
      <c r="DB31" s="636" t="str">
        <f>IF('HHV-LHV-MW'!BH15="","",5*'HHV-LHV-MW'!BH15)</f>
        <v/>
      </c>
      <c r="DC31" s="635" t="str">
        <f t="shared" si="11"/>
        <v/>
      </c>
      <c r="DD31" s="636" t="str">
        <f>IF(OR(DC31="",'HHV-LHV-MW'!BH15=0),"",DC31/'HHV-LHV-MW'!BH15)</f>
        <v/>
      </c>
      <c r="DE31" s="635" t="str">
        <f>IF(OR(DD31="",CU31="",'HHV-LHV-MW'!BH15=""),"",((DD31*CU31*('HHV-LHV-MW'!BH15/100))/23.685)^2)</f>
        <v/>
      </c>
      <c r="DF31" s="636" t="str">
        <f>IF(OR(DD31="",CV31="",'HHV-LHV-MW'!BH15=""),"",((DD31*CV31*('HHV-LHV-MW'!BH15/100))/23.685)^2)</f>
        <v/>
      </c>
      <c r="DG31" s="639" t="e">
        <f t="shared" si="12"/>
        <v>#DIV/0!</v>
      </c>
      <c r="DH31" s="892" t="e">
        <f t="shared" si="13"/>
        <v>#DIV/0!</v>
      </c>
      <c r="DI31" s="511"/>
      <c r="DJ31" s="511"/>
      <c r="DK31" s="511"/>
      <c r="DL31" s="511"/>
      <c r="DM31" s="511"/>
      <c r="DN31" s="511"/>
      <c r="DO31" s="511"/>
      <c r="DP31" s="888" t="str">
        <f>IF(M31="","",VLOOKUP(M31,'HHV-LHV-MW'!$A$3:$H$40,4,FALSE))</f>
        <v/>
      </c>
      <c r="DQ31" s="889" t="str">
        <f>IF(M31="","",VLOOKUP(M31,'HHV-LHV-MW'!$A$3:$H$40,5,FALSE))</f>
        <v/>
      </c>
      <c r="DR31" s="890" t="e">
        <f>(PRODUCT('HHV-LHV-MW'!DE15)+PRODUCT('HHV-LHV-MW'!DQ15)+PRODUCT('HHV-LHV-MW'!EC15)+PRODUCT('HHV-LHV-MW'!EO15))/$BO$37</f>
        <v>#DIV/0!</v>
      </c>
      <c r="DS31" s="890">
        <f>IF($BO$37=1,"",  (SQRT(  (      (IF('HHV-LHV-MW'!DE15="",0,('HHV-LHV-MW'!DE15-DR31)^2))      +        (IF('HHV-LHV-MW'!DQ15="",0,('HHV-LHV-MW'!DQ15-DR31)^2))       +        (IF('HHV-LHV-MW'!EC15="",0,('HHV-LHV-MW'!EC15-DR31)^2))          +        (IF('HHV-LHV-MW'!EO15="",0,('HHV-LHV-MW'!EO15-DR31)^2))          )     *(1/($BO$37-1))  )))</f>
        <v>0</v>
      </c>
      <c r="DT31" s="890" t="e">
        <f t="shared" si="0"/>
        <v>#N/A</v>
      </c>
      <c r="DU31" s="890" t="e">
        <f t="shared" si="14"/>
        <v>#DIV/0!</v>
      </c>
      <c r="DV31" s="636" t="str">
        <f>IF('HHV-LHV-MW'!DE15="","",IF(AND('HHV-LHV-MW'!DE15&gt;=0,'HHV-LHV-MW'!DE15&lt;=0.09),2,  IF(AND('HHV-LHV-MW'!DE15&gt;=0.1,'HHV-LHV-MW'!DE15&lt;=0.9),7,  IF(AND('HHV-LHV-MW'!DE15&gt;=1,'HHV-LHV-MW'!DE15&lt;=4.9),10,   IF(AND('HHV-LHV-MW'!DE15&gt;=5,'HHV-LHV-MW'!DE15&lt;=10),12, 15)))))</f>
        <v/>
      </c>
      <c r="DW31" s="636" t="str">
        <f>IF('HHV-LHV-MW'!DE15="","",5*'HHV-LHV-MW'!DE15)</f>
        <v/>
      </c>
      <c r="DX31" s="635" t="str">
        <f t="shared" si="15"/>
        <v/>
      </c>
      <c r="DY31" s="636" t="str">
        <f>IF(OR(DX31="",'HHV-LHV-MW'!DE15=0),"",DX31/'HHV-LHV-MW'!DE15)</f>
        <v/>
      </c>
      <c r="DZ31" s="636" t="str">
        <f>IF(OR(DY31="",DP31="",'HHV-LHV-MW'!DE15=""),"",((DY31*DP31*('HHV-LHV-MW'!DE15/100))/23.685)^2)</f>
        <v/>
      </c>
      <c r="EA31" s="636" t="str">
        <f>IF(OR(DY31="",DQ31="",'HHV-LHV-MW'!DE15=""),"",((DY31*DQ31*('HHV-LHV-MW'!DE15/100))/23.685)^2)</f>
        <v/>
      </c>
      <c r="EB31" s="639" t="e">
        <f t="shared" si="16"/>
        <v>#DIV/0!</v>
      </c>
      <c r="EC31" s="892" t="e">
        <f t="shared" si="17"/>
        <v>#DIV/0!</v>
      </c>
      <c r="ED31" s="511"/>
      <c r="EE31" s="511"/>
      <c r="EF31" s="511"/>
      <c r="EG31" s="511"/>
      <c r="EH31" s="511"/>
      <c r="EI31" s="511"/>
      <c r="EJ31" s="511"/>
      <c r="EK31" s="888" t="str">
        <f>IF(S31="","",VLOOKUP(S31,'HHV-LHV-MW'!$A$3:$H$40,4,FALSE))</f>
        <v/>
      </c>
      <c r="EL31" s="889" t="str">
        <f>IF(S31="","",VLOOKUP(S31,'HHV-LHV-MW'!$A$3:$H$40,5,FALSE))</f>
        <v/>
      </c>
      <c r="EM31" s="890" t="e">
        <f>(PRODUCT('HHV-LHV-MW'!FB15)+PRODUCT('HHV-LHV-MW'!FN15)+PRODUCT('HHV-LHV-MW'!FZ15)+PRODUCT('HHV-LHV-MW'!GL15))/$BW$19</f>
        <v>#DIV/0!</v>
      </c>
      <c r="EN31" s="890">
        <f>IF($BW$19=1,"",  (SQRT(  (      (IF('HHV-LHV-MW'!FB15="",0,('HHV-LHV-MW'!FB15-EM31)^2))      +        (IF('HHV-LHV-MW'!FN15="",0,('HHV-LHV-MW'!FN15-EM31)^2))       +        (IF('HHV-LHV-MW'!FZ15="",0,('HHV-LHV-MW'!FZ15-EM31)^2))          +        (IF('HHV-LHV-MW'!GL15="",0,('HHV-LHV-MW'!GL15-EM31)^2))          )     *(1/($BW$19-1))  )))</f>
        <v>0</v>
      </c>
      <c r="EO31" s="890" t="e">
        <f t="shared" si="1"/>
        <v>#N/A</v>
      </c>
      <c r="EP31" s="890" t="e">
        <f t="shared" si="18"/>
        <v>#DIV/0!</v>
      </c>
      <c r="EQ31" s="636" t="str">
        <f>IF('HHV-LHV-MW'!FB15="","",IF(AND('HHV-LHV-MW'!FB15&gt;=0,'HHV-LHV-MW'!FB15&lt;=0.09),2,  IF(AND('HHV-LHV-MW'!FB15&gt;=0.1,'HHV-LHV-MW'!FB15&lt;=0.9),7,  IF(AND('HHV-LHV-MW'!FB15&gt;=1,'HHV-LHV-MW'!FB15&lt;=4.9),10,   IF(AND('HHV-LHV-MW'!FB15&gt;=5,'HHV-LHV-MW'!FB15&lt;=10),12, 15)))))</f>
        <v/>
      </c>
      <c r="ER31" s="636" t="str">
        <f>IF('HHV-LHV-MW'!FB15="","",5*'HHV-LHV-MW'!FB15)</f>
        <v/>
      </c>
      <c r="ES31" s="635" t="str">
        <f t="shared" si="19"/>
        <v/>
      </c>
      <c r="ET31" s="636" t="str">
        <f>IF(OR(ES31="",'HHV-LHV-MW'!FB15=0),"",ES31/'HHV-LHV-MW'!FB15)</f>
        <v/>
      </c>
      <c r="EU31" s="636" t="str">
        <f>IF(OR(ET31="",EK31="",'HHV-LHV-MW'!FB15=""),"",((ET31*EK31*('HHV-LHV-MW'!FB15/100))/23.685)^2)</f>
        <v/>
      </c>
      <c r="EV31" s="636" t="str">
        <f>IF(OR(ET31="",EL31="",'HHV-LHV-MW'!FB15=""),"",((ET31*EL31*('HHV-LHV-MW'!FB15/100))/23.685)^2)</f>
        <v/>
      </c>
      <c r="EW31" s="639" t="e">
        <f t="shared" si="20"/>
        <v>#DIV/0!</v>
      </c>
      <c r="EX31" s="892" t="e">
        <f t="shared" si="21"/>
        <v>#DIV/0!</v>
      </c>
      <c r="EY31" s="511"/>
      <c r="EZ31" s="511"/>
      <c r="FA31" s="511"/>
      <c r="FB31" s="511"/>
      <c r="FC31" s="511"/>
      <c r="FD31" s="511"/>
      <c r="FE31" s="511"/>
      <c r="FF31" s="888" t="str">
        <f>IF(Y31="","",VLOOKUP(Y31,'HHV-LHV-MW'!$A$3:$H$40,4,FALSE))</f>
        <v/>
      </c>
      <c r="FG31" s="889" t="str">
        <f>IF(Y31="","",VLOOKUP(Y31,'HHV-LHV-MW'!$A$3:$H$40,5,FALSE))</f>
        <v/>
      </c>
      <c r="FH31" s="890" t="e">
        <f>(PRODUCT('HHV-LHV-MW'!GY15)+PRODUCT('HHV-LHV-MW'!HK15)+PRODUCT('HHV-LHV-MW'!HW15)+PRODUCT('HHV-LHV-MW'!II15))/$BW$28</f>
        <v>#DIV/0!</v>
      </c>
      <c r="FI31" s="890">
        <f>IF($BW$28=1,"",  (SQRT(  (      (IF('HHV-LHV-MW'!GY15="",0,('HHV-LHV-MW'!GY15-FH31)^2))      +        (IF('HHV-LHV-MW'!HK15="",0,('HHV-LHV-MW'!HK15-FH31)^2))       +        (IF('HHV-LHV-MW'!HW15="",0,('HHV-LHV-MW'!HW15-FH31)^2))          +        (IF('HHV-LHV-MW'!II15="",0,('HHV-LHV-MW'!II15-FH31)^2))          )     *(1/($BW$28-1))  )))</f>
        <v>0</v>
      </c>
      <c r="FJ31" s="890" t="e">
        <f t="shared" si="2"/>
        <v>#N/A</v>
      </c>
      <c r="FK31" s="890" t="e">
        <f t="shared" si="22"/>
        <v>#DIV/0!</v>
      </c>
      <c r="FL31" s="636" t="str">
        <f>IF('HHV-LHV-MW'!GY15="","",IF(AND('HHV-LHV-MW'!GY15&gt;=0,'HHV-LHV-MW'!GY15&lt;=0.09),2,  IF(AND('HHV-LHV-MW'!GY15&gt;=0.1,'HHV-LHV-MW'!GY15&lt;=0.9),7,  IF(AND('HHV-LHV-MW'!GY15&gt;=1,'HHV-LHV-MW'!GY15&lt;=4.9),10,   IF(AND('HHV-LHV-MW'!GY15&gt;=5,'HHV-LHV-MW'!GY15&lt;=10),12, 15)))))</f>
        <v/>
      </c>
      <c r="FM31" s="636" t="str">
        <f>IF('HHV-LHV-MW'!GY15="","",5*'HHV-LHV-MW'!GY15)</f>
        <v/>
      </c>
      <c r="FN31" s="635" t="str">
        <f t="shared" si="23"/>
        <v/>
      </c>
      <c r="FO31" s="636" t="str">
        <f>IF(OR(FN31="",'HHV-LHV-MW'!GY15=0),"",FN31/'HHV-LHV-MW'!GY15)</f>
        <v/>
      </c>
      <c r="FP31" s="636" t="str">
        <f>IF(OR(FO31="",FF31="",'HHV-LHV-MW'!GY15=""),"",((FO31*FF31*('HHV-LHV-MW'!GY15/100))/23.685)^2)</f>
        <v/>
      </c>
      <c r="FQ31" s="636" t="str">
        <f>IF(OR(FO31="",FG31="",'HHV-LHV-MW'!GY15=""),"",((FO31*FG31*('HHV-LHV-MW'!GY15/100))/23.685)^2)</f>
        <v/>
      </c>
      <c r="FR31" s="639" t="e">
        <f t="shared" si="24"/>
        <v>#DIV/0!</v>
      </c>
      <c r="FS31" s="892" t="e">
        <f t="shared" si="25"/>
        <v>#DIV/0!</v>
      </c>
      <c r="FT31" s="511"/>
      <c r="FU31" s="511"/>
      <c r="FV31" s="511"/>
      <c r="FW31" s="511"/>
      <c r="FX31" s="511"/>
      <c r="FY31" s="511"/>
      <c r="FZ31" s="511"/>
      <c r="GA31" s="888" t="str">
        <f>IF(AE31="","",VLOOKUP(AE31,'HHV-LHV-MW'!$A$3:$H$40,4,FALSE))</f>
        <v/>
      </c>
      <c r="GB31" s="889" t="str">
        <f>IF(AE31="","",VLOOKUP(AE31,'HHV-LHV-MW'!$A$3:$H$40,5,FALSE))</f>
        <v/>
      </c>
      <c r="GC31" s="890" t="e">
        <f>(PRODUCT('HHV-LHV-MW'!IV15)+PRODUCT('HHV-LHV-MW'!JH15)+PRODUCT('HHV-LHV-MW'!JT15)+PRODUCT('HHV-LHV-MW'!KF15))/$BW$37</f>
        <v>#DIV/0!</v>
      </c>
      <c r="GD31" s="890">
        <f>IF($BW$37=1,"",  (SQRT(  (      (IF('HHV-LHV-MW'!IV15="",0,('HHV-LHV-MW'!IV15-GC31)^2))      +        (IF('HHV-LHV-MW'!JH15="",0,('HHV-LHV-MW'!JH15-GC31)^2))       +        (IF('HHV-LHV-MW'!JT15="",0,('HHV-LHV-MW'!JT15-GC31)^2))          +        (IF('HHV-LHV-MW'!KF15="",0,('HHV-LHV-MW'!KF15-GC31)^2))          )     *(1/($BW$37-1))  )))</f>
        <v>0</v>
      </c>
      <c r="GE31" s="890" t="e">
        <f t="shared" si="3"/>
        <v>#N/A</v>
      </c>
      <c r="GF31" s="890" t="e">
        <f t="shared" si="26"/>
        <v>#DIV/0!</v>
      </c>
      <c r="GG31" s="636" t="str">
        <f>IF('HHV-LHV-MW'!IV15="","",IF(AND('HHV-LHV-MW'!IV15&gt;=0,'HHV-LHV-MW'!IV15&lt;=0.09),2,  IF(AND('HHV-LHV-MW'!IV15&gt;=0.1,'HHV-LHV-MW'!IV15&lt;=0.9),7,  IF(AND('HHV-LHV-MW'!IV15&gt;=1,'HHV-LHV-MW'!IV15&lt;=4.9),10,   IF(AND('HHV-LHV-MW'!IV15&gt;=5,'HHV-LHV-MW'!IV15&lt;=10),12, 15)))))</f>
        <v/>
      </c>
      <c r="GH31" s="636" t="str">
        <f>IF('HHV-LHV-MW'!IV15="","",5*'HHV-LHV-MW'!IV15)</f>
        <v/>
      </c>
      <c r="GI31" s="635" t="str">
        <f t="shared" si="27"/>
        <v/>
      </c>
      <c r="GJ31" s="636" t="str">
        <f>IF(OR(GI31="",'HHV-LHV-MW'!IV15=0),"",GI31/'HHV-LHV-MW'!IV15)</f>
        <v/>
      </c>
      <c r="GK31" s="636" t="str">
        <f>IF(OR(GJ31="",GA31="",'HHV-LHV-MW'!IV15=""),"",((GJ31*GA31*('HHV-LHV-MW'!IV15/100))/23.685)^2)</f>
        <v/>
      </c>
      <c r="GL31" s="636" t="str">
        <f>IF(OR(GJ31="",GB31="",'HHV-LHV-MW'!IV15=""),"",((GJ31*GB31*('HHV-LHV-MW'!IV15/100))/23.685)^2)</f>
        <v/>
      </c>
      <c r="GM31" s="639" t="e">
        <f t="shared" si="28"/>
        <v>#DIV/0!</v>
      </c>
      <c r="GN31" s="892" t="e">
        <f t="shared" si="29"/>
        <v>#DIV/0!</v>
      </c>
      <c r="GO31" s="874"/>
      <c r="GP31" s="874"/>
      <c r="GQ31" s="874"/>
      <c r="GR31" s="874"/>
      <c r="GS31" s="874"/>
      <c r="GT31" s="874"/>
      <c r="GU31" s="874"/>
      <c r="GV31" s="874"/>
      <c r="GW31" s="874"/>
      <c r="GX31" s="874"/>
      <c r="GY31" s="874"/>
      <c r="GZ31" s="874"/>
      <c r="HA31" s="874"/>
      <c r="HB31" s="511"/>
      <c r="HC31" s="511"/>
      <c r="HD31" s="511"/>
      <c r="HE31" s="511"/>
      <c r="HF31" s="511"/>
      <c r="HG31" s="511"/>
      <c r="HH31" s="511"/>
      <c r="HI31" s="511"/>
      <c r="HJ31" s="874"/>
      <c r="HK31" s="874"/>
      <c r="HL31" s="874"/>
      <c r="HM31" s="874"/>
      <c r="HN31" s="874"/>
      <c r="HO31" s="874"/>
      <c r="HP31" s="874"/>
      <c r="HQ31" s="874"/>
      <c r="HR31" s="874"/>
      <c r="HS31" s="874"/>
      <c r="HT31" s="874"/>
      <c r="HU31" s="874"/>
      <c r="HV31" s="874"/>
      <c r="HW31" s="511"/>
      <c r="HX31" s="511"/>
      <c r="HY31" s="511"/>
      <c r="HZ31" s="511"/>
      <c r="IA31" s="511"/>
      <c r="IB31" s="511"/>
      <c r="IC31" s="511"/>
      <c r="ID31" s="511"/>
      <c r="IE31" s="874"/>
      <c r="IF31" s="874"/>
      <c r="IG31" s="874"/>
      <c r="IH31" s="874"/>
      <c r="II31" s="874"/>
      <c r="IJ31" s="874"/>
      <c r="IK31" s="874"/>
      <c r="IL31" s="874"/>
      <c r="IM31" s="874"/>
      <c r="IN31" s="874"/>
      <c r="IO31" s="874"/>
      <c r="IP31" s="874"/>
      <c r="IQ31" s="874"/>
      <c r="IR31" s="511"/>
      <c r="IS31" s="511"/>
      <c r="IT31" s="511"/>
      <c r="IU31" s="511"/>
      <c r="IV31" s="511"/>
      <c r="IW31" s="511"/>
      <c r="IX31" s="511"/>
      <c r="IY31" s="511"/>
      <c r="IZ31" s="874"/>
      <c r="JA31" s="874"/>
      <c r="JB31" s="874"/>
      <c r="JC31" s="874"/>
      <c r="JD31" s="874"/>
      <c r="JE31" s="874"/>
      <c r="JF31" s="874"/>
      <c r="JG31" s="874"/>
      <c r="JH31" s="874"/>
      <c r="JI31" s="874"/>
      <c r="JJ31" s="874"/>
      <c r="JK31" s="874"/>
      <c r="JL31" s="874"/>
      <c r="JM31" s="874"/>
      <c r="JN31" s="874"/>
      <c r="JO31" s="874"/>
      <c r="JP31" s="874"/>
      <c r="JQ31" s="874"/>
      <c r="JR31" s="874"/>
      <c r="JS31" s="874"/>
      <c r="JT31" s="874"/>
      <c r="JU31" s="874"/>
      <c r="JV31" s="874"/>
      <c r="JW31" s="874"/>
      <c r="JX31" s="874"/>
      <c r="JY31" s="874"/>
      <c r="JZ31" s="874"/>
      <c r="KA31" s="874"/>
      <c r="KB31" s="874"/>
      <c r="KC31" s="874"/>
      <c r="KD31" s="874"/>
      <c r="KE31" s="874"/>
      <c r="KF31" s="874"/>
      <c r="KG31" s="874"/>
      <c r="KH31" s="865"/>
      <c r="KI31" s="865"/>
      <c r="KJ31" s="865"/>
      <c r="KK31" s="865"/>
      <c r="KL31" s="865"/>
      <c r="KM31" s="865"/>
      <c r="KN31" s="865"/>
      <c r="KO31" s="865"/>
      <c r="KP31" s="865"/>
      <c r="KQ31" s="865"/>
      <c r="KR31" s="865"/>
      <c r="KS31" s="865"/>
      <c r="KT31" s="865"/>
      <c r="KU31" s="865"/>
      <c r="KV31" s="865"/>
      <c r="KW31" s="865"/>
      <c r="KX31" s="865"/>
      <c r="KY31" s="865"/>
      <c r="KZ31" s="865"/>
      <c r="LA31" s="865"/>
      <c r="LB31" s="865"/>
      <c r="LC31" s="865"/>
      <c r="LD31" s="865"/>
      <c r="LE31" s="865"/>
      <c r="LF31" s="865"/>
    </row>
    <row r="32" spans="1:318">
      <c r="A32" s="864"/>
      <c r="B32" s="502"/>
      <c r="C32" s="663"/>
      <c r="D32" s="663"/>
      <c r="E32" s="663"/>
      <c r="F32" s="511"/>
      <c r="G32" s="864"/>
      <c r="H32" s="502"/>
      <c r="I32" s="663"/>
      <c r="J32" s="663"/>
      <c r="K32" s="663"/>
      <c r="L32" s="511"/>
      <c r="M32" s="864"/>
      <c r="N32" s="502"/>
      <c r="O32" s="663"/>
      <c r="P32" s="663"/>
      <c r="Q32" s="663"/>
      <c r="R32" s="511"/>
      <c r="S32" s="864"/>
      <c r="T32" s="502"/>
      <c r="U32" s="663"/>
      <c r="V32" s="663"/>
      <c r="W32" s="663"/>
      <c r="X32" s="511"/>
      <c r="Y32" s="864"/>
      <c r="Z32" s="502"/>
      <c r="AA32" s="663"/>
      <c r="AB32" s="663"/>
      <c r="AC32" s="663"/>
      <c r="AD32" s="511"/>
      <c r="AE32" s="864"/>
      <c r="AF32" s="502"/>
      <c r="AG32" s="663"/>
      <c r="AH32" s="663"/>
      <c r="AI32" s="663"/>
      <c r="AJ32" s="511"/>
      <c r="AK32" s="865"/>
      <c r="AL32" s="865"/>
      <c r="AM32" s="865"/>
      <c r="AN32" s="865"/>
      <c r="AO32" s="865"/>
      <c r="AP32" s="865"/>
      <c r="AQ32" s="865"/>
      <c r="AR32" s="865"/>
      <c r="AS32" s="865"/>
      <c r="AT32" s="865"/>
      <c r="AU32" s="865"/>
      <c r="AV32" s="865"/>
      <c r="AW32" s="865"/>
      <c r="AX32" s="865"/>
      <c r="AY32" s="865"/>
      <c r="AZ32" s="865"/>
      <c r="BA32" s="865"/>
      <c r="BB32" s="865"/>
      <c r="BC32" s="865"/>
      <c r="BD32" s="865"/>
      <c r="BE32" s="865"/>
      <c r="BF32" s="865"/>
      <c r="BG32" s="865"/>
      <c r="BH32" s="865"/>
      <c r="BI32" s="865"/>
      <c r="BJ32" s="865"/>
      <c r="BK32" s="865"/>
      <c r="BL32" s="865"/>
      <c r="BM32" s="865"/>
      <c r="BN32" s="865"/>
      <c r="BO32" s="865"/>
      <c r="BP32" s="865"/>
      <c r="BQ32" s="865"/>
      <c r="BR32" s="865"/>
      <c r="BS32" s="865"/>
      <c r="BT32" s="865"/>
      <c r="BU32" s="865"/>
      <c r="BV32" s="865"/>
      <c r="BW32" s="865"/>
      <c r="BX32" s="865"/>
      <c r="BY32" s="874"/>
      <c r="BZ32" s="888" t="str">
        <f>IF(A32="","",VLOOKUP(A32,'HHV-LHV-MW'!$A$3:$H$40,4,FALSE))</f>
        <v/>
      </c>
      <c r="CA32" s="889" t="str">
        <f>IF(A32="","",VLOOKUP(A32,'HHV-LHV-MW'!$A$3:$H$40,5,FALSE))</f>
        <v/>
      </c>
      <c r="CB32" s="890" t="e">
        <f>(PRODUCT('HHV-LHV-MW'!K16)+PRODUCT('HHV-LHV-MW'!W16)+PRODUCT('HHV-LHV-MW'!AI16)+PRODUCT('HHV-LHV-MW'!AU16))/$BO$19</f>
        <v>#DIV/0!</v>
      </c>
      <c r="CC32" s="890">
        <f>IF($BO$19=1,"",  (SQRT(  (      (IF('HHV-LHV-MW'!K16="",0,('HHV-LHV-MW'!K16-CB32)^2))      +        (IF('HHV-LHV-MW'!W16="",0,('HHV-LHV-MW'!W16-CB32)^2))       +        (IF('HHV-LHV-MW'!AI16="",0,('HHV-LHV-MW'!AI16-CB32)^2))          +        (IF('HHV-LHV-MW'!AU16="",0,('HHV-LHV-MW'!AU16-CB32)^2))          )     *(1/($BO$19-1))  )))</f>
        <v>0</v>
      </c>
      <c r="CD32" s="890" t="e">
        <f t="shared" si="4"/>
        <v>#N/A</v>
      </c>
      <c r="CE32" s="890" t="e">
        <f t="shared" si="5"/>
        <v>#DIV/0!</v>
      </c>
      <c r="CF32" s="636" t="str">
        <f>IF('HHV-LHV-MW'!K16="","",IF(AND('HHV-LHV-MW'!K16&gt;=0,'HHV-LHV-MW'!K16&lt;=0.09),2,  IF(AND('HHV-LHV-MW'!K16&gt;=0.1,'HHV-LHV-MW'!K16&lt;=0.9),7,  IF(AND('HHV-LHV-MW'!K16&gt;=1,'HHV-LHV-MW'!K16&lt;=4.9),10,   IF(AND('HHV-LHV-MW'!K16&gt;=5,'HHV-LHV-MW'!K16&lt;=10),12, 15)))))</f>
        <v/>
      </c>
      <c r="CG32" s="636" t="str">
        <f>IF('HHV-LHV-MW'!K16="","",5*'HHV-LHV-MW'!K16)</f>
        <v/>
      </c>
      <c r="CH32" s="635" t="str">
        <f t="shared" si="6"/>
        <v/>
      </c>
      <c r="CI32" s="636" t="str">
        <f>IF(OR(CH32="",'HHV-LHV-MW'!K16=0),"",CH32/'HHV-LHV-MW'!K16)</f>
        <v/>
      </c>
      <c r="CJ32" s="636" t="str">
        <f>IF(OR(CI32="",BZ32="",'HHV-LHV-MW'!K16=""),"",((CI32*BZ32*('HHV-LHV-MW'!K16/100))/23.685)^2)</f>
        <v/>
      </c>
      <c r="CK32" s="891" t="str">
        <f>IF(OR(CI32="",CA32="",'HHV-LHV-MW'!K16=""),"",((CI32*CA32*('HHV-LHV-MW'!K16/100))/23.685)^2)</f>
        <v/>
      </c>
      <c r="CL32" s="639" t="e">
        <f t="shared" si="7"/>
        <v>#DIV/0!</v>
      </c>
      <c r="CM32" s="892" t="e">
        <f t="shared" si="8"/>
        <v>#DIV/0!</v>
      </c>
      <c r="CN32" s="511"/>
      <c r="CO32" s="511"/>
      <c r="CP32" s="511"/>
      <c r="CQ32" s="511"/>
      <c r="CR32" s="511"/>
      <c r="CS32" s="511"/>
      <c r="CT32" s="511"/>
      <c r="CU32" s="888" t="str">
        <f>IF(G32="","",VLOOKUP(G32,'HHV-LHV-MW'!$A$3:$H$40,4,FALSE))</f>
        <v/>
      </c>
      <c r="CV32" s="889" t="str">
        <f>IF(G32="","",VLOOKUP(G32,'HHV-LHV-MW'!$A$3:$H$40,5,FALSE))</f>
        <v/>
      </c>
      <c r="CW32" s="890" t="e">
        <f>(PRODUCT('HHV-LHV-MW'!BH16)+PRODUCT('HHV-LHV-MW'!BT16)+PRODUCT('HHV-LHV-MW'!CF16)+PRODUCT('HHV-LHV-MW'!CR16))/$BO$28</f>
        <v>#DIV/0!</v>
      </c>
      <c r="CX32" s="890">
        <f>IF($BO$28=1,"",  (SQRT(  (      (IF('HHV-LHV-MW'!BH16="",0,('HHV-LHV-MW'!BH16-CW32)^2))      +        (IF('HHV-LHV-MW'!BT16="",0,('HHV-LHV-MW'!BT16-CW32)^2))       +        (IF('HHV-LHV-MW'!CF16="",0,('HHV-LHV-MW'!CF16-CW32)^2))          +        (IF('HHV-LHV-MW'!CR16="",0,('HHV-LHV-MW'!CR16-CW32)^2))          )     *(1/($BO$28-1))  )))</f>
        <v>0</v>
      </c>
      <c r="CY32" s="890" t="e">
        <f t="shared" si="9"/>
        <v>#N/A</v>
      </c>
      <c r="CZ32" s="890" t="e">
        <f t="shared" si="10"/>
        <v>#DIV/0!</v>
      </c>
      <c r="DA32" s="636" t="str">
        <f>IF('HHV-LHV-MW'!BH16="","",IF(AND('HHV-LHV-MW'!BH16&gt;=0,'HHV-LHV-MW'!BH16&lt;=0.09),2,  IF(AND('HHV-LHV-MW'!BH16&gt;=0.1,'HHV-LHV-MW'!BH16&lt;=0.9),7,  IF(AND('HHV-LHV-MW'!BH16&gt;=1,'HHV-LHV-MW'!BH16&lt;=4.9),10,   IF(AND('HHV-LHV-MW'!BH16&gt;=5,'HHV-LHV-MW'!BH16&lt;=10),12, 15)))))</f>
        <v/>
      </c>
      <c r="DB32" s="636" t="str">
        <f>IF('HHV-LHV-MW'!BH16="","",5*'HHV-LHV-MW'!BH16)</f>
        <v/>
      </c>
      <c r="DC32" s="635" t="str">
        <f t="shared" si="11"/>
        <v/>
      </c>
      <c r="DD32" s="636" t="str">
        <f>IF(OR(DC32="",'HHV-LHV-MW'!BH16=0),"",DC32/'HHV-LHV-MW'!BH16)</f>
        <v/>
      </c>
      <c r="DE32" s="635" t="str">
        <f>IF(OR(DD32="",CU32="",'HHV-LHV-MW'!BH16=""),"",((DD32*CU32*('HHV-LHV-MW'!BH16/100))/23.685)^2)</f>
        <v/>
      </c>
      <c r="DF32" s="636" t="str">
        <f>IF(OR(DD32="",CV32="",'HHV-LHV-MW'!BH16=""),"",((DD32*CV32*('HHV-LHV-MW'!BH16/100))/23.685)^2)</f>
        <v/>
      </c>
      <c r="DG32" s="639" t="e">
        <f t="shared" si="12"/>
        <v>#DIV/0!</v>
      </c>
      <c r="DH32" s="892" t="e">
        <f t="shared" si="13"/>
        <v>#DIV/0!</v>
      </c>
      <c r="DI32" s="511"/>
      <c r="DJ32" s="511"/>
      <c r="DK32" s="511"/>
      <c r="DL32" s="511"/>
      <c r="DM32" s="511"/>
      <c r="DN32" s="511"/>
      <c r="DO32" s="511"/>
      <c r="DP32" s="888" t="str">
        <f>IF(M32="","",VLOOKUP(M32,'HHV-LHV-MW'!$A$3:$H$40,4,FALSE))</f>
        <v/>
      </c>
      <c r="DQ32" s="889" t="str">
        <f>IF(M32="","",VLOOKUP(M32,'HHV-LHV-MW'!$A$3:$H$40,5,FALSE))</f>
        <v/>
      </c>
      <c r="DR32" s="890" t="e">
        <f>(PRODUCT('HHV-LHV-MW'!DE16)+PRODUCT('HHV-LHV-MW'!DQ16)+PRODUCT('HHV-LHV-MW'!EC16)+PRODUCT('HHV-LHV-MW'!EO16))/$BO$37</f>
        <v>#DIV/0!</v>
      </c>
      <c r="DS32" s="890">
        <f>IF($BO$37=1,"",  (SQRT(  (      (IF('HHV-LHV-MW'!DE16="",0,('HHV-LHV-MW'!DE16-DR32)^2))      +        (IF('HHV-LHV-MW'!DQ16="",0,('HHV-LHV-MW'!DQ16-DR32)^2))       +        (IF('HHV-LHV-MW'!EC16="",0,('HHV-LHV-MW'!EC16-DR32)^2))          +        (IF('HHV-LHV-MW'!EO16="",0,('HHV-LHV-MW'!EO16-DR32)^2))          )     *(1/($BO$37-1))  )))</f>
        <v>0</v>
      </c>
      <c r="DT32" s="890" t="e">
        <f t="shared" si="0"/>
        <v>#N/A</v>
      </c>
      <c r="DU32" s="890" t="e">
        <f t="shared" si="14"/>
        <v>#DIV/0!</v>
      </c>
      <c r="DV32" s="636" t="str">
        <f>IF('HHV-LHV-MW'!DE16="","",IF(AND('HHV-LHV-MW'!DE16&gt;=0,'HHV-LHV-MW'!DE16&lt;=0.09),2,  IF(AND('HHV-LHV-MW'!DE16&gt;=0.1,'HHV-LHV-MW'!DE16&lt;=0.9),7,  IF(AND('HHV-LHV-MW'!DE16&gt;=1,'HHV-LHV-MW'!DE16&lt;=4.9),10,   IF(AND('HHV-LHV-MW'!DE16&gt;=5,'HHV-LHV-MW'!DE16&lt;=10),12, 15)))))</f>
        <v/>
      </c>
      <c r="DW32" s="636" t="str">
        <f>IF('HHV-LHV-MW'!DE16="","",5*'HHV-LHV-MW'!DE16)</f>
        <v/>
      </c>
      <c r="DX32" s="635" t="str">
        <f t="shared" si="15"/>
        <v/>
      </c>
      <c r="DY32" s="636" t="str">
        <f>IF(OR(DX32="",'HHV-LHV-MW'!DE16=0),"",DX32/'HHV-LHV-MW'!DE16)</f>
        <v/>
      </c>
      <c r="DZ32" s="636" t="str">
        <f>IF(OR(DY32="",DP32="",'HHV-LHV-MW'!DE16=""),"",((DY32*DP32*('HHV-LHV-MW'!DE16/100))/23.685)^2)</f>
        <v/>
      </c>
      <c r="EA32" s="636" t="str">
        <f>IF(OR(DY32="",DQ32="",'HHV-LHV-MW'!DE16=""),"",((DY32*DQ32*('HHV-LHV-MW'!DE16/100))/23.685)^2)</f>
        <v/>
      </c>
      <c r="EB32" s="639" t="e">
        <f t="shared" si="16"/>
        <v>#DIV/0!</v>
      </c>
      <c r="EC32" s="892" t="e">
        <f t="shared" si="17"/>
        <v>#DIV/0!</v>
      </c>
      <c r="ED32" s="511"/>
      <c r="EE32" s="511"/>
      <c r="EF32" s="511"/>
      <c r="EG32" s="511"/>
      <c r="EH32" s="511"/>
      <c r="EI32" s="511"/>
      <c r="EJ32" s="511"/>
      <c r="EK32" s="888" t="str">
        <f>IF(S32="","",VLOOKUP(S32,'HHV-LHV-MW'!$A$3:$H$40,4,FALSE))</f>
        <v/>
      </c>
      <c r="EL32" s="889" t="str">
        <f>IF(S32="","",VLOOKUP(S32,'HHV-LHV-MW'!$A$3:$H$40,5,FALSE))</f>
        <v/>
      </c>
      <c r="EM32" s="890" t="e">
        <f>(PRODUCT('HHV-LHV-MW'!FB16)+PRODUCT('HHV-LHV-MW'!FN16)+PRODUCT('HHV-LHV-MW'!FZ16)+PRODUCT('HHV-LHV-MW'!GL16))/$BW$19</f>
        <v>#DIV/0!</v>
      </c>
      <c r="EN32" s="890">
        <f>IF($BW$19=1,"",  (SQRT(  (      (IF('HHV-LHV-MW'!FB16="",0,('HHV-LHV-MW'!FB16-EM32)^2))      +        (IF('HHV-LHV-MW'!FN16="",0,('HHV-LHV-MW'!FN16-EM32)^2))       +        (IF('HHV-LHV-MW'!FZ16="",0,('HHV-LHV-MW'!FZ16-EM32)^2))          +        (IF('HHV-LHV-MW'!GL16="",0,('HHV-LHV-MW'!GL16-EM32)^2))          )     *(1/($BW$19-1))  )))</f>
        <v>0</v>
      </c>
      <c r="EO32" s="890" t="e">
        <f t="shared" si="1"/>
        <v>#N/A</v>
      </c>
      <c r="EP32" s="890" t="e">
        <f t="shared" si="18"/>
        <v>#DIV/0!</v>
      </c>
      <c r="EQ32" s="636" t="str">
        <f>IF('HHV-LHV-MW'!FB16="","",IF(AND('HHV-LHV-MW'!FB16&gt;=0,'HHV-LHV-MW'!FB16&lt;=0.09),2,  IF(AND('HHV-LHV-MW'!FB16&gt;=0.1,'HHV-LHV-MW'!FB16&lt;=0.9),7,  IF(AND('HHV-LHV-MW'!FB16&gt;=1,'HHV-LHV-MW'!FB16&lt;=4.9),10,   IF(AND('HHV-LHV-MW'!FB16&gt;=5,'HHV-LHV-MW'!FB16&lt;=10),12, 15)))))</f>
        <v/>
      </c>
      <c r="ER32" s="636" t="str">
        <f>IF('HHV-LHV-MW'!FB16="","",5*'HHV-LHV-MW'!FB16)</f>
        <v/>
      </c>
      <c r="ES32" s="635" t="str">
        <f t="shared" si="19"/>
        <v/>
      </c>
      <c r="ET32" s="636" t="str">
        <f>IF(OR(ES32="",'HHV-LHV-MW'!FB16=0),"",ES32/'HHV-LHV-MW'!FB16)</f>
        <v/>
      </c>
      <c r="EU32" s="636" t="str">
        <f>IF(OR(ET32="",EK32="",'HHV-LHV-MW'!FB16=""),"",((ET32*EK32*('HHV-LHV-MW'!FB16/100))/23.685)^2)</f>
        <v/>
      </c>
      <c r="EV32" s="636" t="str">
        <f>IF(OR(ET32="",EL32="",'HHV-LHV-MW'!FB16=""),"",((ET32*EL32*('HHV-LHV-MW'!FB16/100))/23.685)^2)</f>
        <v/>
      </c>
      <c r="EW32" s="639" t="e">
        <f t="shared" si="20"/>
        <v>#DIV/0!</v>
      </c>
      <c r="EX32" s="892" t="e">
        <f t="shared" si="21"/>
        <v>#DIV/0!</v>
      </c>
      <c r="EY32" s="511"/>
      <c r="EZ32" s="511"/>
      <c r="FA32" s="511"/>
      <c r="FB32" s="511"/>
      <c r="FC32" s="511"/>
      <c r="FD32" s="511"/>
      <c r="FE32" s="511"/>
      <c r="FF32" s="888" t="str">
        <f>IF(Y32="","",VLOOKUP(Y32,'HHV-LHV-MW'!$A$3:$H$40,4,FALSE))</f>
        <v/>
      </c>
      <c r="FG32" s="889" t="str">
        <f>IF(Y32="","",VLOOKUP(Y32,'HHV-LHV-MW'!$A$3:$H$40,5,FALSE))</f>
        <v/>
      </c>
      <c r="FH32" s="890" t="e">
        <f>(PRODUCT('HHV-LHV-MW'!GY16)+PRODUCT('HHV-LHV-MW'!HK16)+PRODUCT('HHV-LHV-MW'!HW16)+PRODUCT('HHV-LHV-MW'!II16))/$BW$28</f>
        <v>#DIV/0!</v>
      </c>
      <c r="FI32" s="890">
        <f>IF($BW$28=1,"",  (SQRT(  (      (IF('HHV-LHV-MW'!GY16="",0,('HHV-LHV-MW'!GY16-FH32)^2))      +        (IF('HHV-LHV-MW'!HK16="",0,('HHV-LHV-MW'!HK16-FH32)^2))       +        (IF('HHV-LHV-MW'!HW16="",0,('HHV-LHV-MW'!HW16-FH32)^2))          +        (IF('HHV-LHV-MW'!II16="",0,('HHV-LHV-MW'!II16-FH32)^2))          )     *(1/($BW$28-1))  )))</f>
        <v>0</v>
      </c>
      <c r="FJ32" s="890" t="e">
        <f t="shared" si="2"/>
        <v>#N/A</v>
      </c>
      <c r="FK32" s="890" t="e">
        <f t="shared" si="22"/>
        <v>#DIV/0!</v>
      </c>
      <c r="FL32" s="636" t="str">
        <f>IF('HHV-LHV-MW'!GY16="","",IF(AND('HHV-LHV-MW'!GY16&gt;=0,'HHV-LHV-MW'!GY16&lt;=0.09),2,  IF(AND('HHV-LHV-MW'!GY16&gt;=0.1,'HHV-LHV-MW'!GY16&lt;=0.9),7,  IF(AND('HHV-LHV-MW'!GY16&gt;=1,'HHV-LHV-MW'!GY16&lt;=4.9),10,   IF(AND('HHV-LHV-MW'!GY16&gt;=5,'HHV-LHV-MW'!GY16&lt;=10),12, 15)))))</f>
        <v/>
      </c>
      <c r="FM32" s="636" t="str">
        <f>IF('HHV-LHV-MW'!GY16="","",5*'HHV-LHV-MW'!GY16)</f>
        <v/>
      </c>
      <c r="FN32" s="635" t="str">
        <f t="shared" si="23"/>
        <v/>
      </c>
      <c r="FO32" s="636" t="str">
        <f>IF(OR(FN32="",'HHV-LHV-MW'!GY16=0),"",FN32/'HHV-LHV-MW'!GY16)</f>
        <v/>
      </c>
      <c r="FP32" s="636" t="str">
        <f>IF(OR(FO32="",FF32="",'HHV-LHV-MW'!GY16=""),"",((FO32*FF32*('HHV-LHV-MW'!GY16/100))/23.685)^2)</f>
        <v/>
      </c>
      <c r="FQ32" s="636" t="str">
        <f>IF(OR(FO32="",FG32="",'HHV-LHV-MW'!GY16=""),"",((FO32*FG32*('HHV-LHV-MW'!GY16/100))/23.685)^2)</f>
        <v/>
      </c>
      <c r="FR32" s="639" t="e">
        <f t="shared" si="24"/>
        <v>#DIV/0!</v>
      </c>
      <c r="FS32" s="892" t="e">
        <f t="shared" si="25"/>
        <v>#DIV/0!</v>
      </c>
      <c r="FT32" s="511"/>
      <c r="FU32" s="511"/>
      <c r="FV32" s="511"/>
      <c r="FW32" s="511"/>
      <c r="FX32" s="511"/>
      <c r="FY32" s="511"/>
      <c r="FZ32" s="511"/>
      <c r="GA32" s="888" t="str">
        <f>IF(AE32="","",VLOOKUP(AE32,'HHV-LHV-MW'!$A$3:$H$40,4,FALSE))</f>
        <v/>
      </c>
      <c r="GB32" s="889" t="str">
        <f>IF(AE32="","",VLOOKUP(AE32,'HHV-LHV-MW'!$A$3:$H$40,5,FALSE))</f>
        <v/>
      </c>
      <c r="GC32" s="890" t="e">
        <f>(PRODUCT('HHV-LHV-MW'!IV16)+PRODUCT('HHV-LHV-MW'!JH16)+PRODUCT('HHV-LHV-MW'!JT16)+PRODUCT('HHV-LHV-MW'!KF16))/$BW$37</f>
        <v>#DIV/0!</v>
      </c>
      <c r="GD32" s="890">
        <f>IF($BW$37=1,"",  (SQRT(  (      (IF('HHV-LHV-MW'!IV16="",0,('HHV-LHV-MW'!IV16-GC32)^2))      +        (IF('HHV-LHV-MW'!JH16="",0,('HHV-LHV-MW'!JH16-GC32)^2))       +        (IF('HHV-LHV-MW'!JT16="",0,('HHV-LHV-MW'!JT16-GC32)^2))          +        (IF('HHV-LHV-MW'!KF16="",0,('HHV-LHV-MW'!KF16-GC32)^2))          )     *(1/($BW$37-1))  )))</f>
        <v>0</v>
      </c>
      <c r="GE32" s="890" t="e">
        <f t="shared" si="3"/>
        <v>#N/A</v>
      </c>
      <c r="GF32" s="890" t="e">
        <f t="shared" si="26"/>
        <v>#DIV/0!</v>
      </c>
      <c r="GG32" s="636" t="str">
        <f>IF('HHV-LHV-MW'!IV16="","",IF(AND('HHV-LHV-MW'!IV16&gt;=0,'HHV-LHV-MW'!IV16&lt;=0.09),2,  IF(AND('HHV-LHV-MW'!IV16&gt;=0.1,'HHV-LHV-MW'!IV16&lt;=0.9),7,  IF(AND('HHV-LHV-MW'!IV16&gt;=1,'HHV-LHV-MW'!IV16&lt;=4.9),10,   IF(AND('HHV-LHV-MW'!IV16&gt;=5,'HHV-LHV-MW'!IV16&lt;=10),12, 15)))))</f>
        <v/>
      </c>
      <c r="GH32" s="636" t="str">
        <f>IF('HHV-LHV-MW'!IV16="","",5*'HHV-LHV-MW'!IV16)</f>
        <v/>
      </c>
      <c r="GI32" s="635" t="str">
        <f t="shared" si="27"/>
        <v/>
      </c>
      <c r="GJ32" s="636" t="str">
        <f>IF(OR(GI32="",'HHV-LHV-MW'!IV16=0),"",GI32/'HHV-LHV-MW'!IV16)</f>
        <v/>
      </c>
      <c r="GK32" s="636" t="str">
        <f>IF(OR(GJ32="",GA32="",'HHV-LHV-MW'!IV16=""),"",((GJ32*GA32*('HHV-LHV-MW'!IV16/100))/23.685)^2)</f>
        <v/>
      </c>
      <c r="GL32" s="636" t="str">
        <f>IF(OR(GJ32="",GB32="",'HHV-LHV-MW'!IV16=""),"",((GJ32*GB32*('HHV-LHV-MW'!IV16/100))/23.685)^2)</f>
        <v/>
      </c>
      <c r="GM32" s="639" t="e">
        <f t="shared" si="28"/>
        <v>#DIV/0!</v>
      </c>
      <c r="GN32" s="892" t="e">
        <f t="shared" si="29"/>
        <v>#DIV/0!</v>
      </c>
      <c r="GO32" s="874"/>
      <c r="GP32" s="874"/>
      <c r="GQ32" s="874"/>
      <c r="GR32" s="874"/>
      <c r="GS32" s="874"/>
      <c r="GT32" s="874"/>
      <c r="GU32" s="874"/>
      <c r="GV32" s="874"/>
      <c r="GW32" s="874"/>
      <c r="GX32" s="874"/>
      <c r="GY32" s="874"/>
      <c r="GZ32" s="874"/>
      <c r="HA32" s="874"/>
      <c r="HB32" s="511"/>
      <c r="HC32" s="511"/>
      <c r="HD32" s="511"/>
      <c r="HE32" s="511"/>
      <c r="HF32" s="511"/>
      <c r="HG32" s="511"/>
      <c r="HH32" s="511"/>
      <c r="HI32" s="511"/>
      <c r="HJ32" s="874"/>
      <c r="HK32" s="874"/>
      <c r="HL32" s="874"/>
      <c r="HM32" s="874"/>
      <c r="HN32" s="874"/>
      <c r="HO32" s="874"/>
      <c r="HP32" s="874"/>
      <c r="HQ32" s="874"/>
      <c r="HR32" s="874"/>
      <c r="HS32" s="874"/>
      <c r="HT32" s="874"/>
      <c r="HU32" s="874"/>
      <c r="HV32" s="874"/>
      <c r="HW32" s="511"/>
      <c r="HX32" s="511"/>
      <c r="HY32" s="511"/>
      <c r="HZ32" s="511"/>
      <c r="IA32" s="511"/>
      <c r="IB32" s="511"/>
      <c r="IC32" s="511"/>
      <c r="ID32" s="511"/>
      <c r="IE32" s="874"/>
      <c r="IF32" s="874"/>
      <c r="IG32" s="874"/>
      <c r="IH32" s="874"/>
      <c r="II32" s="874"/>
      <c r="IJ32" s="874"/>
      <c r="IK32" s="874"/>
      <c r="IL32" s="874"/>
      <c r="IM32" s="874"/>
      <c r="IN32" s="874"/>
      <c r="IO32" s="874"/>
      <c r="IP32" s="874"/>
      <c r="IQ32" s="874"/>
      <c r="IR32" s="511"/>
      <c r="IS32" s="511"/>
      <c r="IT32" s="511"/>
      <c r="IU32" s="511"/>
      <c r="IV32" s="511"/>
      <c r="IW32" s="511"/>
      <c r="IX32" s="511"/>
      <c r="IY32" s="511"/>
      <c r="IZ32" s="874"/>
      <c r="JA32" s="874"/>
      <c r="JB32" s="874"/>
      <c r="JC32" s="874"/>
      <c r="JD32" s="874"/>
      <c r="JE32" s="874"/>
      <c r="JF32" s="874"/>
      <c r="JG32" s="874"/>
      <c r="JH32" s="874"/>
      <c r="JI32" s="874"/>
      <c r="JJ32" s="874"/>
      <c r="JK32" s="874"/>
      <c r="JL32" s="874"/>
      <c r="JM32" s="874"/>
      <c r="JN32" s="874"/>
      <c r="JO32" s="874"/>
      <c r="JP32" s="874"/>
      <c r="JQ32" s="874"/>
      <c r="JR32" s="874"/>
      <c r="JS32" s="874"/>
      <c r="JT32" s="874"/>
      <c r="JU32" s="874"/>
      <c r="JV32" s="874"/>
      <c r="JW32" s="874"/>
      <c r="JX32" s="874"/>
      <c r="JY32" s="874"/>
      <c r="JZ32" s="874"/>
      <c r="KA32" s="874"/>
      <c r="KB32" s="874"/>
      <c r="KC32" s="874"/>
      <c r="KD32" s="874"/>
      <c r="KE32" s="874"/>
      <c r="KF32" s="874"/>
      <c r="KG32" s="874"/>
      <c r="KH32" s="865"/>
      <c r="KI32" s="865"/>
      <c r="KJ32" s="865"/>
      <c r="KK32" s="865"/>
      <c r="KL32" s="865"/>
      <c r="KM32" s="865"/>
      <c r="KN32" s="865"/>
      <c r="KO32" s="865"/>
      <c r="KP32" s="865"/>
      <c r="KQ32" s="865"/>
      <c r="KR32" s="865"/>
      <c r="KS32" s="865"/>
      <c r="KT32" s="865"/>
      <c r="KU32" s="865"/>
      <c r="KV32" s="865"/>
      <c r="KW32" s="865"/>
      <c r="KX32" s="865"/>
      <c r="KY32" s="865"/>
      <c r="KZ32" s="865"/>
      <c r="LA32" s="865"/>
      <c r="LB32" s="865"/>
      <c r="LC32" s="865"/>
      <c r="LD32" s="865"/>
      <c r="LE32" s="865"/>
      <c r="LF32" s="865"/>
    </row>
    <row r="33" spans="1:318" ht="20.399999999999999">
      <c r="A33" s="864"/>
      <c r="B33" s="502"/>
      <c r="C33" s="663"/>
      <c r="D33" s="663"/>
      <c r="E33" s="663"/>
      <c r="F33" s="511"/>
      <c r="G33" s="864"/>
      <c r="H33" s="502"/>
      <c r="I33" s="663"/>
      <c r="J33" s="663"/>
      <c r="K33" s="663"/>
      <c r="L33" s="511"/>
      <c r="M33" s="864"/>
      <c r="N33" s="502"/>
      <c r="O33" s="663"/>
      <c r="P33" s="663"/>
      <c r="Q33" s="663"/>
      <c r="R33" s="511"/>
      <c r="S33" s="864"/>
      <c r="T33" s="502"/>
      <c r="U33" s="663"/>
      <c r="V33" s="663"/>
      <c r="W33" s="663"/>
      <c r="X33" s="511"/>
      <c r="Y33" s="864"/>
      <c r="Z33" s="502"/>
      <c r="AA33" s="663"/>
      <c r="AB33" s="663"/>
      <c r="AC33" s="663"/>
      <c r="AD33" s="511"/>
      <c r="AE33" s="864"/>
      <c r="AF33" s="502"/>
      <c r="AG33" s="663"/>
      <c r="AH33" s="663"/>
      <c r="AI33" s="663"/>
      <c r="AJ33" s="511"/>
      <c r="AK33" s="865"/>
      <c r="AL33" s="865"/>
      <c r="AM33" s="865"/>
      <c r="AN33" s="865"/>
      <c r="AO33" s="865"/>
      <c r="AP33" s="865"/>
      <c r="AQ33" s="865"/>
      <c r="AR33" s="865"/>
      <c r="AS33" s="865"/>
      <c r="AT33" s="865"/>
      <c r="AU33" s="865"/>
      <c r="AV33" s="865"/>
      <c r="AW33" s="865"/>
      <c r="AX33" s="865"/>
      <c r="AY33" s="865"/>
      <c r="AZ33" s="865"/>
      <c r="BA33" s="865"/>
      <c r="BB33" s="865"/>
      <c r="BC33" s="865"/>
      <c r="BD33" s="865"/>
      <c r="BE33" s="865"/>
      <c r="BF33" s="865"/>
      <c r="BG33" s="865"/>
      <c r="BH33" s="865"/>
      <c r="BI33" s="865"/>
      <c r="BJ33" s="2478" t="s">
        <v>245</v>
      </c>
      <c r="BK33" s="2478"/>
      <c r="BL33" s="2478"/>
      <c r="BM33" s="2479" t="s">
        <v>232</v>
      </c>
      <c r="BN33" s="2479"/>
      <c r="BO33" s="2479"/>
      <c r="BP33" s="2479"/>
      <c r="BQ33" s="865"/>
      <c r="BR33" s="2478" t="s">
        <v>248</v>
      </c>
      <c r="BS33" s="2478"/>
      <c r="BT33" s="2478"/>
      <c r="BU33" s="2479" t="s">
        <v>235</v>
      </c>
      <c r="BV33" s="2479"/>
      <c r="BW33" s="2479"/>
      <c r="BX33" s="2479"/>
      <c r="BY33" s="874"/>
      <c r="BZ33" s="888" t="str">
        <f>IF(A33="","",VLOOKUP(A33,'HHV-LHV-MW'!$A$3:$H$40,4,FALSE))</f>
        <v/>
      </c>
      <c r="CA33" s="889" t="str">
        <f>IF(A33="","",VLOOKUP(A33,'HHV-LHV-MW'!$A$3:$H$40,5,FALSE))</f>
        <v/>
      </c>
      <c r="CB33" s="890" t="e">
        <f>(PRODUCT('HHV-LHV-MW'!K17)+PRODUCT('HHV-LHV-MW'!W17)+PRODUCT('HHV-LHV-MW'!AI17)+PRODUCT('HHV-LHV-MW'!AU17))/$BO$19</f>
        <v>#DIV/0!</v>
      </c>
      <c r="CC33" s="890">
        <f>IF($BO$19=1,"",  (SQRT(  (      (IF('HHV-LHV-MW'!K17="",0,('HHV-LHV-MW'!K17-CB33)^2))      +        (IF('HHV-LHV-MW'!W17="",0,('HHV-LHV-MW'!W17-CB33)^2))       +        (IF('HHV-LHV-MW'!AI17="",0,('HHV-LHV-MW'!AI17-CB33)^2))          +        (IF('HHV-LHV-MW'!AU17="",0,('HHV-LHV-MW'!AU17-CB33)^2))          )     *(1/($BO$19-1))  )))</f>
        <v>0</v>
      </c>
      <c r="CD33" s="890" t="e">
        <f t="shared" si="4"/>
        <v>#N/A</v>
      </c>
      <c r="CE33" s="890" t="e">
        <f t="shared" si="5"/>
        <v>#DIV/0!</v>
      </c>
      <c r="CF33" s="636" t="str">
        <f>IF('HHV-LHV-MW'!K17="","",IF(AND('HHV-LHV-MW'!K17&gt;=0,'HHV-LHV-MW'!K17&lt;=0.09),2,  IF(AND('HHV-LHV-MW'!K17&gt;=0.1,'HHV-LHV-MW'!K17&lt;=0.9),7,  IF(AND('HHV-LHV-MW'!K17&gt;=1,'HHV-LHV-MW'!K17&lt;=4.9),10,   IF(AND('HHV-LHV-MW'!K17&gt;=5,'HHV-LHV-MW'!K17&lt;=10),12, 15)))))</f>
        <v/>
      </c>
      <c r="CG33" s="636" t="str">
        <f>IF('HHV-LHV-MW'!K17="","",5*'HHV-LHV-MW'!K17)</f>
        <v/>
      </c>
      <c r="CH33" s="635" t="str">
        <f t="shared" si="6"/>
        <v/>
      </c>
      <c r="CI33" s="636" t="str">
        <f>IF(OR(CH33="",'HHV-LHV-MW'!K17=0),"",CH33/'HHV-LHV-MW'!K17)</f>
        <v/>
      </c>
      <c r="CJ33" s="636" t="str">
        <f>IF(OR(CI33="",BZ33="",'HHV-LHV-MW'!K17=""),"",((CI33*BZ33*('HHV-LHV-MW'!K17/100))/23.685)^2)</f>
        <v/>
      </c>
      <c r="CK33" s="891" t="str">
        <f>IF(OR(CI33="",CA33="",'HHV-LHV-MW'!K17=""),"",((CI33*CA33*('HHV-LHV-MW'!K17/100))/23.685)^2)</f>
        <v/>
      </c>
      <c r="CL33" s="639" t="e">
        <f t="shared" si="7"/>
        <v>#DIV/0!</v>
      </c>
      <c r="CM33" s="892" t="e">
        <f t="shared" si="8"/>
        <v>#DIV/0!</v>
      </c>
      <c r="CN33" s="511"/>
      <c r="CO33" s="511"/>
      <c r="CP33" s="511"/>
      <c r="CQ33" s="511"/>
      <c r="CR33" s="511"/>
      <c r="CS33" s="511"/>
      <c r="CT33" s="511"/>
      <c r="CU33" s="888" t="str">
        <f>IF(G33="","",VLOOKUP(G33,'HHV-LHV-MW'!$A$3:$H$40,4,FALSE))</f>
        <v/>
      </c>
      <c r="CV33" s="889" t="str">
        <f>IF(G33="","",VLOOKUP(G33,'HHV-LHV-MW'!$A$3:$H$40,5,FALSE))</f>
        <v/>
      </c>
      <c r="CW33" s="890" t="e">
        <f>(PRODUCT('HHV-LHV-MW'!BH17)+PRODUCT('HHV-LHV-MW'!BT17)+PRODUCT('HHV-LHV-MW'!CF17)+PRODUCT('HHV-LHV-MW'!CR17))/$BO$28</f>
        <v>#DIV/0!</v>
      </c>
      <c r="CX33" s="890">
        <f>IF($BO$28=1,"",  (SQRT(  (      (IF('HHV-LHV-MW'!BH17="",0,('HHV-LHV-MW'!BH17-CW33)^2))      +        (IF('HHV-LHV-MW'!BT17="",0,('HHV-LHV-MW'!BT17-CW33)^2))       +        (IF('HHV-LHV-MW'!CF17="",0,('HHV-LHV-MW'!CF17-CW33)^2))          +        (IF('HHV-LHV-MW'!CR17="",0,('HHV-LHV-MW'!CR17-CW33)^2))          )     *(1/($BO$28-1))  )))</f>
        <v>0</v>
      </c>
      <c r="CY33" s="890" t="e">
        <f t="shared" si="9"/>
        <v>#N/A</v>
      </c>
      <c r="CZ33" s="890" t="e">
        <f t="shared" si="10"/>
        <v>#DIV/0!</v>
      </c>
      <c r="DA33" s="636" t="str">
        <f>IF('HHV-LHV-MW'!BH17="","",IF(AND('HHV-LHV-MW'!BH17&gt;=0,'HHV-LHV-MW'!BH17&lt;=0.09),2,  IF(AND('HHV-LHV-MW'!BH17&gt;=0.1,'HHV-LHV-MW'!BH17&lt;=0.9),7,  IF(AND('HHV-LHV-MW'!BH17&gt;=1,'HHV-LHV-MW'!BH17&lt;=4.9),10,   IF(AND('HHV-LHV-MW'!BH17&gt;=5,'HHV-LHV-MW'!BH17&lt;=10),12, 15)))))</f>
        <v/>
      </c>
      <c r="DB33" s="636" t="str">
        <f>IF('HHV-LHV-MW'!BH17="","",5*'HHV-LHV-MW'!BH17)</f>
        <v/>
      </c>
      <c r="DC33" s="635" t="str">
        <f t="shared" si="11"/>
        <v/>
      </c>
      <c r="DD33" s="636" t="str">
        <f>IF(OR(DC33="",'HHV-LHV-MW'!BH17=0),"",DC33/'HHV-LHV-MW'!BH17)</f>
        <v/>
      </c>
      <c r="DE33" s="635" t="str">
        <f>IF(OR(DD33="",CU33="",'HHV-LHV-MW'!BH17=""),"",((DD33*CU33*('HHV-LHV-MW'!BH17/100))/23.685)^2)</f>
        <v/>
      </c>
      <c r="DF33" s="636" t="str">
        <f>IF(OR(DD33="",CV33="",'HHV-LHV-MW'!BH17=""),"",((DD33*CV33*('HHV-LHV-MW'!BH17/100))/23.685)^2)</f>
        <v/>
      </c>
      <c r="DG33" s="639" t="e">
        <f t="shared" si="12"/>
        <v>#DIV/0!</v>
      </c>
      <c r="DH33" s="892" t="e">
        <f t="shared" si="13"/>
        <v>#DIV/0!</v>
      </c>
      <c r="DI33" s="511"/>
      <c r="DJ33" s="511"/>
      <c r="DK33" s="511"/>
      <c r="DL33" s="511"/>
      <c r="DM33" s="511"/>
      <c r="DN33" s="511"/>
      <c r="DO33" s="511"/>
      <c r="DP33" s="888" t="str">
        <f>IF(M33="","",VLOOKUP(M33,'HHV-LHV-MW'!$A$3:$H$40,4,FALSE))</f>
        <v/>
      </c>
      <c r="DQ33" s="889" t="str">
        <f>IF(M33="","",VLOOKUP(M33,'HHV-LHV-MW'!$A$3:$H$40,5,FALSE))</f>
        <v/>
      </c>
      <c r="DR33" s="890" t="e">
        <f>(PRODUCT('HHV-LHV-MW'!DE17)+PRODUCT('HHV-LHV-MW'!DQ17)+PRODUCT('HHV-LHV-MW'!EC17)+PRODUCT('HHV-LHV-MW'!EO17))/$BO$37</f>
        <v>#DIV/0!</v>
      </c>
      <c r="DS33" s="890">
        <f>IF($BO$37=1,"",  (SQRT(  (      (IF('HHV-LHV-MW'!DE17="",0,('HHV-LHV-MW'!DE17-DR33)^2))      +        (IF('HHV-LHV-MW'!DQ17="",0,('HHV-LHV-MW'!DQ17-DR33)^2))       +        (IF('HHV-LHV-MW'!EC17="",0,('HHV-LHV-MW'!EC17-DR33)^2))          +        (IF('HHV-LHV-MW'!EO17="",0,('HHV-LHV-MW'!EO17-DR33)^2))          )     *(1/($BO$37-1))  )))</f>
        <v>0</v>
      </c>
      <c r="DT33" s="890" t="e">
        <f t="shared" si="0"/>
        <v>#N/A</v>
      </c>
      <c r="DU33" s="890" t="e">
        <f t="shared" si="14"/>
        <v>#DIV/0!</v>
      </c>
      <c r="DV33" s="636" t="str">
        <f>IF('HHV-LHV-MW'!DE17="","",IF(AND('HHV-LHV-MW'!DE17&gt;=0,'HHV-LHV-MW'!DE17&lt;=0.09),2,  IF(AND('HHV-LHV-MW'!DE17&gt;=0.1,'HHV-LHV-MW'!DE17&lt;=0.9),7,  IF(AND('HHV-LHV-MW'!DE17&gt;=1,'HHV-LHV-MW'!DE17&lt;=4.9),10,   IF(AND('HHV-LHV-MW'!DE17&gt;=5,'HHV-LHV-MW'!DE17&lt;=10),12, 15)))))</f>
        <v/>
      </c>
      <c r="DW33" s="636" t="str">
        <f>IF('HHV-LHV-MW'!DE17="","",5*'HHV-LHV-MW'!DE17)</f>
        <v/>
      </c>
      <c r="DX33" s="635" t="str">
        <f t="shared" si="15"/>
        <v/>
      </c>
      <c r="DY33" s="636" t="str">
        <f>IF(OR(DX33="",'HHV-LHV-MW'!DE17=0),"",DX33/'HHV-LHV-MW'!DE17)</f>
        <v/>
      </c>
      <c r="DZ33" s="636" t="str">
        <f>IF(OR(DY33="",DP33="",'HHV-LHV-MW'!DE17=""),"",((DY33*DP33*('HHV-LHV-MW'!DE17/100))/23.685)^2)</f>
        <v/>
      </c>
      <c r="EA33" s="636" t="str">
        <f>IF(OR(DY33="",DQ33="",'HHV-LHV-MW'!DE17=""),"",((DY33*DQ33*('HHV-LHV-MW'!DE17/100))/23.685)^2)</f>
        <v/>
      </c>
      <c r="EB33" s="639" t="e">
        <f t="shared" si="16"/>
        <v>#DIV/0!</v>
      </c>
      <c r="EC33" s="892" t="e">
        <f t="shared" si="17"/>
        <v>#DIV/0!</v>
      </c>
      <c r="ED33" s="511"/>
      <c r="EE33" s="511"/>
      <c r="EF33" s="511"/>
      <c r="EG33" s="511"/>
      <c r="EH33" s="511"/>
      <c r="EI33" s="511"/>
      <c r="EJ33" s="511"/>
      <c r="EK33" s="888" t="str">
        <f>IF(S33="","",VLOOKUP(S33,'HHV-LHV-MW'!$A$3:$H$40,4,FALSE))</f>
        <v/>
      </c>
      <c r="EL33" s="889" t="str">
        <f>IF(S33="","",VLOOKUP(S33,'HHV-LHV-MW'!$A$3:$H$40,5,FALSE))</f>
        <v/>
      </c>
      <c r="EM33" s="890" t="e">
        <f>(PRODUCT('HHV-LHV-MW'!FB17)+PRODUCT('HHV-LHV-MW'!FN17)+PRODUCT('HHV-LHV-MW'!FZ17)+PRODUCT('HHV-LHV-MW'!GL17))/$BW$19</f>
        <v>#DIV/0!</v>
      </c>
      <c r="EN33" s="890">
        <f>IF($BW$19=1,"",  (SQRT(  (      (IF('HHV-LHV-MW'!FB17="",0,('HHV-LHV-MW'!FB17-EM33)^2))      +        (IF('HHV-LHV-MW'!FN17="",0,('HHV-LHV-MW'!FN17-EM33)^2))       +        (IF('HHV-LHV-MW'!FZ17="",0,('HHV-LHV-MW'!FZ17-EM33)^2))          +        (IF('HHV-LHV-MW'!GL17="",0,('HHV-LHV-MW'!GL17-EM33)^2))          )     *(1/($BW$19-1))  )))</f>
        <v>0</v>
      </c>
      <c r="EO33" s="890" t="e">
        <f t="shared" si="1"/>
        <v>#N/A</v>
      </c>
      <c r="EP33" s="890" t="e">
        <f t="shared" si="18"/>
        <v>#DIV/0!</v>
      </c>
      <c r="EQ33" s="636" t="str">
        <f>IF('HHV-LHV-MW'!FB17="","",IF(AND('HHV-LHV-MW'!FB17&gt;=0,'HHV-LHV-MW'!FB17&lt;=0.09),2,  IF(AND('HHV-LHV-MW'!FB17&gt;=0.1,'HHV-LHV-MW'!FB17&lt;=0.9),7,  IF(AND('HHV-LHV-MW'!FB17&gt;=1,'HHV-LHV-MW'!FB17&lt;=4.9),10,   IF(AND('HHV-LHV-MW'!FB17&gt;=5,'HHV-LHV-MW'!FB17&lt;=10),12, 15)))))</f>
        <v/>
      </c>
      <c r="ER33" s="636" t="str">
        <f>IF('HHV-LHV-MW'!FB17="","",5*'HHV-LHV-MW'!FB17)</f>
        <v/>
      </c>
      <c r="ES33" s="635" t="str">
        <f t="shared" si="19"/>
        <v/>
      </c>
      <c r="ET33" s="636" t="str">
        <f>IF(OR(ES33="",'HHV-LHV-MW'!FB17=0),"",ES33/'HHV-LHV-MW'!FB17)</f>
        <v/>
      </c>
      <c r="EU33" s="636" t="str">
        <f>IF(OR(ET33="",EK33="",'HHV-LHV-MW'!FB17=""),"",((ET33*EK33*('HHV-LHV-MW'!FB17/100))/23.685)^2)</f>
        <v/>
      </c>
      <c r="EV33" s="636" t="str">
        <f>IF(OR(ET33="",EL33="",'HHV-LHV-MW'!FB17=""),"",((ET33*EL33*('HHV-LHV-MW'!FB17/100))/23.685)^2)</f>
        <v/>
      </c>
      <c r="EW33" s="639" t="e">
        <f t="shared" si="20"/>
        <v>#DIV/0!</v>
      </c>
      <c r="EX33" s="892" t="e">
        <f t="shared" si="21"/>
        <v>#DIV/0!</v>
      </c>
      <c r="EY33" s="511"/>
      <c r="EZ33" s="511"/>
      <c r="FA33" s="511"/>
      <c r="FB33" s="511"/>
      <c r="FC33" s="511"/>
      <c r="FD33" s="511"/>
      <c r="FE33" s="511"/>
      <c r="FF33" s="888" t="str">
        <f>IF(Y33="","",VLOOKUP(Y33,'HHV-LHV-MW'!$A$3:$H$40,4,FALSE))</f>
        <v/>
      </c>
      <c r="FG33" s="889" t="str">
        <f>IF(Y33="","",VLOOKUP(Y33,'HHV-LHV-MW'!$A$3:$H$40,5,FALSE))</f>
        <v/>
      </c>
      <c r="FH33" s="890" t="e">
        <f>(PRODUCT('HHV-LHV-MW'!GY17)+PRODUCT('HHV-LHV-MW'!HK17)+PRODUCT('HHV-LHV-MW'!HW17)+PRODUCT('HHV-LHV-MW'!II17))/$BW$28</f>
        <v>#DIV/0!</v>
      </c>
      <c r="FI33" s="890">
        <f>IF($BW$28=1,"",  (SQRT(  (      (IF('HHV-LHV-MW'!GY17="",0,('HHV-LHV-MW'!GY17-FH33)^2))      +        (IF('HHV-LHV-MW'!HK17="",0,('HHV-LHV-MW'!HK17-FH33)^2))       +        (IF('HHV-LHV-MW'!HW17="",0,('HHV-LHV-MW'!HW17-FH33)^2))          +        (IF('HHV-LHV-MW'!II17="",0,('HHV-LHV-MW'!II17-FH33)^2))          )     *(1/($BW$28-1))  )))</f>
        <v>0</v>
      </c>
      <c r="FJ33" s="890" t="e">
        <f t="shared" si="2"/>
        <v>#N/A</v>
      </c>
      <c r="FK33" s="890" t="e">
        <f t="shared" si="22"/>
        <v>#DIV/0!</v>
      </c>
      <c r="FL33" s="636" t="str">
        <f>IF('HHV-LHV-MW'!GY17="","",IF(AND('HHV-LHV-MW'!GY17&gt;=0,'HHV-LHV-MW'!GY17&lt;=0.09),2,  IF(AND('HHV-LHV-MW'!GY17&gt;=0.1,'HHV-LHV-MW'!GY17&lt;=0.9),7,  IF(AND('HHV-LHV-MW'!GY17&gt;=1,'HHV-LHV-MW'!GY17&lt;=4.9),10,   IF(AND('HHV-LHV-MW'!GY17&gt;=5,'HHV-LHV-MW'!GY17&lt;=10),12, 15)))))</f>
        <v/>
      </c>
      <c r="FM33" s="636" t="str">
        <f>IF('HHV-LHV-MW'!GY17="","",5*'HHV-LHV-MW'!GY17)</f>
        <v/>
      </c>
      <c r="FN33" s="635" t="str">
        <f t="shared" si="23"/>
        <v/>
      </c>
      <c r="FO33" s="636" t="str">
        <f>IF(OR(FN33="",'HHV-LHV-MW'!GY17=0),"",FN33/'HHV-LHV-MW'!GY17)</f>
        <v/>
      </c>
      <c r="FP33" s="636" t="str">
        <f>IF(OR(FO33="",FF33="",'HHV-LHV-MW'!GY17=""),"",((FO33*FF33*('HHV-LHV-MW'!GY17/100))/23.685)^2)</f>
        <v/>
      </c>
      <c r="FQ33" s="636" t="str">
        <f>IF(OR(FO33="",FG33="",'HHV-LHV-MW'!GY17=""),"",((FO33*FG33*('HHV-LHV-MW'!GY17/100))/23.685)^2)</f>
        <v/>
      </c>
      <c r="FR33" s="639" t="e">
        <f t="shared" si="24"/>
        <v>#DIV/0!</v>
      </c>
      <c r="FS33" s="892" t="e">
        <f t="shared" si="25"/>
        <v>#DIV/0!</v>
      </c>
      <c r="FT33" s="511"/>
      <c r="FU33" s="511"/>
      <c r="FV33" s="511"/>
      <c r="FW33" s="511"/>
      <c r="FX33" s="511"/>
      <c r="FY33" s="511"/>
      <c r="FZ33" s="511"/>
      <c r="GA33" s="888" t="str">
        <f>IF(AE33="","",VLOOKUP(AE33,'HHV-LHV-MW'!$A$3:$H$40,4,FALSE))</f>
        <v/>
      </c>
      <c r="GB33" s="889" t="str">
        <f>IF(AE33="","",VLOOKUP(AE33,'HHV-LHV-MW'!$A$3:$H$40,5,FALSE))</f>
        <v/>
      </c>
      <c r="GC33" s="890" t="e">
        <f>(PRODUCT('HHV-LHV-MW'!IV17)+PRODUCT('HHV-LHV-MW'!JH17)+PRODUCT('HHV-LHV-MW'!JT17)+PRODUCT('HHV-LHV-MW'!KF17))/$BW$37</f>
        <v>#DIV/0!</v>
      </c>
      <c r="GD33" s="890">
        <f>IF($BW$37=1,"",  (SQRT(  (      (IF('HHV-LHV-MW'!IV17="",0,('HHV-LHV-MW'!IV17-GC33)^2))      +        (IF('HHV-LHV-MW'!JH17="",0,('HHV-LHV-MW'!JH17-GC33)^2))       +        (IF('HHV-LHV-MW'!JT17="",0,('HHV-LHV-MW'!JT17-GC33)^2))          +        (IF('HHV-LHV-MW'!KF17="",0,('HHV-LHV-MW'!KF17-GC33)^2))          )     *(1/($BW$37-1))  )))</f>
        <v>0</v>
      </c>
      <c r="GE33" s="890" t="e">
        <f t="shared" si="3"/>
        <v>#N/A</v>
      </c>
      <c r="GF33" s="890" t="e">
        <f t="shared" si="26"/>
        <v>#DIV/0!</v>
      </c>
      <c r="GG33" s="636" t="str">
        <f>IF('HHV-LHV-MW'!IV17="","",IF(AND('HHV-LHV-MW'!IV17&gt;=0,'HHV-LHV-MW'!IV17&lt;=0.09),2,  IF(AND('HHV-LHV-MW'!IV17&gt;=0.1,'HHV-LHV-MW'!IV17&lt;=0.9),7,  IF(AND('HHV-LHV-MW'!IV17&gt;=1,'HHV-LHV-MW'!IV17&lt;=4.9),10,   IF(AND('HHV-LHV-MW'!IV17&gt;=5,'HHV-LHV-MW'!IV17&lt;=10),12, 15)))))</f>
        <v/>
      </c>
      <c r="GH33" s="636" t="str">
        <f>IF('HHV-LHV-MW'!IV17="","",5*'HHV-LHV-MW'!IV17)</f>
        <v/>
      </c>
      <c r="GI33" s="635" t="str">
        <f t="shared" si="27"/>
        <v/>
      </c>
      <c r="GJ33" s="636" t="str">
        <f>IF(OR(GI33="",'HHV-LHV-MW'!IV17=0),"",GI33/'HHV-LHV-MW'!IV17)</f>
        <v/>
      </c>
      <c r="GK33" s="636" t="str">
        <f>IF(OR(GJ33="",GA33="",'HHV-LHV-MW'!IV17=""),"",((GJ33*GA33*('HHV-LHV-MW'!IV17/100))/23.685)^2)</f>
        <v/>
      </c>
      <c r="GL33" s="636" t="str">
        <f>IF(OR(GJ33="",GB33="",'HHV-LHV-MW'!IV17=""),"",((GJ33*GB33*('HHV-LHV-MW'!IV17/100))/23.685)^2)</f>
        <v/>
      </c>
      <c r="GM33" s="639" t="e">
        <f t="shared" si="28"/>
        <v>#DIV/0!</v>
      </c>
      <c r="GN33" s="892" t="e">
        <f t="shared" si="29"/>
        <v>#DIV/0!</v>
      </c>
      <c r="GO33" s="874"/>
      <c r="GP33" s="874"/>
      <c r="GQ33" s="874"/>
      <c r="GR33" s="874"/>
      <c r="GS33" s="874"/>
      <c r="GT33" s="874"/>
      <c r="GU33" s="874"/>
      <c r="GV33" s="874"/>
      <c r="GW33" s="874"/>
      <c r="GX33" s="874"/>
      <c r="GY33" s="874"/>
      <c r="GZ33" s="874"/>
      <c r="HA33" s="874"/>
      <c r="HB33" s="511"/>
      <c r="HC33" s="511"/>
      <c r="HD33" s="511"/>
      <c r="HE33" s="511"/>
      <c r="HF33" s="511"/>
      <c r="HG33" s="511"/>
      <c r="HH33" s="511"/>
      <c r="HI33" s="511"/>
      <c r="HJ33" s="874"/>
      <c r="HK33" s="874"/>
      <c r="HL33" s="874"/>
      <c r="HM33" s="874"/>
      <c r="HN33" s="874"/>
      <c r="HO33" s="874"/>
      <c r="HP33" s="874"/>
      <c r="HQ33" s="874"/>
      <c r="HR33" s="874"/>
      <c r="HS33" s="874"/>
      <c r="HT33" s="874"/>
      <c r="HU33" s="874"/>
      <c r="HV33" s="874"/>
      <c r="HW33" s="511"/>
      <c r="HX33" s="511"/>
      <c r="HY33" s="511"/>
      <c r="HZ33" s="511"/>
      <c r="IA33" s="511"/>
      <c r="IB33" s="511"/>
      <c r="IC33" s="511"/>
      <c r="ID33" s="511"/>
      <c r="IE33" s="874"/>
      <c r="IF33" s="874"/>
      <c r="IG33" s="874"/>
      <c r="IH33" s="874"/>
      <c r="II33" s="874"/>
      <c r="IJ33" s="874"/>
      <c r="IK33" s="874"/>
      <c r="IL33" s="874"/>
      <c r="IM33" s="874"/>
      <c r="IN33" s="874"/>
      <c r="IO33" s="874"/>
      <c r="IP33" s="874"/>
      <c r="IQ33" s="874"/>
      <c r="IR33" s="511"/>
      <c r="IS33" s="511"/>
      <c r="IT33" s="511"/>
      <c r="IU33" s="511"/>
      <c r="IV33" s="511"/>
      <c r="IW33" s="511"/>
      <c r="IX33" s="511"/>
      <c r="IY33" s="511"/>
      <c r="IZ33" s="874"/>
      <c r="JA33" s="874"/>
      <c r="JB33" s="874"/>
      <c r="JC33" s="874"/>
      <c r="JD33" s="874"/>
      <c r="JE33" s="874"/>
      <c r="JF33" s="874"/>
      <c r="JG33" s="874"/>
      <c r="JH33" s="874"/>
      <c r="JI33" s="874"/>
      <c r="JJ33" s="874"/>
      <c r="JK33" s="874"/>
      <c r="JL33" s="874"/>
      <c r="JM33" s="874"/>
      <c r="JN33" s="874"/>
      <c r="JO33" s="874"/>
      <c r="JP33" s="874"/>
      <c r="JQ33" s="874"/>
      <c r="JR33" s="874"/>
      <c r="JS33" s="874"/>
      <c r="JT33" s="874"/>
      <c r="JU33" s="874"/>
      <c r="JV33" s="874"/>
      <c r="JW33" s="874"/>
      <c r="JX33" s="874"/>
      <c r="JY33" s="874"/>
      <c r="JZ33" s="874"/>
      <c r="KA33" s="874"/>
      <c r="KB33" s="874"/>
      <c r="KC33" s="874"/>
      <c r="KD33" s="874"/>
      <c r="KE33" s="874"/>
      <c r="KF33" s="874"/>
      <c r="KG33" s="874"/>
      <c r="KH33" s="865"/>
      <c r="KI33" s="865"/>
      <c r="KJ33" s="865"/>
      <c r="KK33" s="865"/>
      <c r="KL33" s="865"/>
      <c r="KM33" s="865"/>
      <c r="KN33" s="865"/>
      <c r="KO33" s="865"/>
      <c r="KP33" s="865"/>
      <c r="KQ33" s="865"/>
      <c r="KR33" s="865"/>
      <c r="KS33" s="865"/>
      <c r="KT33" s="865"/>
      <c r="KU33" s="865"/>
      <c r="KV33" s="865"/>
      <c r="KW33" s="865"/>
      <c r="KX33" s="865"/>
      <c r="KY33" s="865"/>
      <c r="KZ33" s="865"/>
      <c r="LA33" s="865"/>
      <c r="LB33" s="865"/>
      <c r="LC33" s="865"/>
      <c r="LD33" s="865"/>
      <c r="LE33" s="865"/>
      <c r="LF33" s="865"/>
    </row>
    <row r="34" spans="1:318">
      <c r="A34" s="864"/>
      <c r="B34" s="502"/>
      <c r="C34" s="663"/>
      <c r="D34" s="663"/>
      <c r="E34" s="663"/>
      <c r="F34" s="511"/>
      <c r="G34" s="864"/>
      <c r="H34" s="502"/>
      <c r="I34" s="663"/>
      <c r="J34" s="663"/>
      <c r="K34" s="663"/>
      <c r="L34" s="511"/>
      <c r="M34" s="864"/>
      <c r="N34" s="502"/>
      <c r="O34" s="663"/>
      <c r="P34" s="663"/>
      <c r="Q34" s="663"/>
      <c r="R34" s="511"/>
      <c r="S34" s="864"/>
      <c r="T34" s="502"/>
      <c r="U34" s="663"/>
      <c r="V34" s="663"/>
      <c r="W34" s="663"/>
      <c r="X34" s="511"/>
      <c r="Y34" s="864"/>
      <c r="Z34" s="502"/>
      <c r="AA34" s="663"/>
      <c r="AB34" s="663"/>
      <c r="AC34" s="663"/>
      <c r="AD34" s="511"/>
      <c r="AE34" s="864"/>
      <c r="AF34" s="502"/>
      <c r="AG34" s="663"/>
      <c r="AH34" s="663"/>
      <c r="AI34" s="663"/>
      <c r="AJ34" s="511"/>
      <c r="AK34" s="865"/>
      <c r="AL34" s="865"/>
      <c r="AM34" s="865"/>
      <c r="AN34" s="865"/>
      <c r="AO34" s="865"/>
      <c r="AP34" s="865"/>
      <c r="AQ34" s="865"/>
      <c r="AR34" s="865"/>
      <c r="AS34" s="865"/>
      <c r="AT34" s="865"/>
      <c r="AU34" s="865"/>
      <c r="AV34" s="865"/>
      <c r="AW34" s="865"/>
      <c r="AX34" s="865"/>
      <c r="AY34" s="865"/>
      <c r="AZ34" s="865"/>
      <c r="BA34" s="865"/>
      <c r="BB34" s="865"/>
      <c r="BC34" s="865"/>
      <c r="BD34" s="865"/>
      <c r="BE34" s="865"/>
      <c r="BF34" s="865"/>
      <c r="BG34" s="865"/>
      <c r="BH34" s="865"/>
      <c r="BI34" s="865"/>
      <c r="BJ34" s="2490" t="s">
        <v>1505</v>
      </c>
      <c r="BK34" s="2490"/>
      <c r="BL34" s="2490"/>
      <c r="BM34" s="1598"/>
      <c r="BN34" s="1598"/>
      <c r="BO34" s="1598"/>
      <c r="BP34" s="1598"/>
      <c r="BQ34" s="865"/>
      <c r="BR34" s="2490" t="s">
        <v>1505</v>
      </c>
      <c r="BS34" s="2490"/>
      <c r="BT34" s="2490"/>
      <c r="BU34" s="1598"/>
      <c r="BV34" s="1598"/>
      <c r="BW34" s="1598"/>
      <c r="BX34" s="1598"/>
      <c r="BY34" s="874"/>
      <c r="BZ34" s="888" t="str">
        <f>IF(A34="","",VLOOKUP(A34,'HHV-LHV-MW'!$A$3:$H$40,4,FALSE))</f>
        <v/>
      </c>
      <c r="CA34" s="889" t="str">
        <f>IF(A34="","",VLOOKUP(A34,'HHV-LHV-MW'!$A$3:$H$40,5,FALSE))</f>
        <v/>
      </c>
      <c r="CB34" s="890" t="e">
        <f>(PRODUCT('HHV-LHV-MW'!K18)+PRODUCT('HHV-LHV-MW'!W18)+PRODUCT('HHV-LHV-MW'!AI18)+PRODUCT('HHV-LHV-MW'!AU18))/$BO$19</f>
        <v>#DIV/0!</v>
      </c>
      <c r="CC34" s="890">
        <f>IF($BO$19=1,"",  (SQRT(  (      (IF('HHV-LHV-MW'!K18="",0,('HHV-LHV-MW'!K18-CB34)^2))      +        (IF('HHV-LHV-MW'!W18="",0,('HHV-LHV-MW'!W18-CB34)^2))       +        (IF('HHV-LHV-MW'!AI18="",0,('HHV-LHV-MW'!AI18-CB34)^2))          +        (IF('HHV-LHV-MW'!AU18="",0,('HHV-LHV-MW'!AU18-CB34)^2))          )     *(1/($BO$19-1))  )))</f>
        <v>0</v>
      </c>
      <c r="CD34" s="890" t="e">
        <f t="shared" si="4"/>
        <v>#N/A</v>
      </c>
      <c r="CE34" s="890" t="e">
        <f t="shared" si="5"/>
        <v>#DIV/0!</v>
      </c>
      <c r="CF34" s="636" t="str">
        <f>IF('HHV-LHV-MW'!K18="","",IF(AND('HHV-LHV-MW'!K18&gt;=0,'HHV-LHV-MW'!K18&lt;=0.09),2,  IF(AND('HHV-LHV-MW'!K18&gt;=0.1,'HHV-LHV-MW'!K18&lt;=0.9),7,  IF(AND('HHV-LHV-MW'!K18&gt;=1,'HHV-LHV-MW'!K18&lt;=4.9),10,   IF(AND('HHV-LHV-MW'!K18&gt;=5,'HHV-LHV-MW'!K18&lt;=10),12, 15)))))</f>
        <v/>
      </c>
      <c r="CG34" s="636" t="str">
        <f>IF('HHV-LHV-MW'!K18="","",5*'HHV-LHV-MW'!K18)</f>
        <v/>
      </c>
      <c r="CH34" s="635" t="str">
        <f t="shared" si="6"/>
        <v/>
      </c>
      <c r="CI34" s="636" t="str">
        <f>IF(OR(CH34="",'HHV-LHV-MW'!K18=0),"",CH34/'HHV-LHV-MW'!K18)</f>
        <v/>
      </c>
      <c r="CJ34" s="636" t="str">
        <f>IF(OR(CI34="",BZ34="",'HHV-LHV-MW'!K18=""),"",((CI34*BZ34*('HHV-LHV-MW'!K18/100))/23.685)^2)</f>
        <v/>
      </c>
      <c r="CK34" s="891" t="str">
        <f>IF(OR(CI34="",CA34="",'HHV-LHV-MW'!K18=""),"",((CI34*CA34*('HHV-LHV-MW'!K18/100))/23.685)^2)</f>
        <v/>
      </c>
      <c r="CL34" s="639" t="e">
        <f t="shared" si="7"/>
        <v>#DIV/0!</v>
      </c>
      <c r="CM34" s="892" t="e">
        <f t="shared" si="8"/>
        <v>#DIV/0!</v>
      </c>
      <c r="CN34" s="511"/>
      <c r="CO34" s="511"/>
      <c r="CP34" s="511"/>
      <c r="CQ34" s="511"/>
      <c r="CR34" s="511"/>
      <c r="CS34" s="511"/>
      <c r="CT34" s="511"/>
      <c r="CU34" s="888" t="str">
        <f>IF(G34="","",VLOOKUP(G34,'HHV-LHV-MW'!$A$3:$H$40,4,FALSE))</f>
        <v/>
      </c>
      <c r="CV34" s="889" t="str">
        <f>IF(G34="","",VLOOKUP(G34,'HHV-LHV-MW'!$A$3:$H$40,5,FALSE))</f>
        <v/>
      </c>
      <c r="CW34" s="890" t="e">
        <f>(PRODUCT('HHV-LHV-MW'!BH18)+PRODUCT('HHV-LHV-MW'!BT18)+PRODUCT('HHV-LHV-MW'!CF18)+PRODUCT('HHV-LHV-MW'!CR18))/$BO$28</f>
        <v>#DIV/0!</v>
      </c>
      <c r="CX34" s="890">
        <f>IF($BO$28=1,"",  (SQRT(  (      (IF('HHV-LHV-MW'!BH18="",0,('HHV-LHV-MW'!BH18-CW34)^2))      +        (IF('HHV-LHV-MW'!BT18="",0,('HHV-LHV-MW'!BT18-CW34)^2))       +        (IF('HHV-LHV-MW'!CF18="",0,('HHV-LHV-MW'!CF18-CW34)^2))          +        (IF('HHV-LHV-MW'!CR18="",0,('HHV-LHV-MW'!CR18-CW34)^2))          )     *(1/($BO$28-1))  )))</f>
        <v>0</v>
      </c>
      <c r="CY34" s="890" t="e">
        <f t="shared" si="9"/>
        <v>#N/A</v>
      </c>
      <c r="CZ34" s="890" t="e">
        <f t="shared" si="10"/>
        <v>#DIV/0!</v>
      </c>
      <c r="DA34" s="636" t="str">
        <f>IF('HHV-LHV-MW'!BH18="","",IF(AND('HHV-LHV-MW'!BH18&gt;=0,'HHV-LHV-MW'!BH18&lt;=0.09),2,  IF(AND('HHV-LHV-MW'!BH18&gt;=0.1,'HHV-LHV-MW'!BH18&lt;=0.9),7,  IF(AND('HHV-LHV-MW'!BH18&gt;=1,'HHV-LHV-MW'!BH18&lt;=4.9),10,   IF(AND('HHV-LHV-MW'!BH18&gt;=5,'HHV-LHV-MW'!BH18&lt;=10),12, 15)))))</f>
        <v/>
      </c>
      <c r="DB34" s="636" t="str">
        <f>IF('HHV-LHV-MW'!BH18="","",5*'HHV-LHV-MW'!BH18)</f>
        <v/>
      </c>
      <c r="DC34" s="635" t="str">
        <f t="shared" si="11"/>
        <v/>
      </c>
      <c r="DD34" s="636" t="str">
        <f>IF(OR(DC34="",'HHV-LHV-MW'!BH18=0),"",DC34/'HHV-LHV-MW'!BH18)</f>
        <v/>
      </c>
      <c r="DE34" s="635" t="str">
        <f>IF(OR(DD34="",CU34="",'HHV-LHV-MW'!BH18=""),"",((DD34*CU34*('HHV-LHV-MW'!BH18/100))/23.685)^2)</f>
        <v/>
      </c>
      <c r="DF34" s="636" t="str">
        <f>IF(OR(DD34="",CV34="",'HHV-LHV-MW'!BH18=""),"",((DD34*CV34*('HHV-LHV-MW'!BH18/100))/23.685)^2)</f>
        <v/>
      </c>
      <c r="DG34" s="639" t="e">
        <f t="shared" si="12"/>
        <v>#DIV/0!</v>
      </c>
      <c r="DH34" s="892" t="e">
        <f t="shared" si="13"/>
        <v>#DIV/0!</v>
      </c>
      <c r="DI34" s="511"/>
      <c r="DJ34" s="511"/>
      <c r="DK34" s="511"/>
      <c r="DL34" s="511"/>
      <c r="DM34" s="511"/>
      <c r="DN34" s="511"/>
      <c r="DO34" s="511"/>
      <c r="DP34" s="888" t="str">
        <f>IF(M34="","",VLOOKUP(M34,'HHV-LHV-MW'!$A$3:$H$40,4,FALSE))</f>
        <v/>
      </c>
      <c r="DQ34" s="889" t="str">
        <f>IF(M34="","",VLOOKUP(M34,'HHV-LHV-MW'!$A$3:$H$40,5,FALSE))</f>
        <v/>
      </c>
      <c r="DR34" s="890" t="e">
        <f>(PRODUCT('HHV-LHV-MW'!DE18)+PRODUCT('HHV-LHV-MW'!DQ18)+PRODUCT('HHV-LHV-MW'!EC18)+PRODUCT('HHV-LHV-MW'!EO18))/$BO$37</f>
        <v>#DIV/0!</v>
      </c>
      <c r="DS34" s="890">
        <f>IF($BO$37=1,"",  (SQRT(  (      (IF('HHV-LHV-MW'!DE18="",0,('HHV-LHV-MW'!DE18-DR34)^2))      +        (IF('HHV-LHV-MW'!DQ18="",0,('HHV-LHV-MW'!DQ18-DR34)^2))       +        (IF('HHV-LHV-MW'!EC18="",0,('HHV-LHV-MW'!EC18-DR34)^2))          +        (IF('HHV-LHV-MW'!EO18="",0,('HHV-LHV-MW'!EO18-DR34)^2))          )     *(1/($BO$37-1))  )))</f>
        <v>0</v>
      </c>
      <c r="DT34" s="890" t="e">
        <f t="shared" si="0"/>
        <v>#N/A</v>
      </c>
      <c r="DU34" s="890" t="e">
        <f t="shared" si="14"/>
        <v>#DIV/0!</v>
      </c>
      <c r="DV34" s="636" t="str">
        <f>IF('HHV-LHV-MW'!DE18="","",IF(AND('HHV-LHV-MW'!DE18&gt;=0,'HHV-LHV-MW'!DE18&lt;=0.09),2,  IF(AND('HHV-LHV-MW'!DE18&gt;=0.1,'HHV-LHV-MW'!DE18&lt;=0.9),7,  IF(AND('HHV-LHV-MW'!DE18&gt;=1,'HHV-LHV-MW'!DE18&lt;=4.9),10,   IF(AND('HHV-LHV-MW'!DE18&gt;=5,'HHV-LHV-MW'!DE18&lt;=10),12, 15)))))</f>
        <v/>
      </c>
      <c r="DW34" s="636" t="str">
        <f>IF('HHV-LHV-MW'!DE18="","",5*'HHV-LHV-MW'!DE18)</f>
        <v/>
      </c>
      <c r="DX34" s="635" t="str">
        <f t="shared" si="15"/>
        <v/>
      </c>
      <c r="DY34" s="636" t="str">
        <f>IF(OR(DX34="",'HHV-LHV-MW'!DE18=0),"",DX34/'HHV-LHV-MW'!DE18)</f>
        <v/>
      </c>
      <c r="DZ34" s="636" t="str">
        <f>IF(OR(DY34="",DP34="",'HHV-LHV-MW'!DE18=""),"",((DY34*DP34*('HHV-LHV-MW'!DE18/100))/23.685)^2)</f>
        <v/>
      </c>
      <c r="EA34" s="636" t="str">
        <f>IF(OR(DY34="",DQ34="",'HHV-LHV-MW'!DE18=""),"",((DY34*DQ34*('HHV-LHV-MW'!DE18/100))/23.685)^2)</f>
        <v/>
      </c>
      <c r="EB34" s="639" t="e">
        <f t="shared" si="16"/>
        <v>#DIV/0!</v>
      </c>
      <c r="EC34" s="892" t="e">
        <f t="shared" si="17"/>
        <v>#DIV/0!</v>
      </c>
      <c r="ED34" s="511"/>
      <c r="EE34" s="511"/>
      <c r="EF34" s="511"/>
      <c r="EG34" s="511"/>
      <c r="EH34" s="511"/>
      <c r="EI34" s="511"/>
      <c r="EJ34" s="511"/>
      <c r="EK34" s="888" t="str">
        <f>IF(S34="","",VLOOKUP(S34,'HHV-LHV-MW'!$A$3:$H$40,4,FALSE))</f>
        <v/>
      </c>
      <c r="EL34" s="889" t="str">
        <f>IF(S34="","",VLOOKUP(S34,'HHV-LHV-MW'!$A$3:$H$40,5,FALSE))</f>
        <v/>
      </c>
      <c r="EM34" s="890" t="e">
        <f>(PRODUCT('HHV-LHV-MW'!FB18)+PRODUCT('HHV-LHV-MW'!FN18)+PRODUCT('HHV-LHV-MW'!FZ18)+PRODUCT('HHV-LHV-MW'!GL18))/$BW$19</f>
        <v>#DIV/0!</v>
      </c>
      <c r="EN34" s="890">
        <f>IF($BW$19=1,"",  (SQRT(  (      (IF('HHV-LHV-MW'!FB18="",0,('HHV-LHV-MW'!FB18-EM34)^2))      +        (IF('HHV-LHV-MW'!FN18="",0,('HHV-LHV-MW'!FN18-EM34)^2))       +        (IF('HHV-LHV-MW'!FZ18="",0,('HHV-LHV-MW'!FZ18-EM34)^2))          +        (IF('HHV-LHV-MW'!GL18="",0,('HHV-LHV-MW'!GL18-EM34)^2))          )     *(1/($BW$19-1))  )))</f>
        <v>0</v>
      </c>
      <c r="EO34" s="890" t="e">
        <f t="shared" si="1"/>
        <v>#N/A</v>
      </c>
      <c r="EP34" s="890" t="e">
        <f t="shared" si="18"/>
        <v>#DIV/0!</v>
      </c>
      <c r="EQ34" s="636" t="str">
        <f>IF('HHV-LHV-MW'!FB18="","",IF(AND('HHV-LHV-MW'!FB18&gt;=0,'HHV-LHV-MW'!FB18&lt;=0.09),2,  IF(AND('HHV-LHV-MW'!FB18&gt;=0.1,'HHV-LHV-MW'!FB18&lt;=0.9),7,  IF(AND('HHV-LHV-MW'!FB18&gt;=1,'HHV-LHV-MW'!FB18&lt;=4.9),10,   IF(AND('HHV-LHV-MW'!FB18&gt;=5,'HHV-LHV-MW'!FB18&lt;=10),12, 15)))))</f>
        <v/>
      </c>
      <c r="ER34" s="636" t="str">
        <f>IF('HHV-LHV-MW'!FB18="","",5*'HHV-LHV-MW'!FB18)</f>
        <v/>
      </c>
      <c r="ES34" s="635" t="str">
        <f t="shared" si="19"/>
        <v/>
      </c>
      <c r="ET34" s="636" t="str">
        <f>IF(OR(ES34="",'HHV-LHV-MW'!FB18=0),"",ES34/'HHV-LHV-MW'!FB18)</f>
        <v/>
      </c>
      <c r="EU34" s="636" t="str">
        <f>IF(OR(ET34="",EK34="",'HHV-LHV-MW'!FB18=""),"",((ET34*EK34*('HHV-LHV-MW'!FB18/100))/23.685)^2)</f>
        <v/>
      </c>
      <c r="EV34" s="636" t="str">
        <f>IF(OR(ET34="",EL34="",'HHV-LHV-MW'!FB18=""),"",((ET34*EL34*('HHV-LHV-MW'!FB18/100))/23.685)^2)</f>
        <v/>
      </c>
      <c r="EW34" s="639" t="e">
        <f t="shared" si="20"/>
        <v>#DIV/0!</v>
      </c>
      <c r="EX34" s="892" t="e">
        <f t="shared" si="21"/>
        <v>#DIV/0!</v>
      </c>
      <c r="EY34" s="511"/>
      <c r="EZ34" s="511"/>
      <c r="FA34" s="511"/>
      <c r="FB34" s="511"/>
      <c r="FC34" s="511"/>
      <c r="FD34" s="511"/>
      <c r="FE34" s="511"/>
      <c r="FF34" s="888" t="str">
        <f>IF(Y34="","",VLOOKUP(Y34,'HHV-LHV-MW'!$A$3:$H$40,4,FALSE))</f>
        <v/>
      </c>
      <c r="FG34" s="889" t="str">
        <f>IF(Y34="","",VLOOKUP(Y34,'HHV-LHV-MW'!$A$3:$H$40,5,FALSE))</f>
        <v/>
      </c>
      <c r="FH34" s="890" t="e">
        <f>(PRODUCT('HHV-LHV-MW'!GY18)+PRODUCT('HHV-LHV-MW'!HK18)+PRODUCT('HHV-LHV-MW'!HW18)+PRODUCT('HHV-LHV-MW'!II18))/$BW$28</f>
        <v>#DIV/0!</v>
      </c>
      <c r="FI34" s="890">
        <f>IF($BW$28=1,"",  (SQRT(  (      (IF('HHV-LHV-MW'!GY18="",0,('HHV-LHV-MW'!GY18-FH34)^2))      +        (IF('HHV-LHV-MW'!HK18="",0,('HHV-LHV-MW'!HK18-FH34)^2))       +        (IF('HHV-LHV-MW'!HW18="",0,('HHV-LHV-MW'!HW18-FH34)^2))          +        (IF('HHV-LHV-MW'!II18="",0,('HHV-LHV-MW'!II18-FH34)^2))          )     *(1/($BW$28-1))  )))</f>
        <v>0</v>
      </c>
      <c r="FJ34" s="890" t="e">
        <f t="shared" si="2"/>
        <v>#N/A</v>
      </c>
      <c r="FK34" s="890" t="e">
        <f t="shared" si="22"/>
        <v>#DIV/0!</v>
      </c>
      <c r="FL34" s="636" t="str">
        <f>IF('HHV-LHV-MW'!GY18="","",IF(AND('HHV-LHV-MW'!GY18&gt;=0,'HHV-LHV-MW'!GY18&lt;=0.09),2,  IF(AND('HHV-LHV-MW'!GY18&gt;=0.1,'HHV-LHV-MW'!GY18&lt;=0.9),7,  IF(AND('HHV-LHV-MW'!GY18&gt;=1,'HHV-LHV-MW'!GY18&lt;=4.9),10,   IF(AND('HHV-LHV-MW'!GY18&gt;=5,'HHV-LHV-MW'!GY18&lt;=10),12, 15)))))</f>
        <v/>
      </c>
      <c r="FM34" s="636" t="str">
        <f>IF('HHV-LHV-MW'!GY18="","",5*'HHV-LHV-MW'!GY18)</f>
        <v/>
      </c>
      <c r="FN34" s="635" t="str">
        <f t="shared" si="23"/>
        <v/>
      </c>
      <c r="FO34" s="636" t="str">
        <f>IF(OR(FN34="",'HHV-LHV-MW'!GY18=0),"",FN34/'HHV-LHV-MW'!GY18)</f>
        <v/>
      </c>
      <c r="FP34" s="636" t="str">
        <f>IF(OR(FO34="",FF34="",'HHV-LHV-MW'!GY18=""),"",((FO34*FF34*('HHV-LHV-MW'!GY18/100))/23.685)^2)</f>
        <v/>
      </c>
      <c r="FQ34" s="636" t="str">
        <f>IF(OR(FO34="",FG34="",'HHV-LHV-MW'!GY18=""),"",((FO34*FG34*('HHV-LHV-MW'!GY18/100))/23.685)^2)</f>
        <v/>
      </c>
      <c r="FR34" s="639" t="e">
        <f t="shared" si="24"/>
        <v>#DIV/0!</v>
      </c>
      <c r="FS34" s="892" t="e">
        <f t="shared" si="25"/>
        <v>#DIV/0!</v>
      </c>
      <c r="FT34" s="511"/>
      <c r="FU34" s="511"/>
      <c r="FV34" s="511"/>
      <c r="FW34" s="511"/>
      <c r="FX34" s="511"/>
      <c r="FY34" s="511"/>
      <c r="FZ34" s="511"/>
      <c r="GA34" s="888" t="str">
        <f>IF(AE34="","",VLOOKUP(AE34,'HHV-LHV-MW'!$A$3:$H$40,4,FALSE))</f>
        <v/>
      </c>
      <c r="GB34" s="889" t="str">
        <f>IF(AE34="","",VLOOKUP(AE34,'HHV-LHV-MW'!$A$3:$H$40,5,FALSE))</f>
        <v/>
      </c>
      <c r="GC34" s="890" t="e">
        <f>(PRODUCT('HHV-LHV-MW'!IV18)+PRODUCT('HHV-LHV-MW'!JH18)+PRODUCT('HHV-LHV-MW'!JT18)+PRODUCT('HHV-LHV-MW'!KF18))/$BW$37</f>
        <v>#DIV/0!</v>
      </c>
      <c r="GD34" s="890">
        <f>IF($BW$37=1,"",  (SQRT(  (      (IF('HHV-LHV-MW'!IV18="",0,('HHV-LHV-MW'!IV18-GC34)^2))      +        (IF('HHV-LHV-MW'!JH18="",0,('HHV-LHV-MW'!JH18-GC34)^2))       +        (IF('HHV-LHV-MW'!JT18="",0,('HHV-LHV-MW'!JT18-GC34)^2))          +        (IF('HHV-LHV-MW'!KF18="",0,('HHV-LHV-MW'!KF18-GC34)^2))          )     *(1/($BW$37-1))  )))</f>
        <v>0</v>
      </c>
      <c r="GE34" s="890" t="e">
        <f t="shared" si="3"/>
        <v>#N/A</v>
      </c>
      <c r="GF34" s="890" t="e">
        <f t="shared" si="26"/>
        <v>#DIV/0!</v>
      </c>
      <c r="GG34" s="636" t="str">
        <f>IF('HHV-LHV-MW'!IV18="","",IF(AND('HHV-LHV-MW'!IV18&gt;=0,'HHV-LHV-MW'!IV18&lt;=0.09),2,  IF(AND('HHV-LHV-MW'!IV18&gt;=0.1,'HHV-LHV-MW'!IV18&lt;=0.9),7,  IF(AND('HHV-LHV-MW'!IV18&gt;=1,'HHV-LHV-MW'!IV18&lt;=4.9),10,   IF(AND('HHV-LHV-MW'!IV18&gt;=5,'HHV-LHV-MW'!IV18&lt;=10),12, 15)))))</f>
        <v/>
      </c>
      <c r="GH34" s="636" t="str">
        <f>IF('HHV-LHV-MW'!IV18="","",5*'HHV-LHV-MW'!IV18)</f>
        <v/>
      </c>
      <c r="GI34" s="635" t="str">
        <f t="shared" si="27"/>
        <v/>
      </c>
      <c r="GJ34" s="636" t="str">
        <f>IF(OR(GI34="",'HHV-LHV-MW'!IV18=0),"",GI34/'HHV-LHV-MW'!IV18)</f>
        <v/>
      </c>
      <c r="GK34" s="636" t="str">
        <f>IF(OR(GJ34="",GA34="",'HHV-LHV-MW'!IV18=""),"",((GJ34*GA34*('HHV-LHV-MW'!IV18/100))/23.685)^2)</f>
        <v/>
      </c>
      <c r="GL34" s="636" t="str">
        <f>IF(OR(GJ34="",GB34="",'HHV-LHV-MW'!IV18=""),"",((GJ34*GB34*('HHV-LHV-MW'!IV18/100))/23.685)^2)</f>
        <v/>
      </c>
      <c r="GM34" s="639" t="e">
        <f t="shared" si="28"/>
        <v>#DIV/0!</v>
      </c>
      <c r="GN34" s="892" t="e">
        <f t="shared" si="29"/>
        <v>#DIV/0!</v>
      </c>
      <c r="GO34" s="874"/>
      <c r="GP34" s="874"/>
      <c r="GQ34" s="874"/>
      <c r="GR34" s="874"/>
      <c r="GS34" s="874"/>
      <c r="GT34" s="874"/>
      <c r="GU34" s="874"/>
      <c r="GV34" s="874"/>
      <c r="GW34" s="874"/>
      <c r="GX34" s="874"/>
      <c r="GY34" s="874"/>
      <c r="GZ34" s="874"/>
      <c r="HA34" s="874"/>
      <c r="HB34" s="511"/>
      <c r="HC34" s="511"/>
      <c r="HD34" s="511"/>
      <c r="HE34" s="511"/>
      <c r="HF34" s="511"/>
      <c r="HG34" s="511"/>
      <c r="HH34" s="511"/>
      <c r="HI34" s="511"/>
      <c r="HJ34" s="874"/>
      <c r="HK34" s="874"/>
      <c r="HL34" s="874"/>
      <c r="HM34" s="874"/>
      <c r="HN34" s="874"/>
      <c r="HO34" s="874"/>
      <c r="HP34" s="874"/>
      <c r="HQ34" s="874"/>
      <c r="HR34" s="874"/>
      <c r="HS34" s="874"/>
      <c r="HT34" s="874"/>
      <c r="HU34" s="874"/>
      <c r="HV34" s="874"/>
      <c r="HW34" s="511"/>
      <c r="HX34" s="511"/>
      <c r="HY34" s="511"/>
      <c r="HZ34" s="511"/>
      <c r="IA34" s="511"/>
      <c r="IB34" s="511"/>
      <c r="IC34" s="511"/>
      <c r="ID34" s="511"/>
      <c r="IE34" s="874"/>
      <c r="IF34" s="874"/>
      <c r="IG34" s="874"/>
      <c r="IH34" s="874"/>
      <c r="II34" s="874"/>
      <c r="IJ34" s="874"/>
      <c r="IK34" s="874"/>
      <c r="IL34" s="874"/>
      <c r="IM34" s="874"/>
      <c r="IN34" s="874"/>
      <c r="IO34" s="874"/>
      <c r="IP34" s="874"/>
      <c r="IQ34" s="874"/>
      <c r="IR34" s="511"/>
      <c r="IS34" s="511"/>
      <c r="IT34" s="511"/>
      <c r="IU34" s="511"/>
      <c r="IV34" s="511"/>
      <c r="IW34" s="511"/>
      <c r="IX34" s="511"/>
      <c r="IY34" s="511"/>
      <c r="IZ34" s="874"/>
      <c r="JA34" s="874"/>
      <c r="JB34" s="874"/>
      <c r="JC34" s="874"/>
      <c r="JD34" s="874"/>
      <c r="JE34" s="874"/>
      <c r="JF34" s="874"/>
      <c r="JG34" s="874"/>
      <c r="JH34" s="874"/>
      <c r="JI34" s="874"/>
      <c r="JJ34" s="874"/>
      <c r="JK34" s="874"/>
      <c r="JL34" s="874"/>
      <c r="JM34" s="874"/>
      <c r="JN34" s="874"/>
      <c r="JO34" s="874"/>
      <c r="JP34" s="874"/>
      <c r="JQ34" s="874"/>
      <c r="JR34" s="874"/>
      <c r="JS34" s="874"/>
      <c r="JT34" s="874"/>
      <c r="JU34" s="874"/>
      <c r="JV34" s="874"/>
      <c r="JW34" s="874"/>
      <c r="JX34" s="874"/>
      <c r="JY34" s="874"/>
      <c r="JZ34" s="874"/>
      <c r="KA34" s="874"/>
      <c r="KB34" s="874"/>
      <c r="KC34" s="874"/>
      <c r="KD34" s="874"/>
      <c r="KE34" s="874"/>
      <c r="KF34" s="874"/>
      <c r="KG34" s="874"/>
      <c r="KH34" s="865"/>
      <c r="KI34" s="865"/>
      <c r="KJ34" s="865"/>
      <c r="KK34" s="865"/>
      <c r="KL34" s="865"/>
      <c r="KM34" s="865"/>
      <c r="KN34" s="865"/>
      <c r="KO34" s="865"/>
      <c r="KP34" s="865"/>
      <c r="KQ34" s="865"/>
      <c r="KR34" s="865"/>
      <c r="KS34" s="865"/>
      <c r="KT34" s="865"/>
      <c r="KU34" s="865"/>
      <c r="KV34" s="865"/>
      <c r="KW34" s="865"/>
      <c r="KX34" s="865"/>
      <c r="KY34" s="865"/>
      <c r="KZ34" s="865"/>
      <c r="LA34" s="865"/>
      <c r="LB34" s="865"/>
      <c r="LC34" s="865"/>
      <c r="LD34" s="865"/>
      <c r="LE34" s="865"/>
      <c r="LF34" s="865"/>
    </row>
    <row r="35" spans="1:318">
      <c r="A35" s="864"/>
      <c r="B35" s="502"/>
      <c r="C35" s="663"/>
      <c r="D35" s="663"/>
      <c r="E35" s="663"/>
      <c r="F35" s="511"/>
      <c r="G35" s="864"/>
      <c r="H35" s="502"/>
      <c r="I35" s="663"/>
      <c r="J35" s="663"/>
      <c r="K35" s="663"/>
      <c r="L35" s="511"/>
      <c r="M35" s="864"/>
      <c r="N35" s="502"/>
      <c r="O35" s="663"/>
      <c r="P35" s="663"/>
      <c r="Q35" s="663"/>
      <c r="R35" s="511"/>
      <c r="S35" s="864"/>
      <c r="T35" s="502"/>
      <c r="U35" s="663"/>
      <c r="V35" s="663"/>
      <c r="W35" s="663"/>
      <c r="X35" s="511"/>
      <c r="Y35" s="864"/>
      <c r="Z35" s="502"/>
      <c r="AA35" s="663"/>
      <c r="AB35" s="663"/>
      <c r="AC35" s="663"/>
      <c r="AD35" s="511"/>
      <c r="AE35" s="864"/>
      <c r="AF35" s="502"/>
      <c r="AG35" s="663"/>
      <c r="AH35" s="663"/>
      <c r="AI35" s="663"/>
      <c r="AJ35" s="511"/>
      <c r="AK35" s="865"/>
      <c r="AL35" s="865"/>
      <c r="AM35" s="865"/>
      <c r="AN35" s="865"/>
      <c r="AO35" s="865"/>
      <c r="AP35" s="865"/>
      <c r="AQ35" s="865"/>
      <c r="AR35" s="865"/>
      <c r="AS35" s="865"/>
      <c r="AT35" s="865"/>
      <c r="AU35" s="865"/>
      <c r="AV35" s="865"/>
      <c r="AW35" s="865"/>
      <c r="AX35" s="865"/>
      <c r="AY35" s="865"/>
      <c r="AZ35" s="865"/>
      <c r="BA35" s="865"/>
      <c r="BB35" s="865"/>
      <c r="BC35" s="865"/>
      <c r="BD35" s="865"/>
      <c r="BE35" s="865"/>
      <c r="BF35" s="865"/>
      <c r="BG35" s="865"/>
      <c r="BH35" s="865"/>
      <c r="BI35" s="865"/>
      <c r="BJ35" s="2490"/>
      <c r="BK35" s="2490"/>
      <c r="BL35" s="2490"/>
      <c r="BM35" s="1598"/>
      <c r="BN35" s="1598"/>
      <c r="BO35" s="1598"/>
      <c r="BP35" s="1598"/>
      <c r="BQ35" s="865"/>
      <c r="BR35" s="2490"/>
      <c r="BS35" s="2490"/>
      <c r="BT35" s="2490"/>
      <c r="BU35" s="1598"/>
      <c r="BV35" s="1598"/>
      <c r="BW35" s="1598"/>
      <c r="BX35" s="1598"/>
      <c r="BY35" s="874"/>
      <c r="BZ35" s="888" t="str">
        <f>IF(A35="","",VLOOKUP(A35,'HHV-LHV-MW'!$A$3:$H$40,4,FALSE))</f>
        <v/>
      </c>
      <c r="CA35" s="889" t="str">
        <f>IF(A35="","",VLOOKUP(A35,'HHV-LHV-MW'!$A$3:$H$40,5,FALSE))</f>
        <v/>
      </c>
      <c r="CB35" s="890" t="e">
        <f>(PRODUCT('HHV-LHV-MW'!K19)+PRODUCT('HHV-LHV-MW'!W19)+PRODUCT('HHV-LHV-MW'!AI19)+PRODUCT('HHV-LHV-MW'!AU19))/$BO$19</f>
        <v>#DIV/0!</v>
      </c>
      <c r="CC35" s="890">
        <f>IF($BO$19=1,"",  (SQRT(  (      (IF('HHV-LHV-MW'!K19="",0,('HHV-LHV-MW'!K19-CB35)^2))      +        (IF('HHV-LHV-MW'!W19="",0,('HHV-LHV-MW'!W19-CB35)^2))       +        (IF('HHV-LHV-MW'!AI19="",0,('HHV-LHV-MW'!AI19-CB35)^2))          +        (IF('HHV-LHV-MW'!AU19="",0,('HHV-LHV-MW'!AU19-CB35)^2))          )     *(1/($BO$19-1))  )))</f>
        <v>0</v>
      </c>
      <c r="CD35" s="890" t="e">
        <f t="shared" si="4"/>
        <v>#N/A</v>
      </c>
      <c r="CE35" s="890" t="e">
        <f t="shared" si="5"/>
        <v>#DIV/0!</v>
      </c>
      <c r="CF35" s="636" t="str">
        <f>IF('HHV-LHV-MW'!K19="","",IF(AND('HHV-LHV-MW'!K19&gt;=0,'HHV-LHV-MW'!K19&lt;=0.09),2,  IF(AND('HHV-LHV-MW'!K19&gt;=0.1,'HHV-LHV-MW'!K19&lt;=0.9),7,  IF(AND('HHV-LHV-MW'!K19&gt;=1,'HHV-LHV-MW'!K19&lt;=4.9),10,   IF(AND('HHV-LHV-MW'!K19&gt;=5,'HHV-LHV-MW'!K19&lt;=10),12, 15)))))</f>
        <v/>
      </c>
      <c r="CG35" s="636" t="str">
        <f>IF('HHV-LHV-MW'!K19="","",5*'HHV-LHV-MW'!K19)</f>
        <v/>
      </c>
      <c r="CH35" s="635" t="str">
        <f t="shared" si="6"/>
        <v/>
      </c>
      <c r="CI35" s="636" t="str">
        <f>IF(OR(CH35="",'HHV-LHV-MW'!K19=0),"",CH35/'HHV-LHV-MW'!K19)</f>
        <v/>
      </c>
      <c r="CJ35" s="636" t="str">
        <f>IF(OR(CI35="",BZ35="",'HHV-LHV-MW'!K19=""),"",((CI35*BZ35*('HHV-LHV-MW'!K19/100))/23.685)^2)</f>
        <v/>
      </c>
      <c r="CK35" s="891" t="str">
        <f>IF(OR(CI35="",CA35="",'HHV-LHV-MW'!K19=""),"",((CI35*CA35*('HHV-LHV-MW'!K19/100))/23.685)^2)</f>
        <v/>
      </c>
      <c r="CL35" s="639" t="e">
        <f t="shared" si="7"/>
        <v>#DIV/0!</v>
      </c>
      <c r="CM35" s="892" t="e">
        <f t="shared" si="8"/>
        <v>#DIV/0!</v>
      </c>
      <c r="CN35" s="511"/>
      <c r="CO35" s="511"/>
      <c r="CP35" s="511"/>
      <c r="CQ35" s="511"/>
      <c r="CR35" s="511"/>
      <c r="CS35" s="511"/>
      <c r="CT35" s="511"/>
      <c r="CU35" s="888" t="str">
        <f>IF(G35="","",VLOOKUP(G35,'HHV-LHV-MW'!$A$3:$H$40,4,FALSE))</f>
        <v/>
      </c>
      <c r="CV35" s="889" t="str">
        <f>IF(G35="","",VLOOKUP(G35,'HHV-LHV-MW'!$A$3:$H$40,5,FALSE))</f>
        <v/>
      </c>
      <c r="CW35" s="890" t="e">
        <f>(PRODUCT('HHV-LHV-MW'!BH19)+PRODUCT('HHV-LHV-MW'!BT19)+PRODUCT('HHV-LHV-MW'!CF19)+PRODUCT('HHV-LHV-MW'!CR19))/$BO$28</f>
        <v>#DIV/0!</v>
      </c>
      <c r="CX35" s="890">
        <f>IF($BO$28=1,"",  (SQRT(  (      (IF('HHV-LHV-MW'!BH19="",0,('HHV-LHV-MW'!BH19-CW35)^2))      +        (IF('HHV-LHV-MW'!BT19="",0,('HHV-LHV-MW'!BT19-CW35)^2))       +        (IF('HHV-LHV-MW'!CF19="",0,('HHV-LHV-MW'!CF19-CW35)^2))          +        (IF('HHV-LHV-MW'!CR19="",0,('HHV-LHV-MW'!CR19-CW35)^2))          )     *(1/($BO$28-1))  )))</f>
        <v>0</v>
      </c>
      <c r="CY35" s="890" t="e">
        <f t="shared" si="9"/>
        <v>#N/A</v>
      </c>
      <c r="CZ35" s="890" t="e">
        <f t="shared" si="10"/>
        <v>#DIV/0!</v>
      </c>
      <c r="DA35" s="636" t="str">
        <f>IF('HHV-LHV-MW'!BH19="","",IF(AND('HHV-LHV-MW'!BH19&gt;=0,'HHV-LHV-MW'!BH19&lt;=0.09),2,  IF(AND('HHV-LHV-MW'!BH19&gt;=0.1,'HHV-LHV-MW'!BH19&lt;=0.9),7,  IF(AND('HHV-LHV-MW'!BH19&gt;=1,'HHV-LHV-MW'!BH19&lt;=4.9),10,   IF(AND('HHV-LHV-MW'!BH19&gt;=5,'HHV-LHV-MW'!BH19&lt;=10),12, 15)))))</f>
        <v/>
      </c>
      <c r="DB35" s="636" t="str">
        <f>IF('HHV-LHV-MW'!BH19="","",5*'HHV-LHV-MW'!BH19)</f>
        <v/>
      </c>
      <c r="DC35" s="635" t="str">
        <f t="shared" si="11"/>
        <v/>
      </c>
      <c r="DD35" s="636" t="str">
        <f>IF(OR(DC35="",'HHV-LHV-MW'!BH19=0),"",DC35/'HHV-LHV-MW'!BH19)</f>
        <v/>
      </c>
      <c r="DE35" s="635" t="str">
        <f>IF(OR(DD35="",CU35="",'HHV-LHV-MW'!BH19=""),"",((DD35*CU35*('HHV-LHV-MW'!BH19/100))/23.685)^2)</f>
        <v/>
      </c>
      <c r="DF35" s="636" t="str">
        <f>IF(OR(DD35="",CV35="",'HHV-LHV-MW'!BH19=""),"",((DD35*CV35*('HHV-LHV-MW'!BH19/100))/23.685)^2)</f>
        <v/>
      </c>
      <c r="DG35" s="639" t="e">
        <f t="shared" si="12"/>
        <v>#DIV/0!</v>
      </c>
      <c r="DH35" s="892" t="e">
        <f t="shared" si="13"/>
        <v>#DIV/0!</v>
      </c>
      <c r="DI35" s="511"/>
      <c r="DJ35" s="511"/>
      <c r="DK35" s="511"/>
      <c r="DL35" s="511"/>
      <c r="DM35" s="511"/>
      <c r="DN35" s="511"/>
      <c r="DO35" s="511"/>
      <c r="DP35" s="888" t="str">
        <f>IF(M35="","",VLOOKUP(M35,'HHV-LHV-MW'!$A$3:$H$40,4,FALSE))</f>
        <v/>
      </c>
      <c r="DQ35" s="889" t="str">
        <f>IF(M35="","",VLOOKUP(M35,'HHV-LHV-MW'!$A$3:$H$40,5,FALSE))</f>
        <v/>
      </c>
      <c r="DR35" s="890" t="e">
        <f>(PRODUCT('HHV-LHV-MW'!DE19)+PRODUCT('HHV-LHV-MW'!DQ19)+PRODUCT('HHV-LHV-MW'!EC19)+PRODUCT('HHV-LHV-MW'!EO19))/$BO$37</f>
        <v>#DIV/0!</v>
      </c>
      <c r="DS35" s="890">
        <f>IF($BO$37=1,"",  (SQRT(  (      (IF('HHV-LHV-MW'!DE19="",0,('HHV-LHV-MW'!DE19-DR35)^2))      +        (IF('HHV-LHV-MW'!DQ19="",0,('HHV-LHV-MW'!DQ19-DR35)^2))       +        (IF('HHV-LHV-MW'!EC19="",0,('HHV-LHV-MW'!EC19-DR35)^2))          +        (IF('HHV-LHV-MW'!EO19="",0,('HHV-LHV-MW'!EO19-DR35)^2))          )     *(1/($BO$37-1))  )))</f>
        <v>0</v>
      </c>
      <c r="DT35" s="890" t="e">
        <f t="shared" si="0"/>
        <v>#N/A</v>
      </c>
      <c r="DU35" s="890" t="e">
        <f t="shared" si="14"/>
        <v>#DIV/0!</v>
      </c>
      <c r="DV35" s="636" t="str">
        <f>IF('HHV-LHV-MW'!DE19="","",IF(AND('HHV-LHV-MW'!DE19&gt;=0,'HHV-LHV-MW'!DE19&lt;=0.09),2,  IF(AND('HHV-LHV-MW'!DE19&gt;=0.1,'HHV-LHV-MW'!DE19&lt;=0.9),7,  IF(AND('HHV-LHV-MW'!DE19&gt;=1,'HHV-LHV-MW'!DE19&lt;=4.9),10,   IF(AND('HHV-LHV-MW'!DE19&gt;=5,'HHV-LHV-MW'!DE19&lt;=10),12, 15)))))</f>
        <v/>
      </c>
      <c r="DW35" s="636" t="str">
        <f>IF('HHV-LHV-MW'!DE19="","",5*'HHV-LHV-MW'!DE19)</f>
        <v/>
      </c>
      <c r="DX35" s="635" t="str">
        <f t="shared" si="15"/>
        <v/>
      </c>
      <c r="DY35" s="636" t="str">
        <f>IF(OR(DX35="",'HHV-LHV-MW'!DE19=0),"",DX35/'HHV-LHV-MW'!DE19)</f>
        <v/>
      </c>
      <c r="DZ35" s="636" t="str">
        <f>IF(OR(DY35="",DP35="",'HHV-LHV-MW'!DE19=""),"",((DY35*DP35*('HHV-LHV-MW'!DE19/100))/23.685)^2)</f>
        <v/>
      </c>
      <c r="EA35" s="636" t="str">
        <f>IF(OR(DY35="",DQ35="",'HHV-LHV-MW'!DE19=""),"",((DY35*DQ35*('HHV-LHV-MW'!DE19/100))/23.685)^2)</f>
        <v/>
      </c>
      <c r="EB35" s="639" t="e">
        <f t="shared" si="16"/>
        <v>#DIV/0!</v>
      </c>
      <c r="EC35" s="892" t="e">
        <f t="shared" si="17"/>
        <v>#DIV/0!</v>
      </c>
      <c r="ED35" s="511"/>
      <c r="EE35" s="511"/>
      <c r="EF35" s="511"/>
      <c r="EG35" s="511"/>
      <c r="EH35" s="511"/>
      <c r="EI35" s="511"/>
      <c r="EJ35" s="511"/>
      <c r="EK35" s="888" t="str">
        <f>IF(S35="","",VLOOKUP(S35,'HHV-LHV-MW'!$A$3:$H$40,4,FALSE))</f>
        <v/>
      </c>
      <c r="EL35" s="889" t="str">
        <f>IF(S35="","",VLOOKUP(S35,'HHV-LHV-MW'!$A$3:$H$40,5,FALSE))</f>
        <v/>
      </c>
      <c r="EM35" s="890" t="e">
        <f>(PRODUCT('HHV-LHV-MW'!FB19)+PRODUCT('HHV-LHV-MW'!FN19)+PRODUCT('HHV-LHV-MW'!FZ19)+PRODUCT('HHV-LHV-MW'!GL19))/$BW$19</f>
        <v>#DIV/0!</v>
      </c>
      <c r="EN35" s="890">
        <f>IF($BW$19=1,"",  (SQRT(  (      (IF('HHV-LHV-MW'!FB19="",0,('HHV-LHV-MW'!FB19-EM35)^2))      +        (IF('HHV-LHV-MW'!FN19="",0,('HHV-LHV-MW'!FN19-EM35)^2))       +        (IF('HHV-LHV-MW'!FZ19="",0,('HHV-LHV-MW'!FZ19-EM35)^2))          +        (IF('HHV-LHV-MW'!GL19="",0,('HHV-LHV-MW'!GL19-EM35)^2))          )     *(1/($BW$19-1))  )))</f>
        <v>0</v>
      </c>
      <c r="EO35" s="890" t="e">
        <f t="shared" si="1"/>
        <v>#N/A</v>
      </c>
      <c r="EP35" s="890" t="e">
        <f t="shared" si="18"/>
        <v>#DIV/0!</v>
      </c>
      <c r="EQ35" s="636" t="str">
        <f>IF('HHV-LHV-MW'!FB19="","",IF(AND('HHV-LHV-MW'!FB19&gt;=0,'HHV-LHV-MW'!FB19&lt;=0.09),2,  IF(AND('HHV-LHV-MW'!FB19&gt;=0.1,'HHV-LHV-MW'!FB19&lt;=0.9),7,  IF(AND('HHV-LHV-MW'!FB19&gt;=1,'HHV-LHV-MW'!FB19&lt;=4.9),10,   IF(AND('HHV-LHV-MW'!FB19&gt;=5,'HHV-LHV-MW'!FB19&lt;=10),12, 15)))))</f>
        <v/>
      </c>
      <c r="ER35" s="636" t="str">
        <f>IF('HHV-LHV-MW'!FB19="","",5*'HHV-LHV-MW'!FB19)</f>
        <v/>
      </c>
      <c r="ES35" s="635" t="str">
        <f t="shared" si="19"/>
        <v/>
      </c>
      <c r="ET35" s="636" t="str">
        <f>IF(OR(ES35="",'HHV-LHV-MW'!FB19=0),"",ES35/'HHV-LHV-MW'!FB19)</f>
        <v/>
      </c>
      <c r="EU35" s="636" t="str">
        <f>IF(OR(ET35="",EK35="",'HHV-LHV-MW'!FB19=""),"",((ET35*EK35*('HHV-LHV-MW'!FB19/100))/23.685)^2)</f>
        <v/>
      </c>
      <c r="EV35" s="636" t="str">
        <f>IF(OR(ET35="",EL35="",'HHV-LHV-MW'!FB19=""),"",((ET35*EL35*('HHV-LHV-MW'!FB19/100))/23.685)^2)</f>
        <v/>
      </c>
      <c r="EW35" s="639" t="e">
        <f t="shared" si="20"/>
        <v>#DIV/0!</v>
      </c>
      <c r="EX35" s="892" t="e">
        <f t="shared" si="21"/>
        <v>#DIV/0!</v>
      </c>
      <c r="EY35" s="511"/>
      <c r="EZ35" s="511"/>
      <c r="FA35" s="511"/>
      <c r="FB35" s="511"/>
      <c r="FC35" s="511"/>
      <c r="FD35" s="511"/>
      <c r="FE35" s="511"/>
      <c r="FF35" s="888" t="str">
        <f>IF(Y35="","",VLOOKUP(Y35,'HHV-LHV-MW'!$A$3:$H$40,4,FALSE))</f>
        <v/>
      </c>
      <c r="FG35" s="889" t="str">
        <f>IF(Y35="","",VLOOKUP(Y35,'HHV-LHV-MW'!$A$3:$H$40,5,FALSE))</f>
        <v/>
      </c>
      <c r="FH35" s="890" t="e">
        <f>(PRODUCT('HHV-LHV-MW'!GY19)+PRODUCT('HHV-LHV-MW'!HK19)+PRODUCT('HHV-LHV-MW'!HW19)+PRODUCT('HHV-LHV-MW'!II19))/$BW$28</f>
        <v>#DIV/0!</v>
      </c>
      <c r="FI35" s="890">
        <f>IF($BW$28=1,"",  (SQRT(  (      (IF('HHV-LHV-MW'!GY19="",0,('HHV-LHV-MW'!GY19-FH35)^2))      +        (IF('HHV-LHV-MW'!HK19="",0,('HHV-LHV-MW'!HK19-FH35)^2))       +        (IF('HHV-LHV-MW'!HW19="",0,('HHV-LHV-MW'!HW19-FH35)^2))          +        (IF('HHV-LHV-MW'!II19="",0,('HHV-LHV-MW'!II19-FH35)^2))          )     *(1/($BW$28-1))  )))</f>
        <v>0</v>
      </c>
      <c r="FJ35" s="890" t="e">
        <f t="shared" si="2"/>
        <v>#N/A</v>
      </c>
      <c r="FK35" s="890" t="e">
        <f t="shared" si="22"/>
        <v>#DIV/0!</v>
      </c>
      <c r="FL35" s="636" t="str">
        <f>IF('HHV-LHV-MW'!GY19="","",IF(AND('HHV-LHV-MW'!GY19&gt;=0,'HHV-LHV-MW'!GY19&lt;=0.09),2,  IF(AND('HHV-LHV-MW'!GY19&gt;=0.1,'HHV-LHV-MW'!GY19&lt;=0.9),7,  IF(AND('HHV-LHV-MW'!GY19&gt;=1,'HHV-LHV-MW'!GY19&lt;=4.9),10,   IF(AND('HHV-LHV-MW'!GY19&gt;=5,'HHV-LHV-MW'!GY19&lt;=10),12, 15)))))</f>
        <v/>
      </c>
      <c r="FM35" s="636" t="str">
        <f>IF('HHV-LHV-MW'!GY19="","",5*'HHV-LHV-MW'!GY19)</f>
        <v/>
      </c>
      <c r="FN35" s="635" t="str">
        <f t="shared" si="23"/>
        <v/>
      </c>
      <c r="FO35" s="636" t="str">
        <f>IF(OR(FN35="",'HHV-LHV-MW'!GY19=0),"",FN35/'HHV-LHV-MW'!GY19)</f>
        <v/>
      </c>
      <c r="FP35" s="636" t="str">
        <f>IF(OR(FO35="",FF35="",'HHV-LHV-MW'!GY19=""),"",((FO35*FF35*('HHV-LHV-MW'!GY19/100))/23.685)^2)</f>
        <v/>
      </c>
      <c r="FQ35" s="636" t="str">
        <f>IF(OR(FO35="",FG35="",'HHV-LHV-MW'!GY19=""),"",((FO35*FG35*('HHV-LHV-MW'!GY19/100))/23.685)^2)</f>
        <v/>
      </c>
      <c r="FR35" s="639" t="e">
        <f t="shared" si="24"/>
        <v>#DIV/0!</v>
      </c>
      <c r="FS35" s="892" t="e">
        <f t="shared" si="25"/>
        <v>#DIV/0!</v>
      </c>
      <c r="FT35" s="511"/>
      <c r="FU35" s="511"/>
      <c r="FV35" s="511"/>
      <c r="FW35" s="511"/>
      <c r="FX35" s="511"/>
      <c r="FY35" s="511"/>
      <c r="FZ35" s="511"/>
      <c r="GA35" s="888" t="str">
        <f>IF(AE35="","",VLOOKUP(AE35,'HHV-LHV-MW'!$A$3:$H$40,4,FALSE))</f>
        <v/>
      </c>
      <c r="GB35" s="889" t="str">
        <f>IF(AE35="","",VLOOKUP(AE35,'HHV-LHV-MW'!$A$3:$H$40,5,FALSE))</f>
        <v/>
      </c>
      <c r="GC35" s="890" t="e">
        <f>(PRODUCT('HHV-LHV-MW'!IV19)+PRODUCT('HHV-LHV-MW'!JH19)+PRODUCT('HHV-LHV-MW'!JT19)+PRODUCT('HHV-LHV-MW'!KF19))/$BW$37</f>
        <v>#DIV/0!</v>
      </c>
      <c r="GD35" s="890">
        <f>IF($BW$37=1,"",  (SQRT(  (      (IF('HHV-LHV-MW'!IV19="",0,('HHV-LHV-MW'!IV19-GC35)^2))      +        (IF('HHV-LHV-MW'!JH19="",0,('HHV-LHV-MW'!JH19-GC35)^2))       +        (IF('HHV-LHV-MW'!JT19="",0,('HHV-LHV-MW'!JT19-GC35)^2))          +        (IF('HHV-LHV-MW'!KF19="",0,('HHV-LHV-MW'!KF19-GC35)^2))          )     *(1/($BW$37-1))  )))</f>
        <v>0</v>
      </c>
      <c r="GE35" s="890" t="e">
        <f t="shared" si="3"/>
        <v>#N/A</v>
      </c>
      <c r="GF35" s="890" t="e">
        <f t="shared" si="26"/>
        <v>#DIV/0!</v>
      </c>
      <c r="GG35" s="636" t="str">
        <f>IF('HHV-LHV-MW'!IV19="","",IF(AND('HHV-LHV-MW'!IV19&gt;=0,'HHV-LHV-MW'!IV19&lt;=0.09),2,  IF(AND('HHV-LHV-MW'!IV19&gt;=0.1,'HHV-LHV-MW'!IV19&lt;=0.9),7,  IF(AND('HHV-LHV-MW'!IV19&gt;=1,'HHV-LHV-MW'!IV19&lt;=4.9),10,   IF(AND('HHV-LHV-MW'!IV19&gt;=5,'HHV-LHV-MW'!IV19&lt;=10),12, 15)))))</f>
        <v/>
      </c>
      <c r="GH35" s="636" t="str">
        <f>IF('HHV-LHV-MW'!IV19="","",5*'HHV-LHV-MW'!IV19)</f>
        <v/>
      </c>
      <c r="GI35" s="635" t="str">
        <f t="shared" si="27"/>
        <v/>
      </c>
      <c r="GJ35" s="636" t="str">
        <f>IF(OR(GI35="",'HHV-LHV-MW'!IV19=0),"",GI35/'HHV-LHV-MW'!IV19)</f>
        <v/>
      </c>
      <c r="GK35" s="636" t="str">
        <f>IF(OR(GJ35="",GA35="",'HHV-LHV-MW'!IV19=""),"",((GJ35*GA35*('HHV-LHV-MW'!IV19/100))/23.685)^2)</f>
        <v/>
      </c>
      <c r="GL35" s="636" t="str">
        <f>IF(OR(GJ35="",GB35="",'HHV-LHV-MW'!IV19=""),"",((GJ35*GB35*('HHV-LHV-MW'!IV19/100))/23.685)^2)</f>
        <v/>
      </c>
      <c r="GM35" s="639" t="e">
        <f t="shared" si="28"/>
        <v>#DIV/0!</v>
      </c>
      <c r="GN35" s="892" t="e">
        <f t="shared" si="29"/>
        <v>#DIV/0!</v>
      </c>
      <c r="GO35" s="874"/>
      <c r="GP35" s="874"/>
      <c r="GQ35" s="874"/>
      <c r="GR35" s="874"/>
      <c r="GS35" s="874"/>
      <c r="GT35" s="874"/>
      <c r="GU35" s="874"/>
      <c r="GV35" s="874"/>
      <c r="GW35" s="874"/>
      <c r="GX35" s="874"/>
      <c r="GY35" s="874"/>
      <c r="GZ35" s="874"/>
      <c r="HA35" s="874"/>
      <c r="HB35" s="511"/>
      <c r="HC35" s="511"/>
      <c r="HD35" s="511"/>
      <c r="HE35" s="511"/>
      <c r="HF35" s="511"/>
      <c r="HG35" s="511"/>
      <c r="HH35" s="511"/>
      <c r="HI35" s="511"/>
      <c r="HJ35" s="874"/>
      <c r="HK35" s="874"/>
      <c r="HL35" s="874"/>
      <c r="HM35" s="874"/>
      <c r="HN35" s="874"/>
      <c r="HO35" s="874"/>
      <c r="HP35" s="874"/>
      <c r="HQ35" s="874"/>
      <c r="HR35" s="874"/>
      <c r="HS35" s="874"/>
      <c r="HT35" s="874"/>
      <c r="HU35" s="874"/>
      <c r="HV35" s="874"/>
      <c r="HW35" s="511"/>
      <c r="HX35" s="511"/>
      <c r="HY35" s="511"/>
      <c r="HZ35" s="511"/>
      <c r="IA35" s="511"/>
      <c r="IB35" s="511"/>
      <c r="IC35" s="511"/>
      <c r="ID35" s="511"/>
      <c r="IE35" s="874"/>
      <c r="IF35" s="874"/>
      <c r="IG35" s="874"/>
      <c r="IH35" s="874"/>
      <c r="II35" s="874"/>
      <c r="IJ35" s="874"/>
      <c r="IK35" s="874"/>
      <c r="IL35" s="874"/>
      <c r="IM35" s="874"/>
      <c r="IN35" s="874"/>
      <c r="IO35" s="874"/>
      <c r="IP35" s="874"/>
      <c r="IQ35" s="874"/>
      <c r="IR35" s="511"/>
      <c r="IS35" s="511"/>
      <c r="IT35" s="511"/>
      <c r="IU35" s="511"/>
      <c r="IV35" s="511"/>
      <c r="IW35" s="511"/>
      <c r="IX35" s="511"/>
      <c r="IY35" s="511"/>
      <c r="IZ35" s="874"/>
      <c r="JA35" s="874"/>
      <c r="JB35" s="874"/>
      <c r="JC35" s="874"/>
      <c r="JD35" s="874"/>
      <c r="JE35" s="874"/>
      <c r="JF35" s="874"/>
      <c r="JG35" s="874"/>
      <c r="JH35" s="874"/>
      <c r="JI35" s="874"/>
      <c r="JJ35" s="874"/>
      <c r="JK35" s="874"/>
      <c r="JL35" s="874"/>
      <c r="JM35" s="874"/>
      <c r="JN35" s="874"/>
      <c r="JO35" s="874"/>
      <c r="JP35" s="874"/>
      <c r="JQ35" s="874"/>
      <c r="JR35" s="874"/>
      <c r="JS35" s="874"/>
      <c r="JT35" s="874"/>
      <c r="JU35" s="874"/>
      <c r="JV35" s="874"/>
      <c r="JW35" s="874"/>
      <c r="JX35" s="874"/>
      <c r="JY35" s="874"/>
      <c r="JZ35" s="874"/>
      <c r="KA35" s="874"/>
      <c r="KB35" s="874"/>
      <c r="KC35" s="874"/>
      <c r="KD35" s="874"/>
      <c r="KE35" s="874"/>
      <c r="KF35" s="874"/>
      <c r="KG35" s="874"/>
      <c r="KH35" s="865"/>
      <c r="KI35" s="865"/>
      <c r="KJ35" s="865"/>
      <c r="KK35" s="865"/>
      <c r="KL35" s="865"/>
      <c r="KM35" s="865"/>
      <c r="KN35" s="865"/>
      <c r="KO35" s="865"/>
      <c r="KP35" s="865"/>
      <c r="KQ35" s="865"/>
      <c r="KR35" s="865"/>
      <c r="KS35" s="865"/>
      <c r="KT35" s="865"/>
      <c r="KU35" s="865"/>
      <c r="KV35" s="865"/>
      <c r="KW35" s="865"/>
      <c r="KX35" s="865"/>
      <c r="KY35" s="865"/>
      <c r="KZ35" s="865"/>
      <c r="LA35" s="865"/>
      <c r="LB35" s="865"/>
      <c r="LC35" s="865"/>
      <c r="LD35" s="865"/>
      <c r="LE35" s="865"/>
      <c r="LF35" s="865"/>
    </row>
    <row r="36" spans="1:318" ht="18.600000000000001">
      <c r="A36" s="864"/>
      <c r="B36" s="502"/>
      <c r="C36" s="663"/>
      <c r="D36" s="663"/>
      <c r="E36" s="663"/>
      <c r="F36" s="511"/>
      <c r="G36" s="864"/>
      <c r="H36" s="502"/>
      <c r="I36" s="663"/>
      <c r="J36" s="663"/>
      <c r="K36" s="663"/>
      <c r="L36" s="511"/>
      <c r="M36" s="864"/>
      <c r="N36" s="502"/>
      <c r="O36" s="663"/>
      <c r="P36" s="663"/>
      <c r="Q36" s="663"/>
      <c r="R36" s="511"/>
      <c r="S36" s="864"/>
      <c r="T36" s="502"/>
      <c r="U36" s="663"/>
      <c r="V36" s="663"/>
      <c r="W36" s="663"/>
      <c r="X36" s="511"/>
      <c r="Y36" s="864"/>
      <c r="Z36" s="502"/>
      <c r="AA36" s="663"/>
      <c r="AB36" s="663"/>
      <c r="AC36" s="663"/>
      <c r="AD36" s="511"/>
      <c r="AE36" s="864"/>
      <c r="AF36" s="502"/>
      <c r="AG36" s="663"/>
      <c r="AH36" s="663"/>
      <c r="AI36" s="663"/>
      <c r="AJ36" s="511"/>
      <c r="AK36" s="865"/>
      <c r="AL36" s="865"/>
      <c r="AM36" s="865"/>
      <c r="AN36" s="865"/>
      <c r="AO36" s="865"/>
      <c r="AP36" s="865"/>
      <c r="AQ36" s="865"/>
      <c r="AR36" s="865"/>
      <c r="AS36" s="865"/>
      <c r="AT36" s="865"/>
      <c r="AU36" s="865"/>
      <c r="AV36" s="865"/>
      <c r="AW36" s="865"/>
      <c r="AX36" s="865"/>
      <c r="AY36" s="865"/>
      <c r="AZ36" s="865"/>
      <c r="BA36" s="865"/>
      <c r="BB36" s="865"/>
      <c r="BC36" s="865"/>
      <c r="BD36" s="865"/>
      <c r="BE36" s="865"/>
      <c r="BF36" s="865"/>
      <c r="BG36" s="865"/>
      <c r="BH36" s="865"/>
      <c r="BI36" s="865"/>
      <c r="BJ36" s="1201" t="str">
        <f>IF(BM34="پيش‌فرض","عدم قطعيت نسبي ارزش حرارتي ناخالص (HHV) پيش فرض وارد شود %()±","")</f>
        <v/>
      </c>
      <c r="BK36" s="1201"/>
      <c r="BL36" s="1201"/>
      <c r="BM36" s="1201"/>
      <c r="BN36" s="1201"/>
      <c r="BO36" s="2477" t="str">
        <f>IF(BM34="پيش‌فرض",40,"")</f>
        <v/>
      </c>
      <c r="BP36" s="2477"/>
      <c r="BQ36" s="865"/>
      <c r="BR36" s="1201" t="str">
        <f>IF(BU34="پيش‌فرض","عدم قطعيت نسبي ارزش حرارتي ناخالص (HHV) پيش فرض وارد شود %()±","")</f>
        <v/>
      </c>
      <c r="BS36" s="1201"/>
      <c r="BT36" s="1201"/>
      <c r="BU36" s="1201"/>
      <c r="BV36" s="1201"/>
      <c r="BW36" s="2477" t="str">
        <f>IF(BU34="پيش‌فرض",40,"")</f>
        <v/>
      </c>
      <c r="BX36" s="2477"/>
      <c r="BY36" s="874"/>
      <c r="BZ36" s="888" t="str">
        <f>IF(A36="","",VLOOKUP(A36,'HHV-LHV-MW'!$A$3:$H$40,4,FALSE))</f>
        <v/>
      </c>
      <c r="CA36" s="889" t="str">
        <f>IF(A36="","",VLOOKUP(A36,'HHV-LHV-MW'!$A$3:$H$40,5,FALSE))</f>
        <v/>
      </c>
      <c r="CB36" s="890" t="e">
        <f>(PRODUCT('HHV-LHV-MW'!K20)+PRODUCT('HHV-LHV-MW'!W20)+PRODUCT('HHV-LHV-MW'!AI20)+PRODUCT('HHV-LHV-MW'!AU20))/$BO$19</f>
        <v>#DIV/0!</v>
      </c>
      <c r="CC36" s="890">
        <f>IF($BO$19=1,"",  (SQRT(  (      (IF('HHV-LHV-MW'!K20="",0,('HHV-LHV-MW'!K20-CB36)^2))      +        (IF('HHV-LHV-MW'!W20="",0,('HHV-LHV-MW'!W20-CB36)^2))       +        (IF('HHV-LHV-MW'!AI20="",0,('HHV-LHV-MW'!AI20-CB36)^2))          +        (IF('HHV-LHV-MW'!AU20="",0,('HHV-LHV-MW'!AU20-CB36)^2))          )     *(1/($BO$19-1))  )))</f>
        <v>0</v>
      </c>
      <c r="CD36" s="890" t="e">
        <f t="shared" si="4"/>
        <v>#N/A</v>
      </c>
      <c r="CE36" s="890" t="e">
        <f t="shared" si="5"/>
        <v>#DIV/0!</v>
      </c>
      <c r="CF36" s="636" t="str">
        <f>IF('HHV-LHV-MW'!K20="","",IF(AND('HHV-LHV-MW'!K20&gt;=0,'HHV-LHV-MW'!K20&lt;=0.09),2,  IF(AND('HHV-LHV-MW'!K20&gt;=0.1,'HHV-LHV-MW'!K20&lt;=0.9),7,  IF(AND('HHV-LHV-MW'!K20&gt;=1,'HHV-LHV-MW'!K20&lt;=4.9),10,   IF(AND('HHV-LHV-MW'!K20&gt;=5,'HHV-LHV-MW'!K20&lt;=10),12, 15)))))</f>
        <v/>
      </c>
      <c r="CG36" s="636" t="str">
        <f>IF('HHV-LHV-MW'!K20="","",5*'HHV-LHV-MW'!K20)</f>
        <v/>
      </c>
      <c r="CH36" s="635" t="str">
        <f t="shared" si="6"/>
        <v/>
      </c>
      <c r="CI36" s="636" t="str">
        <f>IF(OR(CH36="",'HHV-LHV-MW'!K20=0),"",CH36/'HHV-LHV-MW'!K20)</f>
        <v/>
      </c>
      <c r="CJ36" s="636" t="str">
        <f>IF(OR(CI36="",BZ36="",'HHV-LHV-MW'!K20=""),"",((CI36*BZ36*('HHV-LHV-MW'!K20/100))/23.685)^2)</f>
        <v/>
      </c>
      <c r="CK36" s="891" t="str">
        <f>IF(OR(CI36="",CA36="",'HHV-LHV-MW'!K20=""),"",((CI36*CA36*('HHV-LHV-MW'!K20/100))/23.685)^2)</f>
        <v/>
      </c>
      <c r="CL36" s="639" t="e">
        <f t="shared" si="7"/>
        <v>#DIV/0!</v>
      </c>
      <c r="CM36" s="892" t="e">
        <f t="shared" si="8"/>
        <v>#DIV/0!</v>
      </c>
      <c r="CN36" s="511"/>
      <c r="CO36" s="511"/>
      <c r="CP36" s="511"/>
      <c r="CQ36" s="511"/>
      <c r="CR36" s="511"/>
      <c r="CS36" s="511"/>
      <c r="CT36" s="511"/>
      <c r="CU36" s="888" t="str">
        <f>IF(G36="","",VLOOKUP(G36,'HHV-LHV-MW'!$A$3:$H$40,4,FALSE))</f>
        <v/>
      </c>
      <c r="CV36" s="889" t="str">
        <f>IF(G36="","",VLOOKUP(G36,'HHV-LHV-MW'!$A$3:$H$40,5,FALSE))</f>
        <v/>
      </c>
      <c r="CW36" s="890" t="e">
        <f>(PRODUCT('HHV-LHV-MW'!BH20)+PRODUCT('HHV-LHV-MW'!BT20)+PRODUCT('HHV-LHV-MW'!CF20)+PRODUCT('HHV-LHV-MW'!CR20))/$BO$28</f>
        <v>#DIV/0!</v>
      </c>
      <c r="CX36" s="890">
        <f>IF($BO$28=1,"",  (SQRT(  (      (IF('HHV-LHV-MW'!BH20="",0,('HHV-LHV-MW'!BH20-CW36)^2))      +        (IF('HHV-LHV-MW'!BT20="",0,('HHV-LHV-MW'!BT20-CW36)^2))       +        (IF('HHV-LHV-MW'!CF20="",0,('HHV-LHV-MW'!CF20-CW36)^2))          +        (IF('HHV-LHV-MW'!CR20="",0,('HHV-LHV-MW'!CR20-CW36)^2))          )     *(1/($BO$28-1))  )))</f>
        <v>0</v>
      </c>
      <c r="CY36" s="890" t="e">
        <f t="shared" si="9"/>
        <v>#N/A</v>
      </c>
      <c r="CZ36" s="890" t="e">
        <f t="shared" si="10"/>
        <v>#DIV/0!</v>
      </c>
      <c r="DA36" s="636" t="str">
        <f>IF('HHV-LHV-MW'!BH20="","",IF(AND('HHV-LHV-MW'!BH20&gt;=0,'HHV-LHV-MW'!BH20&lt;=0.09),2,  IF(AND('HHV-LHV-MW'!BH20&gt;=0.1,'HHV-LHV-MW'!BH20&lt;=0.9),7,  IF(AND('HHV-LHV-MW'!BH20&gt;=1,'HHV-LHV-MW'!BH20&lt;=4.9),10,   IF(AND('HHV-LHV-MW'!BH20&gt;=5,'HHV-LHV-MW'!BH20&lt;=10),12, 15)))))</f>
        <v/>
      </c>
      <c r="DB36" s="636" t="str">
        <f>IF('HHV-LHV-MW'!BH20="","",5*'HHV-LHV-MW'!BH20)</f>
        <v/>
      </c>
      <c r="DC36" s="635" t="str">
        <f t="shared" si="11"/>
        <v/>
      </c>
      <c r="DD36" s="636" t="str">
        <f>IF(OR(DC36="",'HHV-LHV-MW'!BH20=0),"",DC36/'HHV-LHV-MW'!BH20)</f>
        <v/>
      </c>
      <c r="DE36" s="635" t="str">
        <f>IF(OR(DD36="",CU36="",'HHV-LHV-MW'!BH20=""),"",((DD36*CU36*('HHV-LHV-MW'!BH20/100))/23.685)^2)</f>
        <v/>
      </c>
      <c r="DF36" s="636" t="str">
        <f>IF(OR(DD36="",CV36="",'HHV-LHV-MW'!BH20=""),"",((DD36*CV36*('HHV-LHV-MW'!BH20/100))/23.685)^2)</f>
        <v/>
      </c>
      <c r="DG36" s="639" t="e">
        <f t="shared" si="12"/>
        <v>#DIV/0!</v>
      </c>
      <c r="DH36" s="892" t="e">
        <f t="shared" si="13"/>
        <v>#DIV/0!</v>
      </c>
      <c r="DI36" s="511"/>
      <c r="DJ36" s="511"/>
      <c r="DK36" s="511"/>
      <c r="DL36" s="511"/>
      <c r="DM36" s="511"/>
      <c r="DN36" s="511"/>
      <c r="DO36" s="511"/>
      <c r="DP36" s="888" t="str">
        <f>IF(M36="","",VLOOKUP(M36,'HHV-LHV-MW'!$A$3:$H$40,4,FALSE))</f>
        <v/>
      </c>
      <c r="DQ36" s="889" t="str">
        <f>IF(M36="","",VLOOKUP(M36,'HHV-LHV-MW'!$A$3:$H$40,5,FALSE))</f>
        <v/>
      </c>
      <c r="DR36" s="890" t="e">
        <f>(PRODUCT('HHV-LHV-MW'!DE20)+PRODUCT('HHV-LHV-MW'!DQ20)+PRODUCT('HHV-LHV-MW'!EC20)+PRODUCT('HHV-LHV-MW'!EO20))/$BO$37</f>
        <v>#DIV/0!</v>
      </c>
      <c r="DS36" s="890">
        <f>IF($BO$37=1,"",  (SQRT(  (      (IF('HHV-LHV-MW'!DE20="",0,('HHV-LHV-MW'!DE20-DR36)^2))      +        (IF('HHV-LHV-MW'!DQ20="",0,('HHV-LHV-MW'!DQ20-DR36)^2))       +        (IF('HHV-LHV-MW'!EC20="",0,('HHV-LHV-MW'!EC20-DR36)^2))          +        (IF('HHV-LHV-MW'!EO20="",0,('HHV-LHV-MW'!EO20-DR36)^2))          )     *(1/($BO$37-1))  )))</f>
        <v>0</v>
      </c>
      <c r="DT36" s="890" t="e">
        <f t="shared" si="0"/>
        <v>#N/A</v>
      </c>
      <c r="DU36" s="890" t="e">
        <f t="shared" si="14"/>
        <v>#DIV/0!</v>
      </c>
      <c r="DV36" s="636" t="str">
        <f>IF('HHV-LHV-MW'!DE20="","",IF(AND('HHV-LHV-MW'!DE20&gt;=0,'HHV-LHV-MW'!DE20&lt;=0.09),2,  IF(AND('HHV-LHV-MW'!DE20&gt;=0.1,'HHV-LHV-MW'!DE20&lt;=0.9),7,  IF(AND('HHV-LHV-MW'!DE20&gt;=1,'HHV-LHV-MW'!DE20&lt;=4.9),10,   IF(AND('HHV-LHV-MW'!DE20&gt;=5,'HHV-LHV-MW'!DE20&lt;=10),12, 15)))))</f>
        <v/>
      </c>
      <c r="DW36" s="636" t="str">
        <f>IF('HHV-LHV-MW'!DE20="","",5*'HHV-LHV-MW'!DE20)</f>
        <v/>
      </c>
      <c r="DX36" s="635" t="str">
        <f t="shared" si="15"/>
        <v/>
      </c>
      <c r="DY36" s="636" t="str">
        <f>IF(OR(DX36="",'HHV-LHV-MW'!DE20=0),"",DX36/'HHV-LHV-MW'!DE20)</f>
        <v/>
      </c>
      <c r="DZ36" s="636" t="str">
        <f>IF(OR(DY36="",DP36="",'HHV-LHV-MW'!DE20=""),"",((DY36*DP36*('HHV-LHV-MW'!DE20/100))/23.685)^2)</f>
        <v/>
      </c>
      <c r="EA36" s="636" t="str">
        <f>IF(OR(DY36="",DQ36="",'HHV-LHV-MW'!DE20=""),"",((DY36*DQ36*('HHV-LHV-MW'!DE20/100))/23.685)^2)</f>
        <v/>
      </c>
      <c r="EB36" s="639" t="e">
        <f t="shared" si="16"/>
        <v>#DIV/0!</v>
      </c>
      <c r="EC36" s="892" t="e">
        <f t="shared" si="17"/>
        <v>#DIV/0!</v>
      </c>
      <c r="ED36" s="511"/>
      <c r="EE36" s="511"/>
      <c r="EF36" s="511"/>
      <c r="EG36" s="511"/>
      <c r="EH36" s="511"/>
      <c r="EI36" s="511"/>
      <c r="EJ36" s="511"/>
      <c r="EK36" s="888" t="str">
        <f>IF(S36="","",VLOOKUP(S36,'HHV-LHV-MW'!$A$3:$H$40,4,FALSE))</f>
        <v/>
      </c>
      <c r="EL36" s="889" t="str">
        <f>IF(S36="","",VLOOKUP(S36,'HHV-LHV-MW'!$A$3:$H$40,5,FALSE))</f>
        <v/>
      </c>
      <c r="EM36" s="890" t="e">
        <f>(PRODUCT('HHV-LHV-MW'!FB20)+PRODUCT('HHV-LHV-MW'!FN20)+PRODUCT('HHV-LHV-MW'!FZ20)+PRODUCT('HHV-LHV-MW'!GL20))/$BW$19</f>
        <v>#DIV/0!</v>
      </c>
      <c r="EN36" s="890">
        <f>IF($BW$19=1,"",  (SQRT(  (      (IF('HHV-LHV-MW'!FB20="",0,('HHV-LHV-MW'!FB20-EM36)^2))      +        (IF('HHV-LHV-MW'!FN20="",0,('HHV-LHV-MW'!FN20-EM36)^2))       +        (IF('HHV-LHV-MW'!FZ20="",0,('HHV-LHV-MW'!FZ20-EM36)^2))          +        (IF('HHV-LHV-MW'!GL20="",0,('HHV-LHV-MW'!GL20-EM36)^2))          )     *(1/($BW$19-1))  )))</f>
        <v>0</v>
      </c>
      <c r="EO36" s="890" t="e">
        <f t="shared" si="1"/>
        <v>#N/A</v>
      </c>
      <c r="EP36" s="890" t="e">
        <f t="shared" si="18"/>
        <v>#DIV/0!</v>
      </c>
      <c r="EQ36" s="636" t="str">
        <f>IF('HHV-LHV-MW'!FB20="","",IF(AND('HHV-LHV-MW'!FB20&gt;=0,'HHV-LHV-MW'!FB20&lt;=0.09),2,  IF(AND('HHV-LHV-MW'!FB20&gt;=0.1,'HHV-LHV-MW'!FB20&lt;=0.9),7,  IF(AND('HHV-LHV-MW'!FB20&gt;=1,'HHV-LHV-MW'!FB20&lt;=4.9),10,   IF(AND('HHV-LHV-MW'!FB20&gt;=5,'HHV-LHV-MW'!FB20&lt;=10),12, 15)))))</f>
        <v/>
      </c>
      <c r="ER36" s="636" t="str">
        <f>IF('HHV-LHV-MW'!FB20="","",5*'HHV-LHV-MW'!FB20)</f>
        <v/>
      </c>
      <c r="ES36" s="635" t="str">
        <f t="shared" si="19"/>
        <v/>
      </c>
      <c r="ET36" s="636" t="str">
        <f>IF(OR(ES36="",'HHV-LHV-MW'!FB20=0),"",ES36/'HHV-LHV-MW'!FB20)</f>
        <v/>
      </c>
      <c r="EU36" s="636" t="str">
        <f>IF(OR(ET36="",EK36="",'HHV-LHV-MW'!FB20=""),"",((ET36*EK36*('HHV-LHV-MW'!FB20/100))/23.685)^2)</f>
        <v/>
      </c>
      <c r="EV36" s="636" t="str">
        <f>IF(OR(ET36="",EL36="",'HHV-LHV-MW'!FB20=""),"",((ET36*EL36*('HHV-LHV-MW'!FB20/100))/23.685)^2)</f>
        <v/>
      </c>
      <c r="EW36" s="639" t="e">
        <f t="shared" si="20"/>
        <v>#DIV/0!</v>
      </c>
      <c r="EX36" s="892" t="e">
        <f t="shared" si="21"/>
        <v>#DIV/0!</v>
      </c>
      <c r="EY36" s="511"/>
      <c r="EZ36" s="511"/>
      <c r="FA36" s="511"/>
      <c r="FB36" s="511"/>
      <c r="FC36" s="511"/>
      <c r="FD36" s="511"/>
      <c r="FE36" s="511"/>
      <c r="FF36" s="888" t="str">
        <f>IF(Y36="","",VLOOKUP(Y36,'HHV-LHV-MW'!$A$3:$H$40,4,FALSE))</f>
        <v/>
      </c>
      <c r="FG36" s="889" t="str">
        <f>IF(Y36="","",VLOOKUP(Y36,'HHV-LHV-MW'!$A$3:$H$40,5,FALSE))</f>
        <v/>
      </c>
      <c r="FH36" s="890" t="e">
        <f>(PRODUCT('HHV-LHV-MW'!GY20)+PRODUCT('HHV-LHV-MW'!HK20)+PRODUCT('HHV-LHV-MW'!HW20)+PRODUCT('HHV-LHV-MW'!II20))/$BW$28</f>
        <v>#DIV/0!</v>
      </c>
      <c r="FI36" s="890">
        <f>IF($BW$28=1,"",  (SQRT(  (      (IF('HHV-LHV-MW'!GY20="",0,('HHV-LHV-MW'!GY20-FH36)^2))      +        (IF('HHV-LHV-MW'!HK20="",0,('HHV-LHV-MW'!HK20-FH36)^2))       +        (IF('HHV-LHV-MW'!HW20="",0,('HHV-LHV-MW'!HW20-FH36)^2))          +        (IF('HHV-LHV-MW'!II20="",0,('HHV-LHV-MW'!II20-FH36)^2))          )     *(1/($BW$28-1))  )))</f>
        <v>0</v>
      </c>
      <c r="FJ36" s="890" t="e">
        <f t="shared" si="2"/>
        <v>#N/A</v>
      </c>
      <c r="FK36" s="890" t="e">
        <f t="shared" si="22"/>
        <v>#DIV/0!</v>
      </c>
      <c r="FL36" s="636" t="str">
        <f>IF('HHV-LHV-MW'!GY20="","",IF(AND('HHV-LHV-MW'!GY20&gt;=0,'HHV-LHV-MW'!GY20&lt;=0.09),2,  IF(AND('HHV-LHV-MW'!GY20&gt;=0.1,'HHV-LHV-MW'!GY20&lt;=0.9),7,  IF(AND('HHV-LHV-MW'!GY20&gt;=1,'HHV-LHV-MW'!GY20&lt;=4.9),10,   IF(AND('HHV-LHV-MW'!GY20&gt;=5,'HHV-LHV-MW'!GY20&lt;=10),12, 15)))))</f>
        <v/>
      </c>
      <c r="FM36" s="636" t="str">
        <f>IF('HHV-LHV-MW'!GY20="","",5*'HHV-LHV-MW'!GY20)</f>
        <v/>
      </c>
      <c r="FN36" s="635" t="str">
        <f t="shared" si="23"/>
        <v/>
      </c>
      <c r="FO36" s="636" t="str">
        <f>IF(OR(FN36="",'HHV-LHV-MW'!GY20=0),"",FN36/'HHV-LHV-MW'!GY20)</f>
        <v/>
      </c>
      <c r="FP36" s="636" t="str">
        <f>IF(OR(FO36="",FF36="",'HHV-LHV-MW'!GY20=""),"",((FO36*FF36*('HHV-LHV-MW'!GY20/100))/23.685)^2)</f>
        <v/>
      </c>
      <c r="FQ36" s="636" t="str">
        <f>IF(OR(FO36="",FG36="",'HHV-LHV-MW'!GY20=""),"",((FO36*FG36*('HHV-LHV-MW'!GY20/100))/23.685)^2)</f>
        <v/>
      </c>
      <c r="FR36" s="639" t="e">
        <f t="shared" si="24"/>
        <v>#DIV/0!</v>
      </c>
      <c r="FS36" s="892" t="e">
        <f t="shared" si="25"/>
        <v>#DIV/0!</v>
      </c>
      <c r="FT36" s="511"/>
      <c r="FU36" s="511"/>
      <c r="FV36" s="511"/>
      <c r="FW36" s="511"/>
      <c r="FX36" s="511"/>
      <c r="FY36" s="511"/>
      <c r="FZ36" s="511"/>
      <c r="GA36" s="888" t="str">
        <f>IF(AE36="","",VLOOKUP(AE36,'HHV-LHV-MW'!$A$3:$H$40,4,FALSE))</f>
        <v/>
      </c>
      <c r="GB36" s="889" t="str">
        <f>IF(AE36="","",VLOOKUP(AE36,'HHV-LHV-MW'!$A$3:$H$40,5,FALSE))</f>
        <v/>
      </c>
      <c r="GC36" s="890" t="e">
        <f>(PRODUCT('HHV-LHV-MW'!IV20)+PRODUCT('HHV-LHV-MW'!JH20)+PRODUCT('HHV-LHV-MW'!JT20)+PRODUCT('HHV-LHV-MW'!KF20))/$BW$37</f>
        <v>#DIV/0!</v>
      </c>
      <c r="GD36" s="890">
        <f>IF($BW$37=1,"",  (SQRT(  (      (IF('HHV-LHV-MW'!IV20="",0,('HHV-LHV-MW'!IV20-GC36)^2))      +        (IF('HHV-LHV-MW'!JH20="",0,('HHV-LHV-MW'!JH20-GC36)^2))       +        (IF('HHV-LHV-MW'!JT20="",0,('HHV-LHV-MW'!JT20-GC36)^2))          +        (IF('HHV-LHV-MW'!KF20="",0,('HHV-LHV-MW'!KF20-GC36)^2))          )     *(1/($BW$37-1))  )))</f>
        <v>0</v>
      </c>
      <c r="GE36" s="890" t="e">
        <f t="shared" si="3"/>
        <v>#N/A</v>
      </c>
      <c r="GF36" s="890" t="e">
        <f t="shared" si="26"/>
        <v>#DIV/0!</v>
      </c>
      <c r="GG36" s="636" t="str">
        <f>IF('HHV-LHV-MW'!IV20="","",IF(AND('HHV-LHV-MW'!IV20&gt;=0,'HHV-LHV-MW'!IV20&lt;=0.09),2,  IF(AND('HHV-LHV-MW'!IV20&gt;=0.1,'HHV-LHV-MW'!IV20&lt;=0.9),7,  IF(AND('HHV-LHV-MW'!IV20&gt;=1,'HHV-LHV-MW'!IV20&lt;=4.9),10,   IF(AND('HHV-LHV-MW'!IV20&gt;=5,'HHV-LHV-MW'!IV20&lt;=10),12, 15)))))</f>
        <v/>
      </c>
      <c r="GH36" s="636" t="str">
        <f>IF('HHV-LHV-MW'!IV20="","",5*'HHV-LHV-MW'!IV20)</f>
        <v/>
      </c>
      <c r="GI36" s="635" t="str">
        <f t="shared" si="27"/>
        <v/>
      </c>
      <c r="GJ36" s="636" t="str">
        <f>IF(OR(GI36="",'HHV-LHV-MW'!IV20=0),"",GI36/'HHV-LHV-MW'!IV20)</f>
        <v/>
      </c>
      <c r="GK36" s="636" t="str">
        <f>IF(OR(GJ36="",GA36="",'HHV-LHV-MW'!IV20=""),"",((GJ36*GA36*('HHV-LHV-MW'!IV20/100))/23.685)^2)</f>
        <v/>
      </c>
      <c r="GL36" s="636" t="str">
        <f>IF(OR(GJ36="",GB36="",'HHV-LHV-MW'!IV20=""),"",((GJ36*GB36*('HHV-LHV-MW'!IV20/100))/23.685)^2)</f>
        <v/>
      </c>
      <c r="GM36" s="639" t="e">
        <f t="shared" si="28"/>
        <v>#DIV/0!</v>
      </c>
      <c r="GN36" s="892" t="e">
        <f t="shared" si="29"/>
        <v>#DIV/0!</v>
      </c>
      <c r="GO36" s="874"/>
      <c r="GP36" s="874"/>
      <c r="GQ36" s="874"/>
      <c r="GR36" s="874"/>
      <c r="GS36" s="874"/>
      <c r="GT36" s="874"/>
      <c r="GU36" s="874"/>
      <c r="GV36" s="874"/>
      <c r="GW36" s="874"/>
      <c r="GX36" s="874"/>
      <c r="GY36" s="874"/>
      <c r="GZ36" s="874"/>
      <c r="HA36" s="874"/>
      <c r="HB36" s="511"/>
      <c r="HC36" s="511"/>
      <c r="HD36" s="511"/>
      <c r="HE36" s="511"/>
      <c r="HF36" s="511"/>
      <c r="HG36" s="511"/>
      <c r="HH36" s="511"/>
      <c r="HI36" s="511"/>
      <c r="HJ36" s="874"/>
      <c r="HK36" s="874"/>
      <c r="HL36" s="874"/>
      <c r="HM36" s="874"/>
      <c r="HN36" s="874"/>
      <c r="HO36" s="874"/>
      <c r="HP36" s="874"/>
      <c r="HQ36" s="874"/>
      <c r="HR36" s="874"/>
      <c r="HS36" s="874"/>
      <c r="HT36" s="874"/>
      <c r="HU36" s="874"/>
      <c r="HV36" s="874"/>
      <c r="HW36" s="511"/>
      <c r="HX36" s="511"/>
      <c r="HY36" s="511"/>
      <c r="HZ36" s="511"/>
      <c r="IA36" s="511"/>
      <c r="IB36" s="511"/>
      <c r="IC36" s="511"/>
      <c r="ID36" s="511"/>
      <c r="IE36" s="874"/>
      <c r="IF36" s="874"/>
      <c r="IG36" s="874"/>
      <c r="IH36" s="874"/>
      <c r="II36" s="874"/>
      <c r="IJ36" s="874"/>
      <c r="IK36" s="874"/>
      <c r="IL36" s="874"/>
      <c r="IM36" s="874"/>
      <c r="IN36" s="874"/>
      <c r="IO36" s="874"/>
      <c r="IP36" s="874"/>
      <c r="IQ36" s="874"/>
      <c r="IR36" s="511"/>
      <c r="IS36" s="511"/>
      <c r="IT36" s="511"/>
      <c r="IU36" s="511"/>
      <c r="IV36" s="511"/>
      <c r="IW36" s="511"/>
      <c r="IX36" s="511"/>
      <c r="IY36" s="511"/>
      <c r="IZ36" s="874"/>
      <c r="JA36" s="874"/>
      <c r="JB36" s="874"/>
      <c r="JC36" s="874"/>
      <c r="JD36" s="874"/>
      <c r="JE36" s="874"/>
      <c r="JF36" s="874"/>
      <c r="JG36" s="874"/>
      <c r="JH36" s="874"/>
      <c r="JI36" s="874"/>
      <c r="JJ36" s="874"/>
      <c r="JK36" s="874"/>
      <c r="JL36" s="874"/>
      <c r="JM36" s="874"/>
      <c r="JN36" s="874"/>
      <c r="JO36" s="874"/>
      <c r="JP36" s="874"/>
      <c r="JQ36" s="874"/>
      <c r="JR36" s="874"/>
      <c r="JS36" s="874"/>
      <c r="JT36" s="874"/>
      <c r="JU36" s="874"/>
      <c r="JV36" s="874"/>
      <c r="JW36" s="874"/>
      <c r="JX36" s="874"/>
      <c r="JY36" s="874"/>
      <c r="JZ36" s="874"/>
      <c r="KA36" s="874"/>
      <c r="KB36" s="874"/>
      <c r="KC36" s="874"/>
      <c r="KD36" s="874"/>
      <c r="KE36" s="874"/>
      <c r="KF36" s="874"/>
      <c r="KG36" s="874"/>
      <c r="KH36" s="865"/>
      <c r="KI36" s="865"/>
      <c r="KJ36" s="865"/>
      <c r="KK36" s="865"/>
      <c r="KL36" s="865"/>
      <c r="KM36" s="865"/>
      <c r="KN36" s="865"/>
      <c r="KO36" s="865"/>
      <c r="KP36" s="865"/>
      <c r="KQ36" s="865"/>
      <c r="KR36" s="865"/>
      <c r="KS36" s="865"/>
      <c r="KT36" s="865"/>
      <c r="KU36" s="865"/>
      <c r="KV36" s="865"/>
      <c r="KW36" s="865"/>
      <c r="KX36" s="865"/>
      <c r="KY36" s="865"/>
      <c r="KZ36" s="865"/>
      <c r="LA36" s="865"/>
      <c r="LB36" s="865"/>
      <c r="LC36" s="865"/>
      <c r="LD36" s="865"/>
      <c r="LE36" s="865"/>
      <c r="LF36" s="865"/>
    </row>
    <row r="37" spans="1:318" ht="18.600000000000001">
      <c r="A37" s="864"/>
      <c r="B37" s="502"/>
      <c r="C37" s="663"/>
      <c r="D37" s="663"/>
      <c r="E37" s="663"/>
      <c r="F37" s="511"/>
      <c r="G37" s="864"/>
      <c r="H37" s="502"/>
      <c r="I37" s="663"/>
      <c r="J37" s="663"/>
      <c r="K37" s="663"/>
      <c r="L37" s="511"/>
      <c r="M37" s="864"/>
      <c r="N37" s="502"/>
      <c r="O37" s="663"/>
      <c r="P37" s="663"/>
      <c r="Q37" s="663"/>
      <c r="R37" s="511"/>
      <c r="S37" s="864"/>
      <c r="T37" s="502"/>
      <c r="U37" s="663"/>
      <c r="V37" s="663"/>
      <c r="W37" s="663"/>
      <c r="X37" s="511"/>
      <c r="Y37" s="864"/>
      <c r="Z37" s="502"/>
      <c r="AA37" s="663"/>
      <c r="AB37" s="663"/>
      <c r="AC37" s="663"/>
      <c r="AD37" s="511"/>
      <c r="AE37" s="864"/>
      <c r="AF37" s="502"/>
      <c r="AG37" s="663"/>
      <c r="AH37" s="663"/>
      <c r="AI37" s="663"/>
      <c r="AJ37" s="511"/>
      <c r="AK37" s="865"/>
      <c r="AL37" s="865"/>
      <c r="AM37" s="865"/>
      <c r="AN37" s="865"/>
      <c r="AO37" s="865"/>
      <c r="AP37" s="865"/>
      <c r="AQ37" s="865"/>
      <c r="AR37" s="865"/>
      <c r="AS37" s="865"/>
      <c r="AT37" s="865"/>
      <c r="AU37" s="865"/>
      <c r="AV37" s="865"/>
      <c r="AW37" s="865"/>
      <c r="AX37" s="865"/>
      <c r="AY37" s="865"/>
      <c r="AZ37" s="865"/>
      <c r="BA37" s="865"/>
      <c r="BB37" s="865"/>
      <c r="BC37" s="865"/>
      <c r="BD37" s="865"/>
      <c r="BE37" s="865"/>
      <c r="BF37" s="865"/>
      <c r="BG37" s="865"/>
      <c r="BH37" s="865"/>
      <c r="BI37" s="865"/>
      <c r="BJ37" s="1201" t="str">
        <f>IF(BM34="واقعي","تعداد نمونه‌هاي وارد شده را انتخاب كنيد:","")</f>
        <v/>
      </c>
      <c r="BK37" s="1201"/>
      <c r="BL37" s="1201"/>
      <c r="BM37" s="1201"/>
      <c r="BN37" s="1201"/>
      <c r="BO37" s="2439"/>
      <c r="BP37" s="2439"/>
      <c r="BQ37" s="865"/>
      <c r="BR37" s="1201" t="str">
        <f>IF(BU34="واقعي","تعداد نمونه‌هاي وارد شده را انتخاب كنيد:","")</f>
        <v/>
      </c>
      <c r="BS37" s="1201"/>
      <c r="BT37" s="1201"/>
      <c r="BU37" s="1201"/>
      <c r="BV37" s="1201"/>
      <c r="BW37" s="2439"/>
      <c r="BX37" s="2439"/>
      <c r="BY37" s="874"/>
      <c r="BZ37" s="888" t="str">
        <f>IF(A37="","",VLOOKUP(A37,'HHV-LHV-MW'!$A$3:$H$40,4,FALSE))</f>
        <v/>
      </c>
      <c r="CA37" s="889" t="str">
        <f>IF(A37="","",VLOOKUP(A37,'HHV-LHV-MW'!$A$3:$H$40,5,FALSE))</f>
        <v/>
      </c>
      <c r="CB37" s="890" t="e">
        <f>(PRODUCT('HHV-LHV-MW'!K21)+PRODUCT('HHV-LHV-MW'!W21)+PRODUCT('HHV-LHV-MW'!AI21)+PRODUCT('HHV-LHV-MW'!AU21))/$BO$19</f>
        <v>#DIV/0!</v>
      </c>
      <c r="CC37" s="890">
        <f>IF($BO$19=1,"",  (SQRT(  (      (IF('HHV-LHV-MW'!K21="",0,('HHV-LHV-MW'!K21-CB37)^2))      +        (IF('HHV-LHV-MW'!W21="",0,('HHV-LHV-MW'!W21-CB37)^2))       +        (IF('HHV-LHV-MW'!AI21="",0,('HHV-LHV-MW'!AI21-CB37)^2))          +        (IF('HHV-LHV-MW'!AU21="",0,('HHV-LHV-MW'!AU21-CB37)^2))          )     *(1/($BO$19-1))  )))</f>
        <v>0</v>
      </c>
      <c r="CD37" s="890" t="e">
        <f t="shared" si="4"/>
        <v>#N/A</v>
      </c>
      <c r="CE37" s="890" t="e">
        <f t="shared" si="5"/>
        <v>#DIV/0!</v>
      </c>
      <c r="CF37" s="636" t="str">
        <f>IF('HHV-LHV-MW'!K21="","",IF(AND('HHV-LHV-MW'!K21&gt;=0,'HHV-LHV-MW'!K21&lt;=0.09),2,  IF(AND('HHV-LHV-MW'!K21&gt;=0.1,'HHV-LHV-MW'!K21&lt;=0.9),7,  IF(AND('HHV-LHV-MW'!K21&gt;=1,'HHV-LHV-MW'!K21&lt;=4.9),10,   IF(AND('HHV-LHV-MW'!K21&gt;=5,'HHV-LHV-MW'!K21&lt;=10),12, 15)))))</f>
        <v/>
      </c>
      <c r="CG37" s="636" t="str">
        <f>IF('HHV-LHV-MW'!K21="","",5*'HHV-LHV-MW'!K21)</f>
        <v/>
      </c>
      <c r="CH37" s="635" t="str">
        <f t="shared" si="6"/>
        <v/>
      </c>
      <c r="CI37" s="636" t="str">
        <f>IF(OR(CH37="",'HHV-LHV-MW'!K21=0),"",CH37/'HHV-LHV-MW'!K21)</f>
        <v/>
      </c>
      <c r="CJ37" s="636" t="str">
        <f>IF(OR(CI37="",BZ37="",'HHV-LHV-MW'!K21=""),"",((CI37*BZ37*('HHV-LHV-MW'!K21/100))/23.685)^2)</f>
        <v/>
      </c>
      <c r="CK37" s="891" t="str">
        <f>IF(OR(CI37="",CA37="",'HHV-LHV-MW'!K21=""),"",((CI37*CA37*('HHV-LHV-MW'!K21/100))/23.685)^2)</f>
        <v/>
      </c>
      <c r="CL37" s="639" t="e">
        <f t="shared" si="7"/>
        <v>#DIV/0!</v>
      </c>
      <c r="CM37" s="892" t="e">
        <f t="shared" si="8"/>
        <v>#DIV/0!</v>
      </c>
      <c r="CN37" s="511"/>
      <c r="CO37" s="511"/>
      <c r="CP37" s="511"/>
      <c r="CQ37" s="511"/>
      <c r="CR37" s="511"/>
      <c r="CS37" s="511"/>
      <c r="CT37" s="511"/>
      <c r="CU37" s="888" t="str">
        <f>IF(G37="","",VLOOKUP(G37,'HHV-LHV-MW'!$A$3:$H$40,4,FALSE))</f>
        <v/>
      </c>
      <c r="CV37" s="889" t="str">
        <f>IF(G37="","",VLOOKUP(G37,'HHV-LHV-MW'!$A$3:$H$40,5,FALSE))</f>
        <v/>
      </c>
      <c r="CW37" s="890" t="e">
        <f>(PRODUCT('HHV-LHV-MW'!BH21)+PRODUCT('HHV-LHV-MW'!BT21)+PRODUCT('HHV-LHV-MW'!CF21)+PRODUCT('HHV-LHV-MW'!CR21))/$BO$28</f>
        <v>#DIV/0!</v>
      </c>
      <c r="CX37" s="890">
        <f>IF($BO$28=1,"",  (SQRT(  (      (IF('HHV-LHV-MW'!BH21="",0,('HHV-LHV-MW'!BH21-CW37)^2))      +        (IF('HHV-LHV-MW'!BT21="",0,('HHV-LHV-MW'!BT21-CW37)^2))       +        (IF('HHV-LHV-MW'!CF21="",0,('HHV-LHV-MW'!CF21-CW37)^2))          +        (IF('HHV-LHV-MW'!CR21="",0,('HHV-LHV-MW'!CR21-CW37)^2))          )     *(1/($BO$28-1))  )))</f>
        <v>0</v>
      </c>
      <c r="CY37" s="890" t="e">
        <f t="shared" si="9"/>
        <v>#N/A</v>
      </c>
      <c r="CZ37" s="890" t="e">
        <f t="shared" si="10"/>
        <v>#DIV/0!</v>
      </c>
      <c r="DA37" s="636" t="str">
        <f>IF('HHV-LHV-MW'!BH21="","",IF(AND('HHV-LHV-MW'!BH21&gt;=0,'HHV-LHV-MW'!BH21&lt;=0.09),2,  IF(AND('HHV-LHV-MW'!BH21&gt;=0.1,'HHV-LHV-MW'!BH21&lt;=0.9),7,  IF(AND('HHV-LHV-MW'!BH21&gt;=1,'HHV-LHV-MW'!BH21&lt;=4.9),10,   IF(AND('HHV-LHV-MW'!BH21&gt;=5,'HHV-LHV-MW'!BH21&lt;=10),12, 15)))))</f>
        <v/>
      </c>
      <c r="DB37" s="636" t="str">
        <f>IF('HHV-LHV-MW'!BH21="","",5*'HHV-LHV-MW'!BH21)</f>
        <v/>
      </c>
      <c r="DC37" s="635" t="str">
        <f t="shared" si="11"/>
        <v/>
      </c>
      <c r="DD37" s="636" t="str">
        <f>IF(OR(DC37="",'HHV-LHV-MW'!BH21=0),"",DC37/'HHV-LHV-MW'!BH21)</f>
        <v/>
      </c>
      <c r="DE37" s="635" t="str">
        <f>IF(OR(DD37="",CU37="",'HHV-LHV-MW'!BH21=""),"",((DD37*CU37*('HHV-LHV-MW'!BH21/100))/23.685)^2)</f>
        <v/>
      </c>
      <c r="DF37" s="636" t="str">
        <f>IF(OR(DD37="",CV37="",'HHV-LHV-MW'!BH21=""),"",((DD37*CV37*('HHV-LHV-MW'!BH21/100))/23.685)^2)</f>
        <v/>
      </c>
      <c r="DG37" s="639" t="e">
        <f t="shared" si="12"/>
        <v>#DIV/0!</v>
      </c>
      <c r="DH37" s="892" t="e">
        <f t="shared" si="13"/>
        <v>#DIV/0!</v>
      </c>
      <c r="DI37" s="511"/>
      <c r="DJ37" s="511"/>
      <c r="DK37" s="511"/>
      <c r="DL37" s="511"/>
      <c r="DM37" s="511"/>
      <c r="DN37" s="511"/>
      <c r="DO37" s="511"/>
      <c r="DP37" s="888" t="str">
        <f>IF(M37="","",VLOOKUP(M37,'HHV-LHV-MW'!$A$3:$H$40,4,FALSE))</f>
        <v/>
      </c>
      <c r="DQ37" s="889" t="str">
        <f>IF(M37="","",VLOOKUP(M37,'HHV-LHV-MW'!$A$3:$H$40,5,FALSE))</f>
        <v/>
      </c>
      <c r="DR37" s="890" t="e">
        <f>(PRODUCT('HHV-LHV-MW'!DE21)+PRODUCT('HHV-LHV-MW'!DQ21)+PRODUCT('HHV-LHV-MW'!EC21)+PRODUCT('HHV-LHV-MW'!EO21))/$BO$37</f>
        <v>#DIV/0!</v>
      </c>
      <c r="DS37" s="890">
        <f>IF($BO$37=1,"",  (SQRT(  (      (IF('HHV-LHV-MW'!DE21="",0,('HHV-LHV-MW'!DE21-DR37)^2))      +        (IF('HHV-LHV-MW'!DQ21="",0,('HHV-LHV-MW'!DQ21-DR37)^2))       +        (IF('HHV-LHV-MW'!EC21="",0,('HHV-LHV-MW'!EC21-DR37)^2))          +        (IF('HHV-LHV-MW'!EO21="",0,('HHV-LHV-MW'!EO21-DR37)^2))          )     *(1/($BO$37-1))  )))</f>
        <v>0</v>
      </c>
      <c r="DT37" s="890" t="e">
        <f t="shared" si="0"/>
        <v>#N/A</v>
      </c>
      <c r="DU37" s="890" t="e">
        <f t="shared" si="14"/>
        <v>#DIV/0!</v>
      </c>
      <c r="DV37" s="636" t="str">
        <f>IF('HHV-LHV-MW'!DE21="","",IF(AND('HHV-LHV-MW'!DE21&gt;=0,'HHV-LHV-MW'!DE21&lt;=0.09),2,  IF(AND('HHV-LHV-MW'!DE21&gt;=0.1,'HHV-LHV-MW'!DE21&lt;=0.9),7,  IF(AND('HHV-LHV-MW'!DE21&gt;=1,'HHV-LHV-MW'!DE21&lt;=4.9),10,   IF(AND('HHV-LHV-MW'!DE21&gt;=5,'HHV-LHV-MW'!DE21&lt;=10),12, 15)))))</f>
        <v/>
      </c>
      <c r="DW37" s="636" t="str">
        <f>IF('HHV-LHV-MW'!DE21="","",5*'HHV-LHV-MW'!DE21)</f>
        <v/>
      </c>
      <c r="DX37" s="635" t="str">
        <f t="shared" si="15"/>
        <v/>
      </c>
      <c r="DY37" s="636" t="str">
        <f>IF(OR(DX37="",'HHV-LHV-MW'!DE21=0),"",DX37/'HHV-LHV-MW'!DE21)</f>
        <v/>
      </c>
      <c r="DZ37" s="636" t="str">
        <f>IF(OR(DY37="",DP37="",'HHV-LHV-MW'!DE21=""),"",((DY37*DP37*('HHV-LHV-MW'!DE21/100))/23.685)^2)</f>
        <v/>
      </c>
      <c r="EA37" s="636" t="str">
        <f>IF(OR(DY37="",DQ37="",'HHV-LHV-MW'!DE21=""),"",((DY37*DQ37*('HHV-LHV-MW'!DE21/100))/23.685)^2)</f>
        <v/>
      </c>
      <c r="EB37" s="639" t="e">
        <f t="shared" si="16"/>
        <v>#DIV/0!</v>
      </c>
      <c r="EC37" s="892" t="e">
        <f t="shared" si="17"/>
        <v>#DIV/0!</v>
      </c>
      <c r="ED37" s="511"/>
      <c r="EE37" s="511"/>
      <c r="EF37" s="511"/>
      <c r="EG37" s="511"/>
      <c r="EH37" s="511"/>
      <c r="EI37" s="511"/>
      <c r="EJ37" s="511"/>
      <c r="EK37" s="888" t="str">
        <f>IF(S37="","",VLOOKUP(S37,'HHV-LHV-MW'!$A$3:$H$40,4,FALSE))</f>
        <v/>
      </c>
      <c r="EL37" s="889" t="str">
        <f>IF(S37="","",VLOOKUP(S37,'HHV-LHV-MW'!$A$3:$H$40,5,FALSE))</f>
        <v/>
      </c>
      <c r="EM37" s="890" t="e">
        <f>(PRODUCT('HHV-LHV-MW'!FB21)+PRODUCT('HHV-LHV-MW'!FN21)+PRODUCT('HHV-LHV-MW'!FZ21)+PRODUCT('HHV-LHV-MW'!GL21))/$BW$19</f>
        <v>#DIV/0!</v>
      </c>
      <c r="EN37" s="890">
        <f>IF($BW$19=1,"",  (SQRT(  (      (IF('HHV-LHV-MW'!FB21="",0,('HHV-LHV-MW'!FB21-EM37)^2))      +        (IF('HHV-LHV-MW'!FN21="",0,('HHV-LHV-MW'!FN21-EM37)^2))       +        (IF('HHV-LHV-MW'!FZ21="",0,('HHV-LHV-MW'!FZ21-EM37)^2))          +        (IF('HHV-LHV-MW'!GL21="",0,('HHV-LHV-MW'!GL21-EM37)^2))          )     *(1/($BW$19-1))  )))</f>
        <v>0</v>
      </c>
      <c r="EO37" s="890" t="e">
        <f t="shared" si="1"/>
        <v>#N/A</v>
      </c>
      <c r="EP37" s="890" t="e">
        <f t="shared" si="18"/>
        <v>#DIV/0!</v>
      </c>
      <c r="EQ37" s="636" t="str">
        <f>IF('HHV-LHV-MW'!FB21="","",IF(AND('HHV-LHV-MW'!FB21&gt;=0,'HHV-LHV-MW'!FB21&lt;=0.09),2,  IF(AND('HHV-LHV-MW'!FB21&gt;=0.1,'HHV-LHV-MW'!FB21&lt;=0.9),7,  IF(AND('HHV-LHV-MW'!FB21&gt;=1,'HHV-LHV-MW'!FB21&lt;=4.9),10,   IF(AND('HHV-LHV-MW'!FB21&gt;=5,'HHV-LHV-MW'!FB21&lt;=10),12, 15)))))</f>
        <v/>
      </c>
      <c r="ER37" s="636" t="str">
        <f>IF('HHV-LHV-MW'!FB21="","",5*'HHV-LHV-MW'!FB21)</f>
        <v/>
      </c>
      <c r="ES37" s="635" t="str">
        <f t="shared" si="19"/>
        <v/>
      </c>
      <c r="ET37" s="636" t="str">
        <f>IF(OR(ES37="",'HHV-LHV-MW'!FB21=0),"",ES37/'HHV-LHV-MW'!FB21)</f>
        <v/>
      </c>
      <c r="EU37" s="636" t="str">
        <f>IF(OR(ET37="",EK37="",'HHV-LHV-MW'!FB21=""),"",((ET37*EK37*('HHV-LHV-MW'!FB21/100))/23.685)^2)</f>
        <v/>
      </c>
      <c r="EV37" s="636" t="str">
        <f>IF(OR(ET37="",EL37="",'HHV-LHV-MW'!FB21=""),"",((ET37*EL37*('HHV-LHV-MW'!FB21/100))/23.685)^2)</f>
        <v/>
      </c>
      <c r="EW37" s="639" t="e">
        <f t="shared" si="20"/>
        <v>#DIV/0!</v>
      </c>
      <c r="EX37" s="892" t="e">
        <f t="shared" si="21"/>
        <v>#DIV/0!</v>
      </c>
      <c r="EY37" s="511"/>
      <c r="EZ37" s="511"/>
      <c r="FA37" s="511"/>
      <c r="FB37" s="511"/>
      <c r="FC37" s="511"/>
      <c r="FD37" s="511"/>
      <c r="FE37" s="511"/>
      <c r="FF37" s="888" t="str">
        <f>IF(Y37="","",VLOOKUP(Y37,'HHV-LHV-MW'!$A$3:$H$40,4,FALSE))</f>
        <v/>
      </c>
      <c r="FG37" s="889" t="str">
        <f>IF(Y37="","",VLOOKUP(Y37,'HHV-LHV-MW'!$A$3:$H$40,5,FALSE))</f>
        <v/>
      </c>
      <c r="FH37" s="890" t="e">
        <f>(PRODUCT('HHV-LHV-MW'!GY21)+PRODUCT('HHV-LHV-MW'!HK21)+PRODUCT('HHV-LHV-MW'!HW21)+PRODUCT('HHV-LHV-MW'!II21))/$BW$28</f>
        <v>#DIV/0!</v>
      </c>
      <c r="FI37" s="890">
        <f>IF($BW$28=1,"",  (SQRT(  (      (IF('HHV-LHV-MW'!GY21="",0,('HHV-LHV-MW'!GY21-FH37)^2))      +        (IF('HHV-LHV-MW'!HK21="",0,('HHV-LHV-MW'!HK21-FH37)^2))       +        (IF('HHV-LHV-MW'!HW21="",0,('HHV-LHV-MW'!HW21-FH37)^2))          +        (IF('HHV-LHV-MW'!II21="",0,('HHV-LHV-MW'!II21-FH37)^2))          )     *(1/($BW$28-1))  )))</f>
        <v>0</v>
      </c>
      <c r="FJ37" s="890" t="e">
        <f t="shared" si="2"/>
        <v>#N/A</v>
      </c>
      <c r="FK37" s="890" t="e">
        <f t="shared" si="22"/>
        <v>#DIV/0!</v>
      </c>
      <c r="FL37" s="636" t="str">
        <f>IF('HHV-LHV-MW'!GY21="","",IF(AND('HHV-LHV-MW'!GY21&gt;=0,'HHV-LHV-MW'!GY21&lt;=0.09),2,  IF(AND('HHV-LHV-MW'!GY21&gt;=0.1,'HHV-LHV-MW'!GY21&lt;=0.9),7,  IF(AND('HHV-LHV-MW'!GY21&gt;=1,'HHV-LHV-MW'!GY21&lt;=4.9),10,   IF(AND('HHV-LHV-MW'!GY21&gt;=5,'HHV-LHV-MW'!GY21&lt;=10),12, 15)))))</f>
        <v/>
      </c>
      <c r="FM37" s="636" t="str">
        <f>IF('HHV-LHV-MW'!GY21="","",5*'HHV-LHV-MW'!GY21)</f>
        <v/>
      </c>
      <c r="FN37" s="635" t="str">
        <f t="shared" si="23"/>
        <v/>
      </c>
      <c r="FO37" s="636" t="str">
        <f>IF(OR(FN37="",'HHV-LHV-MW'!GY21=0),"",FN37/'HHV-LHV-MW'!GY21)</f>
        <v/>
      </c>
      <c r="FP37" s="636" t="str">
        <f>IF(OR(FO37="",FF37="",'HHV-LHV-MW'!GY21=""),"",((FO37*FF37*('HHV-LHV-MW'!GY21/100))/23.685)^2)</f>
        <v/>
      </c>
      <c r="FQ37" s="636" t="str">
        <f>IF(OR(FO37="",FG37="",'HHV-LHV-MW'!GY21=""),"",((FO37*FG37*('HHV-LHV-MW'!GY21/100))/23.685)^2)</f>
        <v/>
      </c>
      <c r="FR37" s="639" t="e">
        <f t="shared" si="24"/>
        <v>#DIV/0!</v>
      </c>
      <c r="FS37" s="892" t="e">
        <f t="shared" si="25"/>
        <v>#DIV/0!</v>
      </c>
      <c r="FT37" s="511"/>
      <c r="FU37" s="511"/>
      <c r="FV37" s="511"/>
      <c r="FW37" s="511"/>
      <c r="FX37" s="511"/>
      <c r="FY37" s="511"/>
      <c r="FZ37" s="511"/>
      <c r="GA37" s="888" t="str">
        <f>IF(AE37="","",VLOOKUP(AE37,'HHV-LHV-MW'!$A$3:$H$40,4,FALSE))</f>
        <v/>
      </c>
      <c r="GB37" s="889" t="str">
        <f>IF(AE37="","",VLOOKUP(AE37,'HHV-LHV-MW'!$A$3:$H$40,5,FALSE))</f>
        <v/>
      </c>
      <c r="GC37" s="890" t="e">
        <f>(PRODUCT('HHV-LHV-MW'!IV21)+PRODUCT('HHV-LHV-MW'!JH21)+PRODUCT('HHV-LHV-MW'!JT21)+PRODUCT('HHV-LHV-MW'!KF21))/$BW$37</f>
        <v>#DIV/0!</v>
      </c>
      <c r="GD37" s="890">
        <f>IF($BW$37=1,"",  (SQRT(  (      (IF('HHV-LHV-MW'!IV21="",0,('HHV-LHV-MW'!IV21-GC37)^2))      +        (IF('HHV-LHV-MW'!JH21="",0,('HHV-LHV-MW'!JH21-GC37)^2))       +        (IF('HHV-LHV-MW'!JT21="",0,('HHV-LHV-MW'!JT21-GC37)^2))          +        (IF('HHV-LHV-MW'!KF21="",0,('HHV-LHV-MW'!KF21-GC37)^2))          )     *(1/($BW$37-1))  )))</f>
        <v>0</v>
      </c>
      <c r="GE37" s="890" t="e">
        <f t="shared" si="3"/>
        <v>#N/A</v>
      </c>
      <c r="GF37" s="890" t="e">
        <f t="shared" si="26"/>
        <v>#DIV/0!</v>
      </c>
      <c r="GG37" s="636" t="str">
        <f>IF('HHV-LHV-MW'!IV21="","",IF(AND('HHV-LHV-MW'!IV21&gt;=0,'HHV-LHV-MW'!IV21&lt;=0.09),2,  IF(AND('HHV-LHV-MW'!IV21&gt;=0.1,'HHV-LHV-MW'!IV21&lt;=0.9),7,  IF(AND('HHV-LHV-MW'!IV21&gt;=1,'HHV-LHV-MW'!IV21&lt;=4.9),10,   IF(AND('HHV-LHV-MW'!IV21&gt;=5,'HHV-LHV-MW'!IV21&lt;=10),12, 15)))))</f>
        <v/>
      </c>
      <c r="GH37" s="636" t="str">
        <f>IF('HHV-LHV-MW'!IV21="","",5*'HHV-LHV-MW'!IV21)</f>
        <v/>
      </c>
      <c r="GI37" s="635" t="str">
        <f t="shared" si="27"/>
        <v/>
      </c>
      <c r="GJ37" s="636" t="str">
        <f>IF(OR(GI37="",'HHV-LHV-MW'!IV21=0),"",GI37/'HHV-LHV-MW'!IV21)</f>
        <v/>
      </c>
      <c r="GK37" s="636" t="str">
        <f>IF(OR(GJ37="",GA37="",'HHV-LHV-MW'!IV21=""),"",((GJ37*GA37*('HHV-LHV-MW'!IV21/100))/23.685)^2)</f>
        <v/>
      </c>
      <c r="GL37" s="636" t="str">
        <f>IF(OR(GJ37="",GB37="",'HHV-LHV-MW'!IV21=""),"",((GJ37*GB37*('HHV-LHV-MW'!IV21/100))/23.685)^2)</f>
        <v/>
      </c>
      <c r="GM37" s="639" t="e">
        <f t="shared" si="28"/>
        <v>#DIV/0!</v>
      </c>
      <c r="GN37" s="892" t="e">
        <f t="shared" si="29"/>
        <v>#DIV/0!</v>
      </c>
      <c r="GO37" s="874"/>
      <c r="GP37" s="874"/>
      <c r="GQ37" s="874"/>
      <c r="GR37" s="874"/>
      <c r="GS37" s="874"/>
      <c r="GT37" s="874"/>
      <c r="GU37" s="874"/>
      <c r="GV37" s="874"/>
      <c r="GW37" s="874"/>
      <c r="GX37" s="874"/>
      <c r="GY37" s="874"/>
      <c r="GZ37" s="874"/>
      <c r="HA37" s="874"/>
      <c r="HB37" s="511"/>
      <c r="HC37" s="511"/>
      <c r="HD37" s="511"/>
      <c r="HE37" s="511"/>
      <c r="HF37" s="511"/>
      <c r="HG37" s="511"/>
      <c r="HH37" s="511"/>
      <c r="HI37" s="511"/>
      <c r="HJ37" s="874"/>
      <c r="HK37" s="874"/>
      <c r="HL37" s="874"/>
      <c r="HM37" s="874"/>
      <c r="HN37" s="874"/>
      <c r="HO37" s="874"/>
      <c r="HP37" s="874"/>
      <c r="HQ37" s="874"/>
      <c r="HR37" s="874"/>
      <c r="HS37" s="874"/>
      <c r="HT37" s="874"/>
      <c r="HU37" s="874"/>
      <c r="HV37" s="874"/>
      <c r="HW37" s="511"/>
      <c r="HX37" s="511"/>
      <c r="HY37" s="511"/>
      <c r="HZ37" s="511"/>
      <c r="IA37" s="511"/>
      <c r="IB37" s="511"/>
      <c r="IC37" s="511"/>
      <c r="ID37" s="511"/>
      <c r="IE37" s="874"/>
      <c r="IF37" s="874"/>
      <c r="IG37" s="874"/>
      <c r="IH37" s="874"/>
      <c r="II37" s="874"/>
      <c r="IJ37" s="874"/>
      <c r="IK37" s="874"/>
      <c r="IL37" s="874"/>
      <c r="IM37" s="874"/>
      <c r="IN37" s="874"/>
      <c r="IO37" s="874"/>
      <c r="IP37" s="874"/>
      <c r="IQ37" s="874"/>
      <c r="IR37" s="511"/>
      <c r="IS37" s="511"/>
      <c r="IT37" s="511"/>
      <c r="IU37" s="511"/>
      <c r="IV37" s="511"/>
      <c r="IW37" s="511"/>
      <c r="IX37" s="511"/>
      <c r="IY37" s="511"/>
      <c r="IZ37" s="874"/>
      <c r="JA37" s="874"/>
      <c r="JB37" s="874"/>
      <c r="JC37" s="874"/>
      <c r="JD37" s="874"/>
      <c r="JE37" s="874"/>
      <c r="JF37" s="874"/>
      <c r="JG37" s="874"/>
      <c r="JH37" s="874"/>
      <c r="JI37" s="874"/>
      <c r="JJ37" s="874"/>
      <c r="JK37" s="874"/>
      <c r="JL37" s="874"/>
      <c r="JM37" s="874"/>
      <c r="JN37" s="874"/>
      <c r="JO37" s="874"/>
      <c r="JP37" s="874"/>
      <c r="JQ37" s="874"/>
      <c r="JR37" s="874"/>
      <c r="JS37" s="874"/>
      <c r="JT37" s="874"/>
      <c r="JU37" s="874"/>
      <c r="JV37" s="874"/>
      <c r="JW37" s="874"/>
      <c r="JX37" s="874"/>
      <c r="JY37" s="874"/>
      <c r="JZ37" s="874"/>
      <c r="KA37" s="874"/>
      <c r="KB37" s="874"/>
      <c r="KC37" s="874"/>
      <c r="KD37" s="874"/>
      <c r="KE37" s="874"/>
      <c r="KF37" s="874"/>
      <c r="KG37" s="874"/>
      <c r="KH37" s="865"/>
      <c r="KI37" s="865"/>
      <c r="KJ37" s="865"/>
      <c r="KK37" s="865"/>
      <c r="KL37" s="865"/>
      <c r="KM37" s="865"/>
      <c r="KN37" s="865"/>
      <c r="KO37" s="865"/>
      <c r="KP37" s="865"/>
      <c r="KQ37" s="865"/>
      <c r="KR37" s="865"/>
      <c r="KS37" s="865"/>
      <c r="KT37" s="865"/>
      <c r="KU37" s="865"/>
      <c r="KV37" s="865"/>
      <c r="KW37" s="865"/>
      <c r="KX37" s="865"/>
      <c r="KY37" s="865"/>
      <c r="KZ37" s="865"/>
      <c r="LA37" s="865"/>
      <c r="LB37" s="865"/>
      <c r="LC37" s="865"/>
      <c r="LD37" s="865"/>
      <c r="LE37" s="865"/>
      <c r="LF37" s="865"/>
    </row>
    <row r="38" spans="1:318" ht="18" customHeight="1">
      <c r="A38" s="864"/>
      <c r="B38" s="502"/>
      <c r="C38" s="663"/>
      <c r="D38" s="663"/>
      <c r="E38" s="663"/>
      <c r="F38" s="511"/>
      <c r="G38" s="864"/>
      <c r="H38" s="502"/>
      <c r="I38" s="663"/>
      <c r="J38" s="663"/>
      <c r="K38" s="663"/>
      <c r="L38" s="511"/>
      <c r="M38" s="864"/>
      <c r="N38" s="502"/>
      <c r="O38" s="663"/>
      <c r="P38" s="663"/>
      <c r="Q38" s="663"/>
      <c r="R38" s="511"/>
      <c r="S38" s="864"/>
      <c r="T38" s="502"/>
      <c r="U38" s="663"/>
      <c r="V38" s="663"/>
      <c r="W38" s="663"/>
      <c r="X38" s="511"/>
      <c r="Y38" s="864"/>
      <c r="Z38" s="502"/>
      <c r="AA38" s="663"/>
      <c r="AB38" s="663"/>
      <c r="AC38" s="663"/>
      <c r="AD38" s="511"/>
      <c r="AE38" s="864"/>
      <c r="AF38" s="502"/>
      <c r="AG38" s="663"/>
      <c r="AH38" s="663"/>
      <c r="AI38" s="663"/>
      <c r="AJ38" s="511"/>
      <c r="AK38" s="865"/>
      <c r="AL38" s="865"/>
      <c r="AM38" s="865"/>
      <c r="AN38" s="865"/>
      <c r="AO38" s="865"/>
      <c r="AP38" s="865"/>
      <c r="AQ38" s="865"/>
      <c r="AR38" s="865"/>
      <c r="AS38" s="865"/>
      <c r="AT38" s="865"/>
      <c r="AU38" s="865"/>
      <c r="AV38" s="865"/>
      <c r="AW38" s="865"/>
      <c r="AX38" s="865"/>
      <c r="AY38" s="865"/>
      <c r="AZ38" s="865"/>
      <c r="BA38" s="865"/>
      <c r="BB38" s="865"/>
      <c r="BC38" s="865"/>
      <c r="BD38" s="865"/>
      <c r="BE38" s="865"/>
      <c r="BF38" s="865"/>
      <c r="BG38" s="865"/>
      <c r="BH38" s="865"/>
      <c r="BI38" s="865"/>
      <c r="BJ38" s="2476" t="str">
        <f>IF(BM34="واقعي","نتايج عدم قطعيت بر اساس اطلاعات واقعي تركيب درصدهاي وارد شده:","")</f>
        <v/>
      </c>
      <c r="BK38" s="2476"/>
      <c r="BL38" s="2476"/>
      <c r="BM38" s="2476"/>
      <c r="BN38" s="2476"/>
      <c r="BO38" s="2476"/>
      <c r="BP38" s="2476"/>
      <c r="BQ38" s="865"/>
      <c r="BR38" s="2476" t="str">
        <f>IF(BU34="واقعي","نتايج عدم قطعيت بر اساس اطلاعات واقعي تركيب درصدهاي وارد شده:","")</f>
        <v/>
      </c>
      <c r="BS38" s="2476"/>
      <c r="BT38" s="2476"/>
      <c r="BU38" s="2476"/>
      <c r="BV38" s="2476"/>
      <c r="BW38" s="2476"/>
      <c r="BX38" s="2476"/>
      <c r="BY38" s="874"/>
      <c r="BZ38" s="888" t="str">
        <f>IF(A38="","",VLOOKUP(A38,'HHV-LHV-MW'!$A$3:$H$40,4,FALSE))</f>
        <v/>
      </c>
      <c r="CA38" s="889" t="str">
        <f>IF(A38="","",VLOOKUP(A38,'HHV-LHV-MW'!$A$3:$H$40,5,FALSE))</f>
        <v/>
      </c>
      <c r="CB38" s="890" t="e">
        <f>(PRODUCT('HHV-LHV-MW'!K22)+PRODUCT('HHV-LHV-MW'!W22)+PRODUCT('HHV-LHV-MW'!AI22)+PRODUCT('HHV-LHV-MW'!AU22))/$BO$19</f>
        <v>#DIV/0!</v>
      </c>
      <c r="CC38" s="890">
        <f>IF($BO$19=1,"",  (SQRT(  (      (IF('HHV-LHV-MW'!K22="",0,('HHV-LHV-MW'!K22-CB38)^2))      +        (IF('HHV-LHV-MW'!W22="",0,('HHV-LHV-MW'!W22-CB38)^2))       +        (IF('HHV-LHV-MW'!AI22="",0,('HHV-LHV-MW'!AI22-CB38)^2))          +        (IF('HHV-LHV-MW'!AU22="",0,('HHV-LHV-MW'!AU22-CB38)^2))          )     *(1/($BO$19-1))  )))</f>
        <v>0</v>
      </c>
      <c r="CD38" s="890" t="e">
        <f t="shared" si="4"/>
        <v>#N/A</v>
      </c>
      <c r="CE38" s="890" t="e">
        <f t="shared" si="5"/>
        <v>#DIV/0!</v>
      </c>
      <c r="CF38" s="636" t="str">
        <f>IF('HHV-LHV-MW'!K22="","",IF(AND('HHV-LHV-MW'!K22&gt;=0,'HHV-LHV-MW'!K22&lt;=0.09),2,  IF(AND('HHV-LHV-MW'!K22&gt;=0.1,'HHV-LHV-MW'!K22&lt;=0.9),7,  IF(AND('HHV-LHV-MW'!K22&gt;=1,'HHV-LHV-MW'!K22&lt;=4.9),10,   IF(AND('HHV-LHV-MW'!K22&gt;=5,'HHV-LHV-MW'!K22&lt;=10),12, 15)))))</f>
        <v/>
      </c>
      <c r="CG38" s="636" t="str">
        <f>IF('HHV-LHV-MW'!K22="","",5*'HHV-LHV-MW'!K22)</f>
        <v/>
      </c>
      <c r="CH38" s="635" t="str">
        <f t="shared" si="6"/>
        <v/>
      </c>
      <c r="CI38" s="636" t="str">
        <f>IF(OR(CH38="",'HHV-LHV-MW'!K22=0),"",CH38/'HHV-LHV-MW'!K22)</f>
        <v/>
      </c>
      <c r="CJ38" s="636" t="str">
        <f>IF(OR(CI38="",BZ38="",'HHV-LHV-MW'!K22=""),"",((CI38*BZ38*('HHV-LHV-MW'!K22/100))/23.685)^2)</f>
        <v/>
      </c>
      <c r="CK38" s="891" t="str">
        <f>IF(OR(CI38="",CA38="",'HHV-LHV-MW'!K22=""),"",((CI38*CA38*('HHV-LHV-MW'!K22/100))/23.685)^2)</f>
        <v/>
      </c>
      <c r="CL38" s="639" t="e">
        <f t="shared" si="7"/>
        <v>#DIV/0!</v>
      </c>
      <c r="CM38" s="892" t="e">
        <f t="shared" si="8"/>
        <v>#DIV/0!</v>
      </c>
      <c r="CN38" s="511"/>
      <c r="CO38" s="511"/>
      <c r="CP38" s="511"/>
      <c r="CQ38" s="511"/>
      <c r="CR38" s="511"/>
      <c r="CS38" s="511"/>
      <c r="CT38" s="511"/>
      <c r="CU38" s="888" t="str">
        <f>IF(G38="","",VLOOKUP(G38,'HHV-LHV-MW'!$A$3:$H$40,4,FALSE))</f>
        <v/>
      </c>
      <c r="CV38" s="889" t="str">
        <f>IF(G38="","",VLOOKUP(G38,'HHV-LHV-MW'!$A$3:$H$40,5,FALSE))</f>
        <v/>
      </c>
      <c r="CW38" s="890" t="e">
        <f>(PRODUCT('HHV-LHV-MW'!BH22)+PRODUCT('HHV-LHV-MW'!BT22)+PRODUCT('HHV-LHV-MW'!CF22)+PRODUCT('HHV-LHV-MW'!CR22))/$BO$28</f>
        <v>#DIV/0!</v>
      </c>
      <c r="CX38" s="890">
        <f>IF($BO$28=1,"",  (SQRT(  (      (IF('HHV-LHV-MW'!BH22="",0,('HHV-LHV-MW'!BH22-CW38)^2))      +        (IF('HHV-LHV-MW'!BT22="",0,('HHV-LHV-MW'!BT22-CW38)^2))       +        (IF('HHV-LHV-MW'!CF22="",0,('HHV-LHV-MW'!CF22-CW38)^2))          +        (IF('HHV-LHV-MW'!CR22="",0,('HHV-LHV-MW'!CR22-CW38)^2))          )     *(1/($BO$28-1))  )))</f>
        <v>0</v>
      </c>
      <c r="CY38" s="890" t="e">
        <f t="shared" si="9"/>
        <v>#N/A</v>
      </c>
      <c r="CZ38" s="890" t="e">
        <f t="shared" si="10"/>
        <v>#DIV/0!</v>
      </c>
      <c r="DA38" s="636" t="str">
        <f>IF('HHV-LHV-MW'!BH22="","",IF(AND('HHV-LHV-MW'!BH22&gt;=0,'HHV-LHV-MW'!BH22&lt;=0.09),2,  IF(AND('HHV-LHV-MW'!BH22&gt;=0.1,'HHV-LHV-MW'!BH22&lt;=0.9),7,  IF(AND('HHV-LHV-MW'!BH22&gt;=1,'HHV-LHV-MW'!BH22&lt;=4.9),10,   IF(AND('HHV-LHV-MW'!BH22&gt;=5,'HHV-LHV-MW'!BH22&lt;=10),12, 15)))))</f>
        <v/>
      </c>
      <c r="DB38" s="636" t="str">
        <f>IF('HHV-LHV-MW'!BH22="","",5*'HHV-LHV-MW'!BH22)</f>
        <v/>
      </c>
      <c r="DC38" s="635" t="str">
        <f t="shared" si="11"/>
        <v/>
      </c>
      <c r="DD38" s="636" t="str">
        <f>IF(OR(DC38="",'HHV-LHV-MW'!BH22=0),"",DC38/'HHV-LHV-MW'!BH22)</f>
        <v/>
      </c>
      <c r="DE38" s="635" t="str">
        <f>IF(OR(DD38="",CU38="",'HHV-LHV-MW'!BH22=""),"",((DD38*CU38*('HHV-LHV-MW'!BH22/100))/23.685)^2)</f>
        <v/>
      </c>
      <c r="DF38" s="636" t="str">
        <f>IF(OR(DD38="",CV38="",'HHV-LHV-MW'!BH22=""),"",((DD38*CV38*('HHV-LHV-MW'!BH22/100))/23.685)^2)</f>
        <v/>
      </c>
      <c r="DG38" s="639" t="e">
        <f t="shared" si="12"/>
        <v>#DIV/0!</v>
      </c>
      <c r="DH38" s="892" t="e">
        <f t="shared" si="13"/>
        <v>#DIV/0!</v>
      </c>
      <c r="DI38" s="511"/>
      <c r="DJ38" s="511"/>
      <c r="DK38" s="511"/>
      <c r="DL38" s="511"/>
      <c r="DM38" s="511"/>
      <c r="DN38" s="511"/>
      <c r="DO38" s="511"/>
      <c r="DP38" s="888" t="str">
        <f>IF(M38="","",VLOOKUP(M38,'HHV-LHV-MW'!$A$3:$H$40,4,FALSE))</f>
        <v/>
      </c>
      <c r="DQ38" s="889" t="str">
        <f>IF(M38="","",VLOOKUP(M38,'HHV-LHV-MW'!$A$3:$H$40,5,FALSE))</f>
        <v/>
      </c>
      <c r="DR38" s="890" t="e">
        <f>(PRODUCT('HHV-LHV-MW'!DE22)+PRODUCT('HHV-LHV-MW'!DQ22)+PRODUCT('HHV-LHV-MW'!EC22)+PRODUCT('HHV-LHV-MW'!EO22))/$BO$37</f>
        <v>#DIV/0!</v>
      </c>
      <c r="DS38" s="890">
        <f>IF($BO$37=1,"",  (SQRT(  (      (IF('HHV-LHV-MW'!DE22="",0,('HHV-LHV-MW'!DE22-DR38)^2))      +        (IF('HHV-LHV-MW'!DQ22="",0,('HHV-LHV-MW'!DQ22-DR38)^2))       +        (IF('HHV-LHV-MW'!EC22="",0,('HHV-LHV-MW'!EC22-DR38)^2))          +        (IF('HHV-LHV-MW'!EO22="",0,('HHV-LHV-MW'!EO22-DR38)^2))          )     *(1/($BO$37-1))  )))</f>
        <v>0</v>
      </c>
      <c r="DT38" s="890" t="e">
        <f t="shared" si="0"/>
        <v>#N/A</v>
      </c>
      <c r="DU38" s="890" t="e">
        <f t="shared" si="14"/>
        <v>#DIV/0!</v>
      </c>
      <c r="DV38" s="636" t="str">
        <f>IF('HHV-LHV-MW'!DE22="","",IF(AND('HHV-LHV-MW'!DE22&gt;=0,'HHV-LHV-MW'!DE22&lt;=0.09),2,  IF(AND('HHV-LHV-MW'!DE22&gt;=0.1,'HHV-LHV-MW'!DE22&lt;=0.9),7,  IF(AND('HHV-LHV-MW'!DE22&gt;=1,'HHV-LHV-MW'!DE22&lt;=4.9),10,   IF(AND('HHV-LHV-MW'!DE22&gt;=5,'HHV-LHV-MW'!DE22&lt;=10),12, 15)))))</f>
        <v/>
      </c>
      <c r="DW38" s="636" t="str">
        <f>IF('HHV-LHV-MW'!DE22="","",5*'HHV-LHV-MW'!DE22)</f>
        <v/>
      </c>
      <c r="DX38" s="635" t="str">
        <f t="shared" si="15"/>
        <v/>
      </c>
      <c r="DY38" s="636" t="str">
        <f>IF(OR(DX38="",'HHV-LHV-MW'!DE22=0),"",DX38/'HHV-LHV-MW'!DE22)</f>
        <v/>
      </c>
      <c r="DZ38" s="636" t="str">
        <f>IF(OR(DY38="",DP38="",'HHV-LHV-MW'!DE22=""),"",((DY38*DP38*('HHV-LHV-MW'!DE22/100))/23.685)^2)</f>
        <v/>
      </c>
      <c r="EA38" s="636" t="str">
        <f>IF(OR(DY38="",DQ38="",'HHV-LHV-MW'!DE22=""),"",((DY38*DQ38*('HHV-LHV-MW'!DE22/100))/23.685)^2)</f>
        <v/>
      </c>
      <c r="EB38" s="639" t="e">
        <f t="shared" si="16"/>
        <v>#DIV/0!</v>
      </c>
      <c r="EC38" s="892" t="e">
        <f t="shared" si="17"/>
        <v>#DIV/0!</v>
      </c>
      <c r="ED38" s="511"/>
      <c r="EE38" s="511"/>
      <c r="EF38" s="511"/>
      <c r="EG38" s="511"/>
      <c r="EH38" s="511"/>
      <c r="EI38" s="511"/>
      <c r="EJ38" s="511"/>
      <c r="EK38" s="888" t="str">
        <f>IF(S38="","",VLOOKUP(S38,'HHV-LHV-MW'!$A$3:$H$40,4,FALSE))</f>
        <v/>
      </c>
      <c r="EL38" s="889" t="str">
        <f>IF(S38="","",VLOOKUP(S38,'HHV-LHV-MW'!$A$3:$H$40,5,FALSE))</f>
        <v/>
      </c>
      <c r="EM38" s="890" t="e">
        <f>(PRODUCT('HHV-LHV-MW'!FB22)+PRODUCT('HHV-LHV-MW'!FN22)+PRODUCT('HHV-LHV-MW'!FZ22)+PRODUCT('HHV-LHV-MW'!GL22))/$BW$19</f>
        <v>#DIV/0!</v>
      </c>
      <c r="EN38" s="890">
        <f>IF($BW$19=1,"",  (SQRT(  (      (IF('HHV-LHV-MW'!FB22="",0,('HHV-LHV-MW'!FB22-EM38)^2))      +        (IF('HHV-LHV-MW'!FN22="",0,('HHV-LHV-MW'!FN22-EM38)^2))       +        (IF('HHV-LHV-MW'!FZ22="",0,('HHV-LHV-MW'!FZ22-EM38)^2))          +        (IF('HHV-LHV-MW'!GL22="",0,('HHV-LHV-MW'!GL22-EM38)^2))          )     *(1/($BW$19-1))  )))</f>
        <v>0</v>
      </c>
      <c r="EO38" s="890" t="e">
        <f t="shared" si="1"/>
        <v>#N/A</v>
      </c>
      <c r="EP38" s="890" t="e">
        <f t="shared" si="18"/>
        <v>#DIV/0!</v>
      </c>
      <c r="EQ38" s="636" t="str">
        <f>IF('HHV-LHV-MW'!FB22="","",IF(AND('HHV-LHV-MW'!FB22&gt;=0,'HHV-LHV-MW'!FB22&lt;=0.09),2,  IF(AND('HHV-LHV-MW'!FB22&gt;=0.1,'HHV-LHV-MW'!FB22&lt;=0.9),7,  IF(AND('HHV-LHV-MW'!FB22&gt;=1,'HHV-LHV-MW'!FB22&lt;=4.9),10,   IF(AND('HHV-LHV-MW'!FB22&gt;=5,'HHV-LHV-MW'!FB22&lt;=10),12, 15)))))</f>
        <v/>
      </c>
      <c r="ER38" s="636" t="str">
        <f>IF('HHV-LHV-MW'!FB22="","",5*'HHV-LHV-MW'!FB22)</f>
        <v/>
      </c>
      <c r="ES38" s="635" t="str">
        <f t="shared" si="19"/>
        <v/>
      </c>
      <c r="ET38" s="636" t="str">
        <f>IF(OR(ES38="",'HHV-LHV-MW'!FB22=0),"",ES38/'HHV-LHV-MW'!FB22)</f>
        <v/>
      </c>
      <c r="EU38" s="636" t="str">
        <f>IF(OR(ET38="",EK38="",'HHV-LHV-MW'!FB22=""),"",((ET38*EK38*('HHV-LHV-MW'!FB22/100))/23.685)^2)</f>
        <v/>
      </c>
      <c r="EV38" s="636" t="str">
        <f>IF(OR(ET38="",EL38="",'HHV-LHV-MW'!FB22=""),"",((ET38*EL38*('HHV-LHV-MW'!FB22/100))/23.685)^2)</f>
        <v/>
      </c>
      <c r="EW38" s="639" t="e">
        <f t="shared" si="20"/>
        <v>#DIV/0!</v>
      </c>
      <c r="EX38" s="892" t="e">
        <f t="shared" si="21"/>
        <v>#DIV/0!</v>
      </c>
      <c r="EY38" s="511"/>
      <c r="EZ38" s="511"/>
      <c r="FA38" s="511"/>
      <c r="FB38" s="511"/>
      <c r="FC38" s="511"/>
      <c r="FD38" s="511"/>
      <c r="FE38" s="511"/>
      <c r="FF38" s="888" t="str">
        <f>IF(Y38="","",VLOOKUP(Y38,'HHV-LHV-MW'!$A$3:$H$40,4,FALSE))</f>
        <v/>
      </c>
      <c r="FG38" s="889" t="str">
        <f>IF(Y38="","",VLOOKUP(Y38,'HHV-LHV-MW'!$A$3:$H$40,5,FALSE))</f>
        <v/>
      </c>
      <c r="FH38" s="890" t="e">
        <f>(PRODUCT('HHV-LHV-MW'!GY22)+PRODUCT('HHV-LHV-MW'!HK22)+PRODUCT('HHV-LHV-MW'!HW22)+PRODUCT('HHV-LHV-MW'!II22))/$BW$28</f>
        <v>#DIV/0!</v>
      </c>
      <c r="FI38" s="890">
        <f>IF($BW$28=1,"",  (SQRT(  (      (IF('HHV-LHV-MW'!GY22="",0,('HHV-LHV-MW'!GY22-FH38)^2))      +        (IF('HHV-LHV-MW'!HK22="",0,('HHV-LHV-MW'!HK22-FH38)^2))       +        (IF('HHV-LHV-MW'!HW22="",0,('HHV-LHV-MW'!HW22-FH38)^2))          +        (IF('HHV-LHV-MW'!II22="",0,('HHV-LHV-MW'!II22-FH38)^2))          )     *(1/($BW$28-1))  )))</f>
        <v>0</v>
      </c>
      <c r="FJ38" s="890" t="e">
        <f t="shared" si="2"/>
        <v>#N/A</v>
      </c>
      <c r="FK38" s="890" t="e">
        <f t="shared" si="22"/>
        <v>#DIV/0!</v>
      </c>
      <c r="FL38" s="636" t="str">
        <f>IF('HHV-LHV-MW'!GY22="","",IF(AND('HHV-LHV-MW'!GY22&gt;=0,'HHV-LHV-MW'!GY22&lt;=0.09),2,  IF(AND('HHV-LHV-MW'!GY22&gt;=0.1,'HHV-LHV-MW'!GY22&lt;=0.9),7,  IF(AND('HHV-LHV-MW'!GY22&gt;=1,'HHV-LHV-MW'!GY22&lt;=4.9),10,   IF(AND('HHV-LHV-MW'!GY22&gt;=5,'HHV-LHV-MW'!GY22&lt;=10),12, 15)))))</f>
        <v/>
      </c>
      <c r="FM38" s="636" t="str">
        <f>IF('HHV-LHV-MW'!GY22="","",5*'HHV-LHV-MW'!GY22)</f>
        <v/>
      </c>
      <c r="FN38" s="635" t="str">
        <f t="shared" si="23"/>
        <v/>
      </c>
      <c r="FO38" s="636" t="str">
        <f>IF(OR(FN38="",'HHV-LHV-MW'!GY22=0),"",FN38/'HHV-LHV-MW'!GY22)</f>
        <v/>
      </c>
      <c r="FP38" s="636" t="str">
        <f>IF(OR(FO38="",FF38="",'HHV-LHV-MW'!GY22=""),"",((FO38*FF38*('HHV-LHV-MW'!GY22/100))/23.685)^2)</f>
        <v/>
      </c>
      <c r="FQ38" s="636" t="str">
        <f>IF(OR(FO38="",FG38="",'HHV-LHV-MW'!GY22=""),"",((FO38*FG38*('HHV-LHV-MW'!GY22/100))/23.685)^2)</f>
        <v/>
      </c>
      <c r="FR38" s="639" t="e">
        <f t="shared" si="24"/>
        <v>#DIV/0!</v>
      </c>
      <c r="FS38" s="892" t="e">
        <f t="shared" si="25"/>
        <v>#DIV/0!</v>
      </c>
      <c r="FT38" s="511"/>
      <c r="FU38" s="511"/>
      <c r="FV38" s="511"/>
      <c r="FW38" s="511"/>
      <c r="FX38" s="511"/>
      <c r="FY38" s="511"/>
      <c r="FZ38" s="511"/>
      <c r="GA38" s="888" t="str">
        <f>IF(AE38="","",VLOOKUP(AE38,'HHV-LHV-MW'!$A$3:$H$40,4,FALSE))</f>
        <v/>
      </c>
      <c r="GB38" s="889" t="str">
        <f>IF(AE38="","",VLOOKUP(AE38,'HHV-LHV-MW'!$A$3:$H$40,5,FALSE))</f>
        <v/>
      </c>
      <c r="GC38" s="890" t="e">
        <f>(PRODUCT('HHV-LHV-MW'!IV22)+PRODUCT('HHV-LHV-MW'!JH22)+PRODUCT('HHV-LHV-MW'!JT22)+PRODUCT('HHV-LHV-MW'!KF22))/$BW$37</f>
        <v>#DIV/0!</v>
      </c>
      <c r="GD38" s="890">
        <f>IF($BW$37=1,"",  (SQRT(  (      (IF('HHV-LHV-MW'!IV22="",0,('HHV-LHV-MW'!IV22-GC38)^2))      +        (IF('HHV-LHV-MW'!JH22="",0,('HHV-LHV-MW'!JH22-GC38)^2))       +        (IF('HHV-LHV-MW'!JT22="",0,('HHV-LHV-MW'!JT22-GC38)^2))          +        (IF('HHV-LHV-MW'!KF22="",0,('HHV-LHV-MW'!KF22-GC38)^2))          )     *(1/($BW$37-1))  )))</f>
        <v>0</v>
      </c>
      <c r="GE38" s="890" t="e">
        <f t="shared" si="3"/>
        <v>#N/A</v>
      </c>
      <c r="GF38" s="890" t="e">
        <f t="shared" si="26"/>
        <v>#DIV/0!</v>
      </c>
      <c r="GG38" s="636" t="str">
        <f>IF('HHV-LHV-MW'!IV22="","",IF(AND('HHV-LHV-MW'!IV22&gt;=0,'HHV-LHV-MW'!IV22&lt;=0.09),2,  IF(AND('HHV-LHV-MW'!IV22&gt;=0.1,'HHV-LHV-MW'!IV22&lt;=0.9),7,  IF(AND('HHV-LHV-MW'!IV22&gt;=1,'HHV-LHV-MW'!IV22&lt;=4.9),10,   IF(AND('HHV-LHV-MW'!IV22&gt;=5,'HHV-LHV-MW'!IV22&lt;=10),12, 15)))))</f>
        <v/>
      </c>
      <c r="GH38" s="636" t="str">
        <f>IF('HHV-LHV-MW'!IV22="","",5*'HHV-LHV-MW'!IV22)</f>
        <v/>
      </c>
      <c r="GI38" s="635" t="str">
        <f t="shared" si="27"/>
        <v/>
      </c>
      <c r="GJ38" s="636" t="str">
        <f>IF(OR(GI38="",'HHV-LHV-MW'!IV22=0),"",GI38/'HHV-LHV-MW'!IV22)</f>
        <v/>
      </c>
      <c r="GK38" s="636" t="str">
        <f>IF(OR(GJ38="",GA38="",'HHV-LHV-MW'!IV22=""),"",((GJ38*GA38*('HHV-LHV-MW'!IV22/100))/23.685)^2)</f>
        <v/>
      </c>
      <c r="GL38" s="636" t="str">
        <f>IF(OR(GJ38="",GB38="",'HHV-LHV-MW'!IV22=""),"",((GJ38*GB38*('HHV-LHV-MW'!IV22/100))/23.685)^2)</f>
        <v/>
      </c>
      <c r="GM38" s="639" t="e">
        <f t="shared" si="28"/>
        <v>#DIV/0!</v>
      </c>
      <c r="GN38" s="892" t="e">
        <f t="shared" si="29"/>
        <v>#DIV/0!</v>
      </c>
      <c r="GO38" s="874"/>
      <c r="GP38" s="874"/>
      <c r="GQ38" s="874"/>
      <c r="GR38" s="874"/>
      <c r="GS38" s="874"/>
      <c r="GT38" s="874"/>
      <c r="GU38" s="874"/>
      <c r="GV38" s="874"/>
      <c r="GW38" s="874"/>
      <c r="GX38" s="874"/>
      <c r="GY38" s="874"/>
      <c r="GZ38" s="874"/>
      <c r="HA38" s="874"/>
      <c r="HB38" s="511"/>
      <c r="HC38" s="511"/>
      <c r="HD38" s="511"/>
      <c r="HE38" s="511"/>
      <c r="HF38" s="511"/>
      <c r="HG38" s="511"/>
      <c r="HH38" s="511"/>
      <c r="HI38" s="511"/>
      <c r="HJ38" s="874"/>
      <c r="HK38" s="874"/>
      <c r="HL38" s="874"/>
      <c r="HM38" s="874"/>
      <c r="HN38" s="874"/>
      <c r="HO38" s="874"/>
      <c r="HP38" s="874"/>
      <c r="HQ38" s="874"/>
      <c r="HR38" s="874"/>
      <c r="HS38" s="874"/>
      <c r="HT38" s="874"/>
      <c r="HU38" s="874"/>
      <c r="HV38" s="874"/>
      <c r="HW38" s="511"/>
      <c r="HX38" s="511"/>
      <c r="HY38" s="511"/>
      <c r="HZ38" s="511"/>
      <c r="IA38" s="511"/>
      <c r="IB38" s="511"/>
      <c r="IC38" s="511"/>
      <c r="ID38" s="511"/>
      <c r="IE38" s="874"/>
      <c r="IF38" s="874"/>
      <c r="IG38" s="874"/>
      <c r="IH38" s="874"/>
      <c r="II38" s="874"/>
      <c r="IJ38" s="874"/>
      <c r="IK38" s="874"/>
      <c r="IL38" s="874"/>
      <c r="IM38" s="874"/>
      <c r="IN38" s="874"/>
      <c r="IO38" s="874"/>
      <c r="IP38" s="874"/>
      <c r="IQ38" s="874"/>
      <c r="IR38" s="511"/>
      <c r="IS38" s="511"/>
      <c r="IT38" s="511"/>
      <c r="IU38" s="511"/>
      <c r="IV38" s="511"/>
      <c r="IW38" s="511"/>
      <c r="IX38" s="511"/>
      <c r="IY38" s="511"/>
      <c r="IZ38" s="874"/>
      <c r="JA38" s="874"/>
      <c r="JB38" s="874"/>
      <c r="JC38" s="874"/>
      <c r="JD38" s="874"/>
      <c r="JE38" s="874"/>
      <c r="JF38" s="874"/>
      <c r="JG38" s="874"/>
      <c r="JH38" s="874"/>
      <c r="JI38" s="874"/>
      <c r="JJ38" s="874"/>
      <c r="JK38" s="874"/>
      <c r="JL38" s="874"/>
      <c r="JM38" s="874"/>
      <c r="JN38" s="874"/>
      <c r="JO38" s="874"/>
      <c r="JP38" s="874"/>
      <c r="JQ38" s="874"/>
      <c r="JR38" s="874"/>
      <c r="JS38" s="874"/>
      <c r="JT38" s="874"/>
      <c r="JU38" s="874"/>
      <c r="JV38" s="874"/>
      <c r="JW38" s="874"/>
      <c r="JX38" s="874"/>
      <c r="JY38" s="874"/>
      <c r="JZ38" s="874"/>
      <c r="KA38" s="874"/>
      <c r="KB38" s="874"/>
      <c r="KC38" s="874"/>
      <c r="KD38" s="874"/>
      <c r="KE38" s="874"/>
      <c r="KF38" s="874"/>
      <c r="KG38" s="874"/>
      <c r="KH38" s="865"/>
      <c r="KI38" s="865"/>
      <c r="KJ38" s="865"/>
      <c r="KK38" s="865"/>
      <c r="KL38" s="865"/>
      <c r="KM38" s="865"/>
      <c r="KN38" s="865"/>
      <c r="KO38" s="865"/>
      <c r="KP38" s="865"/>
      <c r="KQ38" s="865"/>
      <c r="KR38" s="865"/>
      <c r="KS38" s="865"/>
      <c r="KT38" s="865"/>
      <c r="KU38" s="865"/>
      <c r="KV38" s="865"/>
      <c r="KW38" s="865"/>
      <c r="KX38" s="865"/>
      <c r="KY38" s="865"/>
      <c r="KZ38" s="865"/>
      <c r="LA38" s="865"/>
      <c r="LB38" s="865"/>
      <c r="LC38" s="865"/>
      <c r="LD38" s="865"/>
      <c r="LE38" s="865"/>
      <c r="LF38" s="865"/>
    </row>
    <row r="39" spans="1:318" ht="18.600000000000001">
      <c r="A39" s="864"/>
      <c r="B39" s="663"/>
      <c r="C39" s="663"/>
      <c r="D39" s="663"/>
      <c r="E39" s="663"/>
      <c r="F39" s="511"/>
      <c r="G39" s="864"/>
      <c r="H39" s="663"/>
      <c r="I39" s="663"/>
      <c r="J39" s="663"/>
      <c r="K39" s="663"/>
      <c r="L39" s="511"/>
      <c r="M39" s="864"/>
      <c r="N39" s="663"/>
      <c r="O39" s="663"/>
      <c r="P39" s="663"/>
      <c r="Q39" s="663"/>
      <c r="R39" s="511"/>
      <c r="S39" s="864"/>
      <c r="T39" s="663"/>
      <c r="U39" s="663"/>
      <c r="V39" s="663"/>
      <c r="W39" s="663"/>
      <c r="X39" s="511"/>
      <c r="Y39" s="864"/>
      <c r="Z39" s="663"/>
      <c r="AA39" s="663"/>
      <c r="AB39" s="663"/>
      <c r="AC39" s="663"/>
      <c r="AD39" s="511"/>
      <c r="AE39" s="864"/>
      <c r="AF39" s="663"/>
      <c r="AG39" s="663"/>
      <c r="AH39" s="663"/>
      <c r="AI39" s="663"/>
      <c r="AJ39" s="511"/>
      <c r="AK39" s="865"/>
      <c r="AL39" s="865"/>
      <c r="AM39" s="865"/>
      <c r="AN39" s="865"/>
      <c r="AO39" s="865"/>
      <c r="AP39" s="865"/>
      <c r="AQ39" s="865"/>
      <c r="AR39" s="865"/>
      <c r="AS39" s="865"/>
      <c r="AT39" s="865"/>
      <c r="AU39" s="865"/>
      <c r="AV39" s="865"/>
      <c r="AW39" s="865"/>
      <c r="AX39" s="865"/>
      <c r="AY39" s="865"/>
      <c r="AZ39" s="865"/>
      <c r="BA39" s="865"/>
      <c r="BB39" s="865"/>
      <c r="BC39" s="865"/>
      <c r="BD39" s="865"/>
      <c r="BE39" s="865"/>
      <c r="BF39" s="865"/>
      <c r="BG39" s="865"/>
      <c r="BH39" s="865"/>
      <c r="BI39" s="865"/>
      <c r="BJ39" s="1201" t="str">
        <f>IF(BM34="واقعي","عدم قطعيت نسبي ارزش حرارتي ناخالص (HHV) واقعي    %()±","")</f>
        <v/>
      </c>
      <c r="BK39" s="1201"/>
      <c r="BL39" s="1201"/>
      <c r="BM39" s="1201"/>
      <c r="BN39" s="1201"/>
      <c r="BO39" s="2477" t="str">
        <f>IF(OR(N17="",N17=0),"",    IF(BO37="","ND",IF(BO37=1,(DZ50/N17),(EB50/N17)))           )</f>
        <v/>
      </c>
      <c r="BP39" s="2477"/>
      <c r="BQ39" s="865"/>
      <c r="BR39" s="1201" t="str">
        <f>IF(BU34="واقعي","عدم قطعيت نسبي ارزش حرارتي ناخالص (HHV) واقعي    %()±","")</f>
        <v/>
      </c>
      <c r="BS39" s="1201"/>
      <c r="BT39" s="1201"/>
      <c r="BU39" s="1201"/>
      <c r="BV39" s="1201"/>
      <c r="BW39" s="2477" t="str">
        <f>IF(OR(AF17="",AF17=0),"",  IF(BW37="","ND",IF(BW37=1,(GK50/AF17),(GM50/AF17)))           )</f>
        <v/>
      </c>
      <c r="BX39" s="2477"/>
      <c r="BY39" s="874"/>
      <c r="BZ39" s="888" t="str">
        <f>IF(A39="","",VLOOKUP(A39,'HHV-LHV-MW'!$A$3:$H$40,4,FALSE))</f>
        <v/>
      </c>
      <c r="CA39" s="889" t="str">
        <f>IF(A39="","",VLOOKUP(A39,'HHV-LHV-MW'!$A$3:$H$40,5,FALSE))</f>
        <v/>
      </c>
      <c r="CB39" s="890" t="e">
        <f>(PRODUCT('HHV-LHV-MW'!K23)+PRODUCT('HHV-LHV-MW'!W23)+PRODUCT('HHV-LHV-MW'!AI23)+PRODUCT('HHV-LHV-MW'!AU23))/$BO$19</f>
        <v>#DIV/0!</v>
      </c>
      <c r="CC39" s="890">
        <f>IF($BO$19=1,"",  (SQRT(  (      (IF('HHV-LHV-MW'!K23="",0,('HHV-LHV-MW'!K23-CB39)^2))      +        (IF('HHV-LHV-MW'!W23="",0,('HHV-LHV-MW'!W23-CB39)^2))       +        (IF('HHV-LHV-MW'!AI23="",0,('HHV-LHV-MW'!AI23-CB39)^2))          +        (IF('HHV-LHV-MW'!AU23="",0,('HHV-LHV-MW'!AU23-CB39)^2))          )     *(1/($BO$19-1))  )))</f>
        <v>0</v>
      </c>
      <c r="CD39" s="890" t="e">
        <f t="shared" si="4"/>
        <v>#N/A</v>
      </c>
      <c r="CE39" s="890" t="e">
        <f t="shared" si="5"/>
        <v>#DIV/0!</v>
      </c>
      <c r="CF39" s="636" t="str">
        <f>IF('HHV-LHV-MW'!K23="","",IF(AND('HHV-LHV-MW'!K23&gt;=0,'HHV-LHV-MW'!K23&lt;=0.09),2,  IF(AND('HHV-LHV-MW'!K23&gt;=0.1,'HHV-LHV-MW'!K23&lt;=0.9),7,  IF(AND('HHV-LHV-MW'!K23&gt;=1,'HHV-LHV-MW'!K23&lt;=4.9),10,   IF(AND('HHV-LHV-MW'!K23&gt;=5,'HHV-LHV-MW'!K23&lt;=10),12, 15)))))</f>
        <v/>
      </c>
      <c r="CG39" s="636" t="str">
        <f>IF('HHV-LHV-MW'!K23="","",5*'HHV-LHV-MW'!K23)</f>
        <v/>
      </c>
      <c r="CH39" s="635" t="str">
        <f t="shared" si="6"/>
        <v/>
      </c>
      <c r="CI39" s="636" t="str">
        <f>IF(OR(CH39="",'HHV-LHV-MW'!K23=0),"",CH39/'HHV-LHV-MW'!K23)</f>
        <v/>
      </c>
      <c r="CJ39" s="636" t="str">
        <f>IF(OR(CI39="",BZ39="",'HHV-LHV-MW'!K23=""),"",((CI39*BZ39*('HHV-LHV-MW'!K23/100))/23.685)^2)</f>
        <v/>
      </c>
      <c r="CK39" s="891" t="str">
        <f>IF(OR(CI39="",CA39="",'HHV-LHV-MW'!K23=""),"",((CI39*CA39*('HHV-LHV-MW'!K23/100))/23.685)^2)</f>
        <v/>
      </c>
      <c r="CL39" s="639" t="e">
        <f t="shared" si="7"/>
        <v>#DIV/0!</v>
      </c>
      <c r="CM39" s="892" t="e">
        <f t="shared" si="8"/>
        <v>#DIV/0!</v>
      </c>
      <c r="CN39" s="511"/>
      <c r="CO39" s="511"/>
      <c r="CP39" s="511"/>
      <c r="CQ39" s="511"/>
      <c r="CR39" s="511"/>
      <c r="CS39" s="511"/>
      <c r="CT39" s="511"/>
      <c r="CU39" s="888" t="str">
        <f>IF(G39="","",VLOOKUP(G39,'HHV-LHV-MW'!$A$3:$H$40,4,FALSE))</f>
        <v/>
      </c>
      <c r="CV39" s="889" t="str">
        <f>IF(G39="","",VLOOKUP(G39,'HHV-LHV-MW'!$A$3:$H$40,5,FALSE))</f>
        <v/>
      </c>
      <c r="CW39" s="890" t="e">
        <f>(PRODUCT('HHV-LHV-MW'!BH23)+PRODUCT('HHV-LHV-MW'!BT23)+PRODUCT('HHV-LHV-MW'!CF23)+PRODUCT('HHV-LHV-MW'!CR23))/$BO$28</f>
        <v>#DIV/0!</v>
      </c>
      <c r="CX39" s="890">
        <f>IF($BO$28=1,"",  (SQRT(  (      (IF('HHV-LHV-MW'!BH23="",0,('HHV-LHV-MW'!BH23-CW39)^2))      +        (IF('HHV-LHV-MW'!BT23="",0,('HHV-LHV-MW'!BT23-CW39)^2))       +        (IF('HHV-LHV-MW'!CF23="",0,('HHV-LHV-MW'!CF23-CW39)^2))          +        (IF('HHV-LHV-MW'!CR23="",0,('HHV-LHV-MW'!CR23-CW39)^2))          )     *(1/($BO$28-1))  )))</f>
        <v>0</v>
      </c>
      <c r="CY39" s="890" t="e">
        <f t="shared" si="9"/>
        <v>#N/A</v>
      </c>
      <c r="CZ39" s="890" t="e">
        <f t="shared" si="10"/>
        <v>#DIV/0!</v>
      </c>
      <c r="DA39" s="636" t="str">
        <f>IF('HHV-LHV-MW'!BH23="","",IF(AND('HHV-LHV-MW'!BH23&gt;=0,'HHV-LHV-MW'!BH23&lt;=0.09),2,  IF(AND('HHV-LHV-MW'!BH23&gt;=0.1,'HHV-LHV-MW'!BH23&lt;=0.9),7,  IF(AND('HHV-LHV-MW'!BH23&gt;=1,'HHV-LHV-MW'!BH23&lt;=4.9),10,   IF(AND('HHV-LHV-MW'!BH23&gt;=5,'HHV-LHV-MW'!BH23&lt;=10),12, 15)))))</f>
        <v/>
      </c>
      <c r="DB39" s="636" t="str">
        <f>IF('HHV-LHV-MW'!BH23="","",5*'HHV-LHV-MW'!BH23)</f>
        <v/>
      </c>
      <c r="DC39" s="635" t="str">
        <f t="shared" si="11"/>
        <v/>
      </c>
      <c r="DD39" s="636" t="str">
        <f>IF(OR(DC39="",'HHV-LHV-MW'!BH23=0),"",DC39/'HHV-LHV-MW'!BH23)</f>
        <v/>
      </c>
      <c r="DE39" s="635" t="str">
        <f>IF(OR(DD39="",CU39="",'HHV-LHV-MW'!BH23=""),"",((DD39*CU39*('HHV-LHV-MW'!BH23/100))/23.685)^2)</f>
        <v/>
      </c>
      <c r="DF39" s="636" t="str">
        <f>IF(OR(DD39="",CV39="",'HHV-LHV-MW'!BH23=""),"",((DD39*CV39*('HHV-LHV-MW'!BH23/100))/23.685)^2)</f>
        <v/>
      </c>
      <c r="DG39" s="639" t="e">
        <f t="shared" si="12"/>
        <v>#DIV/0!</v>
      </c>
      <c r="DH39" s="892" t="e">
        <f t="shared" si="13"/>
        <v>#DIV/0!</v>
      </c>
      <c r="DI39" s="511"/>
      <c r="DJ39" s="511"/>
      <c r="DK39" s="511"/>
      <c r="DL39" s="511"/>
      <c r="DM39" s="511"/>
      <c r="DN39" s="511"/>
      <c r="DO39" s="511"/>
      <c r="DP39" s="888" t="str">
        <f>IF(M39="","",VLOOKUP(M39,'HHV-LHV-MW'!$A$3:$H$40,4,FALSE))</f>
        <v/>
      </c>
      <c r="DQ39" s="889" t="str">
        <f>IF(M39="","",VLOOKUP(M39,'HHV-LHV-MW'!$A$3:$H$40,5,FALSE))</f>
        <v/>
      </c>
      <c r="DR39" s="890" t="e">
        <f>(PRODUCT('HHV-LHV-MW'!DE23)+PRODUCT('HHV-LHV-MW'!DQ23)+PRODUCT('HHV-LHV-MW'!EC23)+PRODUCT('HHV-LHV-MW'!EO23))/$BO$37</f>
        <v>#DIV/0!</v>
      </c>
      <c r="DS39" s="890">
        <f>IF($BO$37=1,"",  (SQRT(  (      (IF('HHV-LHV-MW'!DE23="",0,('HHV-LHV-MW'!DE23-DR39)^2))      +        (IF('HHV-LHV-MW'!DQ23="",0,('HHV-LHV-MW'!DQ23-DR39)^2))       +        (IF('HHV-LHV-MW'!EC23="",0,('HHV-LHV-MW'!EC23-DR39)^2))          +        (IF('HHV-LHV-MW'!EO23="",0,('HHV-LHV-MW'!EO23-DR39)^2))          )     *(1/($BO$37-1))  )))</f>
        <v>0</v>
      </c>
      <c r="DT39" s="890" t="e">
        <f t="shared" si="0"/>
        <v>#N/A</v>
      </c>
      <c r="DU39" s="890" t="e">
        <f t="shared" si="14"/>
        <v>#DIV/0!</v>
      </c>
      <c r="DV39" s="636" t="str">
        <f>IF('HHV-LHV-MW'!DE23="","",IF(AND('HHV-LHV-MW'!DE23&gt;=0,'HHV-LHV-MW'!DE23&lt;=0.09),2,  IF(AND('HHV-LHV-MW'!DE23&gt;=0.1,'HHV-LHV-MW'!DE23&lt;=0.9),7,  IF(AND('HHV-LHV-MW'!DE23&gt;=1,'HHV-LHV-MW'!DE23&lt;=4.9),10,   IF(AND('HHV-LHV-MW'!DE23&gt;=5,'HHV-LHV-MW'!DE23&lt;=10),12, 15)))))</f>
        <v/>
      </c>
      <c r="DW39" s="636" t="str">
        <f>IF('HHV-LHV-MW'!DE23="","",5*'HHV-LHV-MW'!DE23)</f>
        <v/>
      </c>
      <c r="DX39" s="635" t="str">
        <f t="shared" si="15"/>
        <v/>
      </c>
      <c r="DY39" s="636" t="str">
        <f>IF(OR(DX39="",'HHV-LHV-MW'!DE23=0),"",DX39/'HHV-LHV-MW'!DE23)</f>
        <v/>
      </c>
      <c r="DZ39" s="636" t="str">
        <f>IF(OR(DY39="",DP39="",'HHV-LHV-MW'!DE23=""),"",((DY39*DP39*('HHV-LHV-MW'!DE23/100))/23.685)^2)</f>
        <v/>
      </c>
      <c r="EA39" s="636" t="str">
        <f>IF(OR(DY39="",DQ39="",'HHV-LHV-MW'!DE23=""),"",((DY39*DQ39*('HHV-LHV-MW'!DE23/100))/23.685)^2)</f>
        <v/>
      </c>
      <c r="EB39" s="639" t="e">
        <f t="shared" si="16"/>
        <v>#DIV/0!</v>
      </c>
      <c r="EC39" s="892" t="e">
        <f t="shared" si="17"/>
        <v>#DIV/0!</v>
      </c>
      <c r="ED39" s="511"/>
      <c r="EE39" s="511"/>
      <c r="EF39" s="511"/>
      <c r="EG39" s="511"/>
      <c r="EH39" s="511"/>
      <c r="EI39" s="511"/>
      <c r="EJ39" s="511"/>
      <c r="EK39" s="888" t="str">
        <f>IF(S39="","",VLOOKUP(S39,'HHV-LHV-MW'!$A$3:$H$40,4,FALSE))</f>
        <v/>
      </c>
      <c r="EL39" s="889" t="str">
        <f>IF(S39="","",VLOOKUP(S39,'HHV-LHV-MW'!$A$3:$H$40,5,FALSE))</f>
        <v/>
      </c>
      <c r="EM39" s="890" t="e">
        <f>(PRODUCT('HHV-LHV-MW'!FB23)+PRODUCT('HHV-LHV-MW'!FN23)+PRODUCT('HHV-LHV-MW'!FZ23)+PRODUCT('HHV-LHV-MW'!GL23))/$BW$19</f>
        <v>#DIV/0!</v>
      </c>
      <c r="EN39" s="890">
        <f>IF($BW$19=1,"",  (SQRT(  (      (IF('HHV-LHV-MW'!FB23="",0,('HHV-LHV-MW'!FB23-EM39)^2))      +        (IF('HHV-LHV-MW'!FN23="",0,('HHV-LHV-MW'!FN23-EM39)^2))       +        (IF('HHV-LHV-MW'!FZ23="",0,('HHV-LHV-MW'!FZ23-EM39)^2))          +        (IF('HHV-LHV-MW'!GL23="",0,('HHV-LHV-MW'!GL23-EM39)^2))          )     *(1/($BW$19-1))  )))</f>
        <v>0</v>
      </c>
      <c r="EO39" s="890" t="e">
        <f t="shared" si="1"/>
        <v>#N/A</v>
      </c>
      <c r="EP39" s="890" t="e">
        <f t="shared" si="18"/>
        <v>#DIV/0!</v>
      </c>
      <c r="EQ39" s="636" t="str">
        <f>IF('HHV-LHV-MW'!FB23="","",IF(AND('HHV-LHV-MW'!FB23&gt;=0,'HHV-LHV-MW'!FB23&lt;=0.09),2,  IF(AND('HHV-LHV-MW'!FB23&gt;=0.1,'HHV-LHV-MW'!FB23&lt;=0.9),7,  IF(AND('HHV-LHV-MW'!FB23&gt;=1,'HHV-LHV-MW'!FB23&lt;=4.9),10,   IF(AND('HHV-LHV-MW'!FB23&gt;=5,'HHV-LHV-MW'!FB23&lt;=10),12, 15)))))</f>
        <v/>
      </c>
      <c r="ER39" s="636" t="str">
        <f>IF('HHV-LHV-MW'!FB23="","",5*'HHV-LHV-MW'!FB23)</f>
        <v/>
      </c>
      <c r="ES39" s="635" t="str">
        <f t="shared" si="19"/>
        <v/>
      </c>
      <c r="ET39" s="636" t="str">
        <f>IF(OR(ES39="",'HHV-LHV-MW'!FB23=0),"",ES39/'HHV-LHV-MW'!FB23)</f>
        <v/>
      </c>
      <c r="EU39" s="636" t="str">
        <f>IF(OR(ET39="",EK39="",'HHV-LHV-MW'!FB23=""),"",((ET39*EK39*('HHV-LHV-MW'!FB23/100))/23.685)^2)</f>
        <v/>
      </c>
      <c r="EV39" s="636" t="str">
        <f>IF(OR(ET39="",EL39="",'HHV-LHV-MW'!FB23=""),"",((ET39*EL39*('HHV-LHV-MW'!FB23/100))/23.685)^2)</f>
        <v/>
      </c>
      <c r="EW39" s="639" t="e">
        <f t="shared" si="20"/>
        <v>#DIV/0!</v>
      </c>
      <c r="EX39" s="892" t="e">
        <f t="shared" si="21"/>
        <v>#DIV/0!</v>
      </c>
      <c r="EY39" s="511"/>
      <c r="EZ39" s="511"/>
      <c r="FA39" s="511"/>
      <c r="FB39" s="511"/>
      <c r="FC39" s="511"/>
      <c r="FD39" s="511"/>
      <c r="FE39" s="511"/>
      <c r="FF39" s="888" t="str">
        <f>IF(Y39="","",VLOOKUP(Y39,'HHV-LHV-MW'!$A$3:$H$40,4,FALSE))</f>
        <v/>
      </c>
      <c r="FG39" s="889" t="str">
        <f>IF(Y39="","",VLOOKUP(Y39,'HHV-LHV-MW'!$A$3:$H$40,5,FALSE))</f>
        <v/>
      </c>
      <c r="FH39" s="890" t="e">
        <f>(PRODUCT('HHV-LHV-MW'!GY23)+PRODUCT('HHV-LHV-MW'!HK23)+PRODUCT('HHV-LHV-MW'!HW23)+PRODUCT('HHV-LHV-MW'!II23))/$BW$28</f>
        <v>#DIV/0!</v>
      </c>
      <c r="FI39" s="890">
        <f>IF($BW$28=1,"",  (SQRT(  (      (IF('HHV-LHV-MW'!GY23="",0,('HHV-LHV-MW'!GY23-FH39)^2))      +        (IF('HHV-LHV-MW'!HK23="",0,('HHV-LHV-MW'!HK23-FH39)^2))       +        (IF('HHV-LHV-MW'!HW23="",0,('HHV-LHV-MW'!HW23-FH39)^2))          +        (IF('HHV-LHV-MW'!II23="",0,('HHV-LHV-MW'!II23-FH39)^2))          )     *(1/($BW$28-1))  )))</f>
        <v>0</v>
      </c>
      <c r="FJ39" s="890" t="e">
        <f t="shared" si="2"/>
        <v>#N/A</v>
      </c>
      <c r="FK39" s="890" t="e">
        <f t="shared" si="22"/>
        <v>#DIV/0!</v>
      </c>
      <c r="FL39" s="636" t="str">
        <f>IF('HHV-LHV-MW'!GY23="","",IF(AND('HHV-LHV-MW'!GY23&gt;=0,'HHV-LHV-MW'!GY23&lt;=0.09),2,  IF(AND('HHV-LHV-MW'!GY23&gt;=0.1,'HHV-LHV-MW'!GY23&lt;=0.9),7,  IF(AND('HHV-LHV-MW'!GY23&gt;=1,'HHV-LHV-MW'!GY23&lt;=4.9),10,   IF(AND('HHV-LHV-MW'!GY23&gt;=5,'HHV-LHV-MW'!GY23&lt;=10),12, 15)))))</f>
        <v/>
      </c>
      <c r="FM39" s="636" t="str">
        <f>IF('HHV-LHV-MW'!GY23="","",5*'HHV-LHV-MW'!GY23)</f>
        <v/>
      </c>
      <c r="FN39" s="635" t="str">
        <f t="shared" si="23"/>
        <v/>
      </c>
      <c r="FO39" s="636" t="str">
        <f>IF(OR(FN39="",'HHV-LHV-MW'!GY23=0),"",FN39/'HHV-LHV-MW'!GY23)</f>
        <v/>
      </c>
      <c r="FP39" s="636" t="str">
        <f>IF(OR(FO39="",FF39="",'HHV-LHV-MW'!GY23=""),"",((FO39*FF39*('HHV-LHV-MW'!GY23/100))/23.685)^2)</f>
        <v/>
      </c>
      <c r="FQ39" s="636" t="str">
        <f>IF(OR(FO39="",FG39="",'HHV-LHV-MW'!GY23=""),"",((FO39*FG39*('HHV-LHV-MW'!GY23/100))/23.685)^2)</f>
        <v/>
      </c>
      <c r="FR39" s="639" t="e">
        <f t="shared" si="24"/>
        <v>#DIV/0!</v>
      </c>
      <c r="FS39" s="892" t="e">
        <f t="shared" si="25"/>
        <v>#DIV/0!</v>
      </c>
      <c r="FT39" s="511"/>
      <c r="FU39" s="511"/>
      <c r="FV39" s="511"/>
      <c r="FW39" s="511"/>
      <c r="FX39" s="511"/>
      <c r="FY39" s="511"/>
      <c r="FZ39" s="511"/>
      <c r="GA39" s="888" t="str">
        <f>IF(AE39="","",VLOOKUP(AE39,'HHV-LHV-MW'!$A$3:$H$40,4,FALSE))</f>
        <v/>
      </c>
      <c r="GB39" s="889" t="str">
        <f>IF(AE39="","",VLOOKUP(AE39,'HHV-LHV-MW'!$A$3:$H$40,5,FALSE))</f>
        <v/>
      </c>
      <c r="GC39" s="890" t="e">
        <f>(PRODUCT('HHV-LHV-MW'!IV23)+PRODUCT('HHV-LHV-MW'!JH23)+PRODUCT('HHV-LHV-MW'!JT23)+PRODUCT('HHV-LHV-MW'!KF23))/$BW$37</f>
        <v>#DIV/0!</v>
      </c>
      <c r="GD39" s="890">
        <f>IF($BW$37=1,"",  (SQRT(  (      (IF('HHV-LHV-MW'!IV23="",0,('HHV-LHV-MW'!IV23-GC39)^2))      +        (IF('HHV-LHV-MW'!JH23="",0,('HHV-LHV-MW'!JH23-GC39)^2))       +        (IF('HHV-LHV-MW'!JT23="",0,('HHV-LHV-MW'!JT23-GC39)^2))          +        (IF('HHV-LHV-MW'!KF23="",0,('HHV-LHV-MW'!KF23-GC39)^2))          )     *(1/($BW$37-1))  )))</f>
        <v>0</v>
      </c>
      <c r="GE39" s="890" t="e">
        <f t="shared" si="3"/>
        <v>#N/A</v>
      </c>
      <c r="GF39" s="890" t="e">
        <f t="shared" si="26"/>
        <v>#DIV/0!</v>
      </c>
      <c r="GG39" s="636" t="str">
        <f>IF('HHV-LHV-MW'!IV23="","",IF(AND('HHV-LHV-MW'!IV23&gt;=0,'HHV-LHV-MW'!IV23&lt;=0.09),2,  IF(AND('HHV-LHV-MW'!IV23&gt;=0.1,'HHV-LHV-MW'!IV23&lt;=0.9),7,  IF(AND('HHV-LHV-MW'!IV23&gt;=1,'HHV-LHV-MW'!IV23&lt;=4.9),10,   IF(AND('HHV-LHV-MW'!IV23&gt;=5,'HHV-LHV-MW'!IV23&lt;=10),12, 15)))))</f>
        <v/>
      </c>
      <c r="GH39" s="636" t="str">
        <f>IF('HHV-LHV-MW'!IV23="","",5*'HHV-LHV-MW'!IV23)</f>
        <v/>
      </c>
      <c r="GI39" s="635" t="str">
        <f t="shared" si="27"/>
        <v/>
      </c>
      <c r="GJ39" s="636" t="str">
        <f>IF(OR(GI39="",'HHV-LHV-MW'!IV23=0),"",GI39/'HHV-LHV-MW'!IV23)</f>
        <v/>
      </c>
      <c r="GK39" s="636" t="str">
        <f>IF(OR(GJ39="",GA39="",'HHV-LHV-MW'!IV23=""),"",((GJ39*GA39*('HHV-LHV-MW'!IV23/100))/23.685)^2)</f>
        <v/>
      </c>
      <c r="GL39" s="636" t="str">
        <f>IF(OR(GJ39="",GB39="",'HHV-LHV-MW'!IV23=""),"",((GJ39*GB39*('HHV-LHV-MW'!IV23/100))/23.685)^2)</f>
        <v/>
      </c>
      <c r="GM39" s="639" t="e">
        <f t="shared" si="28"/>
        <v>#DIV/0!</v>
      </c>
      <c r="GN39" s="892" t="e">
        <f t="shared" si="29"/>
        <v>#DIV/0!</v>
      </c>
      <c r="GO39" s="874"/>
      <c r="GP39" s="874"/>
      <c r="GQ39" s="874"/>
      <c r="GR39" s="874"/>
      <c r="GS39" s="874"/>
      <c r="GT39" s="874"/>
      <c r="GU39" s="874"/>
      <c r="GV39" s="874"/>
      <c r="GW39" s="874"/>
      <c r="GX39" s="874"/>
      <c r="GY39" s="874"/>
      <c r="GZ39" s="874"/>
      <c r="HA39" s="874"/>
      <c r="HB39" s="511"/>
      <c r="HC39" s="511"/>
      <c r="HD39" s="511"/>
      <c r="HE39" s="511"/>
      <c r="HF39" s="511"/>
      <c r="HG39" s="511"/>
      <c r="HH39" s="511"/>
      <c r="HI39" s="511"/>
      <c r="HJ39" s="874"/>
      <c r="HK39" s="874"/>
      <c r="HL39" s="874"/>
      <c r="HM39" s="874"/>
      <c r="HN39" s="874"/>
      <c r="HO39" s="874"/>
      <c r="HP39" s="874"/>
      <c r="HQ39" s="874"/>
      <c r="HR39" s="874"/>
      <c r="HS39" s="874"/>
      <c r="HT39" s="874"/>
      <c r="HU39" s="874"/>
      <c r="HV39" s="874"/>
      <c r="HW39" s="511"/>
      <c r="HX39" s="511"/>
      <c r="HY39" s="511"/>
      <c r="HZ39" s="511"/>
      <c r="IA39" s="511"/>
      <c r="IB39" s="511"/>
      <c r="IC39" s="511"/>
      <c r="ID39" s="511"/>
      <c r="IE39" s="874"/>
      <c r="IF39" s="874"/>
      <c r="IG39" s="874"/>
      <c r="IH39" s="874"/>
      <c r="II39" s="874"/>
      <c r="IJ39" s="874"/>
      <c r="IK39" s="874"/>
      <c r="IL39" s="874"/>
      <c r="IM39" s="874"/>
      <c r="IN39" s="874"/>
      <c r="IO39" s="874"/>
      <c r="IP39" s="874"/>
      <c r="IQ39" s="874"/>
      <c r="IR39" s="511"/>
      <c r="IS39" s="511"/>
      <c r="IT39" s="511"/>
      <c r="IU39" s="511"/>
      <c r="IV39" s="511"/>
      <c r="IW39" s="511"/>
      <c r="IX39" s="511"/>
      <c r="IY39" s="511"/>
      <c r="IZ39" s="874"/>
      <c r="JA39" s="874"/>
      <c r="JB39" s="874"/>
      <c r="JC39" s="874"/>
      <c r="JD39" s="874"/>
      <c r="JE39" s="874"/>
      <c r="JF39" s="874"/>
      <c r="JG39" s="874"/>
      <c r="JH39" s="874"/>
      <c r="JI39" s="874"/>
      <c r="JJ39" s="874"/>
      <c r="JK39" s="874"/>
      <c r="JL39" s="874"/>
      <c r="JM39" s="874"/>
      <c r="JN39" s="874"/>
      <c r="JO39" s="874"/>
      <c r="JP39" s="874"/>
      <c r="JQ39" s="874"/>
      <c r="JR39" s="874"/>
      <c r="JS39" s="874"/>
      <c r="JT39" s="874"/>
      <c r="JU39" s="874"/>
      <c r="JV39" s="874"/>
      <c r="JW39" s="874"/>
      <c r="JX39" s="874"/>
      <c r="JY39" s="874"/>
      <c r="JZ39" s="874"/>
      <c r="KA39" s="874"/>
      <c r="KB39" s="874"/>
      <c r="KC39" s="874"/>
      <c r="KD39" s="874"/>
      <c r="KE39" s="874"/>
      <c r="KF39" s="874"/>
      <c r="KG39" s="874"/>
      <c r="KH39" s="865"/>
      <c r="KI39" s="865"/>
      <c r="KJ39" s="865"/>
      <c r="KK39" s="865"/>
      <c r="KL39" s="865"/>
      <c r="KM39" s="865"/>
      <c r="KN39" s="865"/>
      <c r="KO39" s="865"/>
      <c r="KP39" s="865"/>
      <c r="KQ39" s="865"/>
      <c r="KR39" s="865"/>
      <c r="KS39" s="865"/>
      <c r="KT39" s="865"/>
      <c r="KU39" s="865"/>
      <c r="KV39" s="865"/>
      <c r="KW39" s="865"/>
      <c r="KX39" s="865"/>
      <c r="KY39" s="865"/>
      <c r="KZ39" s="865"/>
      <c r="LA39" s="865"/>
      <c r="LB39" s="865"/>
      <c r="LC39" s="865"/>
      <c r="LD39" s="865"/>
      <c r="LE39" s="865"/>
      <c r="LF39" s="865"/>
    </row>
    <row r="40" spans="1:318" ht="18.600000000000001">
      <c r="A40" s="864"/>
      <c r="B40" s="663"/>
      <c r="C40" s="663"/>
      <c r="D40" s="663"/>
      <c r="E40" s="663"/>
      <c r="F40" s="511"/>
      <c r="G40" s="864"/>
      <c r="H40" s="663"/>
      <c r="I40" s="663"/>
      <c r="J40" s="663"/>
      <c r="K40" s="663"/>
      <c r="L40" s="511"/>
      <c r="M40" s="864"/>
      <c r="N40" s="663"/>
      <c r="O40" s="663"/>
      <c r="P40" s="663"/>
      <c r="Q40" s="663"/>
      <c r="R40" s="511"/>
      <c r="S40" s="864"/>
      <c r="T40" s="663"/>
      <c r="U40" s="663"/>
      <c r="V40" s="663"/>
      <c r="W40" s="663"/>
      <c r="X40" s="511"/>
      <c r="Y40" s="864"/>
      <c r="Z40" s="663"/>
      <c r="AA40" s="663"/>
      <c r="AB40" s="663"/>
      <c r="AC40" s="663"/>
      <c r="AD40" s="511"/>
      <c r="AE40" s="864"/>
      <c r="AF40" s="663"/>
      <c r="AG40" s="663"/>
      <c r="AH40" s="663"/>
      <c r="AI40" s="663"/>
      <c r="AJ40" s="511"/>
      <c r="AK40" s="865"/>
      <c r="AL40" s="865"/>
      <c r="AM40" s="865"/>
      <c r="AN40" s="865"/>
      <c r="AO40" s="865"/>
      <c r="AP40" s="865"/>
      <c r="AQ40" s="865"/>
      <c r="AR40" s="865"/>
      <c r="AS40" s="865"/>
      <c r="AT40" s="865"/>
      <c r="AU40" s="865"/>
      <c r="AV40" s="865"/>
      <c r="AW40" s="865"/>
      <c r="AX40" s="865"/>
      <c r="AY40" s="865"/>
      <c r="AZ40" s="865"/>
      <c r="BA40" s="865"/>
      <c r="BB40" s="865"/>
      <c r="BC40" s="865"/>
      <c r="BD40" s="865"/>
      <c r="BE40" s="865"/>
      <c r="BF40" s="865"/>
      <c r="BG40" s="865"/>
      <c r="BH40" s="865"/>
      <c r="BI40" s="865"/>
      <c r="BJ40" s="1201" t="str">
        <f>IF(BM34="واقعي","عدم قطعيت نسبي ارزش حرارتي خالص (LHV) واقعي    %()±","")</f>
        <v/>
      </c>
      <c r="BK40" s="1201"/>
      <c r="BL40" s="1201"/>
      <c r="BM40" s="1201"/>
      <c r="BN40" s="1201"/>
      <c r="BO40" s="2477" t="str">
        <f>IF(OR(N16="",N16=0),"",    IF(BO37="","ND",IF(BO37=1,(EA50/N16),(EC50/N16)))           )</f>
        <v/>
      </c>
      <c r="BP40" s="2477"/>
      <c r="BQ40" s="865"/>
      <c r="BR40" s="1201" t="str">
        <f>IF(BU34="واقعي","عدم قطعيت نسبي ارزش حرارتي خالص (LHV) واقعي    %()±","")</f>
        <v/>
      </c>
      <c r="BS40" s="1201"/>
      <c r="BT40" s="1201"/>
      <c r="BU40" s="1201"/>
      <c r="BV40" s="1201"/>
      <c r="BW40" s="2477" t="str">
        <f>IF(OR(AF16="",AF16=0),"",   IF(BW37="","ND",IF(BW37=1,(GL50/AF16 ),(GN50/AF16 )))          )</f>
        <v/>
      </c>
      <c r="BX40" s="2477"/>
      <c r="BY40" s="874"/>
      <c r="BZ40" s="888" t="str">
        <f>IF(A40="","",VLOOKUP(A40,'HHV-LHV-MW'!$A$3:$H$40,4,FALSE))</f>
        <v/>
      </c>
      <c r="CA40" s="889" t="str">
        <f>IF(A40="","",VLOOKUP(A40,'HHV-LHV-MW'!$A$3:$H$40,5,FALSE))</f>
        <v/>
      </c>
      <c r="CB40" s="890" t="e">
        <f>(PRODUCT('HHV-LHV-MW'!K24)+PRODUCT('HHV-LHV-MW'!W24)+PRODUCT('HHV-LHV-MW'!AI24)+PRODUCT('HHV-LHV-MW'!AU24))/$BO$19</f>
        <v>#DIV/0!</v>
      </c>
      <c r="CC40" s="890">
        <f>IF($BO$19=1,"",  (SQRT(  (      (IF('HHV-LHV-MW'!K24="",0,('HHV-LHV-MW'!K24-CB40)^2))      +        (IF('HHV-LHV-MW'!W24="",0,('HHV-LHV-MW'!W24-CB40)^2))       +        (IF('HHV-LHV-MW'!AI24="",0,('HHV-LHV-MW'!AI24-CB40)^2))          +        (IF('HHV-LHV-MW'!AU24="",0,('HHV-LHV-MW'!AU24-CB40)^2))          )     *(1/($BO$19-1))  )))</f>
        <v>0</v>
      </c>
      <c r="CD40" s="890" t="e">
        <f t="shared" si="4"/>
        <v>#N/A</v>
      </c>
      <c r="CE40" s="890" t="e">
        <f t="shared" si="5"/>
        <v>#DIV/0!</v>
      </c>
      <c r="CF40" s="636" t="str">
        <f>IF('HHV-LHV-MW'!K24="","",IF(AND('HHV-LHV-MW'!K24&gt;=0,'HHV-LHV-MW'!K24&lt;=0.09),2,  IF(AND('HHV-LHV-MW'!K24&gt;=0.1,'HHV-LHV-MW'!K24&lt;=0.9),7,  IF(AND('HHV-LHV-MW'!K24&gt;=1,'HHV-LHV-MW'!K24&lt;=4.9),10,   IF(AND('HHV-LHV-MW'!K24&gt;=5,'HHV-LHV-MW'!K24&lt;=10),12, 15)))))</f>
        <v/>
      </c>
      <c r="CG40" s="636" t="str">
        <f>IF('HHV-LHV-MW'!K24="","",5*'HHV-LHV-MW'!K24)</f>
        <v/>
      </c>
      <c r="CH40" s="635" t="str">
        <f t="shared" si="6"/>
        <v/>
      </c>
      <c r="CI40" s="636" t="str">
        <f>IF(OR(CH40="",'HHV-LHV-MW'!K24=0),"",CH40/'HHV-LHV-MW'!K24)</f>
        <v/>
      </c>
      <c r="CJ40" s="636" t="str">
        <f>IF(OR(CI40="",BZ40="",'HHV-LHV-MW'!K24=""),"",((CI40*BZ40*('HHV-LHV-MW'!K24/100))/23.685)^2)</f>
        <v/>
      </c>
      <c r="CK40" s="891" t="str">
        <f>IF(OR(CI40="",CA40="",'HHV-LHV-MW'!K24=""),"",((CI40*CA40*('HHV-LHV-MW'!K24/100))/23.685)^2)</f>
        <v/>
      </c>
      <c r="CL40" s="639" t="e">
        <f t="shared" si="7"/>
        <v>#DIV/0!</v>
      </c>
      <c r="CM40" s="892" t="e">
        <f t="shared" si="8"/>
        <v>#DIV/0!</v>
      </c>
      <c r="CN40" s="511"/>
      <c r="CO40" s="511"/>
      <c r="CP40" s="511"/>
      <c r="CQ40" s="511"/>
      <c r="CR40" s="511"/>
      <c r="CS40" s="511"/>
      <c r="CT40" s="511"/>
      <c r="CU40" s="888" t="str">
        <f>IF(G40="","",VLOOKUP(G40,'HHV-LHV-MW'!$A$3:$H$40,4,FALSE))</f>
        <v/>
      </c>
      <c r="CV40" s="889" t="str">
        <f>IF(G40="","",VLOOKUP(G40,'HHV-LHV-MW'!$A$3:$H$40,5,FALSE))</f>
        <v/>
      </c>
      <c r="CW40" s="890" t="e">
        <f>(PRODUCT('HHV-LHV-MW'!BH24)+PRODUCT('HHV-LHV-MW'!BT24)+PRODUCT('HHV-LHV-MW'!CF24)+PRODUCT('HHV-LHV-MW'!CR24))/$BO$28</f>
        <v>#DIV/0!</v>
      </c>
      <c r="CX40" s="890">
        <f>IF($BO$28=1,"",  (SQRT(  (      (IF('HHV-LHV-MW'!BH24="",0,('HHV-LHV-MW'!BH24-CW40)^2))      +        (IF('HHV-LHV-MW'!BT24="",0,('HHV-LHV-MW'!BT24-CW40)^2))       +        (IF('HHV-LHV-MW'!CF24="",0,('HHV-LHV-MW'!CF24-CW40)^2))          +        (IF('HHV-LHV-MW'!CR24="",0,('HHV-LHV-MW'!CR24-CW40)^2))          )     *(1/($BO$28-1))  )))</f>
        <v>0</v>
      </c>
      <c r="CY40" s="890" t="e">
        <f t="shared" si="9"/>
        <v>#N/A</v>
      </c>
      <c r="CZ40" s="890" t="e">
        <f t="shared" si="10"/>
        <v>#DIV/0!</v>
      </c>
      <c r="DA40" s="636" t="str">
        <f>IF('HHV-LHV-MW'!BH24="","",IF(AND('HHV-LHV-MW'!BH24&gt;=0,'HHV-LHV-MW'!BH24&lt;=0.09),2,  IF(AND('HHV-LHV-MW'!BH24&gt;=0.1,'HHV-LHV-MW'!BH24&lt;=0.9),7,  IF(AND('HHV-LHV-MW'!BH24&gt;=1,'HHV-LHV-MW'!BH24&lt;=4.9),10,   IF(AND('HHV-LHV-MW'!BH24&gt;=5,'HHV-LHV-MW'!BH24&lt;=10),12, 15)))))</f>
        <v/>
      </c>
      <c r="DB40" s="636" t="str">
        <f>IF('HHV-LHV-MW'!BH24="","",5*'HHV-LHV-MW'!BH24)</f>
        <v/>
      </c>
      <c r="DC40" s="635" t="str">
        <f t="shared" si="11"/>
        <v/>
      </c>
      <c r="DD40" s="636" t="str">
        <f>IF(OR(DC40="",'HHV-LHV-MW'!BH24=0),"",DC40/'HHV-LHV-MW'!BH24)</f>
        <v/>
      </c>
      <c r="DE40" s="635" t="str">
        <f>IF(OR(DD40="",CU40="",'HHV-LHV-MW'!BH24=""),"",((DD40*CU40*('HHV-LHV-MW'!BH24/100))/23.685)^2)</f>
        <v/>
      </c>
      <c r="DF40" s="636" t="str">
        <f>IF(OR(DD40="",CV40="",'HHV-LHV-MW'!BH24=""),"",((DD40*CV40*('HHV-LHV-MW'!BH24/100))/23.685)^2)</f>
        <v/>
      </c>
      <c r="DG40" s="639" t="e">
        <f t="shared" si="12"/>
        <v>#DIV/0!</v>
      </c>
      <c r="DH40" s="892" t="e">
        <f t="shared" si="13"/>
        <v>#DIV/0!</v>
      </c>
      <c r="DI40" s="511"/>
      <c r="DJ40" s="511"/>
      <c r="DK40" s="511"/>
      <c r="DL40" s="511"/>
      <c r="DM40" s="511"/>
      <c r="DN40" s="511"/>
      <c r="DO40" s="511"/>
      <c r="DP40" s="888" t="str">
        <f>IF(M40="","",VLOOKUP(M40,'HHV-LHV-MW'!$A$3:$H$40,4,FALSE))</f>
        <v/>
      </c>
      <c r="DQ40" s="889" t="str">
        <f>IF(M40="","",VLOOKUP(M40,'HHV-LHV-MW'!$A$3:$H$40,5,FALSE))</f>
        <v/>
      </c>
      <c r="DR40" s="890" t="e">
        <f>(PRODUCT('HHV-LHV-MW'!DE24)+PRODUCT('HHV-LHV-MW'!DQ24)+PRODUCT('HHV-LHV-MW'!EC24)+PRODUCT('HHV-LHV-MW'!EO24))/$BO$37</f>
        <v>#DIV/0!</v>
      </c>
      <c r="DS40" s="890">
        <f>IF($BO$37=1,"",  (SQRT(  (      (IF('HHV-LHV-MW'!DE24="",0,('HHV-LHV-MW'!DE24-DR40)^2))      +        (IF('HHV-LHV-MW'!DQ24="",0,('HHV-LHV-MW'!DQ24-DR40)^2))       +        (IF('HHV-LHV-MW'!EC24="",0,('HHV-LHV-MW'!EC24-DR40)^2))          +        (IF('HHV-LHV-MW'!EO24="",0,('HHV-LHV-MW'!EO24-DR40)^2))          )     *(1/($BO$37-1))  )))</f>
        <v>0</v>
      </c>
      <c r="DT40" s="890" t="e">
        <f t="shared" si="0"/>
        <v>#N/A</v>
      </c>
      <c r="DU40" s="890" t="e">
        <f t="shared" si="14"/>
        <v>#DIV/0!</v>
      </c>
      <c r="DV40" s="636" t="str">
        <f>IF('HHV-LHV-MW'!DE24="","",IF(AND('HHV-LHV-MW'!DE24&gt;=0,'HHV-LHV-MW'!DE24&lt;=0.09),2,  IF(AND('HHV-LHV-MW'!DE24&gt;=0.1,'HHV-LHV-MW'!DE24&lt;=0.9),7,  IF(AND('HHV-LHV-MW'!DE24&gt;=1,'HHV-LHV-MW'!DE24&lt;=4.9),10,   IF(AND('HHV-LHV-MW'!DE24&gt;=5,'HHV-LHV-MW'!DE24&lt;=10),12, 15)))))</f>
        <v/>
      </c>
      <c r="DW40" s="636" t="str">
        <f>IF('HHV-LHV-MW'!DE24="","",5*'HHV-LHV-MW'!DE24)</f>
        <v/>
      </c>
      <c r="DX40" s="635" t="str">
        <f t="shared" si="15"/>
        <v/>
      </c>
      <c r="DY40" s="636" t="str">
        <f>IF(OR(DX40="",'HHV-LHV-MW'!DE24=0),"",DX40/'HHV-LHV-MW'!DE24)</f>
        <v/>
      </c>
      <c r="DZ40" s="636" t="str">
        <f>IF(OR(DY40="",DP40="",'HHV-LHV-MW'!DE24=""),"",((DY40*DP40*('HHV-LHV-MW'!DE24/100))/23.685)^2)</f>
        <v/>
      </c>
      <c r="EA40" s="636" t="str">
        <f>IF(OR(DY40="",DQ40="",'HHV-LHV-MW'!DE24=""),"",((DY40*DQ40*('HHV-LHV-MW'!DE24/100))/23.685)^2)</f>
        <v/>
      </c>
      <c r="EB40" s="639" t="e">
        <f t="shared" si="16"/>
        <v>#DIV/0!</v>
      </c>
      <c r="EC40" s="892" t="e">
        <f t="shared" si="17"/>
        <v>#DIV/0!</v>
      </c>
      <c r="ED40" s="511"/>
      <c r="EE40" s="511"/>
      <c r="EF40" s="511"/>
      <c r="EG40" s="511"/>
      <c r="EH40" s="511"/>
      <c r="EI40" s="511"/>
      <c r="EJ40" s="511"/>
      <c r="EK40" s="888" t="str">
        <f>IF(S40="","",VLOOKUP(S40,'HHV-LHV-MW'!$A$3:$H$40,4,FALSE))</f>
        <v/>
      </c>
      <c r="EL40" s="889" t="str">
        <f>IF(S40="","",VLOOKUP(S40,'HHV-LHV-MW'!$A$3:$H$40,5,FALSE))</f>
        <v/>
      </c>
      <c r="EM40" s="890" t="e">
        <f>(PRODUCT('HHV-LHV-MW'!FB24)+PRODUCT('HHV-LHV-MW'!FN24)+PRODUCT('HHV-LHV-MW'!FZ24)+PRODUCT('HHV-LHV-MW'!GL24))/$BW$19</f>
        <v>#DIV/0!</v>
      </c>
      <c r="EN40" s="890">
        <f>IF($BW$19=1,"",  (SQRT(  (      (IF('HHV-LHV-MW'!FB24="",0,('HHV-LHV-MW'!FB24-EM40)^2))      +        (IF('HHV-LHV-MW'!FN24="",0,('HHV-LHV-MW'!FN24-EM40)^2))       +        (IF('HHV-LHV-MW'!FZ24="",0,('HHV-LHV-MW'!FZ24-EM40)^2))          +        (IF('HHV-LHV-MW'!GL24="",0,('HHV-LHV-MW'!GL24-EM40)^2))          )     *(1/($BW$19-1))  )))</f>
        <v>0</v>
      </c>
      <c r="EO40" s="890" t="e">
        <f t="shared" si="1"/>
        <v>#N/A</v>
      </c>
      <c r="EP40" s="890" t="e">
        <f t="shared" si="18"/>
        <v>#DIV/0!</v>
      </c>
      <c r="EQ40" s="636" t="str">
        <f>IF('HHV-LHV-MW'!FB24="","",IF(AND('HHV-LHV-MW'!FB24&gt;=0,'HHV-LHV-MW'!FB24&lt;=0.09),2,  IF(AND('HHV-LHV-MW'!FB24&gt;=0.1,'HHV-LHV-MW'!FB24&lt;=0.9),7,  IF(AND('HHV-LHV-MW'!FB24&gt;=1,'HHV-LHV-MW'!FB24&lt;=4.9),10,   IF(AND('HHV-LHV-MW'!FB24&gt;=5,'HHV-LHV-MW'!FB24&lt;=10),12, 15)))))</f>
        <v/>
      </c>
      <c r="ER40" s="636" t="str">
        <f>IF('HHV-LHV-MW'!FB24="","",5*'HHV-LHV-MW'!FB24)</f>
        <v/>
      </c>
      <c r="ES40" s="635" t="str">
        <f t="shared" si="19"/>
        <v/>
      </c>
      <c r="ET40" s="636" t="str">
        <f>IF(OR(ES40="",'HHV-LHV-MW'!FB24=0),"",ES40/'HHV-LHV-MW'!FB24)</f>
        <v/>
      </c>
      <c r="EU40" s="636" t="str">
        <f>IF(OR(ET40="",EK40="",'HHV-LHV-MW'!FB24=""),"",((ET40*EK40*('HHV-LHV-MW'!FB24/100))/23.685)^2)</f>
        <v/>
      </c>
      <c r="EV40" s="636" t="str">
        <f>IF(OR(ET40="",EL40="",'HHV-LHV-MW'!FB24=""),"",((ET40*EL40*('HHV-LHV-MW'!FB24/100))/23.685)^2)</f>
        <v/>
      </c>
      <c r="EW40" s="639" t="e">
        <f t="shared" si="20"/>
        <v>#DIV/0!</v>
      </c>
      <c r="EX40" s="892" t="e">
        <f t="shared" si="21"/>
        <v>#DIV/0!</v>
      </c>
      <c r="EY40" s="511"/>
      <c r="EZ40" s="511"/>
      <c r="FA40" s="511"/>
      <c r="FB40" s="511"/>
      <c r="FC40" s="511"/>
      <c r="FD40" s="511"/>
      <c r="FE40" s="511"/>
      <c r="FF40" s="888" t="str">
        <f>IF(Y40="","",VLOOKUP(Y40,'HHV-LHV-MW'!$A$3:$H$40,4,FALSE))</f>
        <v/>
      </c>
      <c r="FG40" s="889" t="str">
        <f>IF(Y40="","",VLOOKUP(Y40,'HHV-LHV-MW'!$A$3:$H$40,5,FALSE))</f>
        <v/>
      </c>
      <c r="FH40" s="890" t="e">
        <f>(PRODUCT('HHV-LHV-MW'!GY24)+PRODUCT('HHV-LHV-MW'!HK24)+PRODUCT('HHV-LHV-MW'!HW24)+PRODUCT('HHV-LHV-MW'!II24))/$BW$28</f>
        <v>#DIV/0!</v>
      </c>
      <c r="FI40" s="890">
        <f>IF($BW$28=1,"",  (SQRT(  (      (IF('HHV-LHV-MW'!GY24="",0,('HHV-LHV-MW'!GY24-FH40)^2))      +        (IF('HHV-LHV-MW'!HK24="",0,('HHV-LHV-MW'!HK24-FH40)^2))       +        (IF('HHV-LHV-MW'!HW24="",0,('HHV-LHV-MW'!HW24-FH40)^2))          +        (IF('HHV-LHV-MW'!II24="",0,('HHV-LHV-MW'!II24-FH40)^2))          )     *(1/($BW$28-1))  )))</f>
        <v>0</v>
      </c>
      <c r="FJ40" s="890" t="e">
        <f t="shared" si="2"/>
        <v>#N/A</v>
      </c>
      <c r="FK40" s="890" t="e">
        <f t="shared" si="22"/>
        <v>#DIV/0!</v>
      </c>
      <c r="FL40" s="636" t="str">
        <f>IF('HHV-LHV-MW'!GY24="","",IF(AND('HHV-LHV-MW'!GY24&gt;=0,'HHV-LHV-MW'!GY24&lt;=0.09),2,  IF(AND('HHV-LHV-MW'!GY24&gt;=0.1,'HHV-LHV-MW'!GY24&lt;=0.9),7,  IF(AND('HHV-LHV-MW'!GY24&gt;=1,'HHV-LHV-MW'!GY24&lt;=4.9),10,   IF(AND('HHV-LHV-MW'!GY24&gt;=5,'HHV-LHV-MW'!GY24&lt;=10),12, 15)))))</f>
        <v/>
      </c>
      <c r="FM40" s="636" t="str">
        <f>IF('HHV-LHV-MW'!GY24="","",5*'HHV-LHV-MW'!GY24)</f>
        <v/>
      </c>
      <c r="FN40" s="635" t="str">
        <f t="shared" si="23"/>
        <v/>
      </c>
      <c r="FO40" s="636" t="str">
        <f>IF(OR(FN40="",'HHV-LHV-MW'!GY24=0),"",FN40/'HHV-LHV-MW'!GY24)</f>
        <v/>
      </c>
      <c r="FP40" s="636" t="str">
        <f>IF(OR(FO40="",FF40="",'HHV-LHV-MW'!GY24=""),"",((FO40*FF40*('HHV-LHV-MW'!GY24/100))/23.685)^2)</f>
        <v/>
      </c>
      <c r="FQ40" s="636" t="str">
        <f>IF(OR(FO40="",FG40="",'HHV-LHV-MW'!GY24=""),"",((FO40*FG40*('HHV-LHV-MW'!GY24/100))/23.685)^2)</f>
        <v/>
      </c>
      <c r="FR40" s="639" t="e">
        <f t="shared" si="24"/>
        <v>#DIV/0!</v>
      </c>
      <c r="FS40" s="892" t="e">
        <f t="shared" si="25"/>
        <v>#DIV/0!</v>
      </c>
      <c r="FT40" s="511"/>
      <c r="FU40" s="511"/>
      <c r="FV40" s="511"/>
      <c r="FW40" s="511"/>
      <c r="FX40" s="511"/>
      <c r="FY40" s="511"/>
      <c r="FZ40" s="511"/>
      <c r="GA40" s="888" t="str">
        <f>IF(AE40="","",VLOOKUP(AE40,'HHV-LHV-MW'!$A$3:$H$40,4,FALSE))</f>
        <v/>
      </c>
      <c r="GB40" s="889" t="str">
        <f>IF(AE40="","",VLOOKUP(AE40,'HHV-LHV-MW'!$A$3:$H$40,5,FALSE))</f>
        <v/>
      </c>
      <c r="GC40" s="890" t="e">
        <f>(PRODUCT('HHV-LHV-MW'!IV24)+PRODUCT('HHV-LHV-MW'!JH24)+PRODUCT('HHV-LHV-MW'!JT24)+PRODUCT('HHV-LHV-MW'!KF24))/$BW$37</f>
        <v>#DIV/0!</v>
      </c>
      <c r="GD40" s="890">
        <f>IF($BW$37=1,"",  (SQRT(  (      (IF('HHV-LHV-MW'!IV24="",0,('HHV-LHV-MW'!IV24-GC40)^2))      +        (IF('HHV-LHV-MW'!JH24="",0,('HHV-LHV-MW'!JH24-GC40)^2))       +        (IF('HHV-LHV-MW'!JT24="",0,('HHV-LHV-MW'!JT24-GC40)^2))          +        (IF('HHV-LHV-MW'!KF24="",0,('HHV-LHV-MW'!KF24-GC40)^2))          )     *(1/($BW$37-1))  )))</f>
        <v>0</v>
      </c>
      <c r="GE40" s="890" t="e">
        <f t="shared" si="3"/>
        <v>#N/A</v>
      </c>
      <c r="GF40" s="890" t="e">
        <f t="shared" si="26"/>
        <v>#DIV/0!</v>
      </c>
      <c r="GG40" s="636" t="str">
        <f>IF('HHV-LHV-MW'!IV24="","",IF(AND('HHV-LHV-MW'!IV24&gt;=0,'HHV-LHV-MW'!IV24&lt;=0.09),2,  IF(AND('HHV-LHV-MW'!IV24&gt;=0.1,'HHV-LHV-MW'!IV24&lt;=0.9),7,  IF(AND('HHV-LHV-MW'!IV24&gt;=1,'HHV-LHV-MW'!IV24&lt;=4.9),10,   IF(AND('HHV-LHV-MW'!IV24&gt;=5,'HHV-LHV-MW'!IV24&lt;=10),12, 15)))))</f>
        <v/>
      </c>
      <c r="GH40" s="636" t="str">
        <f>IF('HHV-LHV-MW'!IV24="","",5*'HHV-LHV-MW'!IV24)</f>
        <v/>
      </c>
      <c r="GI40" s="635" t="str">
        <f t="shared" si="27"/>
        <v/>
      </c>
      <c r="GJ40" s="636" t="str">
        <f>IF(OR(GI40="",'HHV-LHV-MW'!IV24=0),"",GI40/'HHV-LHV-MW'!IV24)</f>
        <v/>
      </c>
      <c r="GK40" s="636" t="str">
        <f>IF(OR(GJ40="",GA40="",'HHV-LHV-MW'!IV24=""),"",((GJ40*GA40*('HHV-LHV-MW'!IV24/100))/23.685)^2)</f>
        <v/>
      </c>
      <c r="GL40" s="636" t="str">
        <f>IF(OR(GJ40="",GB40="",'HHV-LHV-MW'!IV24=""),"",((GJ40*GB40*('HHV-LHV-MW'!IV24/100))/23.685)^2)</f>
        <v/>
      </c>
      <c r="GM40" s="639" t="e">
        <f t="shared" si="28"/>
        <v>#DIV/0!</v>
      </c>
      <c r="GN40" s="892" t="e">
        <f t="shared" si="29"/>
        <v>#DIV/0!</v>
      </c>
      <c r="GO40" s="874"/>
      <c r="GP40" s="874"/>
      <c r="GQ40" s="874"/>
      <c r="GR40" s="874"/>
      <c r="GS40" s="874"/>
      <c r="GT40" s="874"/>
      <c r="GU40" s="874"/>
      <c r="GV40" s="874"/>
      <c r="GW40" s="874"/>
      <c r="GX40" s="874"/>
      <c r="GY40" s="874"/>
      <c r="GZ40" s="874"/>
      <c r="HA40" s="874"/>
      <c r="HB40" s="511"/>
      <c r="HC40" s="511"/>
      <c r="HD40" s="511"/>
      <c r="HE40" s="511"/>
      <c r="HF40" s="511"/>
      <c r="HG40" s="511"/>
      <c r="HH40" s="511"/>
      <c r="HI40" s="511"/>
      <c r="HJ40" s="874"/>
      <c r="HK40" s="874"/>
      <c r="HL40" s="874"/>
      <c r="HM40" s="874"/>
      <c r="HN40" s="874"/>
      <c r="HO40" s="874"/>
      <c r="HP40" s="874"/>
      <c r="HQ40" s="874"/>
      <c r="HR40" s="874"/>
      <c r="HS40" s="874"/>
      <c r="HT40" s="874"/>
      <c r="HU40" s="874"/>
      <c r="HV40" s="874"/>
      <c r="HW40" s="511"/>
      <c r="HX40" s="511"/>
      <c r="HY40" s="511"/>
      <c r="HZ40" s="511"/>
      <c r="IA40" s="511"/>
      <c r="IB40" s="511"/>
      <c r="IC40" s="511"/>
      <c r="ID40" s="511"/>
      <c r="IE40" s="874"/>
      <c r="IF40" s="874"/>
      <c r="IG40" s="874"/>
      <c r="IH40" s="874"/>
      <c r="II40" s="874"/>
      <c r="IJ40" s="874"/>
      <c r="IK40" s="874"/>
      <c r="IL40" s="874"/>
      <c r="IM40" s="874"/>
      <c r="IN40" s="874"/>
      <c r="IO40" s="874"/>
      <c r="IP40" s="874"/>
      <c r="IQ40" s="874"/>
      <c r="IR40" s="511"/>
      <c r="IS40" s="511"/>
      <c r="IT40" s="511"/>
      <c r="IU40" s="511"/>
      <c r="IV40" s="511"/>
      <c r="IW40" s="511"/>
      <c r="IX40" s="511"/>
      <c r="IY40" s="511"/>
      <c r="IZ40" s="874"/>
      <c r="JA40" s="874"/>
      <c r="JB40" s="874"/>
      <c r="JC40" s="874"/>
      <c r="JD40" s="874"/>
      <c r="JE40" s="874"/>
      <c r="JF40" s="874"/>
      <c r="JG40" s="874"/>
      <c r="JH40" s="874"/>
      <c r="JI40" s="874"/>
      <c r="JJ40" s="874"/>
      <c r="JK40" s="874"/>
      <c r="JL40" s="874"/>
      <c r="JM40" s="874"/>
      <c r="JN40" s="874"/>
      <c r="JO40" s="874"/>
      <c r="JP40" s="874"/>
      <c r="JQ40" s="874"/>
      <c r="JR40" s="874"/>
      <c r="JS40" s="874"/>
      <c r="JT40" s="874"/>
      <c r="JU40" s="874"/>
      <c r="JV40" s="874"/>
      <c r="JW40" s="874"/>
      <c r="JX40" s="874"/>
      <c r="JY40" s="874"/>
      <c r="JZ40" s="874"/>
      <c r="KA40" s="874"/>
      <c r="KB40" s="874"/>
      <c r="KC40" s="874"/>
      <c r="KD40" s="874"/>
      <c r="KE40" s="874"/>
      <c r="KF40" s="874"/>
      <c r="KG40" s="874"/>
      <c r="KH40" s="865"/>
      <c r="KI40" s="865"/>
      <c r="KJ40" s="865"/>
      <c r="KK40" s="865"/>
      <c r="KL40" s="865"/>
      <c r="KM40" s="865"/>
      <c r="KN40" s="865"/>
      <c r="KO40" s="865"/>
      <c r="KP40" s="865"/>
      <c r="KQ40" s="865"/>
      <c r="KR40" s="865"/>
      <c r="KS40" s="865"/>
      <c r="KT40" s="865"/>
      <c r="KU40" s="865"/>
      <c r="KV40" s="865"/>
      <c r="KW40" s="865"/>
      <c r="KX40" s="865"/>
      <c r="KY40" s="865"/>
      <c r="KZ40" s="865"/>
      <c r="LA40" s="865"/>
      <c r="LB40" s="865"/>
      <c r="LC40" s="865"/>
      <c r="LD40" s="865"/>
      <c r="LE40" s="865"/>
      <c r="LF40" s="865"/>
    </row>
    <row r="41" spans="1:318">
      <c r="A41" s="864"/>
      <c r="B41" s="663"/>
      <c r="C41" s="663"/>
      <c r="D41" s="663"/>
      <c r="E41" s="663"/>
      <c r="F41" s="511"/>
      <c r="G41" s="864"/>
      <c r="H41" s="663"/>
      <c r="I41" s="663"/>
      <c r="J41" s="663"/>
      <c r="K41" s="663"/>
      <c r="L41" s="511"/>
      <c r="M41" s="864"/>
      <c r="N41" s="663"/>
      <c r="O41" s="663"/>
      <c r="P41" s="663"/>
      <c r="Q41" s="663"/>
      <c r="R41" s="511"/>
      <c r="S41" s="864"/>
      <c r="T41" s="663"/>
      <c r="U41" s="663"/>
      <c r="V41" s="663"/>
      <c r="W41" s="663"/>
      <c r="X41" s="511"/>
      <c r="Y41" s="864"/>
      <c r="Z41" s="663"/>
      <c r="AA41" s="663"/>
      <c r="AB41" s="663"/>
      <c r="AC41" s="663"/>
      <c r="AD41" s="511"/>
      <c r="AE41" s="864"/>
      <c r="AF41" s="663"/>
      <c r="AG41" s="663"/>
      <c r="AH41" s="663"/>
      <c r="AI41" s="663"/>
      <c r="AJ41" s="511"/>
      <c r="AK41" s="865"/>
      <c r="AL41" s="865"/>
      <c r="AM41" s="865"/>
      <c r="AN41" s="865"/>
      <c r="AO41" s="865"/>
      <c r="AP41" s="865"/>
      <c r="AQ41" s="865"/>
      <c r="AR41" s="865"/>
      <c r="AS41" s="865"/>
      <c r="AT41" s="865"/>
      <c r="AU41" s="865"/>
      <c r="AV41" s="865"/>
      <c r="AW41" s="865"/>
      <c r="AX41" s="865"/>
      <c r="AY41" s="865"/>
      <c r="AZ41" s="865"/>
      <c r="BA41" s="865"/>
      <c r="BB41" s="865"/>
      <c r="BC41" s="865"/>
      <c r="BD41" s="865"/>
      <c r="BE41" s="865"/>
      <c r="BF41" s="865"/>
      <c r="BG41" s="865"/>
      <c r="BH41" s="865"/>
      <c r="BI41" s="865"/>
      <c r="BJ41" s="865"/>
      <c r="BK41" s="865"/>
      <c r="BL41" s="865"/>
      <c r="BM41" s="865"/>
      <c r="BN41" s="865"/>
      <c r="BO41" s="865"/>
      <c r="BP41" s="865"/>
      <c r="BQ41" s="865"/>
      <c r="BR41" s="865"/>
      <c r="BS41" s="865"/>
      <c r="BT41" s="865"/>
      <c r="BU41" s="865"/>
      <c r="BV41" s="865"/>
      <c r="BW41" s="865"/>
      <c r="BX41" s="865"/>
      <c r="BY41" s="874"/>
      <c r="BZ41" s="888" t="str">
        <f>IF(A41="","",VLOOKUP(A41,'HHV-LHV-MW'!$A$3:$H$40,4,FALSE))</f>
        <v/>
      </c>
      <c r="CA41" s="889" t="str">
        <f>IF(A41="","",VLOOKUP(A41,'HHV-LHV-MW'!$A$3:$H$40,5,FALSE))</f>
        <v/>
      </c>
      <c r="CB41" s="890" t="e">
        <f>(PRODUCT('HHV-LHV-MW'!K25)+PRODUCT('HHV-LHV-MW'!W25)+PRODUCT('HHV-LHV-MW'!AI25)+PRODUCT('HHV-LHV-MW'!AU25))/$BO$19</f>
        <v>#DIV/0!</v>
      </c>
      <c r="CC41" s="890">
        <f>IF($BO$19=1,"",  (SQRT(  (      (IF('HHV-LHV-MW'!K25="",0,('HHV-LHV-MW'!K25-CB41)^2))      +        (IF('HHV-LHV-MW'!W25="",0,('HHV-LHV-MW'!W25-CB41)^2))       +        (IF('HHV-LHV-MW'!AI25="",0,('HHV-LHV-MW'!AI25-CB41)^2))          +        (IF('HHV-LHV-MW'!AU25="",0,('HHV-LHV-MW'!AU25-CB41)^2))          )     *(1/($BO$19-1))  )))</f>
        <v>0</v>
      </c>
      <c r="CD41" s="890" t="e">
        <f t="shared" si="4"/>
        <v>#N/A</v>
      </c>
      <c r="CE41" s="890" t="e">
        <f t="shared" si="5"/>
        <v>#DIV/0!</v>
      </c>
      <c r="CF41" s="636" t="str">
        <f>IF('HHV-LHV-MW'!K25="","",IF(AND('HHV-LHV-MW'!K25&gt;=0,'HHV-LHV-MW'!K25&lt;=0.09),2,  IF(AND('HHV-LHV-MW'!K25&gt;=0.1,'HHV-LHV-MW'!K25&lt;=0.9),7,  IF(AND('HHV-LHV-MW'!K25&gt;=1,'HHV-LHV-MW'!K25&lt;=4.9),10,   IF(AND('HHV-LHV-MW'!K25&gt;=5,'HHV-LHV-MW'!K25&lt;=10),12, 15)))))</f>
        <v/>
      </c>
      <c r="CG41" s="636" t="str">
        <f>IF('HHV-LHV-MW'!K25="","",5*'HHV-LHV-MW'!K25)</f>
        <v/>
      </c>
      <c r="CH41" s="635" t="str">
        <f t="shared" si="6"/>
        <v/>
      </c>
      <c r="CI41" s="636" t="str">
        <f>IF(OR(CH41="",'HHV-LHV-MW'!K25=0),"",CH41/'HHV-LHV-MW'!K25)</f>
        <v/>
      </c>
      <c r="CJ41" s="636" t="str">
        <f>IF(OR(CI41="",BZ41="",'HHV-LHV-MW'!K25=""),"",((CI41*BZ41*('HHV-LHV-MW'!K25/100))/23.685)^2)</f>
        <v/>
      </c>
      <c r="CK41" s="891" t="str">
        <f>IF(OR(CI41="",CA41="",'HHV-LHV-MW'!K25=""),"",((CI41*CA41*('HHV-LHV-MW'!K25/100))/23.685)^2)</f>
        <v/>
      </c>
      <c r="CL41" s="639" t="e">
        <f t="shared" si="7"/>
        <v>#DIV/0!</v>
      </c>
      <c r="CM41" s="892" t="e">
        <f t="shared" si="8"/>
        <v>#DIV/0!</v>
      </c>
      <c r="CN41" s="511"/>
      <c r="CO41" s="511"/>
      <c r="CP41" s="511"/>
      <c r="CQ41" s="511"/>
      <c r="CR41" s="511"/>
      <c r="CS41" s="511"/>
      <c r="CT41" s="511"/>
      <c r="CU41" s="888" t="str">
        <f>IF(G41="","",VLOOKUP(G41,'HHV-LHV-MW'!$A$3:$H$40,4,FALSE))</f>
        <v/>
      </c>
      <c r="CV41" s="889" t="str">
        <f>IF(G41="","",VLOOKUP(G41,'HHV-LHV-MW'!$A$3:$H$40,5,FALSE))</f>
        <v/>
      </c>
      <c r="CW41" s="890" t="e">
        <f>(PRODUCT('HHV-LHV-MW'!BH25)+PRODUCT('HHV-LHV-MW'!BT25)+PRODUCT('HHV-LHV-MW'!CF25)+PRODUCT('HHV-LHV-MW'!CR25))/$BO$28</f>
        <v>#DIV/0!</v>
      </c>
      <c r="CX41" s="890">
        <f>IF($BO$28=1,"",  (SQRT(  (      (IF('HHV-LHV-MW'!BH25="",0,('HHV-LHV-MW'!BH25-CW41)^2))      +        (IF('HHV-LHV-MW'!BT25="",0,('HHV-LHV-MW'!BT25-CW41)^2))       +        (IF('HHV-LHV-MW'!CF25="",0,('HHV-LHV-MW'!CF25-CW41)^2))          +        (IF('HHV-LHV-MW'!CR25="",0,('HHV-LHV-MW'!CR25-CW41)^2))          )     *(1/($BO$28-1))  )))</f>
        <v>0</v>
      </c>
      <c r="CY41" s="890" t="e">
        <f t="shared" si="9"/>
        <v>#N/A</v>
      </c>
      <c r="CZ41" s="890" t="e">
        <f t="shared" si="10"/>
        <v>#DIV/0!</v>
      </c>
      <c r="DA41" s="636" t="str">
        <f>IF('HHV-LHV-MW'!BH25="","",IF(AND('HHV-LHV-MW'!BH25&gt;=0,'HHV-LHV-MW'!BH25&lt;=0.09),2,  IF(AND('HHV-LHV-MW'!BH25&gt;=0.1,'HHV-LHV-MW'!BH25&lt;=0.9),7,  IF(AND('HHV-LHV-MW'!BH25&gt;=1,'HHV-LHV-MW'!BH25&lt;=4.9),10,   IF(AND('HHV-LHV-MW'!BH25&gt;=5,'HHV-LHV-MW'!BH25&lt;=10),12, 15)))))</f>
        <v/>
      </c>
      <c r="DB41" s="636" t="str">
        <f>IF('HHV-LHV-MW'!BH25="","",5*'HHV-LHV-MW'!BH25)</f>
        <v/>
      </c>
      <c r="DC41" s="635" t="str">
        <f t="shared" si="11"/>
        <v/>
      </c>
      <c r="DD41" s="636" t="str">
        <f>IF(OR(DC41="",'HHV-LHV-MW'!BH25=0),"",DC41/'HHV-LHV-MW'!BH25)</f>
        <v/>
      </c>
      <c r="DE41" s="635" t="str">
        <f>IF(OR(DD41="",CU41="",'HHV-LHV-MW'!BH25=""),"",((DD41*CU41*('HHV-LHV-MW'!BH25/100))/23.685)^2)</f>
        <v/>
      </c>
      <c r="DF41" s="636" t="str">
        <f>IF(OR(DD41="",CV41="",'HHV-LHV-MW'!BH25=""),"",((DD41*CV41*('HHV-LHV-MW'!BH25/100))/23.685)^2)</f>
        <v/>
      </c>
      <c r="DG41" s="639" t="e">
        <f t="shared" si="12"/>
        <v>#DIV/0!</v>
      </c>
      <c r="DH41" s="892" t="e">
        <f t="shared" si="13"/>
        <v>#DIV/0!</v>
      </c>
      <c r="DI41" s="511"/>
      <c r="DJ41" s="511"/>
      <c r="DK41" s="511"/>
      <c r="DL41" s="511"/>
      <c r="DM41" s="511"/>
      <c r="DN41" s="511"/>
      <c r="DO41" s="511"/>
      <c r="DP41" s="888" t="str">
        <f>IF(M41="","",VLOOKUP(M41,'HHV-LHV-MW'!$A$3:$H$40,4,FALSE))</f>
        <v/>
      </c>
      <c r="DQ41" s="889" t="str">
        <f>IF(M41="","",VLOOKUP(M41,'HHV-LHV-MW'!$A$3:$H$40,5,FALSE))</f>
        <v/>
      </c>
      <c r="DR41" s="890" t="e">
        <f>(PRODUCT('HHV-LHV-MW'!DE25)+PRODUCT('HHV-LHV-MW'!DQ25)+PRODUCT('HHV-LHV-MW'!EC25)+PRODUCT('HHV-LHV-MW'!EO25))/$BO$37</f>
        <v>#DIV/0!</v>
      </c>
      <c r="DS41" s="890">
        <f>IF($BO$37=1,"",  (SQRT(  (      (IF('HHV-LHV-MW'!DE25="",0,('HHV-LHV-MW'!DE25-DR41)^2))      +        (IF('HHV-LHV-MW'!DQ25="",0,('HHV-LHV-MW'!DQ25-DR41)^2))       +        (IF('HHV-LHV-MW'!EC25="",0,('HHV-LHV-MW'!EC25-DR41)^2))          +        (IF('HHV-LHV-MW'!EO25="",0,('HHV-LHV-MW'!EO25-DR41)^2))          )     *(1/($BO$37-1))  )))</f>
        <v>0</v>
      </c>
      <c r="DT41" s="890" t="e">
        <f t="shared" si="0"/>
        <v>#N/A</v>
      </c>
      <c r="DU41" s="890" t="e">
        <f t="shared" si="14"/>
        <v>#DIV/0!</v>
      </c>
      <c r="DV41" s="636" t="str">
        <f>IF('HHV-LHV-MW'!DE25="","",IF(AND('HHV-LHV-MW'!DE25&gt;=0,'HHV-LHV-MW'!DE25&lt;=0.09),2,  IF(AND('HHV-LHV-MW'!DE25&gt;=0.1,'HHV-LHV-MW'!DE25&lt;=0.9),7,  IF(AND('HHV-LHV-MW'!DE25&gt;=1,'HHV-LHV-MW'!DE25&lt;=4.9),10,   IF(AND('HHV-LHV-MW'!DE25&gt;=5,'HHV-LHV-MW'!DE25&lt;=10),12, 15)))))</f>
        <v/>
      </c>
      <c r="DW41" s="636" t="str">
        <f>IF('HHV-LHV-MW'!DE25="","",5*'HHV-LHV-MW'!DE25)</f>
        <v/>
      </c>
      <c r="DX41" s="635" t="str">
        <f t="shared" si="15"/>
        <v/>
      </c>
      <c r="DY41" s="636" t="str">
        <f>IF(OR(DX41="",'HHV-LHV-MW'!DE25=0),"",DX41/'HHV-LHV-MW'!DE25)</f>
        <v/>
      </c>
      <c r="DZ41" s="636" t="str">
        <f>IF(OR(DY41="",DP41="",'HHV-LHV-MW'!DE25=""),"",((DY41*DP41*('HHV-LHV-MW'!DE25/100))/23.685)^2)</f>
        <v/>
      </c>
      <c r="EA41" s="636" t="str">
        <f>IF(OR(DY41="",DQ41="",'HHV-LHV-MW'!DE25=""),"",((DY41*DQ41*('HHV-LHV-MW'!DE25/100))/23.685)^2)</f>
        <v/>
      </c>
      <c r="EB41" s="639" t="e">
        <f t="shared" si="16"/>
        <v>#DIV/0!</v>
      </c>
      <c r="EC41" s="892" t="e">
        <f t="shared" si="17"/>
        <v>#DIV/0!</v>
      </c>
      <c r="ED41" s="511"/>
      <c r="EE41" s="511"/>
      <c r="EF41" s="511"/>
      <c r="EG41" s="511"/>
      <c r="EH41" s="511"/>
      <c r="EI41" s="511"/>
      <c r="EJ41" s="511"/>
      <c r="EK41" s="888" t="str">
        <f>IF(S41="","",VLOOKUP(S41,'HHV-LHV-MW'!$A$3:$H$40,4,FALSE))</f>
        <v/>
      </c>
      <c r="EL41" s="889" t="str">
        <f>IF(S41="","",VLOOKUP(S41,'HHV-LHV-MW'!$A$3:$H$40,5,FALSE))</f>
        <v/>
      </c>
      <c r="EM41" s="890" t="e">
        <f>(PRODUCT('HHV-LHV-MW'!FB25)+PRODUCT('HHV-LHV-MW'!FN25)+PRODUCT('HHV-LHV-MW'!FZ25)+PRODUCT('HHV-LHV-MW'!GL25))/$BW$19</f>
        <v>#DIV/0!</v>
      </c>
      <c r="EN41" s="890">
        <f>IF($BW$19=1,"",  (SQRT(  (      (IF('HHV-LHV-MW'!FB25="",0,('HHV-LHV-MW'!FB25-EM41)^2))      +        (IF('HHV-LHV-MW'!FN25="",0,('HHV-LHV-MW'!FN25-EM41)^2))       +        (IF('HHV-LHV-MW'!FZ25="",0,('HHV-LHV-MW'!FZ25-EM41)^2))          +        (IF('HHV-LHV-MW'!GL25="",0,('HHV-LHV-MW'!GL25-EM41)^2))          )     *(1/($BW$19-1))  )))</f>
        <v>0</v>
      </c>
      <c r="EO41" s="890" t="e">
        <f t="shared" si="1"/>
        <v>#N/A</v>
      </c>
      <c r="EP41" s="890" t="e">
        <f t="shared" si="18"/>
        <v>#DIV/0!</v>
      </c>
      <c r="EQ41" s="636" t="str">
        <f>IF('HHV-LHV-MW'!FB25="","",IF(AND('HHV-LHV-MW'!FB25&gt;=0,'HHV-LHV-MW'!FB25&lt;=0.09),2,  IF(AND('HHV-LHV-MW'!FB25&gt;=0.1,'HHV-LHV-MW'!FB25&lt;=0.9),7,  IF(AND('HHV-LHV-MW'!FB25&gt;=1,'HHV-LHV-MW'!FB25&lt;=4.9),10,   IF(AND('HHV-LHV-MW'!FB25&gt;=5,'HHV-LHV-MW'!FB25&lt;=10),12, 15)))))</f>
        <v/>
      </c>
      <c r="ER41" s="636" t="str">
        <f>IF('HHV-LHV-MW'!FB25="","",5*'HHV-LHV-MW'!FB25)</f>
        <v/>
      </c>
      <c r="ES41" s="635" t="str">
        <f t="shared" si="19"/>
        <v/>
      </c>
      <c r="ET41" s="636" t="str">
        <f>IF(OR(ES41="",'HHV-LHV-MW'!FB25=0),"",ES41/'HHV-LHV-MW'!FB25)</f>
        <v/>
      </c>
      <c r="EU41" s="636" t="str">
        <f>IF(OR(ET41="",EK41="",'HHV-LHV-MW'!FB25=""),"",((ET41*EK41*('HHV-LHV-MW'!FB25/100))/23.685)^2)</f>
        <v/>
      </c>
      <c r="EV41" s="636" t="str">
        <f>IF(OR(ET41="",EL41="",'HHV-LHV-MW'!FB25=""),"",((ET41*EL41*('HHV-LHV-MW'!FB25/100))/23.685)^2)</f>
        <v/>
      </c>
      <c r="EW41" s="639" t="e">
        <f t="shared" si="20"/>
        <v>#DIV/0!</v>
      </c>
      <c r="EX41" s="892" t="e">
        <f t="shared" si="21"/>
        <v>#DIV/0!</v>
      </c>
      <c r="EY41" s="511"/>
      <c r="EZ41" s="511"/>
      <c r="FA41" s="511"/>
      <c r="FB41" s="511"/>
      <c r="FC41" s="511"/>
      <c r="FD41" s="511"/>
      <c r="FE41" s="511"/>
      <c r="FF41" s="888" t="str">
        <f>IF(Y41="","",VLOOKUP(Y41,'HHV-LHV-MW'!$A$3:$H$40,4,FALSE))</f>
        <v/>
      </c>
      <c r="FG41" s="889" t="str">
        <f>IF(Y41="","",VLOOKUP(Y41,'HHV-LHV-MW'!$A$3:$H$40,5,FALSE))</f>
        <v/>
      </c>
      <c r="FH41" s="890" t="e">
        <f>(PRODUCT('HHV-LHV-MW'!GY25)+PRODUCT('HHV-LHV-MW'!HK25)+PRODUCT('HHV-LHV-MW'!HW25)+PRODUCT('HHV-LHV-MW'!II25))/$BW$28</f>
        <v>#DIV/0!</v>
      </c>
      <c r="FI41" s="890">
        <f>IF($BW$28=1,"",  (SQRT(  (      (IF('HHV-LHV-MW'!GY25="",0,('HHV-LHV-MW'!GY25-FH41)^2))      +        (IF('HHV-LHV-MW'!HK25="",0,('HHV-LHV-MW'!HK25-FH41)^2))       +        (IF('HHV-LHV-MW'!HW25="",0,('HHV-LHV-MW'!HW25-FH41)^2))          +        (IF('HHV-LHV-MW'!II25="",0,('HHV-LHV-MW'!II25-FH41)^2))          )     *(1/($BW$28-1))  )))</f>
        <v>0</v>
      </c>
      <c r="FJ41" s="890" t="e">
        <f t="shared" si="2"/>
        <v>#N/A</v>
      </c>
      <c r="FK41" s="890" t="e">
        <f t="shared" si="22"/>
        <v>#DIV/0!</v>
      </c>
      <c r="FL41" s="636" t="str">
        <f>IF('HHV-LHV-MW'!GY25="","",IF(AND('HHV-LHV-MW'!GY25&gt;=0,'HHV-LHV-MW'!GY25&lt;=0.09),2,  IF(AND('HHV-LHV-MW'!GY25&gt;=0.1,'HHV-LHV-MW'!GY25&lt;=0.9),7,  IF(AND('HHV-LHV-MW'!GY25&gt;=1,'HHV-LHV-MW'!GY25&lt;=4.9),10,   IF(AND('HHV-LHV-MW'!GY25&gt;=5,'HHV-LHV-MW'!GY25&lt;=10),12, 15)))))</f>
        <v/>
      </c>
      <c r="FM41" s="636" t="str">
        <f>IF('HHV-LHV-MW'!GY25="","",5*'HHV-LHV-MW'!GY25)</f>
        <v/>
      </c>
      <c r="FN41" s="635" t="str">
        <f t="shared" si="23"/>
        <v/>
      </c>
      <c r="FO41" s="636" t="str">
        <f>IF(OR(FN41="",'HHV-LHV-MW'!GY25=0),"",FN41/'HHV-LHV-MW'!GY25)</f>
        <v/>
      </c>
      <c r="FP41" s="636" t="str">
        <f>IF(OR(FO41="",FF41="",'HHV-LHV-MW'!GY25=""),"",((FO41*FF41*('HHV-LHV-MW'!GY25/100))/23.685)^2)</f>
        <v/>
      </c>
      <c r="FQ41" s="636" t="str">
        <f>IF(OR(FO41="",FG41="",'HHV-LHV-MW'!GY25=""),"",((FO41*FG41*('HHV-LHV-MW'!GY25/100))/23.685)^2)</f>
        <v/>
      </c>
      <c r="FR41" s="639" t="e">
        <f t="shared" si="24"/>
        <v>#DIV/0!</v>
      </c>
      <c r="FS41" s="892" t="e">
        <f t="shared" si="25"/>
        <v>#DIV/0!</v>
      </c>
      <c r="FT41" s="511"/>
      <c r="FU41" s="511"/>
      <c r="FV41" s="511"/>
      <c r="FW41" s="511"/>
      <c r="FX41" s="511"/>
      <c r="FY41" s="511"/>
      <c r="FZ41" s="511"/>
      <c r="GA41" s="888" t="str">
        <f>IF(AE41="","",VLOOKUP(AE41,'HHV-LHV-MW'!$A$3:$H$40,4,FALSE))</f>
        <v/>
      </c>
      <c r="GB41" s="889" t="str">
        <f>IF(AE41="","",VLOOKUP(AE41,'HHV-LHV-MW'!$A$3:$H$40,5,FALSE))</f>
        <v/>
      </c>
      <c r="GC41" s="890" t="e">
        <f>(PRODUCT('HHV-LHV-MW'!IV25)+PRODUCT('HHV-LHV-MW'!JH25)+PRODUCT('HHV-LHV-MW'!JT25)+PRODUCT('HHV-LHV-MW'!KF25))/$BW$37</f>
        <v>#DIV/0!</v>
      </c>
      <c r="GD41" s="890">
        <f>IF($BW$37=1,"",  (SQRT(  (      (IF('HHV-LHV-MW'!IV25="",0,('HHV-LHV-MW'!IV25-GC41)^2))      +        (IF('HHV-LHV-MW'!JH25="",0,('HHV-LHV-MW'!JH25-GC41)^2))       +        (IF('HHV-LHV-MW'!JT25="",0,('HHV-LHV-MW'!JT25-GC41)^2))          +        (IF('HHV-LHV-MW'!KF25="",0,('HHV-LHV-MW'!KF25-GC41)^2))          )     *(1/($BW$37-1))  )))</f>
        <v>0</v>
      </c>
      <c r="GE41" s="890" t="e">
        <f t="shared" si="3"/>
        <v>#N/A</v>
      </c>
      <c r="GF41" s="890" t="e">
        <f t="shared" si="26"/>
        <v>#DIV/0!</v>
      </c>
      <c r="GG41" s="636" t="str">
        <f>IF('HHV-LHV-MW'!IV25="","",IF(AND('HHV-LHV-MW'!IV25&gt;=0,'HHV-LHV-MW'!IV25&lt;=0.09),2,  IF(AND('HHV-LHV-MW'!IV25&gt;=0.1,'HHV-LHV-MW'!IV25&lt;=0.9),7,  IF(AND('HHV-LHV-MW'!IV25&gt;=1,'HHV-LHV-MW'!IV25&lt;=4.9),10,   IF(AND('HHV-LHV-MW'!IV25&gt;=5,'HHV-LHV-MW'!IV25&lt;=10),12, 15)))))</f>
        <v/>
      </c>
      <c r="GH41" s="636" t="str">
        <f>IF('HHV-LHV-MW'!IV25="","",5*'HHV-LHV-MW'!IV25)</f>
        <v/>
      </c>
      <c r="GI41" s="635" t="str">
        <f t="shared" si="27"/>
        <v/>
      </c>
      <c r="GJ41" s="636" t="str">
        <f>IF(OR(GI41="",'HHV-LHV-MW'!IV25=0),"",GI41/'HHV-LHV-MW'!IV25)</f>
        <v/>
      </c>
      <c r="GK41" s="636" t="str">
        <f>IF(OR(GJ41="",GA41="",'HHV-LHV-MW'!IV25=""),"",((GJ41*GA41*('HHV-LHV-MW'!IV25/100))/23.685)^2)</f>
        <v/>
      </c>
      <c r="GL41" s="636" t="str">
        <f>IF(OR(GJ41="",GB41="",'HHV-LHV-MW'!IV25=""),"",((GJ41*GB41*('HHV-LHV-MW'!IV25/100))/23.685)^2)</f>
        <v/>
      </c>
      <c r="GM41" s="639" t="e">
        <f t="shared" si="28"/>
        <v>#DIV/0!</v>
      </c>
      <c r="GN41" s="892" t="e">
        <f t="shared" si="29"/>
        <v>#DIV/0!</v>
      </c>
      <c r="GO41" s="874"/>
      <c r="GP41" s="874"/>
      <c r="GQ41" s="874"/>
      <c r="GR41" s="874"/>
      <c r="GS41" s="874"/>
      <c r="GT41" s="874"/>
      <c r="GU41" s="874"/>
      <c r="GV41" s="874"/>
      <c r="GW41" s="874"/>
      <c r="GX41" s="874"/>
      <c r="GY41" s="874"/>
      <c r="GZ41" s="874"/>
      <c r="HA41" s="874"/>
      <c r="HB41" s="511"/>
      <c r="HC41" s="511"/>
      <c r="HD41" s="511"/>
      <c r="HE41" s="511"/>
      <c r="HF41" s="511"/>
      <c r="HG41" s="511"/>
      <c r="HH41" s="511"/>
      <c r="HI41" s="511"/>
      <c r="HJ41" s="874"/>
      <c r="HK41" s="874"/>
      <c r="HL41" s="874"/>
      <c r="HM41" s="874"/>
      <c r="HN41" s="874"/>
      <c r="HO41" s="874"/>
      <c r="HP41" s="874"/>
      <c r="HQ41" s="874"/>
      <c r="HR41" s="874"/>
      <c r="HS41" s="874"/>
      <c r="HT41" s="874"/>
      <c r="HU41" s="874"/>
      <c r="HV41" s="874"/>
      <c r="HW41" s="511"/>
      <c r="HX41" s="511"/>
      <c r="HY41" s="511"/>
      <c r="HZ41" s="511"/>
      <c r="IA41" s="511"/>
      <c r="IB41" s="511"/>
      <c r="IC41" s="511"/>
      <c r="ID41" s="511"/>
      <c r="IE41" s="874"/>
      <c r="IF41" s="874"/>
      <c r="IG41" s="874"/>
      <c r="IH41" s="874"/>
      <c r="II41" s="874"/>
      <c r="IJ41" s="874"/>
      <c r="IK41" s="874"/>
      <c r="IL41" s="874"/>
      <c r="IM41" s="874"/>
      <c r="IN41" s="874"/>
      <c r="IO41" s="874"/>
      <c r="IP41" s="874"/>
      <c r="IQ41" s="874"/>
      <c r="IR41" s="511"/>
      <c r="IS41" s="511"/>
      <c r="IT41" s="511"/>
      <c r="IU41" s="511"/>
      <c r="IV41" s="511"/>
      <c r="IW41" s="511"/>
      <c r="IX41" s="511"/>
      <c r="IY41" s="511"/>
      <c r="IZ41" s="874"/>
      <c r="JA41" s="874"/>
      <c r="JB41" s="874"/>
      <c r="JC41" s="874"/>
      <c r="JD41" s="874"/>
      <c r="JE41" s="874"/>
      <c r="JF41" s="874"/>
      <c r="JG41" s="874"/>
      <c r="JH41" s="874"/>
      <c r="JI41" s="874"/>
      <c r="JJ41" s="874"/>
      <c r="JK41" s="874"/>
      <c r="JL41" s="874"/>
      <c r="JM41" s="874"/>
      <c r="JN41" s="874"/>
      <c r="JO41" s="874"/>
      <c r="JP41" s="874"/>
      <c r="JQ41" s="874"/>
      <c r="JR41" s="874"/>
      <c r="JS41" s="874"/>
      <c r="JT41" s="874"/>
      <c r="JU41" s="874"/>
      <c r="JV41" s="874"/>
      <c r="JW41" s="874"/>
      <c r="JX41" s="874"/>
      <c r="JY41" s="874"/>
      <c r="JZ41" s="874"/>
      <c r="KA41" s="874"/>
      <c r="KB41" s="874"/>
      <c r="KC41" s="874"/>
      <c r="KD41" s="874"/>
      <c r="KE41" s="874"/>
      <c r="KF41" s="874"/>
      <c r="KG41" s="874"/>
      <c r="KH41" s="865"/>
      <c r="KI41" s="865"/>
      <c r="KJ41" s="865"/>
      <c r="KK41" s="865"/>
      <c r="KL41" s="865"/>
      <c r="KM41" s="865"/>
      <c r="KN41" s="865"/>
      <c r="KO41" s="865"/>
      <c r="KP41" s="865"/>
      <c r="KQ41" s="865"/>
      <c r="KR41" s="865"/>
      <c r="KS41" s="865"/>
      <c r="KT41" s="865"/>
      <c r="KU41" s="865"/>
      <c r="KV41" s="865"/>
      <c r="KW41" s="865"/>
      <c r="KX41" s="865"/>
      <c r="KY41" s="865"/>
      <c r="KZ41" s="865"/>
      <c r="LA41" s="865"/>
      <c r="LB41" s="865"/>
      <c r="LC41" s="865"/>
      <c r="LD41" s="865"/>
      <c r="LE41" s="865"/>
      <c r="LF41" s="865"/>
    </row>
    <row r="42" spans="1:318">
      <c r="A42" s="864"/>
      <c r="B42" s="663"/>
      <c r="C42" s="663"/>
      <c r="D42" s="663"/>
      <c r="E42" s="663"/>
      <c r="F42" s="511"/>
      <c r="G42" s="864"/>
      <c r="H42" s="663"/>
      <c r="I42" s="663"/>
      <c r="J42" s="663"/>
      <c r="K42" s="663"/>
      <c r="L42" s="511"/>
      <c r="M42" s="864"/>
      <c r="N42" s="663"/>
      <c r="O42" s="663"/>
      <c r="P42" s="663"/>
      <c r="Q42" s="663"/>
      <c r="R42" s="511"/>
      <c r="S42" s="864"/>
      <c r="T42" s="663"/>
      <c r="U42" s="663"/>
      <c r="V42" s="663"/>
      <c r="W42" s="663"/>
      <c r="X42" s="511"/>
      <c r="Y42" s="864"/>
      <c r="Z42" s="663"/>
      <c r="AA42" s="663"/>
      <c r="AB42" s="663"/>
      <c r="AC42" s="663"/>
      <c r="AD42" s="511"/>
      <c r="AE42" s="864"/>
      <c r="AF42" s="663"/>
      <c r="AG42" s="663"/>
      <c r="AH42" s="663"/>
      <c r="AI42" s="663"/>
      <c r="AJ42" s="511"/>
      <c r="AK42" s="865"/>
      <c r="AL42" s="865"/>
      <c r="AM42" s="865"/>
      <c r="AN42" s="865"/>
      <c r="AO42" s="865"/>
      <c r="AP42" s="865"/>
      <c r="AQ42" s="865"/>
      <c r="AR42" s="865"/>
      <c r="AS42" s="865"/>
      <c r="AT42" s="865"/>
      <c r="AU42" s="865"/>
      <c r="AV42" s="865"/>
      <c r="AW42" s="865"/>
      <c r="AX42" s="865"/>
      <c r="AY42" s="865"/>
      <c r="AZ42" s="865"/>
      <c r="BA42" s="865"/>
      <c r="BB42" s="865"/>
      <c r="BC42" s="865"/>
      <c r="BD42" s="865"/>
      <c r="BE42" s="865"/>
      <c r="BF42" s="865"/>
      <c r="BG42" s="865"/>
      <c r="BH42" s="865"/>
      <c r="BI42" s="865"/>
      <c r="BJ42" s="865"/>
      <c r="BK42" s="865"/>
      <c r="BL42" s="865"/>
      <c r="BM42" s="865"/>
      <c r="BN42" s="865"/>
      <c r="BO42" s="865"/>
      <c r="BP42" s="865"/>
      <c r="BQ42" s="865"/>
      <c r="BR42" s="865"/>
      <c r="BS42" s="865"/>
      <c r="BT42" s="865"/>
      <c r="BU42" s="865"/>
      <c r="BV42" s="865"/>
      <c r="BW42" s="865"/>
      <c r="BX42" s="865"/>
      <c r="BY42" s="874"/>
      <c r="BZ42" s="888" t="str">
        <f>IF(A42="","",VLOOKUP(A42,'HHV-LHV-MW'!$A$3:$H$40,4,FALSE))</f>
        <v/>
      </c>
      <c r="CA42" s="889" t="str">
        <f>IF(A42="","",VLOOKUP(A42,'HHV-LHV-MW'!$A$3:$H$40,5,FALSE))</f>
        <v/>
      </c>
      <c r="CB42" s="890" t="e">
        <f>(PRODUCT('HHV-LHV-MW'!K26)+PRODUCT('HHV-LHV-MW'!W26)+PRODUCT('HHV-LHV-MW'!AI26)+PRODUCT('HHV-LHV-MW'!AU26))/$BO$19</f>
        <v>#DIV/0!</v>
      </c>
      <c r="CC42" s="890">
        <f>IF($BO$19=1,"",  (SQRT(  (      (IF('HHV-LHV-MW'!K26="",0,('HHV-LHV-MW'!K26-CB42)^2))      +        (IF('HHV-LHV-MW'!W26="",0,('HHV-LHV-MW'!W26-CB42)^2))       +        (IF('HHV-LHV-MW'!AI26="",0,('HHV-LHV-MW'!AI26-CB42)^2))          +        (IF('HHV-LHV-MW'!AU26="",0,('HHV-LHV-MW'!AU26-CB42)^2))          )     *(1/($BO$19-1))  )))</f>
        <v>0</v>
      </c>
      <c r="CD42" s="890" t="e">
        <f t="shared" si="4"/>
        <v>#N/A</v>
      </c>
      <c r="CE42" s="890" t="e">
        <f t="shared" si="5"/>
        <v>#DIV/0!</v>
      </c>
      <c r="CF42" s="636" t="str">
        <f>IF('HHV-LHV-MW'!K26="","",IF(AND('HHV-LHV-MW'!K26&gt;=0,'HHV-LHV-MW'!K26&lt;=0.09),2,  IF(AND('HHV-LHV-MW'!K26&gt;=0.1,'HHV-LHV-MW'!K26&lt;=0.9),7,  IF(AND('HHV-LHV-MW'!K26&gt;=1,'HHV-LHV-MW'!K26&lt;=4.9),10,   IF(AND('HHV-LHV-MW'!K26&gt;=5,'HHV-LHV-MW'!K26&lt;=10),12, 15)))))</f>
        <v/>
      </c>
      <c r="CG42" s="636" t="str">
        <f>IF('HHV-LHV-MW'!K26="","",5*'HHV-LHV-MW'!K26)</f>
        <v/>
      </c>
      <c r="CH42" s="635" t="str">
        <f t="shared" si="6"/>
        <v/>
      </c>
      <c r="CI42" s="636" t="str">
        <f>IF(OR(CH42="",'HHV-LHV-MW'!K26=0),"",CH42/'HHV-LHV-MW'!K26)</f>
        <v/>
      </c>
      <c r="CJ42" s="636" t="str">
        <f>IF(OR(CI42="",BZ42="",'HHV-LHV-MW'!K26=""),"",((CI42*BZ42*('HHV-LHV-MW'!K26/100))/23.685)^2)</f>
        <v/>
      </c>
      <c r="CK42" s="891" t="str">
        <f>IF(OR(CI42="",CA42="",'HHV-LHV-MW'!K26=""),"",((CI42*CA42*('HHV-LHV-MW'!K26/100))/23.685)^2)</f>
        <v/>
      </c>
      <c r="CL42" s="639" t="e">
        <f t="shared" si="7"/>
        <v>#DIV/0!</v>
      </c>
      <c r="CM42" s="892" t="e">
        <f t="shared" si="8"/>
        <v>#DIV/0!</v>
      </c>
      <c r="CN42" s="511"/>
      <c r="CO42" s="511"/>
      <c r="CP42" s="511"/>
      <c r="CQ42" s="511"/>
      <c r="CR42" s="511"/>
      <c r="CS42" s="511"/>
      <c r="CT42" s="511"/>
      <c r="CU42" s="888" t="str">
        <f>IF(G42="","",VLOOKUP(G42,'HHV-LHV-MW'!$A$3:$H$40,4,FALSE))</f>
        <v/>
      </c>
      <c r="CV42" s="889" t="str">
        <f>IF(G42="","",VLOOKUP(G42,'HHV-LHV-MW'!$A$3:$H$40,5,FALSE))</f>
        <v/>
      </c>
      <c r="CW42" s="890" t="e">
        <f>(PRODUCT('HHV-LHV-MW'!BH26)+PRODUCT('HHV-LHV-MW'!BT26)+PRODUCT('HHV-LHV-MW'!CF26)+PRODUCT('HHV-LHV-MW'!CR26))/$BO$28</f>
        <v>#DIV/0!</v>
      </c>
      <c r="CX42" s="890">
        <f>IF($BO$28=1,"",  (SQRT(  (      (IF('HHV-LHV-MW'!BH26="",0,('HHV-LHV-MW'!BH26-CW42)^2))      +        (IF('HHV-LHV-MW'!BT26="",0,('HHV-LHV-MW'!BT26-CW42)^2))       +        (IF('HHV-LHV-MW'!CF26="",0,('HHV-LHV-MW'!CF26-CW42)^2))          +        (IF('HHV-LHV-MW'!CR26="",0,('HHV-LHV-MW'!CR26-CW42)^2))          )     *(1/($BO$28-1))  )))</f>
        <v>0</v>
      </c>
      <c r="CY42" s="890" t="e">
        <f t="shared" si="9"/>
        <v>#N/A</v>
      </c>
      <c r="CZ42" s="890" t="e">
        <f t="shared" si="10"/>
        <v>#DIV/0!</v>
      </c>
      <c r="DA42" s="636" t="str">
        <f>IF('HHV-LHV-MW'!BH26="","",IF(AND('HHV-LHV-MW'!BH26&gt;=0,'HHV-LHV-MW'!BH26&lt;=0.09),2,  IF(AND('HHV-LHV-MW'!BH26&gt;=0.1,'HHV-LHV-MW'!BH26&lt;=0.9),7,  IF(AND('HHV-LHV-MW'!BH26&gt;=1,'HHV-LHV-MW'!BH26&lt;=4.9),10,   IF(AND('HHV-LHV-MW'!BH26&gt;=5,'HHV-LHV-MW'!BH26&lt;=10),12, 15)))))</f>
        <v/>
      </c>
      <c r="DB42" s="636" t="str">
        <f>IF('HHV-LHV-MW'!BH26="","",5*'HHV-LHV-MW'!BH26)</f>
        <v/>
      </c>
      <c r="DC42" s="635" t="str">
        <f t="shared" si="11"/>
        <v/>
      </c>
      <c r="DD42" s="636" t="str">
        <f>IF(OR(DC42="",'HHV-LHV-MW'!BH26=0),"",DC42/'HHV-LHV-MW'!BH26)</f>
        <v/>
      </c>
      <c r="DE42" s="635" t="str">
        <f>IF(OR(DD42="",CU42="",'HHV-LHV-MW'!BH26=""),"",((DD42*CU42*('HHV-LHV-MW'!BH26/100))/23.685)^2)</f>
        <v/>
      </c>
      <c r="DF42" s="636" t="str">
        <f>IF(OR(DD42="",CV42="",'HHV-LHV-MW'!BH26=""),"",((DD42*CV42*('HHV-LHV-MW'!BH26/100))/23.685)^2)</f>
        <v/>
      </c>
      <c r="DG42" s="639" t="e">
        <f t="shared" si="12"/>
        <v>#DIV/0!</v>
      </c>
      <c r="DH42" s="892" t="e">
        <f t="shared" si="13"/>
        <v>#DIV/0!</v>
      </c>
      <c r="DI42" s="511"/>
      <c r="DJ42" s="511"/>
      <c r="DK42" s="511"/>
      <c r="DL42" s="511"/>
      <c r="DM42" s="511"/>
      <c r="DN42" s="511"/>
      <c r="DO42" s="511"/>
      <c r="DP42" s="888" t="str">
        <f>IF(M42="","",VLOOKUP(M42,'HHV-LHV-MW'!$A$3:$H$40,4,FALSE))</f>
        <v/>
      </c>
      <c r="DQ42" s="889" t="str">
        <f>IF(M42="","",VLOOKUP(M42,'HHV-LHV-MW'!$A$3:$H$40,5,FALSE))</f>
        <v/>
      </c>
      <c r="DR42" s="890" t="e">
        <f>(PRODUCT('HHV-LHV-MW'!DE26)+PRODUCT('HHV-LHV-MW'!DQ26)+PRODUCT('HHV-LHV-MW'!EC26)+PRODUCT('HHV-LHV-MW'!EO26))/$BO$37</f>
        <v>#DIV/0!</v>
      </c>
      <c r="DS42" s="890">
        <f>IF($BO$37=1,"",  (SQRT(  (      (IF('HHV-LHV-MW'!DE26="",0,('HHV-LHV-MW'!DE26-DR42)^2))      +        (IF('HHV-LHV-MW'!DQ26="",0,('HHV-LHV-MW'!DQ26-DR42)^2))       +        (IF('HHV-LHV-MW'!EC26="",0,('HHV-LHV-MW'!EC26-DR42)^2))          +        (IF('HHV-LHV-MW'!EO26="",0,('HHV-LHV-MW'!EO26-DR42)^2))          )     *(1/($BO$37-1))  )))</f>
        <v>0</v>
      </c>
      <c r="DT42" s="890" t="e">
        <f t="shared" si="0"/>
        <v>#N/A</v>
      </c>
      <c r="DU42" s="890" t="e">
        <f t="shared" si="14"/>
        <v>#DIV/0!</v>
      </c>
      <c r="DV42" s="636" t="str">
        <f>IF('HHV-LHV-MW'!DE26="","",IF(AND('HHV-LHV-MW'!DE26&gt;=0,'HHV-LHV-MW'!DE26&lt;=0.09),2,  IF(AND('HHV-LHV-MW'!DE26&gt;=0.1,'HHV-LHV-MW'!DE26&lt;=0.9),7,  IF(AND('HHV-LHV-MW'!DE26&gt;=1,'HHV-LHV-MW'!DE26&lt;=4.9),10,   IF(AND('HHV-LHV-MW'!DE26&gt;=5,'HHV-LHV-MW'!DE26&lt;=10),12, 15)))))</f>
        <v/>
      </c>
      <c r="DW42" s="636" t="str">
        <f>IF('HHV-LHV-MW'!DE26="","",5*'HHV-LHV-MW'!DE26)</f>
        <v/>
      </c>
      <c r="DX42" s="635" t="str">
        <f t="shared" si="15"/>
        <v/>
      </c>
      <c r="DY42" s="636" t="str">
        <f>IF(OR(DX42="",'HHV-LHV-MW'!DE26=0),"",DX42/'HHV-LHV-MW'!DE26)</f>
        <v/>
      </c>
      <c r="DZ42" s="636" t="str">
        <f>IF(OR(DY42="",DP42="",'HHV-LHV-MW'!DE26=""),"",((DY42*DP42*('HHV-LHV-MW'!DE26/100))/23.685)^2)</f>
        <v/>
      </c>
      <c r="EA42" s="636" t="str">
        <f>IF(OR(DY42="",DQ42="",'HHV-LHV-MW'!DE26=""),"",((DY42*DQ42*('HHV-LHV-MW'!DE26/100))/23.685)^2)</f>
        <v/>
      </c>
      <c r="EB42" s="639" t="e">
        <f t="shared" si="16"/>
        <v>#DIV/0!</v>
      </c>
      <c r="EC42" s="892" t="e">
        <f t="shared" si="17"/>
        <v>#DIV/0!</v>
      </c>
      <c r="ED42" s="511"/>
      <c r="EE42" s="511"/>
      <c r="EF42" s="511"/>
      <c r="EG42" s="511"/>
      <c r="EH42" s="511"/>
      <c r="EI42" s="511"/>
      <c r="EJ42" s="511"/>
      <c r="EK42" s="888" t="str">
        <f>IF(S42="","",VLOOKUP(S42,'HHV-LHV-MW'!$A$3:$H$40,4,FALSE))</f>
        <v/>
      </c>
      <c r="EL42" s="889" t="str">
        <f>IF(S42="","",VLOOKUP(S42,'HHV-LHV-MW'!$A$3:$H$40,5,FALSE))</f>
        <v/>
      </c>
      <c r="EM42" s="890" t="e">
        <f>(PRODUCT('HHV-LHV-MW'!FB26)+PRODUCT('HHV-LHV-MW'!FN26)+PRODUCT('HHV-LHV-MW'!FZ26)+PRODUCT('HHV-LHV-MW'!GL26))/$BW$19</f>
        <v>#DIV/0!</v>
      </c>
      <c r="EN42" s="890">
        <f>IF($BW$19=1,"",  (SQRT(  (      (IF('HHV-LHV-MW'!FB26="",0,('HHV-LHV-MW'!FB26-EM42)^2))      +        (IF('HHV-LHV-MW'!FN26="",0,('HHV-LHV-MW'!FN26-EM42)^2))       +        (IF('HHV-LHV-MW'!FZ26="",0,('HHV-LHV-MW'!FZ26-EM42)^2))          +        (IF('HHV-LHV-MW'!GL26="",0,('HHV-LHV-MW'!GL26-EM42)^2))          )     *(1/($BW$19-1))  )))</f>
        <v>0</v>
      </c>
      <c r="EO42" s="890" t="e">
        <f t="shared" si="1"/>
        <v>#N/A</v>
      </c>
      <c r="EP42" s="890" t="e">
        <f t="shared" si="18"/>
        <v>#DIV/0!</v>
      </c>
      <c r="EQ42" s="636" t="str">
        <f>IF('HHV-LHV-MW'!FB26="","",IF(AND('HHV-LHV-MW'!FB26&gt;=0,'HHV-LHV-MW'!FB26&lt;=0.09),2,  IF(AND('HHV-LHV-MW'!FB26&gt;=0.1,'HHV-LHV-MW'!FB26&lt;=0.9),7,  IF(AND('HHV-LHV-MW'!FB26&gt;=1,'HHV-LHV-MW'!FB26&lt;=4.9),10,   IF(AND('HHV-LHV-MW'!FB26&gt;=5,'HHV-LHV-MW'!FB26&lt;=10),12, 15)))))</f>
        <v/>
      </c>
      <c r="ER42" s="636" t="str">
        <f>IF('HHV-LHV-MW'!FB26="","",5*'HHV-LHV-MW'!FB26)</f>
        <v/>
      </c>
      <c r="ES42" s="635" t="str">
        <f t="shared" si="19"/>
        <v/>
      </c>
      <c r="ET42" s="636" t="str">
        <f>IF(OR(ES42="",'HHV-LHV-MW'!FB26=0),"",ES42/'HHV-LHV-MW'!FB26)</f>
        <v/>
      </c>
      <c r="EU42" s="636" t="str">
        <f>IF(OR(ET42="",EK42="",'HHV-LHV-MW'!FB26=""),"",((ET42*EK42*('HHV-LHV-MW'!FB26/100))/23.685)^2)</f>
        <v/>
      </c>
      <c r="EV42" s="636" t="str">
        <f>IF(OR(ET42="",EL42="",'HHV-LHV-MW'!FB26=""),"",((ET42*EL42*('HHV-LHV-MW'!FB26/100))/23.685)^2)</f>
        <v/>
      </c>
      <c r="EW42" s="639" t="e">
        <f t="shared" si="20"/>
        <v>#DIV/0!</v>
      </c>
      <c r="EX42" s="892" t="e">
        <f t="shared" si="21"/>
        <v>#DIV/0!</v>
      </c>
      <c r="EY42" s="511"/>
      <c r="EZ42" s="511"/>
      <c r="FA42" s="511"/>
      <c r="FB42" s="511"/>
      <c r="FC42" s="511"/>
      <c r="FD42" s="511"/>
      <c r="FE42" s="511"/>
      <c r="FF42" s="888" t="str">
        <f>IF(Y42="","",VLOOKUP(Y42,'HHV-LHV-MW'!$A$3:$H$40,4,FALSE))</f>
        <v/>
      </c>
      <c r="FG42" s="889" t="str">
        <f>IF(Y42="","",VLOOKUP(Y42,'HHV-LHV-MW'!$A$3:$H$40,5,FALSE))</f>
        <v/>
      </c>
      <c r="FH42" s="890" t="e">
        <f>(PRODUCT('HHV-LHV-MW'!GY26)+PRODUCT('HHV-LHV-MW'!HK26)+PRODUCT('HHV-LHV-MW'!HW26)+PRODUCT('HHV-LHV-MW'!II26))/$BW$28</f>
        <v>#DIV/0!</v>
      </c>
      <c r="FI42" s="890">
        <f>IF($BW$28=1,"",  (SQRT(  (      (IF('HHV-LHV-MW'!GY26="",0,('HHV-LHV-MW'!GY26-FH42)^2))      +        (IF('HHV-LHV-MW'!HK26="",0,('HHV-LHV-MW'!HK26-FH42)^2))       +        (IF('HHV-LHV-MW'!HW26="",0,('HHV-LHV-MW'!HW26-FH42)^2))          +        (IF('HHV-LHV-MW'!II26="",0,('HHV-LHV-MW'!II26-FH42)^2))          )     *(1/($BW$28-1))  )))</f>
        <v>0</v>
      </c>
      <c r="FJ42" s="890" t="e">
        <f t="shared" si="2"/>
        <v>#N/A</v>
      </c>
      <c r="FK42" s="890" t="e">
        <f t="shared" si="22"/>
        <v>#DIV/0!</v>
      </c>
      <c r="FL42" s="636" t="str">
        <f>IF('HHV-LHV-MW'!GY26="","",IF(AND('HHV-LHV-MW'!GY26&gt;=0,'HHV-LHV-MW'!GY26&lt;=0.09),2,  IF(AND('HHV-LHV-MW'!GY26&gt;=0.1,'HHV-LHV-MW'!GY26&lt;=0.9),7,  IF(AND('HHV-LHV-MW'!GY26&gt;=1,'HHV-LHV-MW'!GY26&lt;=4.9),10,   IF(AND('HHV-LHV-MW'!GY26&gt;=5,'HHV-LHV-MW'!GY26&lt;=10),12, 15)))))</f>
        <v/>
      </c>
      <c r="FM42" s="636" t="str">
        <f>IF('HHV-LHV-MW'!GY26="","",5*'HHV-LHV-MW'!GY26)</f>
        <v/>
      </c>
      <c r="FN42" s="635" t="str">
        <f t="shared" si="23"/>
        <v/>
      </c>
      <c r="FO42" s="636" t="str">
        <f>IF(OR(FN42="",'HHV-LHV-MW'!GY26=0),"",FN42/'HHV-LHV-MW'!GY26)</f>
        <v/>
      </c>
      <c r="FP42" s="636" t="str">
        <f>IF(OR(FO42="",FF42="",'HHV-LHV-MW'!GY26=""),"",((FO42*FF42*('HHV-LHV-MW'!GY26/100))/23.685)^2)</f>
        <v/>
      </c>
      <c r="FQ42" s="636" t="str">
        <f>IF(OR(FO42="",FG42="",'HHV-LHV-MW'!GY26=""),"",((FO42*FG42*('HHV-LHV-MW'!GY26/100))/23.685)^2)</f>
        <v/>
      </c>
      <c r="FR42" s="639" t="e">
        <f t="shared" si="24"/>
        <v>#DIV/0!</v>
      </c>
      <c r="FS42" s="892" t="e">
        <f t="shared" si="25"/>
        <v>#DIV/0!</v>
      </c>
      <c r="FT42" s="511"/>
      <c r="FU42" s="511"/>
      <c r="FV42" s="511"/>
      <c r="FW42" s="511"/>
      <c r="FX42" s="511"/>
      <c r="FY42" s="511"/>
      <c r="FZ42" s="511"/>
      <c r="GA42" s="888" t="str">
        <f>IF(AE42="","",VLOOKUP(AE42,'HHV-LHV-MW'!$A$3:$H$40,4,FALSE))</f>
        <v/>
      </c>
      <c r="GB42" s="889" t="str">
        <f>IF(AE42="","",VLOOKUP(AE42,'HHV-LHV-MW'!$A$3:$H$40,5,FALSE))</f>
        <v/>
      </c>
      <c r="GC42" s="890" t="e">
        <f>(PRODUCT('HHV-LHV-MW'!IV26)+PRODUCT('HHV-LHV-MW'!JH26)+PRODUCT('HHV-LHV-MW'!JT26)+PRODUCT('HHV-LHV-MW'!KF26))/$BW$37</f>
        <v>#DIV/0!</v>
      </c>
      <c r="GD42" s="890">
        <f>IF($BW$37=1,"",  (SQRT(  (      (IF('HHV-LHV-MW'!IV26="",0,('HHV-LHV-MW'!IV26-GC42)^2))      +        (IF('HHV-LHV-MW'!JH26="",0,('HHV-LHV-MW'!JH26-GC42)^2))       +        (IF('HHV-LHV-MW'!JT26="",0,('HHV-LHV-MW'!JT26-GC42)^2))          +        (IF('HHV-LHV-MW'!KF26="",0,('HHV-LHV-MW'!KF26-GC42)^2))          )     *(1/($BW$37-1))  )))</f>
        <v>0</v>
      </c>
      <c r="GE42" s="890" t="e">
        <f t="shared" si="3"/>
        <v>#N/A</v>
      </c>
      <c r="GF42" s="890" t="e">
        <f t="shared" si="26"/>
        <v>#DIV/0!</v>
      </c>
      <c r="GG42" s="636" t="str">
        <f>IF('HHV-LHV-MW'!IV26="","",IF(AND('HHV-LHV-MW'!IV26&gt;=0,'HHV-LHV-MW'!IV26&lt;=0.09),2,  IF(AND('HHV-LHV-MW'!IV26&gt;=0.1,'HHV-LHV-MW'!IV26&lt;=0.9),7,  IF(AND('HHV-LHV-MW'!IV26&gt;=1,'HHV-LHV-MW'!IV26&lt;=4.9),10,   IF(AND('HHV-LHV-MW'!IV26&gt;=5,'HHV-LHV-MW'!IV26&lt;=10),12, 15)))))</f>
        <v/>
      </c>
      <c r="GH42" s="636" t="str">
        <f>IF('HHV-LHV-MW'!IV26="","",5*'HHV-LHV-MW'!IV26)</f>
        <v/>
      </c>
      <c r="GI42" s="635" t="str">
        <f t="shared" si="27"/>
        <v/>
      </c>
      <c r="GJ42" s="636" t="str">
        <f>IF(OR(GI42="",'HHV-LHV-MW'!IV26=0),"",GI42/'HHV-LHV-MW'!IV26)</f>
        <v/>
      </c>
      <c r="GK42" s="636" t="str">
        <f>IF(OR(GJ42="",GA42="",'HHV-LHV-MW'!IV26=""),"",((GJ42*GA42*('HHV-LHV-MW'!IV26/100))/23.685)^2)</f>
        <v/>
      </c>
      <c r="GL42" s="636" t="str">
        <f>IF(OR(GJ42="",GB42="",'HHV-LHV-MW'!IV26=""),"",((GJ42*GB42*('HHV-LHV-MW'!IV26/100))/23.685)^2)</f>
        <v/>
      </c>
      <c r="GM42" s="639" t="e">
        <f t="shared" si="28"/>
        <v>#DIV/0!</v>
      </c>
      <c r="GN42" s="892" t="e">
        <f t="shared" si="29"/>
        <v>#DIV/0!</v>
      </c>
      <c r="GO42" s="874"/>
      <c r="GP42" s="874"/>
      <c r="GQ42" s="874"/>
      <c r="GR42" s="874"/>
      <c r="GS42" s="874"/>
      <c r="GT42" s="874"/>
      <c r="GU42" s="874"/>
      <c r="GV42" s="874"/>
      <c r="GW42" s="874"/>
      <c r="GX42" s="874"/>
      <c r="GY42" s="874"/>
      <c r="GZ42" s="874"/>
      <c r="HA42" s="874"/>
      <c r="HB42" s="511"/>
      <c r="HC42" s="511"/>
      <c r="HD42" s="511"/>
      <c r="HE42" s="511"/>
      <c r="HF42" s="511"/>
      <c r="HG42" s="511"/>
      <c r="HH42" s="511"/>
      <c r="HI42" s="511"/>
      <c r="HJ42" s="874"/>
      <c r="HK42" s="874"/>
      <c r="HL42" s="874"/>
      <c r="HM42" s="874"/>
      <c r="HN42" s="874"/>
      <c r="HO42" s="874"/>
      <c r="HP42" s="874"/>
      <c r="HQ42" s="874"/>
      <c r="HR42" s="874"/>
      <c r="HS42" s="874"/>
      <c r="HT42" s="874"/>
      <c r="HU42" s="874"/>
      <c r="HV42" s="874"/>
      <c r="HW42" s="511"/>
      <c r="HX42" s="511"/>
      <c r="HY42" s="511"/>
      <c r="HZ42" s="511"/>
      <c r="IA42" s="511"/>
      <c r="IB42" s="511"/>
      <c r="IC42" s="511"/>
      <c r="ID42" s="511"/>
      <c r="IE42" s="874"/>
      <c r="IF42" s="874"/>
      <c r="IG42" s="874"/>
      <c r="IH42" s="874"/>
      <c r="II42" s="874"/>
      <c r="IJ42" s="874"/>
      <c r="IK42" s="874"/>
      <c r="IL42" s="874"/>
      <c r="IM42" s="874"/>
      <c r="IN42" s="874"/>
      <c r="IO42" s="874"/>
      <c r="IP42" s="874"/>
      <c r="IQ42" s="874"/>
      <c r="IR42" s="511"/>
      <c r="IS42" s="511"/>
      <c r="IT42" s="511"/>
      <c r="IU42" s="511"/>
      <c r="IV42" s="511"/>
      <c r="IW42" s="511"/>
      <c r="IX42" s="511"/>
      <c r="IY42" s="511"/>
      <c r="IZ42" s="874"/>
      <c r="JA42" s="874"/>
      <c r="JB42" s="874"/>
      <c r="JC42" s="874"/>
      <c r="JD42" s="874"/>
      <c r="JE42" s="874"/>
      <c r="JF42" s="874"/>
      <c r="JG42" s="874"/>
      <c r="JH42" s="874"/>
      <c r="JI42" s="874"/>
      <c r="JJ42" s="874"/>
      <c r="JK42" s="874"/>
      <c r="JL42" s="874"/>
      <c r="JM42" s="874"/>
      <c r="JN42" s="874"/>
      <c r="JO42" s="874"/>
      <c r="JP42" s="874"/>
      <c r="JQ42" s="874"/>
      <c r="JR42" s="874"/>
      <c r="JS42" s="874"/>
      <c r="JT42" s="874"/>
      <c r="JU42" s="874"/>
      <c r="JV42" s="874"/>
      <c r="JW42" s="874"/>
      <c r="JX42" s="874"/>
      <c r="JY42" s="874"/>
      <c r="JZ42" s="874"/>
      <c r="KA42" s="874"/>
      <c r="KB42" s="874"/>
      <c r="KC42" s="874"/>
      <c r="KD42" s="874"/>
      <c r="KE42" s="874"/>
      <c r="KF42" s="874"/>
      <c r="KG42" s="874"/>
      <c r="KH42" s="865"/>
      <c r="KI42" s="865"/>
      <c r="KJ42" s="865"/>
      <c r="KK42" s="865"/>
      <c r="KL42" s="865"/>
      <c r="KM42" s="865"/>
      <c r="KN42" s="865"/>
      <c r="KO42" s="865"/>
      <c r="KP42" s="865"/>
      <c r="KQ42" s="865"/>
      <c r="KR42" s="865"/>
      <c r="KS42" s="865"/>
      <c r="KT42" s="865"/>
      <c r="KU42" s="865"/>
      <c r="KV42" s="865"/>
      <c r="KW42" s="865"/>
      <c r="KX42" s="865"/>
      <c r="KY42" s="865"/>
      <c r="KZ42" s="865"/>
      <c r="LA42" s="865"/>
      <c r="LB42" s="865"/>
      <c r="LC42" s="865"/>
      <c r="LD42" s="865"/>
      <c r="LE42" s="865"/>
      <c r="LF42" s="865"/>
    </row>
    <row r="43" spans="1:318" ht="15.45" customHeight="1">
      <c r="A43" s="864"/>
      <c r="B43" s="663"/>
      <c r="C43" s="663"/>
      <c r="D43" s="663"/>
      <c r="E43" s="663"/>
      <c r="F43" s="511"/>
      <c r="G43" s="864"/>
      <c r="H43" s="663"/>
      <c r="I43" s="663"/>
      <c r="J43" s="663"/>
      <c r="K43" s="663"/>
      <c r="L43" s="511"/>
      <c r="M43" s="864"/>
      <c r="N43" s="663"/>
      <c r="O43" s="663"/>
      <c r="P43" s="663"/>
      <c r="Q43" s="663"/>
      <c r="R43" s="511"/>
      <c r="S43" s="864"/>
      <c r="T43" s="663"/>
      <c r="U43" s="663"/>
      <c r="V43" s="663"/>
      <c r="W43" s="663"/>
      <c r="X43" s="511"/>
      <c r="Y43" s="864"/>
      <c r="Z43" s="663"/>
      <c r="AA43" s="663"/>
      <c r="AB43" s="663"/>
      <c r="AC43" s="663"/>
      <c r="AD43" s="511"/>
      <c r="AE43" s="864"/>
      <c r="AF43" s="663"/>
      <c r="AG43" s="663"/>
      <c r="AH43" s="663"/>
      <c r="AI43" s="663"/>
      <c r="AJ43" s="511"/>
      <c r="AK43" s="865"/>
      <c r="AL43" s="865"/>
      <c r="AM43" s="865"/>
      <c r="AN43" s="865"/>
      <c r="AO43" s="865"/>
      <c r="AP43" s="865"/>
      <c r="AQ43" s="865"/>
      <c r="AR43" s="865"/>
      <c r="AS43" s="865"/>
      <c r="AT43" s="865"/>
      <c r="AU43" s="865"/>
      <c r="AV43" s="865"/>
      <c r="AW43" s="865"/>
      <c r="AX43" s="865"/>
      <c r="AY43" s="865"/>
      <c r="AZ43" s="865"/>
      <c r="BA43" s="865"/>
      <c r="BB43" s="865"/>
      <c r="BC43" s="865"/>
      <c r="BD43" s="865"/>
      <c r="BE43" s="865"/>
      <c r="BF43" s="865"/>
      <c r="BG43" s="865"/>
      <c r="BH43" s="865"/>
      <c r="BI43" s="865"/>
      <c r="BJ43" s="865"/>
      <c r="BK43" s="865"/>
      <c r="BL43" s="865"/>
      <c r="BM43" s="865"/>
      <c r="BN43" s="865"/>
      <c r="BO43" s="865"/>
      <c r="BP43" s="865"/>
      <c r="BQ43" s="865"/>
      <c r="BR43" s="865"/>
      <c r="BS43" s="865"/>
      <c r="BT43" s="865"/>
      <c r="BU43" s="865"/>
      <c r="BV43" s="865"/>
      <c r="BW43" s="865"/>
      <c r="BX43" s="865"/>
      <c r="BY43" s="874"/>
      <c r="BZ43" s="888" t="str">
        <f>IF(A43="","",VLOOKUP(A43,'HHV-LHV-MW'!$A$3:$H$40,4,FALSE))</f>
        <v/>
      </c>
      <c r="CA43" s="889" t="str">
        <f>IF(A43="","",VLOOKUP(A43,'HHV-LHV-MW'!$A$3:$H$40,5,FALSE))</f>
        <v/>
      </c>
      <c r="CB43" s="890" t="e">
        <f>(PRODUCT('HHV-LHV-MW'!K27)+PRODUCT('HHV-LHV-MW'!W27)+PRODUCT('HHV-LHV-MW'!AI27)+PRODUCT('HHV-LHV-MW'!AU27))/$BO$19</f>
        <v>#DIV/0!</v>
      </c>
      <c r="CC43" s="890">
        <f>IF($BO$19=1,"",  (SQRT(  (      (IF('HHV-LHV-MW'!K27="",0,('HHV-LHV-MW'!K27-CB43)^2))      +        (IF('HHV-LHV-MW'!W27="",0,('HHV-LHV-MW'!W27-CB43)^2))       +        (IF('HHV-LHV-MW'!AI27="",0,('HHV-LHV-MW'!AI27-CB43)^2))          +        (IF('HHV-LHV-MW'!AU27="",0,('HHV-LHV-MW'!AU27-CB43)^2))          )     *(1/($BO$19-1))  )))</f>
        <v>0</v>
      </c>
      <c r="CD43" s="890" t="e">
        <f t="shared" si="4"/>
        <v>#N/A</v>
      </c>
      <c r="CE43" s="890" t="e">
        <f t="shared" si="5"/>
        <v>#DIV/0!</v>
      </c>
      <c r="CF43" s="636" t="str">
        <f>IF('HHV-LHV-MW'!K27="","",IF(AND('HHV-LHV-MW'!K27&gt;=0,'HHV-LHV-MW'!K27&lt;=0.09),2,  IF(AND('HHV-LHV-MW'!K27&gt;=0.1,'HHV-LHV-MW'!K27&lt;=0.9),7,  IF(AND('HHV-LHV-MW'!K27&gt;=1,'HHV-LHV-MW'!K27&lt;=4.9),10,   IF(AND('HHV-LHV-MW'!K27&gt;=5,'HHV-LHV-MW'!K27&lt;=10),12, 15)))))</f>
        <v/>
      </c>
      <c r="CG43" s="636" t="str">
        <f>IF('HHV-LHV-MW'!K27="","",5*'HHV-LHV-MW'!K27)</f>
        <v/>
      </c>
      <c r="CH43" s="635" t="str">
        <f t="shared" si="6"/>
        <v/>
      </c>
      <c r="CI43" s="636" t="str">
        <f>IF(OR(CH43="",'HHV-LHV-MW'!K27=0),"",CH43/'HHV-LHV-MW'!K27)</f>
        <v/>
      </c>
      <c r="CJ43" s="636" t="str">
        <f>IF(OR(CI43="",BZ43="",'HHV-LHV-MW'!K27=""),"",((CI43*BZ43*('HHV-LHV-MW'!K27/100))/23.685)^2)</f>
        <v/>
      </c>
      <c r="CK43" s="891" t="str">
        <f>IF(OR(CI43="",CA43="",'HHV-LHV-MW'!K27=""),"",((CI43*CA43*('HHV-LHV-MW'!K27/100))/23.685)^2)</f>
        <v/>
      </c>
      <c r="CL43" s="639" t="e">
        <f t="shared" si="7"/>
        <v>#DIV/0!</v>
      </c>
      <c r="CM43" s="892" t="e">
        <f t="shared" si="8"/>
        <v>#DIV/0!</v>
      </c>
      <c r="CN43" s="511"/>
      <c r="CO43" s="511"/>
      <c r="CP43" s="511"/>
      <c r="CQ43" s="511"/>
      <c r="CR43" s="511"/>
      <c r="CS43" s="511"/>
      <c r="CT43" s="511"/>
      <c r="CU43" s="888" t="str">
        <f>IF(G43="","",VLOOKUP(G43,'HHV-LHV-MW'!$A$3:$H$40,4,FALSE))</f>
        <v/>
      </c>
      <c r="CV43" s="889" t="str">
        <f>IF(G43="","",VLOOKUP(G43,'HHV-LHV-MW'!$A$3:$H$40,5,FALSE))</f>
        <v/>
      </c>
      <c r="CW43" s="890" t="e">
        <f>(PRODUCT('HHV-LHV-MW'!BH27)+PRODUCT('HHV-LHV-MW'!BT27)+PRODUCT('HHV-LHV-MW'!CF27)+PRODUCT('HHV-LHV-MW'!CR27))/$BO$28</f>
        <v>#DIV/0!</v>
      </c>
      <c r="CX43" s="890">
        <f>IF($BO$28=1,"",  (SQRT(  (      (IF('HHV-LHV-MW'!BH27="",0,('HHV-LHV-MW'!BH27-CW43)^2))      +        (IF('HHV-LHV-MW'!BT27="",0,('HHV-LHV-MW'!BT27-CW43)^2))       +        (IF('HHV-LHV-MW'!CF27="",0,('HHV-LHV-MW'!CF27-CW43)^2))          +        (IF('HHV-LHV-MW'!CR27="",0,('HHV-LHV-MW'!CR27-CW43)^2))          )     *(1/($BO$28-1))  )))</f>
        <v>0</v>
      </c>
      <c r="CY43" s="890" t="e">
        <f t="shared" si="9"/>
        <v>#N/A</v>
      </c>
      <c r="CZ43" s="890" t="e">
        <f t="shared" si="10"/>
        <v>#DIV/0!</v>
      </c>
      <c r="DA43" s="636" t="str">
        <f>IF('HHV-LHV-MW'!BH27="","",IF(AND('HHV-LHV-MW'!BH27&gt;=0,'HHV-LHV-MW'!BH27&lt;=0.09),2,  IF(AND('HHV-LHV-MW'!BH27&gt;=0.1,'HHV-LHV-MW'!BH27&lt;=0.9),7,  IF(AND('HHV-LHV-MW'!BH27&gt;=1,'HHV-LHV-MW'!BH27&lt;=4.9),10,   IF(AND('HHV-LHV-MW'!BH27&gt;=5,'HHV-LHV-MW'!BH27&lt;=10),12, 15)))))</f>
        <v/>
      </c>
      <c r="DB43" s="636" t="str">
        <f>IF('HHV-LHV-MW'!BH27="","",5*'HHV-LHV-MW'!BH27)</f>
        <v/>
      </c>
      <c r="DC43" s="635" t="str">
        <f t="shared" si="11"/>
        <v/>
      </c>
      <c r="DD43" s="636" t="str">
        <f>IF(OR(DC43="",'HHV-LHV-MW'!BH27=0),"",DC43/'HHV-LHV-MW'!BH27)</f>
        <v/>
      </c>
      <c r="DE43" s="635" t="str">
        <f>IF(OR(DD43="",CU43="",'HHV-LHV-MW'!BH27=""),"",((DD43*CU43*('HHV-LHV-MW'!BH27/100))/23.685)^2)</f>
        <v/>
      </c>
      <c r="DF43" s="636" t="str">
        <f>IF(OR(DD43="",CV43="",'HHV-LHV-MW'!BH27=""),"",((DD43*CV43*('HHV-LHV-MW'!BH27/100))/23.685)^2)</f>
        <v/>
      </c>
      <c r="DG43" s="639" t="e">
        <f t="shared" si="12"/>
        <v>#DIV/0!</v>
      </c>
      <c r="DH43" s="892" t="e">
        <f t="shared" si="13"/>
        <v>#DIV/0!</v>
      </c>
      <c r="DI43" s="511"/>
      <c r="DJ43" s="511"/>
      <c r="DK43" s="511"/>
      <c r="DL43" s="511"/>
      <c r="DM43" s="511"/>
      <c r="DN43" s="511"/>
      <c r="DO43" s="511"/>
      <c r="DP43" s="888" t="str">
        <f>IF(M43="","",VLOOKUP(M43,'HHV-LHV-MW'!$A$3:$H$40,4,FALSE))</f>
        <v/>
      </c>
      <c r="DQ43" s="889" t="str">
        <f>IF(M43="","",VLOOKUP(M43,'HHV-LHV-MW'!$A$3:$H$40,5,FALSE))</f>
        <v/>
      </c>
      <c r="DR43" s="890" t="e">
        <f>(PRODUCT('HHV-LHV-MW'!DE27)+PRODUCT('HHV-LHV-MW'!DQ27)+PRODUCT('HHV-LHV-MW'!EC27)+PRODUCT('HHV-LHV-MW'!EO27))/$BO$37</f>
        <v>#DIV/0!</v>
      </c>
      <c r="DS43" s="890">
        <f>IF($BO$37=1,"",  (SQRT(  (      (IF('HHV-LHV-MW'!DE27="",0,('HHV-LHV-MW'!DE27-DR43)^2))      +        (IF('HHV-LHV-MW'!DQ27="",0,('HHV-LHV-MW'!DQ27-DR43)^2))       +        (IF('HHV-LHV-MW'!EC27="",0,('HHV-LHV-MW'!EC27-DR43)^2))          +        (IF('HHV-LHV-MW'!EO27="",0,('HHV-LHV-MW'!EO27-DR43)^2))          )     *(1/($BO$37-1))  )))</f>
        <v>0</v>
      </c>
      <c r="DT43" s="890" t="e">
        <f t="shared" si="0"/>
        <v>#N/A</v>
      </c>
      <c r="DU43" s="890" t="e">
        <f t="shared" si="14"/>
        <v>#DIV/0!</v>
      </c>
      <c r="DV43" s="636" t="str">
        <f>IF('HHV-LHV-MW'!DE27="","",IF(AND('HHV-LHV-MW'!DE27&gt;=0,'HHV-LHV-MW'!DE27&lt;=0.09),2,  IF(AND('HHV-LHV-MW'!DE27&gt;=0.1,'HHV-LHV-MW'!DE27&lt;=0.9),7,  IF(AND('HHV-LHV-MW'!DE27&gt;=1,'HHV-LHV-MW'!DE27&lt;=4.9),10,   IF(AND('HHV-LHV-MW'!DE27&gt;=5,'HHV-LHV-MW'!DE27&lt;=10),12, 15)))))</f>
        <v/>
      </c>
      <c r="DW43" s="636" t="str">
        <f>IF('HHV-LHV-MW'!DE27="","",5*'HHV-LHV-MW'!DE27)</f>
        <v/>
      </c>
      <c r="DX43" s="635" t="str">
        <f t="shared" si="15"/>
        <v/>
      </c>
      <c r="DY43" s="636" t="str">
        <f>IF(OR(DX43="",'HHV-LHV-MW'!DE27=0),"",DX43/'HHV-LHV-MW'!DE27)</f>
        <v/>
      </c>
      <c r="DZ43" s="636" t="str">
        <f>IF(OR(DY43="",DP43="",'HHV-LHV-MW'!DE27=""),"",((DY43*DP43*('HHV-LHV-MW'!DE27/100))/23.685)^2)</f>
        <v/>
      </c>
      <c r="EA43" s="636" t="str">
        <f>IF(OR(DY43="",DQ43="",'HHV-LHV-MW'!DE27=""),"",((DY43*DQ43*('HHV-LHV-MW'!DE27/100))/23.685)^2)</f>
        <v/>
      </c>
      <c r="EB43" s="639" t="e">
        <f t="shared" si="16"/>
        <v>#DIV/0!</v>
      </c>
      <c r="EC43" s="892" t="e">
        <f t="shared" si="17"/>
        <v>#DIV/0!</v>
      </c>
      <c r="ED43" s="511"/>
      <c r="EE43" s="511"/>
      <c r="EF43" s="511"/>
      <c r="EG43" s="511"/>
      <c r="EH43" s="511"/>
      <c r="EI43" s="511"/>
      <c r="EJ43" s="511"/>
      <c r="EK43" s="888" t="str">
        <f>IF(S43="","",VLOOKUP(S43,'HHV-LHV-MW'!$A$3:$H$40,4,FALSE))</f>
        <v/>
      </c>
      <c r="EL43" s="889" t="str">
        <f>IF(S43="","",VLOOKUP(S43,'HHV-LHV-MW'!$A$3:$H$40,5,FALSE))</f>
        <v/>
      </c>
      <c r="EM43" s="890" t="e">
        <f>(PRODUCT('HHV-LHV-MW'!FB27)+PRODUCT('HHV-LHV-MW'!FN27)+PRODUCT('HHV-LHV-MW'!FZ27)+PRODUCT('HHV-LHV-MW'!GL27))/$BW$19</f>
        <v>#DIV/0!</v>
      </c>
      <c r="EN43" s="890">
        <f>IF($BW$19=1,"",  (SQRT(  (      (IF('HHV-LHV-MW'!FB27="",0,('HHV-LHV-MW'!FB27-EM43)^2))      +        (IF('HHV-LHV-MW'!FN27="",0,('HHV-LHV-MW'!FN27-EM43)^2))       +        (IF('HHV-LHV-MW'!FZ27="",0,('HHV-LHV-MW'!FZ27-EM43)^2))          +        (IF('HHV-LHV-MW'!GL27="",0,('HHV-LHV-MW'!GL27-EM43)^2))          )     *(1/($BW$19-1))  )))</f>
        <v>0</v>
      </c>
      <c r="EO43" s="890" t="e">
        <f t="shared" si="1"/>
        <v>#N/A</v>
      </c>
      <c r="EP43" s="890" t="e">
        <f t="shared" si="18"/>
        <v>#DIV/0!</v>
      </c>
      <c r="EQ43" s="636" t="str">
        <f>IF('HHV-LHV-MW'!FB27="","",IF(AND('HHV-LHV-MW'!FB27&gt;=0,'HHV-LHV-MW'!FB27&lt;=0.09),2,  IF(AND('HHV-LHV-MW'!FB27&gt;=0.1,'HHV-LHV-MW'!FB27&lt;=0.9),7,  IF(AND('HHV-LHV-MW'!FB27&gt;=1,'HHV-LHV-MW'!FB27&lt;=4.9),10,   IF(AND('HHV-LHV-MW'!FB27&gt;=5,'HHV-LHV-MW'!FB27&lt;=10),12, 15)))))</f>
        <v/>
      </c>
      <c r="ER43" s="636" t="str">
        <f>IF('HHV-LHV-MW'!FB27="","",5*'HHV-LHV-MW'!FB27)</f>
        <v/>
      </c>
      <c r="ES43" s="635" t="str">
        <f t="shared" si="19"/>
        <v/>
      </c>
      <c r="ET43" s="636" t="str">
        <f>IF(OR(ES43="",'HHV-LHV-MW'!FB27=0),"",ES43/'HHV-LHV-MW'!FB27)</f>
        <v/>
      </c>
      <c r="EU43" s="636" t="str">
        <f>IF(OR(ET43="",EK43="",'HHV-LHV-MW'!FB27=""),"",((ET43*EK43*('HHV-LHV-MW'!FB27/100))/23.685)^2)</f>
        <v/>
      </c>
      <c r="EV43" s="636" t="str">
        <f>IF(OR(ET43="",EL43="",'HHV-LHV-MW'!FB27=""),"",((ET43*EL43*('HHV-LHV-MW'!FB27/100))/23.685)^2)</f>
        <v/>
      </c>
      <c r="EW43" s="639" t="e">
        <f t="shared" si="20"/>
        <v>#DIV/0!</v>
      </c>
      <c r="EX43" s="892" t="e">
        <f t="shared" si="21"/>
        <v>#DIV/0!</v>
      </c>
      <c r="EY43" s="511"/>
      <c r="EZ43" s="511"/>
      <c r="FA43" s="511"/>
      <c r="FB43" s="511"/>
      <c r="FC43" s="511"/>
      <c r="FD43" s="511"/>
      <c r="FE43" s="511"/>
      <c r="FF43" s="888" t="str">
        <f>IF(Y43="","",VLOOKUP(Y43,'HHV-LHV-MW'!$A$3:$H$40,4,FALSE))</f>
        <v/>
      </c>
      <c r="FG43" s="889" t="str">
        <f>IF(Y43="","",VLOOKUP(Y43,'HHV-LHV-MW'!$A$3:$H$40,5,FALSE))</f>
        <v/>
      </c>
      <c r="FH43" s="890" t="e">
        <f>(PRODUCT('HHV-LHV-MW'!GY27)+PRODUCT('HHV-LHV-MW'!HK27)+PRODUCT('HHV-LHV-MW'!HW27)+PRODUCT('HHV-LHV-MW'!II27))/$BW$28</f>
        <v>#DIV/0!</v>
      </c>
      <c r="FI43" s="890">
        <f>IF($BW$28=1,"",  (SQRT(  (      (IF('HHV-LHV-MW'!GY27="",0,('HHV-LHV-MW'!GY27-FH43)^2))      +        (IF('HHV-LHV-MW'!HK27="",0,('HHV-LHV-MW'!HK27-FH43)^2))       +        (IF('HHV-LHV-MW'!HW27="",0,('HHV-LHV-MW'!HW27-FH43)^2))          +        (IF('HHV-LHV-MW'!II27="",0,('HHV-LHV-MW'!II27-FH43)^2))          )     *(1/($BW$28-1))  )))</f>
        <v>0</v>
      </c>
      <c r="FJ43" s="890" t="e">
        <f t="shared" si="2"/>
        <v>#N/A</v>
      </c>
      <c r="FK43" s="890" t="e">
        <f t="shared" si="22"/>
        <v>#DIV/0!</v>
      </c>
      <c r="FL43" s="636" t="str">
        <f>IF('HHV-LHV-MW'!GY27="","",IF(AND('HHV-LHV-MW'!GY27&gt;=0,'HHV-LHV-MW'!GY27&lt;=0.09),2,  IF(AND('HHV-LHV-MW'!GY27&gt;=0.1,'HHV-LHV-MW'!GY27&lt;=0.9),7,  IF(AND('HHV-LHV-MW'!GY27&gt;=1,'HHV-LHV-MW'!GY27&lt;=4.9),10,   IF(AND('HHV-LHV-MW'!GY27&gt;=5,'HHV-LHV-MW'!GY27&lt;=10),12, 15)))))</f>
        <v/>
      </c>
      <c r="FM43" s="636" t="str">
        <f>IF('HHV-LHV-MW'!GY27="","",5*'HHV-LHV-MW'!GY27)</f>
        <v/>
      </c>
      <c r="FN43" s="635" t="str">
        <f t="shared" si="23"/>
        <v/>
      </c>
      <c r="FO43" s="636" t="str">
        <f>IF(OR(FN43="",'HHV-LHV-MW'!GY27=0),"",FN43/'HHV-LHV-MW'!GY27)</f>
        <v/>
      </c>
      <c r="FP43" s="636" t="str">
        <f>IF(OR(FO43="",FF43="",'HHV-LHV-MW'!GY27=""),"",((FO43*FF43*('HHV-LHV-MW'!GY27/100))/23.685)^2)</f>
        <v/>
      </c>
      <c r="FQ43" s="636" t="str">
        <f>IF(OR(FO43="",FG43="",'HHV-LHV-MW'!GY27=""),"",((FO43*FG43*('HHV-LHV-MW'!GY27/100))/23.685)^2)</f>
        <v/>
      </c>
      <c r="FR43" s="639" t="e">
        <f t="shared" si="24"/>
        <v>#DIV/0!</v>
      </c>
      <c r="FS43" s="892" t="e">
        <f t="shared" si="25"/>
        <v>#DIV/0!</v>
      </c>
      <c r="FT43" s="511"/>
      <c r="FU43" s="511"/>
      <c r="FV43" s="511"/>
      <c r="FW43" s="511"/>
      <c r="FX43" s="511"/>
      <c r="FY43" s="511"/>
      <c r="FZ43" s="511"/>
      <c r="GA43" s="888" t="str">
        <f>IF(AE43="","",VLOOKUP(AE43,'HHV-LHV-MW'!$A$3:$H$40,4,FALSE))</f>
        <v/>
      </c>
      <c r="GB43" s="889" t="str">
        <f>IF(AE43="","",VLOOKUP(AE43,'HHV-LHV-MW'!$A$3:$H$40,5,FALSE))</f>
        <v/>
      </c>
      <c r="GC43" s="890" t="e">
        <f>(PRODUCT('HHV-LHV-MW'!IV27)+PRODUCT('HHV-LHV-MW'!JH27)+PRODUCT('HHV-LHV-MW'!JT27)+PRODUCT('HHV-LHV-MW'!KF27))/$BW$37</f>
        <v>#DIV/0!</v>
      </c>
      <c r="GD43" s="890">
        <f>IF($BW$37=1,"",  (SQRT(  (      (IF('HHV-LHV-MW'!IV27="",0,('HHV-LHV-MW'!IV27-GC43)^2))      +        (IF('HHV-LHV-MW'!JH27="",0,('HHV-LHV-MW'!JH27-GC43)^2))       +        (IF('HHV-LHV-MW'!JT27="",0,('HHV-LHV-MW'!JT27-GC43)^2))          +        (IF('HHV-LHV-MW'!KF27="",0,('HHV-LHV-MW'!KF27-GC43)^2))          )     *(1/($BW$37-1))  )))</f>
        <v>0</v>
      </c>
      <c r="GE43" s="890" t="e">
        <f t="shared" si="3"/>
        <v>#N/A</v>
      </c>
      <c r="GF43" s="890" t="e">
        <f t="shared" si="26"/>
        <v>#DIV/0!</v>
      </c>
      <c r="GG43" s="636" t="str">
        <f>IF('HHV-LHV-MW'!IV27="","",IF(AND('HHV-LHV-MW'!IV27&gt;=0,'HHV-LHV-MW'!IV27&lt;=0.09),2,  IF(AND('HHV-LHV-MW'!IV27&gt;=0.1,'HHV-LHV-MW'!IV27&lt;=0.9),7,  IF(AND('HHV-LHV-MW'!IV27&gt;=1,'HHV-LHV-MW'!IV27&lt;=4.9),10,   IF(AND('HHV-LHV-MW'!IV27&gt;=5,'HHV-LHV-MW'!IV27&lt;=10),12, 15)))))</f>
        <v/>
      </c>
      <c r="GH43" s="636" t="str">
        <f>IF('HHV-LHV-MW'!IV27="","",5*'HHV-LHV-MW'!IV27)</f>
        <v/>
      </c>
      <c r="GI43" s="635" t="str">
        <f t="shared" si="27"/>
        <v/>
      </c>
      <c r="GJ43" s="636" t="str">
        <f>IF(OR(GI43="",'HHV-LHV-MW'!IV27=0),"",GI43/'HHV-LHV-MW'!IV27)</f>
        <v/>
      </c>
      <c r="GK43" s="636" t="str">
        <f>IF(OR(GJ43="",GA43="",'HHV-LHV-MW'!IV27=""),"",((GJ43*GA43*('HHV-LHV-MW'!IV27/100))/23.685)^2)</f>
        <v/>
      </c>
      <c r="GL43" s="636" t="str">
        <f>IF(OR(GJ43="",GB43="",'HHV-LHV-MW'!IV27=""),"",((GJ43*GB43*('HHV-LHV-MW'!IV27/100))/23.685)^2)</f>
        <v/>
      </c>
      <c r="GM43" s="639" t="e">
        <f t="shared" si="28"/>
        <v>#DIV/0!</v>
      </c>
      <c r="GN43" s="892" t="e">
        <f t="shared" si="29"/>
        <v>#DIV/0!</v>
      </c>
      <c r="GO43" s="874"/>
      <c r="GP43" s="874"/>
      <c r="GQ43" s="874"/>
      <c r="GR43" s="874"/>
      <c r="GS43" s="874"/>
      <c r="GT43" s="874"/>
      <c r="GU43" s="874"/>
      <c r="GV43" s="874"/>
      <c r="GW43" s="874"/>
      <c r="GX43" s="874"/>
      <c r="GY43" s="874"/>
      <c r="GZ43" s="874"/>
      <c r="HA43" s="874"/>
      <c r="HB43" s="511"/>
      <c r="HC43" s="511"/>
      <c r="HD43" s="511"/>
      <c r="HE43" s="511"/>
      <c r="HF43" s="511"/>
      <c r="HG43" s="511"/>
      <c r="HH43" s="511"/>
      <c r="HI43" s="511"/>
      <c r="HJ43" s="874"/>
      <c r="HK43" s="874"/>
      <c r="HL43" s="874"/>
      <c r="HM43" s="874"/>
      <c r="HN43" s="874"/>
      <c r="HO43" s="874"/>
      <c r="HP43" s="874"/>
      <c r="HQ43" s="874"/>
      <c r="HR43" s="874"/>
      <c r="HS43" s="874"/>
      <c r="HT43" s="874"/>
      <c r="HU43" s="874"/>
      <c r="HV43" s="874"/>
      <c r="HW43" s="511"/>
      <c r="HX43" s="511"/>
      <c r="HY43" s="511"/>
      <c r="HZ43" s="511"/>
      <c r="IA43" s="511"/>
      <c r="IB43" s="511"/>
      <c r="IC43" s="511"/>
      <c r="ID43" s="511"/>
      <c r="IE43" s="874"/>
      <c r="IF43" s="874"/>
      <c r="IG43" s="874"/>
      <c r="IH43" s="874"/>
      <c r="II43" s="874"/>
      <c r="IJ43" s="874"/>
      <c r="IK43" s="874"/>
      <c r="IL43" s="874"/>
      <c r="IM43" s="874"/>
      <c r="IN43" s="874"/>
      <c r="IO43" s="874"/>
      <c r="IP43" s="874"/>
      <c r="IQ43" s="874"/>
      <c r="IR43" s="511"/>
      <c r="IS43" s="511"/>
      <c r="IT43" s="511"/>
      <c r="IU43" s="511"/>
      <c r="IV43" s="511"/>
      <c r="IW43" s="511"/>
      <c r="IX43" s="511"/>
      <c r="IY43" s="511"/>
      <c r="IZ43" s="874"/>
      <c r="JA43" s="874"/>
      <c r="JB43" s="874"/>
      <c r="JC43" s="874"/>
      <c r="JD43" s="874"/>
      <c r="JE43" s="874"/>
      <c r="JF43" s="874"/>
      <c r="JG43" s="874"/>
      <c r="JH43" s="874"/>
      <c r="JI43" s="874"/>
      <c r="JJ43" s="874"/>
      <c r="JK43" s="874"/>
      <c r="JL43" s="874"/>
      <c r="JM43" s="874"/>
      <c r="JN43" s="874"/>
      <c r="JO43" s="874"/>
      <c r="JP43" s="874"/>
      <c r="JQ43" s="874"/>
      <c r="JR43" s="874"/>
      <c r="JS43" s="874"/>
      <c r="JT43" s="874"/>
      <c r="JU43" s="874"/>
      <c r="JV43" s="874"/>
      <c r="JW43" s="874"/>
      <c r="JX43" s="874"/>
      <c r="JY43" s="874"/>
      <c r="JZ43" s="874"/>
      <c r="KA43" s="874"/>
      <c r="KB43" s="874"/>
      <c r="KC43" s="874"/>
      <c r="KD43" s="874"/>
      <c r="KE43" s="874"/>
      <c r="KF43" s="874"/>
      <c r="KG43" s="874"/>
      <c r="KH43" s="865"/>
      <c r="KI43" s="865"/>
      <c r="KJ43" s="865"/>
      <c r="KK43" s="865"/>
      <c r="KL43" s="865"/>
      <c r="KM43" s="865"/>
      <c r="KN43" s="865"/>
      <c r="KO43" s="865"/>
      <c r="KP43" s="865"/>
      <c r="KQ43" s="865"/>
      <c r="KR43" s="865"/>
      <c r="KS43" s="865"/>
      <c r="KT43" s="865"/>
      <c r="KU43" s="865"/>
      <c r="KV43" s="865"/>
      <c r="KW43" s="865"/>
      <c r="KX43" s="865"/>
      <c r="KY43" s="865"/>
      <c r="KZ43" s="865"/>
      <c r="LA43" s="865"/>
      <c r="LB43" s="865"/>
      <c r="LC43" s="865"/>
      <c r="LD43" s="865"/>
      <c r="LE43" s="865"/>
      <c r="LF43" s="865"/>
    </row>
    <row r="44" spans="1:318" ht="15.45" customHeight="1">
      <c r="A44" s="864"/>
      <c r="B44" s="663"/>
      <c r="C44" s="663"/>
      <c r="D44" s="663"/>
      <c r="E44" s="663"/>
      <c r="F44" s="511"/>
      <c r="G44" s="864"/>
      <c r="H44" s="663"/>
      <c r="I44" s="663"/>
      <c r="J44" s="663"/>
      <c r="K44" s="663"/>
      <c r="L44" s="511"/>
      <c r="M44" s="864"/>
      <c r="N44" s="663"/>
      <c r="O44" s="663"/>
      <c r="P44" s="663"/>
      <c r="Q44" s="663"/>
      <c r="R44" s="511"/>
      <c r="S44" s="864"/>
      <c r="T44" s="663"/>
      <c r="U44" s="663"/>
      <c r="V44" s="663"/>
      <c r="W44" s="663"/>
      <c r="X44" s="511"/>
      <c r="Y44" s="864"/>
      <c r="Z44" s="663"/>
      <c r="AA44" s="663"/>
      <c r="AB44" s="663"/>
      <c r="AC44" s="663"/>
      <c r="AD44" s="511"/>
      <c r="AE44" s="864"/>
      <c r="AF44" s="663"/>
      <c r="AG44" s="663"/>
      <c r="AH44" s="663"/>
      <c r="AI44" s="663"/>
      <c r="AJ44" s="511"/>
      <c r="AK44" s="865"/>
      <c r="AL44" s="865"/>
      <c r="AM44" s="865"/>
      <c r="AN44" s="865"/>
      <c r="AO44" s="865"/>
      <c r="AP44" s="865"/>
      <c r="AQ44" s="865"/>
      <c r="AR44" s="865"/>
      <c r="AS44" s="865"/>
      <c r="AT44" s="865"/>
      <c r="AU44" s="865"/>
      <c r="AV44" s="865"/>
      <c r="AW44" s="865"/>
      <c r="AX44" s="865"/>
      <c r="AY44" s="865"/>
      <c r="AZ44" s="865"/>
      <c r="BA44" s="865"/>
      <c r="BB44" s="865"/>
      <c r="BC44" s="865"/>
      <c r="BD44" s="865"/>
      <c r="BE44" s="865"/>
      <c r="BF44" s="865"/>
      <c r="BG44" s="865"/>
      <c r="BH44" s="865"/>
      <c r="BI44" s="865"/>
      <c r="BJ44" s="865"/>
      <c r="BK44" s="865"/>
      <c r="BL44" s="865"/>
      <c r="BM44" s="865"/>
      <c r="BN44" s="865"/>
      <c r="BO44" s="865"/>
      <c r="BP44" s="865"/>
      <c r="BQ44" s="865"/>
      <c r="BR44" s="865"/>
      <c r="BS44" s="865"/>
      <c r="BT44" s="865"/>
      <c r="BU44" s="865"/>
      <c r="BV44" s="865"/>
      <c r="BW44" s="865"/>
      <c r="BX44" s="865"/>
      <c r="BY44" s="874"/>
      <c r="BZ44" s="888" t="str">
        <f>IF(A44="","",VLOOKUP(A44,'HHV-LHV-MW'!$A$3:$H$40,4,FALSE))</f>
        <v/>
      </c>
      <c r="CA44" s="889" t="str">
        <f>IF(A44="","",VLOOKUP(A44,'HHV-LHV-MW'!$A$3:$H$40,5,FALSE))</f>
        <v/>
      </c>
      <c r="CB44" s="890" t="e">
        <f>(PRODUCT('HHV-LHV-MW'!K28)+PRODUCT('HHV-LHV-MW'!W28)+PRODUCT('HHV-LHV-MW'!AI28)+PRODUCT('HHV-LHV-MW'!AU28))/$BO$19</f>
        <v>#DIV/0!</v>
      </c>
      <c r="CC44" s="890">
        <f>IF($BO$19=1,"",  (SQRT(  (      (IF('HHV-LHV-MW'!K28="",0,('HHV-LHV-MW'!K28-CB44)^2))      +        (IF('HHV-LHV-MW'!W28="",0,('HHV-LHV-MW'!W28-CB44)^2))       +        (IF('HHV-LHV-MW'!AI28="",0,('HHV-LHV-MW'!AI28-CB44)^2))          +        (IF('HHV-LHV-MW'!AU28="",0,('HHV-LHV-MW'!AU28-CB44)^2))          )     *(1/($BO$19-1))  )))</f>
        <v>0</v>
      </c>
      <c r="CD44" s="890" t="e">
        <f t="shared" si="4"/>
        <v>#N/A</v>
      </c>
      <c r="CE44" s="890" t="e">
        <f t="shared" si="5"/>
        <v>#DIV/0!</v>
      </c>
      <c r="CF44" s="636" t="str">
        <f>IF('HHV-LHV-MW'!K28="","",IF(AND('HHV-LHV-MW'!K28&gt;=0,'HHV-LHV-MW'!K28&lt;=0.09),2,  IF(AND('HHV-LHV-MW'!K28&gt;=0.1,'HHV-LHV-MW'!K28&lt;=0.9),7,  IF(AND('HHV-LHV-MW'!K28&gt;=1,'HHV-LHV-MW'!K28&lt;=4.9),10,   IF(AND('HHV-LHV-MW'!K28&gt;=5,'HHV-LHV-MW'!K28&lt;=10),12, 15)))))</f>
        <v/>
      </c>
      <c r="CG44" s="636" t="str">
        <f>IF('HHV-LHV-MW'!K28="","",5*'HHV-LHV-MW'!K28)</f>
        <v/>
      </c>
      <c r="CH44" s="635" t="str">
        <f t="shared" si="6"/>
        <v/>
      </c>
      <c r="CI44" s="636" t="str">
        <f>IF(OR(CH44="",'HHV-LHV-MW'!K28=0),"",CH44/'HHV-LHV-MW'!K28)</f>
        <v/>
      </c>
      <c r="CJ44" s="636" t="str">
        <f>IF(OR(CI44="",BZ44="",'HHV-LHV-MW'!K28=""),"",((CI44*BZ44*('HHV-LHV-MW'!K28/100))/23.685)^2)</f>
        <v/>
      </c>
      <c r="CK44" s="891" t="str">
        <f>IF(OR(CI44="",CA44="",'HHV-LHV-MW'!K28=""),"",((CI44*CA44*('HHV-LHV-MW'!K28/100))/23.685)^2)</f>
        <v/>
      </c>
      <c r="CL44" s="639" t="e">
        <f t="shared" si="7"/>
        <v>#DIV/0!</v>
      </c>
      <c r="CM44" s="892" t="e">
        <f t="shared" si="8"/>
        <v>#DIV/0!</v>
      </c>
      <c r="CN44" s="511"/>
      <c r="CO44" s="511"/>
      <c r="CP44" s="511"/>
      <c r="CQ44" s="511"/>
      <c r="CR44" s="511"/>
      <c r="CS44" s="511"/>
      <c r="CT44" s="511"/>
      <c r="CU44" s="888" t="str">
        <f>IF(G44="","",VLOOKUP(G44,'HHV-LHV-MW'!$A$3:$H$40,4,FALSE))</f>
        <v/>
      </c>
      <c r="CV44" s="889" t="str">
        <f>IF(G44="","",VLOOKUP(G44,'HHV-LHV-MW'!$A$3:$H$40,5,FALSE))</f>
        <v/>
      </c>
      <c r="CW44" s="890" t="e">
        <f>(PRODUCT('HHV-LHV-MW'!BH28)+PRODUCT('HHV-LHV-MW'!BT28)+PRODUCT('HHV-LHV-MW'!CF28)+PRODUCT('HHV-LHV-MW'!CR28))/$BO$28</f>
        <v>#DIV/0!</v>
      </c>
      <c r="CX44" s="890">
        <f>IF($BO$28=1,"",  (SQRT(  (      (IF('HHV-LHV-MW'!BH28="",0,('HHV-LHV-MW'!BH28-CW44)^2))      +        (IF('HHV-LHV-MW'!BT28="",0,('HHV-LHV-MW'!BT28-CW44)^2))       +        (IF('HHV-LHV-MW'!CF28="",0,('HHV-LHV-MW'!CF28-CW44)^2))          +        (IF('HHV-LHV-MW'!CR28="",0,('HHV-LHV-MW'!CR28-CW44)^2))          )     *(1/($BO$28-1))  )))</f>
        <v>0</v>
      </c>
      <c r="CY44" s="890" t="e">
        <f t="shared" si="9"/>
        <v>#N/A</v>
      </c>
      <c r="CZ44" s="890" t="e">
        <f t="shared" si="10"/>
        <v>#DIV/0!</v>
      </c>
      <c r="DA44" s="636" t="str">
        <f>IF('HHV-LHV-MW'!BH28="","",IF(AND('HHV-LHV-MW'!BH28&gt;=0,'HHV-LHV-MW'!BH28&lt;=0.09),2,  IF(AND('HHV-LHV-MW'!BH28&gt;=0.1,'HHV-LHV-MW'!BH28&lt;=0.9),7,  IF(AND('HHV-LHV-MW'!BH28&gt;=1,'HHV-LHV-MW'!BH28&lt;=4.9),10,   IF(AND('HHV-LHV-MW'!BH28&gt;=5,'HHV-LHV-MW'!BH28&lt;=10),12, 15)))))</f>
        <v/>
      </c>
      <c r="DB44" s="636" t="str">
        <f>IF('HHV-LHV-MW'!BH28="","",5*'HHV-LHV-MW'!BH28)</f>
        <v/>
      </c>
      <c r="DC44" s="635" t="str">
        <f t="shared" si="11"/>
        <v/>
      </c>
      <c r="DD44" s="636" t="str">
        <f>IF(OR(DC44="",'HHV-LHV-MW'!BH28=0),"",DC44/'HHV-LHV-MW'!BH28)</f>
        <v/>
      </c>
      <c r="DE44" s="635" t="str">
        <f>IF(OR(DD44="",CU44="",'HHV-LHV-MW'!BH28=""),"",((DD44*CU44*('HHV-LHV-MW'!BH28/100))/23.685)^2)</f>
        <v/>
      </c>
      <c r="DF44" s="636" t="str">
        <f>IF(OR(DD44="",CV44="",'HHV-LHV-MW'!BH28=""),"",((DD44*CV44*('HHV-LHV-MW'!BH28/100))/23.685)^2)</f>
        <v/>
      </c>
      <c r="DG44" s="639" t="e">
        <f t="shared" si="12"/>
        <v>#DIV/0!</v>
      </c>
      <c r="DH44" s="892" t="e">
        <f t="shared" si="13"/>
        <v>#DIV/0!</v>
      </c>
      <c r="DI44" s="511"/>
      <c r="DJ44" s="511"/>
      <c r="DK44" s="511"/>
      <c r="DL44" s="511"/>
      <c r="DM44" s="511"/>
      <c r="DN44" s="511"/>
      <c r="DO44" s="511"/>
      <c r="DP44" s="888" t="str">
        <f>IF(M44="","",VLOOKUP(M44,'HHV-LHV-MW'!$A$3:$H$40,4,FALSE))</f>
        <v/>
      </c>
      <c r="DQ44" s="889" t="str">
        <f>IF(M44="","",VLOOKUP(M44,'HHV-LHV-MW'!$A$3:$H$40,5,FALSE))</f>
        <v/>
      </c>
      <c r="DR44" s="890" t="e">
        <f>(PRODUCT('HHV-LHV-MW'!DE28)+PRODUCT('HHV-LHV-MW'!DQ28)+PRODUCT('HHV-LHV-MW'!EC28)+PRODUCT('HHV-LHV-MW'!EO28))/$BO$37</f>
        <v>#DIV/0!</v>
      </c>
      <c r="DS44" s="890">
        <f>IF($BO$37=1,"",  (SQRT(  (      (IF('HHV-LHV-MW'!DE28="",0,('HHV-LHV-MW'!DE28-DR44)^2))      +        (IF('HHV-LHV-MW'!DQ28="",0,('HHV-LHV-MW'!DQ28-DR44)^2))       +        (IF('HHV-LHV-MW'!EC28="",0,('HHV-LHV-MW'!EC28-DR44)^2))          +        (IF('HHV-LHV-MW'!EO28="",0,('HHV-LHV-MW'!EO28-DR44)^2))          )     *(1/($BO$37-1))  )))</f>
        <v>0</v>
      </c>
      <c r="DT44" s="890" t="e">
        <f t="shared" si="0"/>
        <v>#N/A</v>
      </c>
      <c r="DU44" s="890" t="e">
        <f t="shared" si="14"/>
        <v>#DIV/0!</v>
      </c>
      <c r="DV44" s="636" t="str">
        <f>IF('HHV-LHV-MW'!DE28="","",IF(AND('HHV-LHV-MW'!DE28&gt;=0,'HHV-LHV-MW'!DE28&lt;=0.09),2,  IF(AND('HHV-LHV-MW'!DE28&gt;=0.1,'HHV-LHV-MW'!DE28&lt;=0.9),7,  IF(AND('HHV-LHV-MW'!DE28&gt;=1,'HHV-LHV-MW'!DE28&lt;=4.9),10,   IF(AND('HHV-LHV-MW'!DE28&gt;=5,'HHV-LHV-MW'!DE28&lt;=10),12, 15)))))</f>
        <v/>
      </c>
      <c r="DW44" s="636" t="str">
        <f>IF('HHV-LHV-MW'!DE28="","",5*'HHV-LHV-MW'!DE28)</f>
        <v/>
      </c>
      <c r="DX44" s="635" t="str">
        <f t="shared" si="15"/>
        <v/>
      </c>
      <c r="DY44" s="636" t="str">
        <f>IF(OR(DX44="",'HHV-LHV-MW'!DE28=0),"",DX44/'HHV-LHV-MW'!DE28)</f>
        <v/>
      </c>
      <c r="DZ44" s="636" t="str">
        <f>IF(OR(DY44="",DP44="",'HHV-LHV-MW'!DE28=""),"",((DY44*DP44*('HHV-LHV-MW'!DE28/100))/23.685)^2)</f>
        <v/>
      </c>
      <c r="EA44" s="636" t="str">
        <f>IF(OR(DY44="",DQ44="",'HHV-LHV-MW'!DE28=""),"",((DY44*DQ44*('HHV-LHV-MW'!DE28/100))/23.685)^2)</f>
        <v/>
      </c>
      <c r="EB44" s="639" t="e">
        <f t="shared" si="16"/>
        <v>#DIV/0!</v>
      </c>
      <c r="EC44" s="892" t="e">
        <f t="shared" si="17"/>
        <v>#DIV/0!</v>
      </c>
      <c r="ED44" s="511"/>
      <c r="EE44" s="511"/>
      <c r="EF44" s="511"/>
      <c r="EG44" s="511"/>
      <c r="EH44" s="511"/>
      <c r="EI44" s="511"/>
      <c r="EJ44" s="511"/>
      <c r="EK44" s="888" t="str">
        <f>IF(S44="","",VLOOKUP(S44,'HHV-LHV-MW'!$A$3:$H$40,4,FALSE))</f>
        <v/>
      </c>
      <c r="EL44" s="889" t="str">
        <f>IF(S44="","",VLOOKUP(S44,'HHV-LHV-MW'!$A$3:$H$40,5,FALSE))</f>
        <v/>
      </c>
      <c r="EM44" s="890" t="e">
        <f>(PRODUCT('HHV-LHV-MW'!FB28)+PRODUCT('HHV-LHV-MW'!FN28)+PRODUCT('HHV-LHV-MW'!FZ28)+PRODUCT('HHV-LHV-MW'!GL28))/$BW$19</f>
        <v>#DIV/0!</v>
      </c>
      <c r="EN44" s="890">
        <f>IF($BW$19=1,"",  (SQRT(  (      (IF('HHV-LHV-MW'!FB28="",0,('HHV-LHV-MW'!FB28-EM44)^2))      +        (IF('HHV-LHV-MW'!FN28="",0,('HHV-LHV-MW'!FN28-EM44)^2))       +        (IF('HHV-LHV-MW'!FZ28="",0,('HHV-LHV-MW'!FZ28-EM44)^2))          +        (IF('HHV-LHV-MW'!GL28="",0,('HHV-LHV-MW'!GL28-EM44)^2))          )     *(1/($BW$19-1))  )))</f>
        <v>0</v>
      </c>
      <c r="EO44" s="890" t="e">
        <f t="shared" si="1"/>
        <v>#N/A</v>
      </c>
      <c r="EP44" s="890" t="e">
        <f t="shared" si="18"/>
        <v>#DIV/0!</v>
      </c>
      <c r="EQ44" s="636" t="str">
        <f>IF('HHV-LHV-MW'!FB28="","",IF(AND('HHV-LHV-MW'!FB28&gt;=0,'HHV-LHV-MW'!FB28&lt;=0.09),2,  IF(AND('HHV-LHV-MW'!FB28&gt;=0.1,'HHV-LHV-MW'!FB28&lt;=0.9),7,  IF(AND('HHV-LHV-MW'!FB28&gt;=1,'HHV-LHV-MW'!FB28&lt;=4.9),10,   IF(AND('HHV-LHV-MW'!FB28&gt;=5,'HHV-LHV-MW'!FB28&lt;=10),12, 15)))))</f>
        <v/>
      </c>
      <c r="ER44" s="636" t="str">
        <f>IF('HHV-LHV-MW'!FB28="","",5*'HHV-LHV-MW'!FB28)</f>
        <v/>
      </c>
      <c r="ES44" s="635" t="str">
        <f t="shared" si="19"/>
        <v/>
      </c>
      <c r="ET44" s="636" t="str">
        <f>IF(OR(ES44="",'HHV-LHV-MW'!FB28=0),"",ES44/'HHV-LHV-MW'!FB28)</f>
        <v/>
      </c>
      <c r="EU44" s="636" t="str">
        <f>IF(OR(ET44="",EK44="",'HHV-LHV-MW'!FB28=""),"",((ET44*EK44*('HHV-LHV-MW'!FB28/100))/23.685)^2)</f>
        <v/>
      </c>
      <c r="EV44" s="636" t="str">
        <f>IF(OR(ET44="",EL44="",'HHV-LHV-MW'!FB28=""),"",((ET44*EL44*('HHV-LHV-MW'!FB28/100))/23.685)^2)</f>
        <v/>
      </c>
      <c r="EW44" s="639" t="e">
        <f t="shared" si="20"/>
        <v>#DIV/0!</v>
      </c>
      <c r="EX44" s="892" t="e">
        <f t="shared" si="21"/>
        <v>#DIV/0!</v>
      </c>
      <c r="EY44" s="511"/>
      <c r="EZ44" s="511"/>
      <c r="FA44" s="511"/>
      <c r="FB44" s="511"/>
      <c r="FC44" s="511"/>
      <c r="FD44" s="511"/>
      <c r="FE44" s="511"/>
      <c r="FF44" s="888" t="str">
        <f>IF(Y44="","",VLOOKUP(Y44,'HHV-LHV-MW'!$A$3:$H$40,4,FALSE))</f>
        <v/>
      </c>
      <c r="FG44" s="889" t="str">
        <f>IF(Y44="","",VLOOKUP(Y44,'HHV-LHV-MW'!$A$3:$H$40,5,FALSE))</f>
        <v/>
      </c>
      <c r="FH44" s="890" t="e">
        <f>(PRODUCT('HHV-LHV-MW'!GY28)+PRODUCT('HHV-LHV-MW'!HK28)+PRODUCT('HHV-LHV-MW'!HW28)+PRODUCT('HHV-LHV-MW'!II28))/$BW$28</f>
        <v>#DIV/0!</v>
      </c>
      <c r="FI44" s="890">
        <f>IF($BW$28=1,"",  (SQRT(  (      (IF('HHV-LHV-MW'!GY28="",0,('HHV-LHV-MW'!GY28-FH44)^2))      +        (IF('HHV-LHV-MW'!HK28="",0,('HHV-LHV-MW'!HK28-FH44)^2))       +        (IF('HHV-LHV-MW'!HW28="",0,('HHV-LHV-MW'!HW28-FH44)^2))          +        (IF('HHV-LHV-MW'!II28="",0,('HHV-LHV-MW'!II28-FH44)^2))          )     *(1/($BW$28-1))  )))</f>
        <v>0</v>
      </c>
      <c r="FJ44" s="890" t="e">
        <f t="shared" si="2"/>
        <v>#N/A</v>
      </c>
      <c r="FK44" s="890" t="e">
        <f t="shared" si="22"/>
        <v>#DIV/0!</v>
      </c>
      <c r="FL44" s="636" t="str">
        <f>IF('HHV-LHV-MW'!GY28="","",IF(AND('HHV-LHV-MW'!GY28&gt;=0,'HHV-LHV-MW'!GY28&lt;=0.09),2,  IF(AND('HHV-LHV-MW'!GY28&gt;=0.1,'HHV-LHV-MW'!GY28&lt;=0.9),7,  IF(AND('HHV-LHV-MW'!GY28&gt;=1,'HHV-LHV-MW'!GY28&lt;=4.9),10,   IF(AND('HHV-LHV-MW'!GY28&gt;=5,'HHV-LHV-MW'!GY28&lt;=10),12, 15)))))</f>
        <v/>
      </c>
      <c r="FM44" s="636" t="str">
        <f>IF('HHV-LHV-MW'!GY28="","",5*'HHV-LHV-MW'!GY28)</f>
        <v/>
      </c>
      <c r="FN44" s="635" t="str">
        <f t="shared" si="23"/>
        <v/>
      </c>
      <c r="FO44" s="636" t="str">
        <f>IF(OR(FN44="",'HHV-LHV-MW'!GY28=0),"",FN44/'HHV-LHV-MW'!GY28)</f>
        <v/>
      </c>
      <c r="FP44" s="636" t="str">
        <f>IF(OR(FO44="",FF44="",'HHV-LHV-MW'!GY28=""),"",((FO44*FF44*('HHV-LHV-MW'!GY28/100))/23.685)^2)</f>
        <v/>
      </c>
      <c r="FQ44" s="636" t="str">
        <f>IF(OR(FO44="",FG44="",'HHV-LHV-MW'!GY28=""),"",((FO44*FG44*('HHV-LHV-MW'!GY28/100))/23.685)^2)</f>
        <v/>
      </c>
      <c r="FR44" s="639" t="e">
        <f t="shared" si="24"/>
        <v>#DIV/0!</v>
      </c>
      <c r="FS44" s="892" t="e">
        <f t="shared" si="25"/>
        <v>#DIV/0!</v>
      </c>
      <c r="FT44" s="511"/>
      <c r="FU44" s="511"/>
      <c r="FV44" s="511"/>
      <c r="FW44" s="511"/>
      <c r="FX44" s="511"/>
      <c r="FY44" s="511"/>
      <c r="FZ44" s="511"/>
      <c r="GA44" s="888" t="str">
        <f>IF(AE44="","",VLOOKUP(AE44,'HHV-LHV-MW'!$A$3:$H$40,4,FALSE))</f>
        <v/>
      </c>
      <c r="GB44" s="889" t="str">
        <f>IF(AE44="","",VLOOKUP(AE44,'HHV-LHV-MW'!$A$3:$H$40,5,FALSE))</f>
        <v/>
      </c>
      <c r="GC44" s="890" t="e">
        <f>(PRODUCT('HHV-LHV-MW'!IV28)+PRODUCT('HHV-LHV-MW'!JH28)+PRODUCT('HHV-LHV-MW'!JT28)+PRODUCT('HHV-LHV-MW'!KF28))/$BW$37</f>
        <v>#DIV/0!</v>
      </c>
      <c r="GD44" s="890">
        <f>IF($BW$37=1,"",  (SQRT(  (      (IF('HHV-LHV-MW'!IV28="",0,('HHV-LHV-MW'!IV28-GC44)^2))      +        (IF('HHV-LHV-MW'!JH28="",0,('HHV-LHV-MW'!JH28-GC44)^2))       +        (IF('HHV-LHV-MW'!JT28="",0,('HHV-LHV-MW'!JT28-GC44)^2))          +        (IF('HHV-LHV-MW'!KF28="",0,('HHV-LHV-MW'!KF28-GC44)^2))          )     *(1/($BW$37-1))  )))</f>
        <v>0</v>
      </c>
      <c r="GE44" s="890" t="e">
        <f t="shared" si="3"/>
        <v>#N/A</v>
      </c>
      <c r="GF44" s="890" t="e">
        <f t="shared" si="26"/>
        <v>#DIV/0!</v>
      </c>
      <c r="GG44" s="636" t="str">
        <f>IF('HHV-LHV-MW'!IV28="","",IF(AND('HHV-LHV-MW'!IV28&gt;=0,'HHV-LHV-MW'!IV28&lt;=0.09),2,  IF(AND('HHV-LHV-MW'!IV28&gt;=0.1,'HHV-LHV-MW'!IV28&lt;=0.9),7,  IF(AND('HHV-LHV-MW'!IV28&gt;=1,'HHV-LHV-MW'!IV28&lt;=4.9),10,   IF(AND('HHV-LHV-MW'!IV28&gt;=5,'HHV-LHV-MW'!IV28&lt;=10),12, 15)))))</f>
        <v/>
      </c>
      <c r="GH44" s="636" t="str">
        <f>IF('HHV-LHV-MW'!IV28="","",5*'HHV-LHV-MW'!IV28)</f>
        <v/>
      </c>
      <c r="GI44" s="635" t="str">
        <f t="shared" si="27"/>
        <v/>
      </c>
      <c r="GJ44" s="636" t="str">
        <f>IF(OR(GI44="",'HHV-LHV-MW'!IV28=0),"",GI44/'HHV-LHV-MW'!IV28)</f>
        <v/>
      </c>
      <c r="GK44" s="636" t="str">
        <f>IF(OR(GJ44="",GA44="",'HHV-LHV-MW'!IV28=""),"",((GJ44*GA44*('HHV-LHV-MW'!IV28/100))/23.685)^2)</f>
        <v/>
      </c>
      <c r="GL44" s="636" t="str">
        <f>IF(OR(GJ44="",GB44="",'HHV-LHV-MW'!IV28=""),"",((GJ44*GB44*('HHV-LHV-MW'!IV28/100))/23.685)^2)</f>
        <v/>
      </c>
      <c r="GM44" s="639" t="e">
        <f t="shared" si="28"/>
        <v>#DIV/0!</v>
      </c>
      <c r="GN44" s="892" t="e">
        <f t="shared" si="29"/>
        <v>#DIV/0!</v>
      </c>
      <c r="GO44" s="874"/>
      <c r="GP44" s="874"/>
      <c r="GQ44" s="874"/>
      <c r="GR44" s="874"/>
      <c r="GS44" s="874"/>
      <c r="GT44" s="874"/>
      <c r="GU44" s="874"/>
      <c r="GV44" s="874"/>
      <c r="GW44" s="874"/>
      <c r="GX44" s="874"/>
      <c r="GY44" s="874"/>
      <c r="GZ44" s="874"/>
      <c r="HA44" s="874"/>
      <c r="HB44" s="511"/>
      <c r="HC44" s="511"/>
      <c r="HD44" s="511"/>
      <c r="HE44" s="511"/>
      <c r="HF44" s="511"/>
      <c r="HG44" s="511"/>
      <c r="HH44" s="511"/>
      <c r="HI44" s="511"/>
      <c r="HJ44" s="874"/>
      <c r="HK44" s="874"/>
      <c r="HL44" s="874"/>
      <c r="HM44" s="874"/>
      <c r="HN44" s="874"/>
      <c r="HO44" s="874"/>
      <c r="HP44" s="874"/>
      <c r="HQ44" s="874"/>
      <c r="HR44" s="874"/>
      <c r="HS44" s="874"/>
      <c r="HT44" s="874"/>
      <c r="HU44" s="874"/>
      <c r="HV44" s="874"/>
      <c r="HW44" s="511"/>
      <c r="HX44" s="511"/>
      <c r="HY44" s="511"/>
      <c r="HZ44" s="511"/>
      <c r="IA44" s="511"/>
      <c r="IB44" s="511"/>
      <c r="IC44" s="511"/>
      <c r="ID44" s="511"/>
      <c r="IE44" s="874"/>
      <c r="IF44" s="874"/>
      <c r="IG44" s="874"/>
      <c r="IH44" s="874"/>
      <c r="II44" s="874"/>
      <c r="IJ44" s="874"/>
      <c r="IK44" s="874"/>
      <c r="IL44" s="874"/>
      <c r="IM44" s="874"/>
      <c r="IN44" s="874"/>
      <c r="IO44" s="874"/>
      <c r="IP44" s="874"/>
      <c r="IQ44" s="874"/>
      <c r="IR44" s="511"/>
      <c r="IS44" s="511"/>
      <c r="IT44" s="511"/>
      <c r="IU44" s="511"/>
      <c r="IV44" s="511"/>
      <c r="IW44" s="511"/>
      <c r="IX44" s="511"/>
      <c r="IY44" s="511"/>
      <c r="IZ44" s="874"/>
      <c r="JA44" s="874"/>
      <c r="JB44" s="874"/>
      <c r="JC44" s="874"/>
      <c r="JD44" s="874"/>
      <c r="JE44" s="874"/>
      <c r="JF44" s="874"/>
      <c r="JG44" s="874"/>
      <c r="JH44" s="874"/>
      <c r="JI44" s="874"/>
      <c r="JJ44" s="874"/>
      <c r="JK44" s="874"/>
      <c r="JL44" s="874"/>
      <c r="JM44" s="874"/>
      <c r="JN44" s="874"/>
      <c r="JO44" s="874"/>
      <c r="JP44" s="874"/>
      <c r="JQ44" s="874"/>
      <c r="JR44" s="874"/>
      <c r="JS44" s="874"/>
      <c r="JT44" s="874"/>
      <c r="JU44" s="874"/>
      <c r="JV44" s="874"/>
      <c r="JW44" s="874"/>
      <c r="JX44" s="874"/>
      <c r="JY44" s="874"/>
      <c r="JZ44" s="874"/>
      <c r="KA44" s="874"/>
      <c r="KB44" s="874"/>
      <c r="KC44" s="874"/>
      <c r="KD44" s="874"/>
      <c r="KE44" s="874"/>
      <c r="KF44" s="874"/>
      <c r="KG44" s="874"/>
      <c r="KH44" s="865"/>
      <c r="KI44" s="865"/>
      <c r="KJ44" s="865"/>
      <c r="KK44" s="865"/>
      <c r="KL44" s="865"/>
      <c r="KM44" s="865"/>
      <c r="KN44" s="865"/>
      <c r="KO44" s="865"/>
      <c r="KP44" s="865"/>
      <c r="KQ44" s="865"/>
      <c r="KR44" s="865"/>
      <c r="KS44" s="865"/>
      <c r="KT44" s="865"/>
      <c r="KU44" s="865"/>
      <c r="KV44" s="865"/>
      <c r="KW44" s="865"/>
      <c r="KX44" s="865"/>
      <c r="KY44" s="865"/>
      <c r="KZ44" s="865"/>
      <c r="LA44" s="865"/>
      <c r="LB44" s="865"/>
      <c r="LC44" s="865"/>
      <c r="LD44" s="865"/>
      <c r="LE44" s="865"/>
      <c r="LF44" s="865"/>
    </row>
    <row r="45" spans="1:318">
      <c r="A45" s="864"/>
      <c r="B45" s="663"/>
      <c r="C45" s="663"/>
      <c r="D45" s="663"/>
      <c r="E45" s="663"/>
      <c r="F45" s="511"/>
      <c r="G45" s="864"/>
      <c r="H45" s="663"/>
      <c r="I45" s="663"/>
      <c r="J45" s="663"/>
      <c r="K45" s="663"/>
      <c r="L45" s="511"/>
      <c r="M45" s="864"/>
      <c r="N45" s="663"/>
      <c r="O45" s="663"/>
      <c r="P45" s="663"/>
      <c r="Q45" s="663"/>
      <c r="R45" s="511"/>
      <c r="S45" s="864"/>
      <c r="T45" s="663"/>
      <c r="U45" s="663"/>
      <c r="V45" s="663"/>
      <c r="W45" s="663"/>
      <c r="X45" s="511"/>
      <c r="Y45" s="864"/>
      <c r="Z45" s="663"/>
      <c r="AA45" s="663"/>
      <c r="AB45" s="663"/>
      <c r="AC45" s="663"/>
      <c r="AD45" s="511"/>
      <c r="AE45" s="864"/>
      <c r="AF45" s="663"/>
      <c r="AG45" s="663"/>
      <c r="AH45" s="663"/>
      <c r="AI45" s="663"/>
      <c r="AJ45" s="511"/>
      <c r="AK45" s="865"/>
      <c r="AL45" s="865"/>
      <c r="AM45" s="865"/>
      <c r="AN45" s="865"/>
      <c r="AO45" s="865"/>
      <c r="AP45" s="865"/>
      <c r="AQ45" s="865"/>
      <c r="AR45" s="865"/>
      <c r="AS45" s="865"/>
      <c r="AT45" s="865"/>
      <c r="AU45" s="865"/>
      <c r="AV45" s="865"/>
      <c r="AW45" s="865"/>
      <c r="AX45" s="865"/>
      <c r="AY45" s="865"/>
      <c r="AZ45" s="865"/>
      <c r="BA45" s="865"/>
      <c r="BB45" s="865"/>
      <c r="BC45" s="865"/>
      <c r="BD45" s="865"/>
      <c r="BE45" s="865"/>
      <c r="BF45" s="865"/>
      <c r="BG45" s="865"/>
      <c r="BH45" s="865"/>
      <c r="BI45" s="865"/>
      <c r="BJ45" s="865"/>
      <c r="BK45" s="865"/>
      <c r="BL45" s="865"/>
      <c r="BM45" s="865"/>
      <c r="BN45" s="865"/>
      <c r="BO45" s="865"/>
      <c r="BP45" s="865"/>
      <c r="BQ45" s="865"/>
      <c r="BR45" s="865"/>
      <c r="BS45" s="865"/>
      <c r="BT45" s="865"/>
      <c r="BU45" s="865"/>
      <c r="BV45" s="865"/>
      <c r="BW45" s="865"/>
      <c r="BX45" s="865"/>
      <c r="BY45" s="874"/>
      <c r="BZ45" s="888" t="str">
        <f>IF(A45="","",VLOOKUP(A45,'HHV-LHV-MW'!$A$3:$H$40,4,FALSE))</f>
        <v/>
      </c>
      <c r="CA45" s="889" t="str">
        <f>IF(A45="","",VLOOKUP(A45,'HHV-LHV-MW'!$A$3:$H$40,5,FALSE))</f>
        <v/>
      </c>
      <c r="CB45" s="890" t="e">
        <f>(PRODUCT('HHV-LHV-MW'!K29)+PRODUCT('HHV-LHV-MW'!W29)+PRODUCT('HHV-LHV-MW'!AI29)+PRODUCT('HHV-LHV-MW'!AU29))/$BO$19</f>
        <v>#DIV/0!</v>
      </c>
      <c r="CC45" s="890">
        <f>IF($BO$19=1,"",  (SQRT(  (      (IF('HHV-LHV-MW'!K29="",0,('HHV-LHV-MW'!K29-CB45)^2))      +        (IF('HHV-LHV-MW'!W29="",0,('HHV-LHV-MW'!W29-CB45)^2))       +        (IF('HHV-LHV-MW'!AI29="",0,('HHV-LHV-MW'!AI29-CB45)^2))          +        (IF('HHV-LHV-MW'!AU29="",0,('HHV-LHV-MW'!AU29-CB45)^2))          )     *(1/($BO$19-1))  )))</f>
        <v>0</v>
      </c>
      <c r="CD45" s="890" t="e">
        <f t="shared" si="4"/>
        <v>#N/A</v>
      </c>
      <c r="CE45" s="890" t="e">
        <f t="shared" si="5"/>
        <v>#DIV/0!</v>
      </c>
      <c r="CF45" s="636" t="str">
        <f>IF('HHV-LHV-MW'!K29="","",IF(AND('HHV-LHV-MW'!K29&gt;=0,'HHV-LHV-MW'!K29&lt;=0.09),2,  IF(AND('HHV-LHV-MW'!K29&gt;=0.1,'HHV-LHV-MW'!K29&lt;=0.9),7,  IF(AND('HHV-LHV-MW'!K29&gt;=1,'HHV-LHV-MW'!K29&lt;=4.9),10,   IF(AND('HHV-LHV-MW'!K29&gt;=5,'HHV-LHV-MW'!K29&lt;=10),12, 15)))))</f>
        <v/>
      </c>
      <c r="CG45" s="636" t="str">
        <f>IF('HHV-LHV-MW'!K29="","",5*'HHV-LHV-MW'!K29)</f>
        <v/>
      </c>
      <c r="CH45" s="635" t="str">
        <f t="shared" si="6"/>
        <v/>
      </c>
      <c r="CI45" s="636" t="str">
        <f>IF(OR(CH45="",'HHV-LHV-MW'!K29=0),"",CH45/'HHV-LHV-MW'!K29)</f>
        <v/>
      </c>
      <c r="CJ45" s="636" t="str">
        <f>IF(OR(CI45="",BZ45="",'HHV-LHV-MW'!K29=""),"",((CI45*BZ45*('HHV-LHV-MW'!K29/100))/23.685)^2)</f>
        <v/>
      </c>
      <c r="CK45" s="891" t="str">
        <f>IF(OR(CI45="",CA45="",'HHV-LHV-MW'!K29=""),"",((CI45*CA45*('HHV-LHV-MW'!K29/100))/23.685)^2)</f>
        <v/>
      </c>
      <c r="CL45" s="639" t="e">
        <f t="shared" si="7"/>
        <v>#DIV/0!</v>
      </c>
      <c r="CM45" s="892" t="e">
        <f t="shared" si="8"/>
        <v>#DIV/0!</v>
      </c>
      <c r="CN45" s="511"/>
      <c r="CO45" s="511"/>
      <c r="CP45" s="511"/>
      <c r="CQ45" s="511"/>
      <c r="CR45" s="511"/>
      <c r="CS45" s="511"/>
      <c r="CT45" s="511"/>
      <c r="CU45" s="888" t="str">
        <f>IF(G45="","",VLOOKUP(G45,'HHV-LHV-MW'!$A$3:$H$40,4,FALSE))</f>
        <v/>
      </c>
      <c r="CV45" s="889" t="str">
        <f>IF(G45="","",VLOOKUP(G45,'HHV-LHV-MW'!$A$3:$H$40,5,FALSE))</f>
        <v/>
      </c>
      <c r="CW45" s="890" t="e">
        <f>(PRODUCT('HHV-LHV-MW'!BH29)+PRODUCT('HHV-LHV-MW'!BT29)+PRODUCT('HHV-LHV-MW'!CF29)+PRODUCT('HHV-LHV-MW'!CR29))/$BO$28</f>
        <v>#DIV/0!</v>
      </c>
      <c r="CX45" s="890">
        <f>IF($BO$28=1,"",  (SQRT(  (      (IF('HHV-LHV-MW'!BH29="",0,('HHV-LHV-MW'!BH29-CW45)^2))      +        (IF('HHV-LHV-MW'!BT29="",0,('HHV-LHV-MW'!BT29-CW45)^2))       +        (IF('HHV-LHV-MW'!CF29="",0,('HHV-LHV-MW'!CF29-CW45)^2))          +        (IF('HHV-LHV-MW'!CR29="",0,('HHV-LHV-MW'!CR29-CW45)^2))          )     *(1/($BO$28-1))  )))</f>
        <v>0</v>
      </c>
      <c r="CY45" s="890" t="e">
        <f t="shared" si="9"/>
        <v>#N/A</v>
      </c>
      <c r="CZ45" s="890" t="e">
        <f t="shared" si="10"/>
        <v>#DIV/0!</v>
      </c>
      <c r="DA45" s="636" t="str">
        <f>IF('HHV-LHV-MW'!BH29="","",IF(AND('HHV-LHV-MW'!BH29&gt;=0,'HHV-LHV-MW'!BH29&lt;=0.09),2,  IF(AND('HHV-LHV-MW'!BH29&gt;=0.1,'HHV-LHV-MW'!BH29&lt;=0.9),7,  IF(AND('HHV-LHV-MW'!BH29&gt;=1,'HHV-LHV-MW'!BH29&lt;=4.9),10,   IF(AND('HHV-LHV-MW'!BH29&gt;=5,'HHV-LHV-MW'!BH29&lt;=10),12, 15)))))</f>
        <v/>
      </c>
      <c r="DB45" s="636" t="str">
        <f>IF('HHV-LHV-MW'!BH29="","",5*'HHV-LHV-MW'!BH29)</f>
        <v/>
      </c>
      <c r="DC45" s="635" t="str">
        <f t="shared" si="11"/>
        <v/>
      </c>
      <c r="DD45" s="636" t="str">
        <f>IF(OR(DC45="",'HHV-LHV-MW'!BH29=0),"",DC45/'HHV-LHV-MW'!BH29)</f>
        <v/>
      </c>
      <c r="DE45" s="635" t="str">
        <f>IF(OR(DD45="",CU45="",'HHV-LHV-MW'!BH29=""),"",((DD45*CU45*('HHV-LHV-MW'!BH29/100))/23.685)^2)</f>
        <v/>
      </c>
      <c r="DF45" s="636" t="str">
        <f>IF(OR(DD45="",CV45="",'HHV-LHV-MW'!BH29=""),"",((DD45*CV45*('HHV-LHV-MW'!BH29/100))/23.685)^2)</f>
        <v/>
      </c>
      <c r="DG45" s="639" t="e">
        <f t="shared" si="12"/>
        <v>#DIV/0!</v>
      </c>
      <c r="DH45" s="892" t="e">
        <f t="shared" si="13"/>
        <v>#DIV/0!</v>
      </c>
      <c r="DI45" s="511"/>
      <c r="DJ45" s="511"/>
      <c r="DK45" s="511"/>
      <c r="DL45" s="511"/>
      <c r="DM45" s="511"/>
      <c r="DN45" s="511"/>
      <c r="DO45" s="511"/>
      <c r="DP45" s="888" t="str">
        <f>IF(M45="","",VLOOKUP(M45,'HHV-LHV-MW'!$A$3:$H$40,4,FALSE))</f>
        <v/>
      </c>
      <c r="DQ45" s="889" t="str">
        <f>IF(M45="","",VLOOKUP(M45,'HHV-LHV-MW'!$A$3:$H$40,5,FALSE))</f>
        <v/>
      </c>
      <c r="DR45" s="890" t="e">
        <f>(PRODUCT('HHV-LHV-MW'!DE29)+PRODUCT('HHV-LHV-MW'!DQ29)+PRODUCT('HHV-LHV-MW'!EC29)+PRODUCT('HHV-LHV-MW'!EO29))/$BO$37</f>
        <v>#DIV/0!</v>
      </c>
      <c r="DS45" s="890">
        <f>IF($BO$37=1,"",  (SQRT(  (      (IF('HHV-LHV-MW'!DE29="",0,('HHV-LHV-MW'!DE29-DR45)^2))      +        (IF('HHV-LHV-MW'!DQ29="",0,('HHV-LHV-MW'!DQ29-DR45)^2))       +        (IF('HHV-LHV-MW'!EC29="",0,('HHV-LHV-MW'!EC29-DR45)^2))          +        (IF('HHV-LHV-MW'!EO29="",0,('HHV-LHV-MW'!EO29-DR45)^2))          )     *(1/($BO$37-1))  )))</f>
        <v>0</v>
      </c>
      <c r="DT45" s="890" t="e">
        <f t="shared" si="0"/>
        <v>#N/A</v>
      </c>
      <c r="DU45" s="890" t="e">
        <f t="shared" si="14"/>
        <v>#DIV/0!</v>
      </c>
      <c r="DV45" s="636" t="str">
        <f>IF('HHV-LHV-MW'!DE29="","",IF(AND('HHV-LHV-MW'!DE29&gt;=0,'HHV-LHV-MW'!DE29&lt;=0.09),2,  IF(AND('HHV-LHV-MW'!DE29&gt;=0.1,'HHV-LHV-MW'!DE29&lt;=0.9),7,  IF(AND('HHV-LHV-MW'!DE29&gt;=1,'HHV-LHV-MW'!DE29&lt;=4.9),10,   IF(AND('HHV-LHV-MW'!DE29&gt;=5,'HHV-LHV-MW'!DE29&lt;=10),12, 15)))))</f>
        <v/>
      </c>
      <c r="DW45" s="636" t="str">
        <f>IF('HHV-LHV-MW'!DE29="","",5*'HHV-LHV-MW'!DE29)</f>
        <v/>
      </c>
      <c r="DX45" s="635" t="str">
        <f t="shared" si="15"/>
        <v/>
      </c>
      <c r="DY45" s="636" t="str">
        <f>IF(OR(DX45="",'HHV-LHV-MW'!DE29=0),"",DX45/'HHV-LHV-MW'!DE29)</f>
        <v/>
      </c>
      <c r="DZ45" s="636" t="str">
        <f>IF(OR(DY45="",DP45="",'HHV-LHV-MW'!DE29=""),"",((DY45*DP45*('HHV-LHV-MW'!DE29/100))/23.685)^2)</f>
        <v/>
      </c>
      <c r="EA45" s="636" t="str">
        <f>IF(OR(DY45="",DQ45="",'HHV-LHV-MW'!DE29=""),"",((DY45*DQ45*('HHV-LHV-MW'!DE29/100))/23.685)^2)</f>
        <v/>
      </c>
      <c r="EB45" s="639" t="e">
        <f t="shared" si="16"/>
        <v>#DIV/0!</v>
      </c>
      <c r="EC45" s="892" t="e">
        <f t="shared" si="17"/>
        <v>#DIV/0!</v>
      </c>
      <c r="ED45" s="511"/>
      <c r="EE45" s="511"/>
      <c r="EF45" s="511"/>
      <c r="EG45" s="511"/>
      <c r="EH45" s="511"/>
      <c r="EI45" s="511"/>
      <c r="EJ45" s="511"/>
      <c r="EK45" s="888" t="str">
        <f>IF(S45="","",VLOOKUP(S45,'HHV-LHV-MW'!$A$3:$H$40,4,FALSE))</f>
        <v/>
      </c>
      <c r="EL45" s="889" t="str">
        <f>IF(S45="","",VLOOKUP(S45,'HHV-LHV-MW'!$A$3:$H$40,5,FALSE))</f>
        <v/>
      </c>
      <c r="EM45" s="890" t="e">
        <f>(PRODUCT('HHV-LHV-MW'!FB29)+PRODUCT('HHV-LHV-MW'!FN29)+PRODUCT('HHV-LHV-MW'!FZ29)+PRODUCT('HHV-LHV-MW'!GL29))/$BW$19</f>
        <v>#DIV/0!</v>
      </c>
      <c r="EN45" s="890">
        <f>IF($BW$19=1,"",  (SQRT(  (      (IF('HHV-LHV-MW'!FB29="",0,('HHV-LHV-MW'!FB29-EM45)^2))      +        (IF('HHV-LHV-MW'!FN29="",0,('HHV-LHV-MW'!FN29-EM45)^2))       +        (IF('HHV-LHV-MW'!FZ29="",0,('HHV-LHV-MW'!FZ29-EM45)^2))          +        (IF('HHV-LHV-MW'!GL29="",0,('HHV-LHV-MW'!GL29-EM45)^2))          )     *(1/($BW$19-1))  )))</f>
        <v>0</v>
      </c>
      <c r="EO45" s="890" t="e">
        <f t="shared" si="1"/>
        <v>#N/A</v>
      </c>
      <c r="EP45" s="890" t="e">
        <f t="shared" si="18"/>
        <v>#DIV/0!</v>
      </c>
      <c r="EQ45" s="636" t="str">
        <f>IF('HHV-LHV-MW'!FB29="","",IF(AND('HHV-LHV-MW'!FB29&gt;=0,'HHV-LHV-MW'!FB29&lt;=0.09),2,  IF(AND('HHV-LHV-MW'!FB29&gt;=0.1,'HHV-LHV-MW'!FB29&lt;=0.9),7,  IF(AND('HHV-LHV-MW'!FB29&gt;=1,'HHV-LHV-MW'!FB29&lt;=4.9),10,   IF(AND('HHV-LHV-MW'!FB29&gt;=5,'HHV-LHV-MW'!FB29&lt;=10),12, 15)))))</f>
        <v/>
      </c>
      <c r="ER45" s="636" t="str">
        <f>IF('HHV-LHV-MW'!FB29="","",5*'HHV-LHV-MW'!FB29)</f>
        <v/>
      </c>
      <c r="ES45" s="635" t="str">
        <f t="shared" si="19"/>
        <v/>
      </c>
      <c r="ET45" s="636" t="str">
        <f>IF(OR(ES45="",'HHV-LHV-MW'!FB29=0),"",ES45/'HHV-LHV-MW'!FB29)</f>
        <v/>
      </c>
      <c r="EU45" s="636" t="str">
        <f>IF(OR(ET45="",EK45="",'HHV-LHV-MW'!FB29=""),"",((ET45*EK45*('HHV-LHV-MW'!FB29/100))/23.685)^2)</f>
        <v/>
      </c>
      <c r="EV45" s="636" t="str">
        <f>IF(OR(ET45="",EL45="",'HHV-LHV-MW'!FB29=""),"",((ET45*EL45*('HHV-LHV-MW'!FB29/100))/23.685)^2)</f>
        <v/>
      </c>
      <c r="EW45" s="639" t="e">
        <f t="shared" si="20"/>
        <v>#DIV/0!</v>
      </c>
      <c r="EX45" s="892" t="e">
        <f t="shared" si="21"/>
        <v>#DIV/0!</v>
      </c>
      <c r="EY45" s="511"/>
      <c r="EZ45" s="511"/>
      <c r="FA45" s="511"/>
      <c r="FB45" s="511"/>
      <c r="FC45" s="511"/>
      <c r="FD45" s="511"/>
      <c r="FE45" s="511"/>
      <c r="FF45" s="888" t="str">
        <f>IF(Y45="","",VLOOKUP(Y45,'HHV-LHV-MW'!$A$3:$H$40,4,FALSE))</f>
        <v/>
      </c>
      <c r="FG45" s="889" t="str">
        <f>IF(Y45="","",VLOOKUP(Y45,'HHV-LHV-MW'!$A$3:$H$40,5,FALSE))</f>
        <v/>
      </c>
      <c r="FH45" s="890" t="e">
        <f>(PRODUCT('HHV-LHV-MW'!GY29)+PRODUCT('HHV-LHV-MW'!HK29)+PRODUCT('HHV-LHV-MW'!HW29)+PRODUCT('HHV-LHV-MW'!II29))/$BW$28</f>
        <v>#DIV/0!</v>
      </c>
      <c r="FI45" s="890">
        <f>IF($BW$28=1,"",  (SQRT(  (      (IF('HHV-LHV-MW'!GY29="",0,('HHV-LHV-MW'!GY29-FH45)^2))      +        (IF('HHV-LHV-MW'!HK29="",0,('HHV-LHV-MW'!HK29-FH45)^2))       +        (IF('HHV-LHV-MW'!HW29="",0,('HHV-LHV-MW'!HW29-FH45)^2))          +        (IF('HHV-LHV-MW'!II29="",0,('HHV-LHV-MW'!II29-FH45)^2))          )     *(1/($BW$28-1))  )))</f>
        <v>0</v>
      </c>
      <c r="FJ45" s="890" t="e">
        <f t="shared" si="2"/>
        <v>#N/A</v>
      </c>
      <c r="FK45" s="890" t="e">
        <f t="shared" si="22"/>
        <v>#DIV/0!</v>
      </c>
      <c r="FL45" s="636" t="str">
        <f>IF('HHV-LHV-MW'!GY29="","",IF(AND('HHV-LHV-MW'!GY29&gt;=0,'HHV-LHV-MW'!GY29&lt;=0.09),2,  IF(AND('HHV-LHV-MW'!GY29&gt;=0.1,'HHV-LHV-MW'!GY29&lt;=0.9),7,  IF(AND('HHV-LHV-MW'!GY29&gt;=1,'HHV-LHV-MW'!GY29&lt;=4.9),10,   IF(AND('HHV-LHV-MW'!GY29&gt;=5,'HHV-LHV-MW'!GY29&lt;=10),12, 15)))))</f>
        <v/>
      </c>
      <c r="FM45" s="636" t="str">
        <f>IF('HHV-LHV-MW'!GY29="","",5*'HHV-LHV-MW'!GY29)</f>
        <v/>
      </c>
      <c r="FN45" s="635" t="str">
        <f t="shared" si="23"/>
        <v/>
      </c>
      <c r="FO45" s="636" t="str">
        <f>IF(OR(FN45="",'HHV-LHV-MW'!GY29=0),"",FN45/'HHV-LHV-MW'!GY29)</f>
        <v/>
      </c>
      <c r="FP45" s="636" t="str">
        <f>IF(OR(FO45="",FF45="",'HHV-LHV-MW'!GY29=""),"",((FO45*FF45*('HHV-LHV-MW'!GY29/100))/23.685)^2)</f>
        <v/>
      </c>
      <c r="FQ45" s="636" t="str">
        <f>IF(OR(FO45="",FG45="",'HHV-LHV-MW'!GY29=""),"",((FO45*FG45*('HHV-LHV-MW'!GY29/100))/23.685)^2)</f>
        <v/>
      </c>
      <c r="FR45" s="639" t="e">
        <f t="shared" si="24"/>
        <v>#DIV/0!</v>
      </c>
      <c r="FS45" s="892" t="e">
        <f t="shared" si="25"/>
        <v>#DIV/0!</v>
      </c>
      <c r="FT45" s="511"/>
      <c r="FU45" s="511"/>
      <c r="FV45" s="511"/>
      <c r="FW45" s="511"/>
      <c r="FX45" s="511"/>
      <c r="FY45" s="511"/>
      <c r="FZ45" s="511"/>
      <c r="GA45" s="888" t="str">
        <f>IF(AE45="","",VLOOKUP(AE45,'HHV-LHV-MW'!$A$3:$H$40,4,FALSE))</f>
        <v/>
      </c>
      <c r="GB45" s="889" t="str">
        <f>IF(AE45="","",VLOOKUP(AE45,'HHV-LHV-MW'!$A$3:$H$40,5,FALSE))</f>
        <v/>
      </c>
      <c r="GC45" s="890" t="e">
        <f>(PRODUCT('HHV-LHV-MW'!IV29)+PRODUCT('HHV-LHV-MW'!JH29)+PRODUCT('HHV-LHV-MW'!JT29)+PRODUCT('HHV-LHV-MW'!KF29))/$BW$37</f>
        <v>#DIV/0!</v>
      </c>
      <c r="GD45" s="890">
        <f>IF($BW$37=1,"",  (SQRT(  (      (IF('HHV-LHV-MW'!IV29="",0,('HHV-LHV-MW'!IV29-GC45)^2))      +        (IF('HHV-LHV-MW'!JH29="",0,('HHV-LHV-MW'!JH29-GC45)^2))       +        (IF('HHV-LHV-MW'!JT29="",0,('HHV-LHV-MW'!JT29-GC45)^2))          +        (IF('HHV-LHV-MW'!KF29="",0,('HHV-LHV-MW'!KF29-GC45)^2))          )     *(1/($BW$37-1))  )))</f>
        <v>0</v>
      </c>
      <c r="GE45" s="890" t="e">
        <f t="shared" si="3"/>
        <v>#N/A</v>
      </c>
      <c r="GF45" s="890" t="e">
        <f t="shared" si="26"/>
        <v>#DIV/0!</v>
      </c>
      <c r="GG45" s="636" t="str">
        <f>IF('HHV-LHV-MW'!IV29="","",IF(AND('HHV-LHV-MW'!IV29&gt;=0,'HHV-LHV-MW'!IV29&lt;=0.09),2,  IF(AND('HHV-LHV-MW'!IV29&gt;=0.1,'HHV-LHV-MW'!IV29&lt;=0.9),7,  IF(AND('HHV-LHV-MW'!IV29&gt;=1,'HHV-LHV-MW'!IV29&lt;=4.9),10,   IF(AND('HHV-LHV-MW'!IV29&gt;=5,'HHV-LHV-MW'!IV29&lt;=10),12, 15)))))</f>
        <v/>
      </c>
      <c r="GH45" s="636" t="str">
        <f>IF('HHV-LHV-MW'!IV29="","",5*'HHV-LHV-MW'!IV29)</f>
        <v/>
      </c>
      <c r="GI45" s="635" t="str">
        <f t="shared" si="27"/>
        <v/>
      </c>
      <c r="GJ45" s="636" t="str">
        <f>IF(OR(GI45="",'HHV-LHV-MW'!IV29=0),"",GI45/'HHV-LHV-MW'!IV29)</f>
        <v/>
      </c>
      <c r="GK45" s="636" t="str">
        <f>IF(OR(GJ45="",GA45="",'HHV-LHV-MW'!IV29=""),"",((GJ45*GA45*('HHV-LHV-MW'!IV29/100))/23.685)^2)</f>
        <v/>
      </c>
      <c r="GL45" s="636" t="str">
        <f>IF(OR(GJ45="",GB45="",'HHV-LHV-MW'!IV29=""),"",((GJ45*GB45*('HHV-LHV-MW'!IV29/100))/23.685)^2)</f>
        <v/>
      </c>
      <c r="GM45" s="639" t="e">
        <f t="shared" si="28"/>
        <v>#DIV/0!</v>
      </c>
      <c r="GN45" s="892" t="e">
        <f t="shared" si="29"/>
        <v>#DIV/0!</v>
      </c>
      <c r="GO45" s="874"/>
      <c r="GP45" s="874"/>
      <c r="GQ45" s="874"/>
      <c r="GR45" s="874"/>
      <c r="GS45" s="874"/>
      <c r="GT45" s="874"/>
      <c r="GU45" s="874"/>
      <c r="GV45" s="874"/>
      <c r="GW45" s="874"/>
      <c r="GX45" s="874"/>
      <c r="GY45" s="874"/>
      <c r="GZ45" s="874"/>
      <c r="HA45" s="874"/>
      <c r="HB45" s="511"/>
      <c r="HC45" s="511"/>
      <c r="HD45" s="511"/>
      <c r="HE45" s="511"/>
      <c r="HF45" s="511"/>
      <c r="HG45" s="511"/>
      <c r="HH45" s="511"/>
      <c r="HI45" s="511"/>
      <c r="HJ45" s="874"/>
      <c r="HK45" s="874"/>
      <c r="HL45" s="874"/>
      <c r="HM45" s="874"/>
      <c r="HN45" s="874"/>
      <c r="HO45" s="874"/>
      <c r="HP45" s="874"/>
      <c r="HQ45" s="874"/>
      <c r="HR45" s="874"/>
      <c r="HS45" s="874"/>
      <c r="HT45" s="874"/>
      <c r="HU45" s="874"/>
      <c r="HV45" s="874"/>
      <c r="HW45" s="511"/>
      <c r="HX45" s="511"/>
      <c r="HY45" s="511"/>
      <c r="HZ45" s="511"/>
      <c r="IA45" s="511"/>
      <c r="IB45" s="511"/>
      <c r="IC45" s="511"/>
      <c r="ID45" s="511"/>
      <c r="IE45" s="874"/>
      <c r="IF45" s="874"/>
      <c r="IG45" s="874"/>
      <c r="IH45" s="874"/>
      <c r="II45" s="874"/>
      <c r="IJ45" s="874"/>
      <c r="IK45" s="874"/>
      <c r="IL45" s="874"/>
      <c r="IM45" s="874"/>
      <c r="IN45" s="874"/>
      <c r="IO45" s="874"/>
      <c r="IP45" s="874"/>
      <c r="IQ45" s="874"/>
      <c r="IR45" s="511"/>
      <c r="IS45" s="511"/>
      <c r="IT45" s="511"/>
      <c r="IU45" s="511"/>
      <c r="IV45" s="511"/>
      <c r="IW45" s="511"/>
      <c r="IX45" s="511"/>
      <c r="IY45" s="511"/>
      <c r="IZ45" s="874"/>
      <c r="JA45" s="874"/>
      <c r="JB45" s="874"/>
      <c r="JC45" s="874"/>
      <c r="JD45" s="874"/>
      <c r="JE45" s="874"/>
      <c r="JF45" s="874"/>
      <c r="JG45" s="874"/>
      <c r="JH45" s="874"/>
      <c r="JI45" s="874"/>
      <c r="JJ45" s="874"/>
      <c r="JK45" s="874"/>
      <c r="JL45" s="874"/>
      <c r="JM45" s="874"/>
      <c r="JN45" s="874"/>
      <c r="JO45" s="874"/>
      <c r="JP45" s="874"/>
      <c r="JQ45" s="874"/>
      <c r="JR45" s="874"/>
      <c r="JS45" s="874"/>
      <c r="JT45" s="874"/>
      <c r="JU45" s="874"/>
      <c r="JV45" s="874"/>
      <c r="JW45" s="874"/>
      <c r="JX45" s="874"/>
      <c r="JY45" s="874"/>
      <c r="JZ45" s="874"/>
      <c r="KA45" s="874"/>
      <c r="KB45" s="874"/>
      <c r="KC45" s="874"/>
      <c r="KD45" s="874"/>
      <c r="KE45" s="874"/>
      <c r="KF45" s="874"/>
      <c r="KG45" s="874"/>
      <c r="KH45" s="865"/>
      <c r="KI45" s="865"/>
      <c r="KJ45" s="865"/>
      <c r="KK45" s="865"/>
      <c r="KL45" s="865"/>
      <c r="KM45" s="865"/>
      <c r="KN45" s="865"/>
      <c r="KO45" s="865"/>
      <c r="KP45" s="865"/>
      <c r="KQ45" s="865"/>
      <c r="KR45" s="865"/>
      <c r="KS45" s="865"/>
      <c r="KT45" s="865"/>
      <c r="KU45" s="865"/>
      <c r="KV45" s="865"/>
      <c r="KW45" s="865"/>
      <c r="KX45" s="865"/>
      <c r="KY45" s="865"/>
      <c r="KZ45" s="865"/>
      <c r="LA45" s="865"/>
      <c r="LB45" s="865"/>
      <c r="LC45" s="865"/>
      <c r="LD45" s="865"/>
      <c r="LE45" s="865"/>
      <c r="LF45" s="865"/>
    </row>
    <row r="46" spans="1:318">
      <c r="A46" s="864"/>
      <c r="B46" s="663"/>
      <c r="C46" s="663"/>
      <c r="D46" s="663"/>
      <c r="E46" s="663"/>
      <c r="F46" s="511"/>
      <c r="G46" s="864"/>
      <c r="H46" s="663"/>
      <c r="I46" s="663"/>
      <c r="J46" s="663"/>
      <c r="K46" s="663"/>
      <c r="L46" s="511"/>
      <c r="M46" s="864"/>
      <c r="N46" s="663"/>
      <c r="O46" s="663"/>
      <c r="P46" s="663"/>
      <c r="Q46" s="663"/>
      <c r="R46" s="511"/>
      <c r="S46" s="864"/>
      <c r="T46" s="663"/>
      <c r="U46" s="663"/>
      <c r="V46" s="663"/>
      <c r="W46" s="663"/>
      <c r="X46" s="511"/>
      <c r="Y46" s="864"/>
      <c r="Z46" s="663"/>
      <c r="AA46" s="663"/>
      <c r="AB46" s="663"/>
      <c r="AC46" s="663"/>
      <c r="AD46" s="511"/>
      <c r="AE46" s="864"/>
      <c r="AF46" s="663"/>
      <c r="AG46" s="663"/>
      <c r="AH46" s="663"/>
      <c r="AI46" s="663"/>
      <c r="AJ46" s="511"/>
      <c r="AK46" s="865"/>
      <c r="AL46" s="865"/>
      <c r="AM46" s="865"/>
      <c r="AN46" s="865"/>
      <c r="AO46" s="865"/>
      <c r="AP46" s="865"/>
      <c r="AQ46" s="865"/>
      <c r="AR46" s="865"/>
      <c r="AS46" s="865"/>
      <c r="AT46" s="865"/>
      <c r="AU46" s="865"/>
      <c r="AV46" s="865"/>
      <c r="AW46" s="865"/>
      <c r="AX46" s="865"/>
      <c r="AY46" s="865"/>
      <c r="AZ46" s="865"/>
      <c r="BA46" s="865"/>
      <c r="BB46" s="865"/>
      <c r="BC46" s="865"/>
      <c r="BD46" s="865"/>
      <c r="BE46" s="865"/>
      <c r="BF46" s="865"/>
      <c r="BG46" s="865"/>
      <c r="BH46" s="865"/>
      <c r="BI46" s="865"/>
      <c r="BJ46" s="865"/>
      <c r="BK46" s="865"/>
      <c r="BL46" s="865"/>
      <c r="BM46" s="865"/>
      <c r="BN46" s="865"/>
      <c r="BO46" s="865"/>
      <c r="BP46" s="865"/>
      <c r="BQ46" s="865"/>
      <c r="BR46" s="865"/>
      <c r="BS46" s="865"/>
      <c r="BT46" s="865"/>
      <c r="BU46" s="865"/>
      <c r="BV46" s="865"/>
      <c r="BW46" s="865"/>
      <c r="BX46" s="865"/>
      <c r="BY46" s="874"/>
      <c r="BZ46" s="888" t="str">
        <f>IF(A46="","",VLOOKUP(A46,'HHV-LHV-MW'!$A$3:$H$40,4,FALSE))</f>
        <v/>
      </c>
      <c r="CA46" s="889" t="str">
        <f>IF(A46="","",VLOOKUP(A46,'HHV-LHV-MW'!$A$3:$H$40,5,FALSE))</f>
        <v/>
      </c>
      <c r="CB46" s="890" t="e">
        <f>(PRODUCT('HHV-LHV-MW'!K30)+PRODUCT('HHV-LHV-MW'!W30)+PRODUCT('HHV-LHV-MW'!AI30)+PRODUCT('HHV-LHV-MW'!AU30))/$BO$19</f>
        <v>#DIV/0!</v>
      </c>
      <c r="CC46" s="890">
        <f>IF($BO$19=1,"",  (SQRT(  (      (IF('HHV-LHV-MW'!K30="",0,('HHV-LHV-MW'!K30-CB46)^2))      +        (IF('HHV-LHV-MW'!W30="",0,('HHV-LHV-MW'!W30-CB46)^2))       +        (IF('HHV-LHV-MW'!AI30="",0,('HHV-LHV-MW'!AI30-CB46)^2))          +        (IF('HHV-LHV-MW'!AU30="",0,('HHV-LHV-MW'!AU30-CB46)^2))          )     *(1/($BO$19-1))  )))</f>
        <v>0</v>
      </c>
      <c r="CD46" s="890" t="e">
        <f t="shared" si="4"/>
        <v>#N/A</v>
      </c>
      <c r="CE46" s="890" t="e">
        <f t="shared" si="5"/>
        <v>#DIV/0!</v>
      </c>
      <c r="CF46" s="636" t="str">
        <f>IF('HHV-LHV-MW'!K30="","",IF(AND('HHV-LHV-MW'!K30&gt;=0,'HHV-LHV-MW'!K30&lt;=0.09),2,  IF(AND('HHV-LHV-MW'!K30&gt;=0.1,'HHV-LHV-MW'!K30&lt;=0.9),7,  IF(AND('HHV-LHV-MW'!K30&gt;=1,'HHV-LHV-MW'!K30&lt;=4.9),10,   IF(AND('HHV-LHV-MW'!K30&gt;=5,'HHV-LHV-MW'!K30&lt;=10),12, 15)))))</f>
        <v/>
      </c>
      <c r="CG46" s="636" t="str">
        <f>IF('HHV-LHV-MW'!K30="","",5*'HHV-LHV-MW'!K30)</f>
        <v/>
      </c>
      <c r="CH46" s="635" t="str">
        <f t="shared" si="6"/>
        <v/>
      </c>
      <c r="CI46" s="636" t="str">
        <f>IF(OR(CH46="",'HHV-LHV-MW'!K30=0),"",CH46/'HHV-LHV-MW'!K30)</f>
        <v/>
      </c>
      <c r="CJ46" s="636" t="str">
        <f>IF(OR(CI46="",BZ46="",'HHV-LHV-MW'!K30=""),"",((CI46*BZ46*('HHV-LHV-MW'!K30/100))/23.685)^2)</f>
        <v/>
      </c>
      <c r="CK46" s="891" t="str">
        <f>IF(OR(CI46="",CA46="",'HHV-LHV-MW'!K30=""),"",((CI46*CA46*('HHV-LHV-MW'!K30/100))/23.685)^2)</f>
        <v/>
      </c>
      <c r="CL46" s="639" t="e">
        <f t="shared" si="7"/>
        <v>#DIV/0!</v>
      </c>
      <c r="CM46" s="892" t="e">
        <f t="shared" si="8"/>
        <v>#DIV/0!</v>
      </c>
      <c r="CN46" s="511"/>
      <c r="CO46" s="511"/>
      <c r="CP46" s="511"/>
      <c r="CQ46" s="511"/>
      <c r="CR46" s="511"/>
      <c r="CS46" s="511"/>
      <c r="CT46" s="511"/>
      <c r="CU46" s="888" t="str">
        <f>IF(G46="","",VLOOKUP(G46,'HHV-LHV-MW'!$A$3:$H$40,4,FALSE))</f>
        <v/>
      </c>
      <c r="CV46" s="889" t="str">
        <f>IF(G46="","",VLOOKUP(G46,'HHV-LHV-MW'!$A$3:$H$40,5,FALSE))</f>
        <v/>
      </c>
      <c r="CW46" s="890" t="e">
        <f>(PRODUCT('HHV-LHV-MW'!BH30)+PRODUCT('HHV-LHV-MW'!BT30)+PRODUCT('HHV-LHV-MW'!CF30)+PRODUCT('HHV-LHV-MW'!CR30))/$BO$28</f>
        <v>#DIV/0!</v>
      </c>
      <c r="CX46" s="890">
        <f>IF($BO$28=1,"",  (SQRT(  (      (IF('HHV-LHV-MW'!BH30="",0,('HHV-LHV-MW'!BH30-CW46)^2))      +        (IF('HHV-LHV-MW'!BT30="",0,('HHV-LHV-MW'!BT30-CW46)^2))       +        (IF('HHV-LHV-MW'!CF30="",0,('HHV-LHV-MW'!CF30-CW46)^2))          +        (IF('HHV-LHV-MW'!CR30="",0,('HHV-LHV-MW'!CR30-CW46)^2))          )     *(1/($BO$28-1))  )))</f>
        <v>0</v>
      </c>
      <c r="CY46" s="890" t="e">
        <f t="shared" si="9"/>
        <v>#N/A</v>
      </c>
      <c r="CZ46" s="890" t="e">
        <f t="shared" si="10"/>
        <v>#DIV/0!</v>
      </c>
      <c r="DA46" s="636" t="str">
        <f>IF('HHV-LHV-MW'!BH30="","",IF(AND('HHV-LHV-MW'!BH30&gt;=0,'HHV-LHV-MW'!BH30&lt;=0.09),2,  IF(AND('HHV-LHV-MW'!BH30&gt;=0.1,'HHV-LHV-MW'!BH30&lt;=0.9),7,  IF(AND('HHV-LHV-MW'!BH30&gt;=1,'HHV-LHV-MW'!BH30&lt;=4.9),10,   IF(AND('HHV-LHV-MW'!BH30&gt;=5,'HHV-LHV-MW'!BH30&lt;=10),12, 15)))))</f>
        <v/>
      </c>
      <c r="DB46" s="636" t="str">
        <f>IF('HHV-LHV-MW'!BH30="","",5*'HHV-LHV-MW'!BH30)</f>
        <v/>
      </c>
      <c r="DC46" s="635" t="str">
        <f t="shared" si="11"/>
        <v/>
      </c>
      <c r="DD46" s="636" t="str">
        <f>IF(OR(DC46="",'HHV-LHV-MW'!BH30=0),"",DC46/'HHV-LHV-MW'!BH30)</f>
        <v/>
      </c>
      <c r="DE46" s="635" t="str">
        <f>IF(OR(DD46="",CU46="",'HHV-LHV-MW'!BH30=""),"",((DD46*CU46*('HHV-LHV-MW'!BH30/100))/23.685)^2)</f>
        <v/>
      </c>
      <c r="DF46" s="636" t="str">
        <f>IF(OR(DD46="",CV46="",'HHV-LHV-MW'!BH30=""),"",((DD46*CV46*('HHV-LHV-MW'!BH30/100))/23.685)^2)</f>
        <v/>
      </c>
      <c r="DG46" s="639" t="e">
        <f t="shared" si="12"/>
        <v>#DIV/0!</v>
      </c>
      <c r="DH46" s="892" t="e">
        <f t="shared" si="13"/>
        <v>#DIV/0!</v>
      </c>
      <c r="DI46" s="511"/>
      <c r="DJ46" s="511"/>
      <c r="DK46" s="511"/>
      <c r="DL46" s="511"/>
      <c r="DM46" s="511"/>
      <c r="DN46" s="511"/>
      <c r="DO46" s="511"/>
      <c r="DP46" s="888" t="str">
        <f>IF(M46="","",VLOOKUP(M46,'HHV-LHV-MW'!$A$3:$H$40,4,FALSE))</f>
        <v/>
      </c>
      <c r="DQ46" s="889" t="str">
        <f>IF(M46="","",VLOOKUP(M46,'HHV-LHV-MW'!$A$3:$H$40,5,FALSE))</f>
        <v/>
      </c>
      <c r="DR46" s="890" t="e">
        <f>(PRODUCT('HHV-LHV-MW'!DE30)+PRODUCT('HHV-LHV-MW'!DQ30)+PRODUCT('HHV-LHV-MW'!EC30)+PRODUCT('HHV-LHV-MW'!EO30))/$BO$37</f>
        <v>#DIV/0!</v>
      </c>
      <c r="DS46" s="890">
        <f>IF($BO$37=1,"",  (SQRT(  (      (IF('HHV-LHV-MW'!DE30="",0,('HHV-LHV-MW'!DE30-DR46)^2))      +        (IF('HHV-LHV-MW'!DQ30="",0,('HHV-LHV-MW'!DQ30-DR46)^2))       +        (IF('HHV-LHV-MW'!EC30="",0,('HHV-LHV-MW'!EC30-DR46)^2))          +        (IF('HHV-LHV-MW'!EO30="",0,('HHV-LHV-MW'!EO30-DR46)^2))          )     *(1/($BO$37-1))  )))</f>
        <v>0</v>
      </c>
      <c r="DT46" s="890" t="e">
        <f t="shared" si="0"/>
        <v>#N/A</v>
      </c>
      <c r="DU46" s="890" t="e">
        <f t="shared" si="14"/>
        <v>#DIV/0!</v>
      </c>
      <c r="DV46" s="636" t="str">
        <f>IF('HHV-LHV-MW'!DE30="","",IF(AND('HHV-LHV-MW'!DE30&gt;=0,'HHV-LHV-MW'!DE30&lt;=0.09),2,  IF(AND('HHV-LHV-MW'!DE30&gt;=0.1,'HHV-LHV-MW'!DE30&lt;=0.9),7,  IF(AND('HHV-LHV-MW'!DE30&gt;=1,'HHV-LHV-MW'!DE30&lt;=4.9),10,   IF(AND('HHV-LHV-MW'!DE30&gt;=5,'HHV-LHV-MW'!DE30&lt;=10),12, 15)))))</f>
        <v/>
      </c>
      <c r="DW46" s="636" t="str">
        <f>IF('HHV-LHV-MW'!DE30="","",5*'HHV-LHV-MW'!DE30)</f>
        <v/>
      </c>
      <c r="DX46" s="635" t="str">
        <f t="shared" si="15"/>
        <v/>
      </c>
      <c r="DY46" s="636" t="str">
        <f>IF(OR(DX46="",'HHV-LHV-MW'!DE30=0),"",DX46/'HHV-LHV-MW'!DE30)</f>
        <v/>
      </c>
      <c r="DZ46" s="636" t="str">
        <f>IF(OR(DY46="",DP46="",'HHV-LHV-MW'!DE30=""),"",((DY46*DP46*('HHV-LHV-MW'!DE30/100))/23.685)^2)</f>
        <v/>
      </c>
      <c r="EA46" s="636" t="str">
        <f>IF(OR(DY46="",DQ46="",'HHV-LHV-MW'!DE30=""),"",((DY46*DQ46*('HHV-LHV-MW'!DE30/100))/23.685)^2)</f>
        <v/>
      </c>
      <c r="EB46" s="639" t="e">
        <f t="shared" si="16"/>
        <v>#DIV/0!</v>
      </c>
      <c r="EC46" s="892" t="e">
        <f t="shared" si="17"/>
        <v>#DIV/0!</v>
      </c>
      <c r="ED46" s="511"/>
      <c r="EE46" s="511"/>
      <c r="EF46" s="511"/>
      <c r="EG46" s="511"/>
      <c r="EH46" s="511"/>
      <c r="EI46" s="511"/>
      <c r="EJ46" s="511"/>
      <c r="EK46" s="888" t="str">
        <f>IF(S46="","",VLOOKUP(S46,'HHV-LHV-MW'!$A$3:$H$40,4,FALSE))</f>
        <v/>
      </c>
      <c r="EL46" s="889" t="str">
        <f>IF(S46="","",VLOOKUP(S46,'HHV-LHV-MW'!$A$3:$H$40,5,FALSE))</f>
        <v/>
      </c>
      <c r="EM46" s="890" t="e">
        <f>(PRODUCT('HHV-LHV-MW'!FB30)+PRODUCT('HHV-LHV-MW'!FN30)+PRODUCT('HHV-LHV-MW'!FZ30)+PRODUCT('HHV-LHV-MW'!GL30))/$BW$19</f>
        <v>#DIV/0!</v>
      </c>
      <c r="EN46" s="890">
        <f>IF($BW$19=1,"",  (SQRT(  (      (IF('HHV-LHV-MW'!FB30="",0,('HHV-LHV-MW'!FB30-EM46)^2))      +        (IF('HHV-LHV-MW'!FN30="",0,('HHV-LHV-MW'!FN30-EM46)^2))       +        (IF('HHV-LHV-MW'!FZ30="",0,('HHV-LHV-MW'!FZ30-EM46)^2))          +        (IF('HHV-LHV-MW'!GL30="",0,('HHV-LHV-MW'!GL30-EM46)^2))          )     *(1/($BW$19-1))  )))</f>
        <v>0</v>
      </c>
      <c r="EO46" s="890" t="e">
        <f t="shared" si="1"/>
        <v>#N/A</v>
      </c>
      <c r="EP46" s="890" t="e">
        <f t="shared" si="18"/>
        <v>#DIV/0!</v>
      </c>
      <c r="EQ46" s="636" t="str">
        <f>IF('HHV-LHV-MW'!FB30="","",IF(AND('HHV-LHV-MW'!FB30&gt;=0,'HHV-LHV-MW'!FB30&lt;=0.09),2,  IF(AND('HHV-LHV-MW'!FB30&gt;=0.1,'HHV-LHV-MW'!FB30&lt;=0.9),7,  IF(AND('HHV-LHV-MW'!FB30&gt;=1,'HHV-LHV-MW'!FB30&lt;=4.9),10,   IF(AND('HHV-LHV-MW'!FB30&gt;=5,'HHV-LHV-MW'!FB30&lt;=10),12, 15)))))</f>
        <v/>
      </c>
      <c r="ER46" s="636" t="str">
        <f>IF('HHV-LHV-MW'!FB30="","",5*'HHV-LHV-MW'!FB30)</f>
        <v/>
      </c>
      <c r="ES46" s="635" t="str">
        <f t="shared" si="19"/>
        <v/>
      </c>
      <c r="ET46" s="636" t="str">
        <f>IF(OR(ES46="",'HHV-LHV-MW'!FB30=0),"",ES46/'HHV-LHV-MW'!FB30)</f>
        <v/>
      </c>
      <c r="EU46" s="636" t="str">
        <f>IF(OR(ET46="",EK46="",'HHV-LHV-MW'!FB30=""),"",((ET46*EK46*('HHV-LHV-MW'!FB30/100))/23.685)^2)</f>
        <v/>
      </c>
      <c r="EV46" s="636" t="str">
        <f>IF(OR(ET46="",EL46="",'HHV-LHV-MW'!FB30=""),"",((ET46*EL46*('HHV-LHV-MW'!FB30/100))/23.685)^2)</f>
        <v/>
      </c>
      <c r="EW46" s="639" t="e">
        <f t="shared" si="20"/>
        <v>#DIV/0!</v>
      </c>
      <c r="EX46" s="892" t="e">
        <f t="shared" si="21"/>
        <v>#DIV/0!</v>
      </c>
      <c r="EY46" s="511"/>
      <c r="EZ46" s="511"/>
      <c r="FA46" s="511"/>
      <c r="FB46" s="511"/>
      <c r="FC46" s="511"/>
      <c r="FD46" s="511"/>
      <c r="FE46" s="511"/>
      <c r="FF46" s="888" t="str">
        <f>IF(Y46="","",VLOOKUP(Y46,'HHV-LHV-MW'!$A$3:$H$40,4,FALSE))</f>
        <v/>
      </c>
      <c r="FG46" s="889" t="str">
        <f>IF(Y46="","",VLOOKUP(Y46,'HHV-LHV-MW'!$A$3:$H$40,5,FALSE))</f>
        <v/>
      </c>
      <c r="FH46" s="890" t="e">
        <f>(PRODUCT('HHV-LHV-MW'!GY30)+PRODUCT('HHV-LHV-MW'!HK30)+PRODUCT('HHV-LHV-MW'!HW30)+PRODUCT('HHV-LHV-MW'!II30))/$BW$28</f>
        <v>#DIV/0!</v>
      </c>
      <c r="FI46" s="890">
        <f>IF($BW$28=1,"",  (SQRT(  (      (IF('HHV-LHV-MW'!GY30="",0,('HHV-LHV-MW'!GY30-FH46)^2))      +        (IF('HHV-LHV-MW'!HK30="",0,('HHV-LHV-MW'!HK30-FH46)^2))       +        (IF('HHV-LHV-MW'!HW30="",0,('HHV-LHV-MW'!HW30-FH46)^2))          +        (IF('HHV-LHV-MW'!II30="",0,('HHV-LHV-MW'!II30-FH46)^2))          )     *(1/($BW$28-1))  )))</f>
        <v>0</v>
      </c>
      <c r="FJ46" s="890" t="e">
        <f t="shared" si="2"/>
        <v>#N/A</v>
      </c>
      <c r="FK46" s="890" t="e">
        <f t="shared" si="22"/>
        <v>#DIV/0!</v>
      </c>
      <c r="FL46" s="636" t="str">
        <f>IF('HHV-LHV-MW'!GY30="","",IF(AND('HHV-LHV-MW'!GY30&gt;=0,'HHV-LHV-MW'!GY30&lt;=0.09),2,  IF(AND('HHV-LHV-MW'!GY30&gt;=0.1,'HHV-LHV-MW'!GY30&lt;=0.9),7,  IF(AND('HHV-LHV-MW'!GY30&gt;=1,'HHV-LHV-MW'!GY30&lt;=4.9),10,   IF(AND('HHV-LHV-MW'!GY30&gt;=5,'HHV-LHV-MW'!GY30&lt;=10),12, 15)))))</f>
        <v/>
      </c>
      <c r="FM46" s="636" t="str">
        <f>IF('HHV-LHV-MW'!GY30="","",5*'HHV-LHV-MW'!GY30)</f>
        <v/>
      </c>
      <c r="FN46" s="635" t="str">
        <f t="shared" si="23"/>
        <v/>
      </c>
      <c r="FO46" s="636" t="str">
        <f>IF(OR(FN46="",'HHV-LHV-MW'!GY30=0),"",FN46/'HHV-LHV-MW'!GY30)</f>
        <v/>
      </c>
      <c r="FP46" s="636" t="str">
        <f>IF(OR(FO46="",FF46="",'HHV-LHV-MW'!GY30=""),"",((FO46*FF46*('HHV-LHV-MW'!GY30/100))/23.685)^2)</f>
        <v/>
      </c>
      <c r="FQ46" s="636" t="str">
        <f>IF(OR(FO46="",FG46="",'HHV-LHV-MW'!GY30=""),"",((FO46*FG46*('HHV-LHV-MW'!GY30/100))/23.685)^2)</f>
        <v/>
      </c>
      <c r="FR46" s="639" t="e">
        <f t="shared" si="24"/>
        <v>#DIV/0!</v>
      </c>
      <c r="FS46" s="892" t="e">
        <f t="shared" si="25"/>
        <v>#DIV/0!</v>
      </c>
      <c r="FT46" s="511"/>
      <c r="FU46" s="511"/>
      <c r="FV46" s="511"/>
      <c r="FW46" s="511"/>
      <c r="FX46" s="511"/>
      <c r="FY46" s="511"/>
      <c r="FZ46" s="511"/>
      <c r="GA46" s="888" t="str">
        <f>IF(AE46="","",VLOOKUP(AE46,'HHV-LHV-MW'!$A$3:$H$40,4,FALSE))</f>
        <v/>
      </c>
      <c r="GB46" s="889" t="str">
        <f>IF(AE46="","",VLOOKUP(AE46,'HHV-LHV-MW'!$A$3:$H$40,5,FALSE))</f>
        <v/>
      </c>
      <c r="GC46" s="890" t="e">
        <f>(PRODUCT('HHV-LHV-MW'!IV30)+PRODUCT('HHV-LHV-MW'!JH30)+PRODUCT('HHV-LHV-MW'!JT30)+PRODUCT('HHV-LHV-MW'!KF30))/$BW$37</f>
        <v>#DIV/0!</v>
      </c>
      <c r="GD46" s="890">
        <f>IF($BW$37=1,"",  (SQRT(  (      (IF('HHV-LHV-MW'!IV30="",0,('HHV-LHV-MW'!IV30-GC46)^2))      +        (IF('HHV-LHV-MW'!JH30="",0,('HHV-LHV-MW'!JH30-GC46)^2))       +        (IF('HHV-LHV-MW'!JT30="",0,('HHV-LHV-MW'!JT30-GC46)^2))          +        (IF('HHV-LHV-MW'!KF30="",0,('HHV-LHV-MW'!KF30-GC46)^2))          )     *(1/($BW$37-1))  )))</f>
        <v>0</v>
      </c>
      <c r="GE46" s="890" t="e">
        <f t="shared" si="3"/>
        <v>#N/A</v>
      </c>
      <c r="GF46" s="890" t="e">
        <f t="shared" si="26"/>
        <v>#DIV/0!</v>
      </c>
      <c r="GG46" s="636" t="str">
        <f>IF('HHV-LHV-MW'!IV30="","",IF(AND('HHV-LHV-MW'!IV30&gt;=0,'HHV-LHV-MW'!IV30&lt;=0.09),2,  IF(AND('HHV-LHV-MW'!IV30&gt;=0.1,'HHV-LHV-MW'!IV30&lt;=0.9),7,  IF(AND('HHV-LHV-MW'!IV30&gt;=1,'HHV-LHV-MW'!IV30&lt;=4.9),10,   IF(AND('HHV-LHV-MW'!IV30&gt;=5,'HHV-LHV-MW'!IV30&lt;=10),12, 15)))))</f>
        <v/>
      </c>
      <c r="GH46" s="636" t="str">
        <f>IF('HHV-LHV-MW'!IV30="","",5*'HHV-LHV-MW'!IV30)</f>
        <v/>
      </c>
      <c r="GI46" s="635" t="str">
        <f t="shared" si="27"/>
        <v/>
      </c>
      <c r="GJ46" s="636" t="str">
        <f>IF(OR(GI46="",'HHV-LHV-MW'!IV30=0),"",GI46/'HHV-LHV-MW'!IV30)</f>
        <v/>
      </c>
      <c r="GK46" s="636" t="str">
        <f>IF(OR(GJ46="",GA46="",'HHV-LHV-MW'!IV30=""),"",((GJ46*GA46*('HHV-LHV-MW'!IV30/100))/23.685)^2)</f>
        <v/>
      </c>
      <c r="GL46" s="636" t="str">
        <f>IF(OR(GJ46="",GB46="",'HHV-LHV-MW'!IV30=""),"",((GJ46*GB46*('HHV-LHV-MW'!IV30/100))/23.685)^2)</f>
        <v/>
      </c>
      <c r="GM46" s="639" t="e">
        <f t="shared" si="28"/>
        <v>#DIV/0!</v>
      </c>
      <c r="GN46" s="892" t="e">
        <f t="shared" si="29"/>
        <v>#DIV/0!</v>
      </c>
      <c r="GO46" s="874"/>
      <c r="GP46" s="874"/>
      <c r="GQ46" s="874"/>
      <c r="GR46" s="874"/>
      <c r="GS46" s="874"/>
      <c r="GT46" s="874"/>
      <c r="GU46" s="874"/>
      <c r="GV46" s="874"/>
      <c r="GW46" s="874"/>
      <c r="GX46" s="874"/>
      <c r="GY46" s="874"/>
      <c r="GZ46" s="874"/>
      <c r="HA46" s="874"/>
      <c r="HB46" s="511"/>
      <c r="HC46" s="511"/>
      <c r="HD46" s="511"/>
      <c r="HE46" s="511"/>
      <c r="HF46" s="511"/>
      <c r="HG46" s="511"/>
      <c r="HH46" s="511"/>
      <c r="HI46" s="511"/>
      <c r="HJ46" s="874"/>
      <c r="HK46" s="874"/>
      <c r="HL46" s="874"/>
      <c r="HM46" s="874"/>
      <c r="HN46" s="874"/>
      <c r="HO46" s="874"/>
      <c r="HP46" s="874"/>
      <c r="HQ46" s="874"/>
      <c r="HR46" s="874"/>
      <c r="HS46" s="874"/>
      <c r="HT46" s="874"/>
      <c r="HU46" s="874"/>
      <c r="HV46" s="874"/>
      <c r="HW46" s="511"/>
      <c r="HX46" s="511"/>
      <c r="HY46" s="511"/>
      <c r="HZ46" s="511"/>
      <c r="IA46" s="511"/>
      <c r="IB46" s="511"/>
      <c r="IC46" s="511"/>
      <c r="ID46" s="511"/>
      <c r="IE46" s="874"/>
      <c r="IF46" s="874"/>
      <c r="IG46" s="874"/>
      <c r="IH46" s="874"/>
      <c r="II46" s="874"/>
      <c r="IJ46" s="874"/>
      <c r="IK46" s="874"/>
      <c r="IL46" s="874"/>
      <c r="IM46" s="874"/>
      <c r="IN46" s="874"/>
      <c r="IO46" s="874"/>
      <c r="IP46" s="874"/>
      <c r="IQ46" s="874"/>
      <c r="IR46" s="511"/>
      <c r="IS46" s="511"/>
      <c r="IT46" s="511"/>
      <c r="IU46" s="511"/>
      <c r="IV46" s="511"/>
      <c r="IW46" s="511"/>
      <c r="IX46" s="511"/>
      <c r="IY46" s="511"/>
      <c r="IZ46" s="874"/>
      <c r="JA46" s="874"/>
      <c r="JB46" s="874"/>
      <c r="JC46" s="874"/>
      <c r="JD46" s="874"/>
      <c r="JE46" s="874"/>
      <c r="JF46" s="874"/>
      <c r="JG46" s="874"/>
      <c r="JH46" s="874"/>
      <c r="JI46" s="874"/>
      <c r="JJ46" s="874"/>
      <c r="JK46" s="874"/>
      <c r="JL46" s="874"/>
      <c r="JM46" s="874"/>
      <c r="JN46" s="874"/>
      <c r="JO46" s="874"/>
      <c r="JP46" s="874"/>
      <c r="JQ46" s="874"/>
      <c r="JR46" s="874"/>
      <c r="JS46" s="874"/>
      <c r="JT46" s="874"/>
      <c r="JU46" s="874"/>
      <c r="JV46" s="874"/>
      <c r="JW46" s="874"/>
      <c r="JX46" s="874"/>
      <c r="JY46" s="874"/>
      <c r="JZ46" s="874"/>
      <c r="KA46" s="874"/>
      <c r="KB46" s="874"/>
      <c r="KC46" s="874"/>
      <c r="KD46" s="874"/>
      <c r="KE46" s="874"/>
      <c r="KF46" s="874"/>
      <c r="KG46" s="874"/>
      <c r="KH46" s="865"/>
      <c r="KI46" s="865"/>
      <c r="KJ46" s="865"/>
      <c r="KK46" s="865"/>
      <c r="KL46" s="865"/>
      <c r="KM46" s="865"/>
      <c r="KN46" s="865"/>
      <c r="KO46" s="865"/>
      <c r="KP46" s="865"/>
      <c r="KQ46" s="865"/>
      <c r="KR46" s="865"/>
      <c r="KS46" s="865"/>
      <c r="KT46" s="865"/>
      <c r="KU46" s="865"/>
      <c r="KV46" s="865"/>
      <c r="KW46" s="865"/>
      <c r="KX46" s="865"/>
      <c r="KY46" s="865"/>
      <c r="KZ46" s="865"/>
      <c r="LA46" s="865"/>
      <c r="LB46" s="865"/>
      <c r="LC46" s="865"/>
      <c r="LD46" s="865"/>
      <c r="LE46" s="865"/>
      <c r="LF46" s="865"/>
    </row>
    <row r="47" spans="1:318">
      <c r="A47" s="864"/>
      <c r="B47" s="663"/>
      <c r="C47" s="663"/>
      <c r="D47" s="663"/>
      <c r="E47" s="663"/>
      <c r="F47" s="511"/>
      <c r="G47" s="864"/>
      <c r="H47" s="663"/>
      <c r="I47" s="663"/>
      <c r="J47" s="663"/>
      <c r="K47" s="663"/>
      <c r="L47" s="511"/>
      <c r="M47" s="864"/>
      <c r="N47" s="663"/>
      <c r="O47" s="663"/>
      <c r="P47" s="663"/>
      <c r="Q47" s="663"/>
      <c r="R47" s="511"/>
      <c r="S47" s="864"/>
      <c r="T47" s="663"/>
      <c r="U47" s="663"/>
      <c r="V47" s="663"/>
      <c r="W47" s="663"/>
      <c r="X47" s="511"/>
      <c r="Y47" s="864"/>
      <c r="Z47" s="663"/>
      <c r="AA47" s="663"/>
      <c r="AB47" s="663"/>
      <c r="AC47" s="663"/>
      <c r="AD47" s="511"/>
      <c r="AE47" s="864"/>
      <c r="AF47" s="663"/>
      <c r="AG47" s="663"/>
      <c r="AH47" s="663"/>
      <c r="AI47" s="663"/>
      <c r="AJ47" s="511"/>
      <c r="AK47" s="865"/>
      <c r="AL47" s="865"/>
      <c r="AM47" s="865"/>
      <c r="AN47" s="865"/>
      <c r="AO47" s="865"/>
      <c r="AP47" s="865"/>
      <c r="AQ47" s="865"/>
      <c r="AR47" s="865"/>
      <c r="AS47" s="865"/>
      <c r="AT47" s="865"/>
      <c r="AU47" s="865"/>
      <c r="AV47" s="865"/>
      <c r="AW47" s="865"/>
      <c r="AX47" s="865"/>
      <c r="AY47" s="865"/>
      <c r="AZ47" s="865"/>
      <c r="BA47" s="865"/>
      <c r="BB47" s="865"/>
      <c r="BC47" s="865"/>
      <c r="BD47" s="865"/>
      <c r="BE47" s="865"/>
      <c r="BF47" s="865"/>
      <c r="BG47" s="865"/>
      <c r="BH47" s="865"/>
      <c r="BI47" s="865"/>
      <c r="BJ47" s="865"/>
      <c r="BK47" s="865"/>
      <c r="BL47" s="865"/>
      <c r="BM47" s="865"/>
      <c r="BN47" s="865"/>
      <c r="BO47" s="865"/>
      <c r="BP47" s="865"/>
      <c r="BQ47" s="865"/>
      <c r="BR47" s="865"/>
      <c r="BS47" s="865"/>
      <c r="BT47" s="865"/>
      <c r="BU47" s="865"/>
      <c r="BV47" s="865"/>
      <c r="BW47" s="865"/>
      <c r="BX47" s="865"/>
      <c r="BY47" s="874"/>
      <c r="BZ47" s="888" t="str">
        <f>IF(A47="","",VLOOKUP(A47,'HHV-LHV-MW'!$A$3:$H$40,4,FALSE))</f>
        <v/>
      </c>
      <c r="CA47" s="889" t="str">
        <f>IF(A47="","",VLOOKUP(A47,'HHV-LHV-MW'!$A$3:$H$40,5,FALSE))</f>
        <v/>
      </c>
      <c r="CB47" s="890" t="e">
        <f>(PRODUCT('HHV-LHV-MW'!K31)+PRODUCT('HHV-LHV-MW'!W31)+PRODUCT('HHV-LHV-MW'!AI31)+PRODUCT('HHV-LHV-MW'!AU31))/$BO$19</f>
        <v>#DIV/0!</v>
      </c>
      <c r="CC47" s="890">
        <f>IF($BO$19=1,"",  (SQRT(  (      (IF('HHV-LHV-MW'!K31="",0,('HHV-LHV-MW'!K31-CB47)^2))      +        (IF('HHV-LHV-MW'!W31="",0,('HHV-LHV-MW'!W31-CB47)^2))       +        (IF('HHV-LHV-MW'!AI31="",0,('HHV-LHV-MW'!AI31-CB47)^2))          +        (IF('HHV-LHV-MW'!AU31="",0,('HHV-LHV-MW'!AU31-CB47)^2))          )     *(1/($BO$19-1))  )))</f>
        <v>0</v>
      </c>
      <c r="CD47" s="890" t="e">
        <f t="shared" si="4"/>
        <v>#N/A</v>
      </c>
      <c r="CE47" s="890" t="e">
        <f t="shared" si="5"/>
        <v>#DIV/0!</v>
      </c>
      <c r="CF47" s="636" t="str">
        <f>IF('HHV-LHV-MW'!K31="","",IF(AND('HHV-LHV-MW'!K31&gt;=0,'HHV-LHV-MW'!K31&lt;=0.09),2,  IF(AND('HHV-LHV-MW'!K31&gt;=0.1,'HHV-LHV-MW'!K31&lt;=0.9),7,  IF(AND('HHV-LHV-MW'!K31&gt;=1,'HHV-LHV-MW'!K31&lt;=4.9),10,   IF(AND('HHV-LHV-MW'!K31&gt;=5,'HHV-LHV-MW'!K31&lt;=10),12, 15)))))</f>
        <v/>
      </c>
      <c r="CG47" s="636" t="str">
        <f>IF('HHV-LHV-MW'!K31="","",5*'HHV-LHV-MW'!K31)</f>
        <v/>
      </c>
      <c r="CH47" s="635" t="str">
        <f t="shared" si="6"/>
        <v/>
      </c>
      <c r="CI47" s="636" t="str">
        <f>IF(OR(CH47="",'HHV-LHV-MW'!K31=0),"",CH47/'HHV-LHV-MW'!K31)</f>
        <v/>
      </c>
      <c r="CJ47" s="636" t="str">
        <f>IF(OR(CI47="",BZ47="",'HHV-LHV-MW'!K31=""),"",((CI47*BZ47*('HHV-LHV-MW'!K31/100))/23.685)^2)</f>
        <v/>
      </c>
      <c r="CK47" s="891" t="str">
        <f>IF(OR(CI47="",CA47="",'HHV-LHV-MW'!K31=""),"",((CI47*CA47*('HHV-LHV-MW'!K31/100))/23.685)^2)</f>
        <v/>
      </c>
      <c r="CL47" s="639" t="e">
        <f t="shared" si="7"/>
        <v>#DIV/0!</v>
      </c>
      <c r="CM47" s="892" t="e">
        <f t="shared" si="8"/>
        <v>#DIV/0!</v>
      </c>
      <c r="CN47" s="511"/>
      <c r="CO47" s="511"/>
      <c r="CP47" s="511"/>
      <c r="CQ47" s="511"/>
      <c r="CR47" s="511"/>
      <c r="CS47" s="511"/>
      <c r="CT47" s="511"/>
      <c r="CU47" s="888" t="str">
        <f>IF(G47="","",VLOOKUP(G47,'HHV-LHV-MW'!$A$3:$H$40,4,FALSE))</f>
        <v/>
      </c>
      <c r="CV47" s="889" t="str">
        <f>IF(G47="","",VLOOKUP(G47,'HHV-LHV-MW'!$A$3:$H$40,5,FALSE))</f>
        <v/>
      </c>
      <c r="CW47" s="890" t="e">
        <f>(PRODUCT('HHV-LHV-MW'!BH31)+PRODUCT('HHV-LHV-MW'!BT31)+PRODUCT('HHV-LHV-MW'!CF31)+PRODUCT('HHV-LHV-MW'!CR31))/$BO$28</f>
        <v>#DIV/0!</v>
      </c>
      <c r="CX47" s="890">
        <f>IF($BO$28=1,"",  (SQRT(  (      (IF('HHV-LHV-MW'!BH31="",0,('HHV-LHV-MW'!BH31-CW47)^2))      +        (IF('HHV-LHV-MW'!BT31="",0,('HHV-LHV-MW'!BT31-CW47)^2))       +        (IF('HHV-LHV-MW'!CF31="",0,('HHV-LHV-MW'!CF31-CW47)^2))          +        (IF('HHV-LHV-MW'!CR31="",0,('HHV-LHV-MW'!CR31-CW47)^2))          )     *(1/($BO$28-1))  )))</f>
        <v>0</v>
      </c>
      <c r="CY47" s="890" t="e">
        <f t="shared" si="9"/>
        <v>#N/A</v>
      </c>
      <c r="CZ47" s="890" t="e">
        <f t="shared" si="10"/>
        <v>#DIV/0!</v>
      </c>
      <c r="DA47" s="636" t="str">
        <f>IF('HHV-LHV-MW'!BH31="","",IF(AND('HHV-LHV-MW'!BH31&gt;=0,'HHV-LHV-MW'!BH31&lt;=0.09),2,  IF(AND('HHV-LHV-MW'!BH31&gt;=0.1,'HHV-LHV-MW'!BH31&lt;=0.9),7,  IF(AND('HHV-LHV-MW'!BH31&gt;=1,'HHV-LHV-MW'!BH31&lt;=4.9),10,   IF(AND('HHV-LHV-MW'!BH31&gt;=5,'HHV-LHV-MW'!BH31&lt;=10),12, 15)))))</f>
        <v/>
      </c>
      <c r="DB47" s="636" t="str">
        <f>IF('HHV-LHV-MW'!BH31="","",5*'HHV-LHV-MW'!BH31)</f>
        <v/>
      </c>
      <c r="DC47" s="635" t="str">
        <f t="shared" si="11"/>
        <v/>
      </c>
      <c r="DD47" s="636" t="str">
        <f>IF(OR(DC47="",'HHV-LHV-MW'!BH31=0),"",DC47/'HHV-LHV-MW'!BH31)</f>
        <v/>
      </c>
      <c r="DE47" s="635" t="str">
        <f>IF(OR(DD47="",CU47="",'HHV-LHV-MW'!BH31=""),"",((DD47*CU47*('HHV-LHV-MW'!BH31/100))/23.685)^2)</f>
        <v/>
      </c>
      <c r="DF47" s="636" t="str">
        <f>IF(OR(DD47="",CV47="",'HHV-LHV-MW'!BH31=""),"",((DD47*CV47*('HHV-LHV-MW'!BH31/100))/23.685)^2)</f>
        <v/>
      </c>
      <c r="DG47" s="639" t="e">
        <f t="shared" si="12"/>
        <v>#DIV/0!</v>
      </c>
      <c r="DH47" s="892" t="e">
        <f t="shared" si="13"/>
        <v>#DIV/0!</v>
      </c>
      <c r="DI47" s="511"/>
      <c r="DJ47" s="511"/>
      <c r="DK47" s="511"/>
      <c r="DL47" s="511"/>
      <c r="DM47" s="511"/>
      <c r="DN47" s="511"/>
      <c r="DO47" s="511"/>
      <c r="DP47" s="888" t="str">
        <f>IF(M47="","",VLOOKUP(M47,'HHV-LHV-MW'!$A$3:$H$40,4,FALSE))</f>
        <v/>
      </c>
      <c r="DQ47" s="889" t="str">
        <f>IF(M47="","",VLOOKUP(M47,'HHV-LHV-MW'!$A$3:$H$40,5,FALSE))</f>
        <v/>
      </c>
      <c r="DR47" s="890" t="e">
        <f>(PRODUCT('HHV-LHV-MW'!DE31)+PRODUCT('HHV-LHV-MW'!DQ31)+PRODUCT('HHV-LHV-MW'!EC31)+PRODUCT('HHV-LHV-MW'!EO31))/$BO$37</f>
        <v>#DIV/0!</v>
      </c>
      <c r="DS47" s="890">
        <f>IF($BO$37=1,"",  (SQRT(  (      (IF('HHV-LHV-MW'!DE31="",0,('HHV-LHV-MW'!DE31-DR47)^2))      +        (IF('HHV-LHV-MW'!DQ31="",0,('HHV-LHV-MW'!DQ31-DR47)^2))       +        (IF('HHV-LHV-MW'!EC31="",0,('HHV-LHV-MW'!EC31-DR47)^2))          +        (IF('HHV-LHV-MW'!EO31="",0,('HHV-LHV-MW'!EO31-DR47)^2))          )     *(1/($BO$37-1))  )))</f>
        <v>0</v>
      </c>
      <c r="DT47" s="890" t="e">
        <f t="shared" si="0"/>
        <v>#N/A</v>
      </c>
      <c r="DU47" s="890" t="e">
        <f t="shared" si="14"/>
        <v>#DIV/0!</v>
      </c>
      <c r="DV47" s="636" t="str">
        <f>IF('HHV-LHV-MW'!DE31="","",IF(AND('HHV-LHV-MW'!DE31&gt;=0,'HHV-LHV-MW'!DE31&lt;=0.09),2,  IF(AND('HHV-LHV-MW'!DE31&gt;=0.1,'HHV-LHV-MW'!DE31&lt;=0.9),7,  IF(AND('HHV-LHV-MW'!DE31&gt;=1,'HHV-LHV-MW'!DE31&lt;=4.9),10,   IF(AND('HHV-LHV-MW'!DE31&gt;=5,'HHV-LHV-MW'!DE31&lt;=10),12, 15)))))</f>
        <v/>
      </c>
      <c r="DW47" s="636" t="str">
        <f>IF('HHV-LHV-MW'!DE31="","",5*'HHV-LHV-MW'!DE31)</f>
        <v/>
      </c>
      <c r="DX47" s="635" t="str">
        <f t="shared" si="15"/>
        <v/>
      </c>
      <c r="DY47" s="636" t="str">
        <f>IF(OR(DX47="",'HHV-LHV-MW'!DE31=0),"",DX47/'HHV-LHV-MW'!DE31)</f>
        <v/>
      </c>
      <c r="DZ47" s="636" t="str">
        <f>IF(OR(DY47="",DP47="",'HHV-LHV-MW'!DE31=""),"",((DY47*DP47*('HHV-LHV-MW'!DE31/100))/23.685)^2)</f>
        <v/>
      </c>
      <c r="EA47" s="636" t="str">
        <f>IF(OR(DY47="",DQ47="",'HHV-LHV-MW'!DE31=""),"",((DY47*DQ47*('HHV-LHV-MW'!DE31/100))/23.685)^2)</f>
        <v/>
      </c>
      <c r="EB47" s="639" t="e">
        <f t="shared" si="16"/>
        <v>#DIV/0!</v>
      </c>
      <c r="EC47" s="892" t="e">
        <f t="shared" si="17"/>
        <v>#DIV/0!</v>
      </c>
      <c r="ED47" s="511"/>
      <c r="EE47" s="511"/>
      <c r="EF47" s="511"/>
      <c r="EG47" s="511"/>
      <c r="EH47" s="511"/>
      <c r="EI47" s="511"/>
      <c r="EJ47" s="511"/>
      <c r="EK47" s="888" t="str">
        <f>IF(S47="","",VLOOKUP(S47,'HHV-LHV-MW'!$A$3:$H$40,4,FALSE))</f>
        <v/>
      </c>
      <c r="EL47" s="889" t="str">
        <f>IF(S47="","",VLOOKUP(S47,'HHV-LHV-MW'!$A$3:$H$40,5,FALSE))</f>
        <v/>
      </c>
      <c r="EM47" s="890" t="e">
        <f>(PRODUCT('HHV-LHV-MW'!FB31)+PRODUCT('HHV-LHV-MW'!FN31)+PRODUCT('HHV-LHV-MW'!FZ31)+PRODUCT('HHV-LHV-MW'!GL31))/$BW$19</f>
        <v>#DIV/0!</v>
      </c>
      <c r="EN47" s="890">
        <f>IF($BW$19=1,"",  (SQRT(  (      (IF('HHV-LHV-MW'!FB31="",0,('HHV-LHV-MW'!FB31-EM47)^2))      +        (IF('HHV-LHV-MW'!FN31="",0,('HHV-LHV-MW'!FN31-EM47)^2))       +        (IF('HHV-LHV-MW'!FZ31="",0,('HHV-LHV-MW'!FZ31-EM47)^2))          +        (IF('HHV-LHV-MW'!GL31="",0,('HHV-LHV-MW'!GL31-EM47)^2))          )     *(1/($BW$19-1))  )))</f>
        <v>0</v>
      </c>
      <c r="EO47" s="890" t="e">
        <f t="shared" si="1"/>
        <v>#N/A</v>
      </c>
      <c r="EP47" s="890" t="e">
        <f t="shared" si="18"/>
        <v>#DIV/0!</v>
      </c>
      <c r="EQ47" s="636" t="str">
        <f>IF('HHV-LHV-MW'!FB31="","",IF(AND('HHV-LHV-MW'!FB31&gt;=0,'HHV-LHV-MW'!FB31&lt;=0.09),2,  IF(AND('HHV-LHV-MW'!FB31&gt;=0.1,'HHV-LHV-MW'!FB31&lt;=0.9),7,  IF(AND('HHV-LHV-MW'!FB31&gt;=1,'HHV-LHV-MW'!FB31&lt;=4.9),10,   IF(AND('HHV-LHV-MW'!FB31&gt;=5,'HHV-LHV-MW'!FB31&lt;=10),12, 15)))))</f>
        <v/>
      </c>
      <c r="ER47" s="636" t="str">
        <f>IF('HHV-LHV-MW'!FB31="","",5*'HHV-LHV-MW'!FB31)</f>
        <v/>
      </c>
      <c r="ES47" s="635" t="str">
        <f t="shared" si="19"/>
        <v/>
      </c>
      <c r="ET47" s="636" t="str">
        <f>IF(OR(ES47="",'HHV-LHV-MW'!FB31=0),"",ES47/'HHV-LHV-MW'!FB31)</f>
        <v/>
      </c>
      <c r="EU47" s="636" t="str">
        <f>IF(OR(ET47="",EK47="",'HHV-LHV-MW'!FB31=""),"",((ET47*EK47*('HHV-LHV-MW'!FB31/100))/23.685)^2)</f>
        <v/>
      </c>
      <c r="EV47" s="636" t="str">
        <f>IF(OR(ET47="",EL47="",'HHV-LHV-MW'!FB31=""),"",((ET47*EL47*('HHV-LHV-MW'!FB31/100))/23.685)^2)</f>
        <v/>
      </c>
      <c r="EW47" s="639" t="e">
        <f t="shared" si="20"/>
        <v>#DIV/0!</v>
      </c>
      <c r="EX47" s="892" t="e">
        <f t="shared" si="21"/>
        <v>#DIV/0!</v>
      </c>
      <c r="EY47" s="511"/>
      <c r="EZ47" s="511"/>
      <c r="FA47" s="511"/>
      <c r="FB47" s="511"/>
      <c r="FC47" s="511"/>
      <c r="FD47" s="511"/>
      <c r="FE47" s="511"/>
      <c r="FF47" s="888" t="str">
        <f>IF(Y47="","",VLOOKUP(Y47,'HHV-LHV-MW'!$A$3:$H$40,4,FALSE))</f>
        <v/>
      </c>
      <c r="FG47" s="889" t="str">
        <f>IF(Y47="","",VLOOKUP(Y47,'HHV-LHV-MW'!$A$3:$H$40,5,FALSE))</f>
        <v/>
      </c>
      <c r="FH47" s="890" t="e">
        <f>(PRODUCT('HHV-LHV-MW'!GY31)+PRODUCT('HHV-LHV-MW'!HK31)+PRODUCT('HHV-LHV-MW'!HW31)+PRODUCT('HHV-LHV-MW'!II31))/$BW$28</f>
        <v>#DIV/0!</v>
      </c>
      <c r="FI47" s="890">
        <f>IF($BW$28=1,"",  (SQRT(  (      (IF('HHV-LHV-MW'!GY31="",0,('HHV-LHV-MW'!GY31-FH47)^2))      +        (IF('HHV-LHV-MW'!HK31="",0,('HHV-LHV-MW'!HK31-FH47)^2))       +        (IF('HHV-LHV-MW'!HW31="",0,('HHV-LHV-MW'!HW31-FH47)^2))          +        (IF('HHV-LHV-MW'!II31="",0,('HHV-LHV-MW'!II31-FH47)^2))          )     *(1/($BW$28-1))  )))</f>
        <v>0</v>
      </c>
      <c r="FJ47" s="890" t="e">
        <f t="shared" si="2"/>
        <v>#N/A</v>
      </c>
      <c r="FK47" s="890" t="e">
        <f t="shared" si="22"/>
        <v>#DIV/0!</v>
      </c>
      <c r="FL47" s="636" t="str">
        <f>IF('HHV-LHV-MW'!GY31="","",IF(AND('HHV-LHV-MW'!GY31&gt;=0,'HHV-LHV-MW'!GY31&lt;=0.09),2,  IF(AND('HHV-LHV-MW'!GY31&gt;=0.1,'HHV-LHV-MW'!GY31&lt;=0.9),7,  IF(AND('HHV-LHV-MW'!GY31&gt;=1,'HHV-LHV-MW'!GY31&lt;=4.9),10,   IF(AND('HHV-LHV-MW'!GY31&gt;=5,'HHV-LHV-MW'!GY31&lt;=10),12, 15)))))</f>
        <v/>
      </c>
      <c r="FM47" s="636" t="str">
        <f>IF('HHV-LHV-MW'!GY31="","",5*'HHV-LHV-MW'!GY31)</f>
        <v/>
      </c>
      <c r="FN47" s="635" t="str">
        <f t="shared" si="23"/>
        <v/>
      </c>
      <c r="FO47" s="636" t="str">
        <f>IF(OR(FN47="",'HHV-LHV-MW'!GY31=0),"",FN47/'HHV-LHV-MW'!GY31)</f>
        <v/>
      </c>
      <c r="FP47" s="636" t="str">
        <f>IF(OR(FO47="",FF47="",'HHV-LHV-MW'!GY31=""),"",((FO47*FF47*('HHV-LHV-MW'!GY31/100))/23.685)^2)</f>
        <v/>
      </c>
      <c r="FQ47" s="636" t="str">
        <f>IF(OR(FO47="",FG47="",'HHV-LHV-MW'!GY31=""),"",((FO47*FG47*('HHV-LHV-MW'!GY31/100))/23.685)^2)</f>
        <v/>
      </c>
      <c r="FR47" s="639" t="e">
        <f t="shared" si="24"/>
        <v>#DIV/0!</v>
      </c>
      <c r="FS47" s="892" t="e">
        <f t="shared" si="25"/>
        <v>#DIV/0!</v>
      </c>
      <c r="FT47" s="511"/>
      <c r="FU47" s="511"/>
      <c r="FV47" s="511"/>
      <c r="FW47" s="511"/>
      <c r="FX47" s="511"/>
      <c r="FY47" s="511"/>
      <c r="FZ47" s="511"/>
      <c r="GA47" s="888" t="str">
        <f>IF(AE47="","",VLOOKUP(AE47,'HHV-LHV-MW'!$A$3:$H$40,4,FALSE))</f>
        <v/>
      </c>
      <c r="GB47" s="889" t="str">
        <f>IF(AE47="","",VLOOKUP(AE47,'HHV-LHV-MW'!$A$3:$H$40,5,FALSE))</f>
        <v/>
      </c>
      <c r="GC47" s="890" t="e">
        <f>(PRODUCT('HHV-LHV-MW'!IV31)+PRODUCT('HHV-LHV-MW'!JH31)+PRODUCT('HHV-LHV-MW'!JT31)+PRODUCT('HHV-LHV-MW'!KF31))/$BW$37</f>
        <v>#DIV/0!</v>
      </c>
      <c r="GD47" s="890">
        <f>IF($BW$37=1,"",  (SQRT(  (      (IF('HHV-LHV-MW'!IV31="",0,('HHV-LHV-MW'!IV31-GC47)^2))      +        (IF('HHV-LHV-MW'!JH31="",0,('HHV-LHV-MW'!JH31-GC47)^2))       +        (IF('HHV-LHV-MW'!JT31="",0,('HHV-LHV-MW'!JT31-GC47)^2))          +        (IF('HHV-LHV-MW'!KF31="",0,('HHV-LHV-MW'!KF31-GC47)^2))          )     *(1/($BW$37-1))  )))</f>
        <v>0</v>
      </c>
      <c r="GE47" s="890" t="e">
        <f t="shared" si="3"/>
        <v>#N/A</v>
      </c>
      <c r="GF47" s="890" t="e">
        <f t="shared" si="26"/>
        <v>#DIV/0!</v>
      </c>
      <c r="GG47" s="636" t="str">
        <f>IF('HHV-LHV-MW'!IV31="","",IF(AND('HHV-LHV-MW'!IV31&gt;=0,'HHV-LHV-MW'!IV31&lt;=0.09),2,  IF(AND('HHV-LHV-MW'!IV31&gt;=0.1,'HHV-LHV-MW'!IV31&lt;=0.9),7,  IF(AND('HHV-LHV-MW'!IV31&gt;=1,'HHV-LHV-MW'!IV31&lt;=4.9),10,   IF(AND('HHV-LHV-MW'!IV31&gt;=5,'HHV-LHV-MW'!IV31&lt;=10),12, 15)))))</f>
        <v/>
      </c>
      <c r="GH47" s="636" t="str">
        <f>IF('HHV-LHV-MW'!IV31="","",5*'HHV-LHV-MW'!IV31)</f>
        <v/>
      </c>
      <c r="GI47" s="635" t="str">
        <f t="shared" si="27"/>
        <v/>
      </c>
      <c r="GJ47" s="636" t="str">
        <f>IF(OR(GI47="",'HHV-LHV-MW'!IV31=0),"",GI47/'HHV-LHV-MW'!IV31)</f>
        <v/>
      </c>
      <c r="GK47" s="636" t="str">
        <f>IF(OR(GJ47="",GA47="",'HHV-LHV-MW'!IV31=""),"",((GJ47*GA47*('HHV-LHV-MW'!IV31/100))/23.685)^2)</f>
        <v/>
      </c>
      <c r="GL47" s="636" t="str">
        <f>IF(OR(GJ47="",GB47="",'HHV-LHV-MW'!IV31=""),"",((GJ47*GB47*('HHV-LHV-MW'!IV31/100))/23.685)^2)</f>
        <v/>
      </c>
      <c r="GM47" s="639" t="e">
        <f t="shared" si="28"/>
        <v>#DIV/0!</v>
      </c>
      <c r="GN47" s="892" t="e">
        <f t="shared" si="29"/>
        <v>#DIV/0!</v>
      </c>
      <c r="GO47" s="874"/>
      <c r="GP47" s="874"/>
      <c r="GQ47" s="874"/>
      <c r="GR47" s="874"/>
      <c r="GS47" s="874"/>
      <c r="GT47" s="874"/>
      <c r="GU47" s="874"/>
      <c r="GV47" s="874"/>
      <c r="GW47" s="874"/>
      <c r="GX47" s="874"/>
      <c r="GY47" s="874"/>
      <c r="GZ47" s="874"/>
      <c r="HA47" s="874"/>
      <c r="HB47" s="511"/>
      <c r="HC47" s="511"/>
      <c r="HD47" s="511"/>
      <c r="HE47" s="511"/>
      <c r="HF47" s="511"/>
      <c r="HG47" s="511"/>
      <c r="HH47" s="511"/>
      <c r="HI47" s="511"/>
      <c r="HJ47" s="874"/>
      <c r="HK47" s="874"/>
      <c r="HL47" s="874"/>
      <c r="HM47" s="874"/>
      <c r="HN47" s="874"/>
      <c r="HO47" s="874"/>
      <c r="HP47" s="874"/>
      <c r="HQ47" s="874"/>
      <c r="HR47" s="874"/>
      <c r="HS47" s="874"/>
      <c r="HT47" s="874"/>
      <c r="HU47" s="874"/>
      <c r="HV47" s="874"/>
      <c r="HW47" s="511"/>
      <c r="HX47" s="511"/>
      <c r="HY47" s="511"/>
      <c r="HZ47" s="511"/>
      <c r="IA47" s="511"/>
      <c r="IB47" s="511"/>
      <c r="IC47" s="511"/>
      <c r="ID47" s="511"/>
      <c r="IE47" s="874"/>
      <c r="IF47" s="874"/>
      <c r="IG47" s="874"/>
      <c r="IH47" s="874"/>
      <c r="II47" s="874"/>
      <c r="IJ47" s="874"/>
      <c r="IK47" s="874"/>
      <c r="IL47" s="874"/>
      <c r="IM47" s="874"/>
      <c r="IN47" s="874"/>
      <c r="IO47" s="874"/>
      <c r="IP47" s="874"/>
      <c r="IQ47" s="874"/>
      <c r="IR47" s="511"/>
      <c r="IS47" s="511"/>
      <c r="IT47" s="511"/>
      <c r="IU47" s="511"/>
      <c r="IV47" s="511"/>
      <c r="IW47" s="511"/>
      <c r="IX47" s="511"/>
      <c r="IY47" s="511"/>
      <c r="IZ47" s="874"/>
      <c r="JA47" s="874"/>
      <c r="JB47" s="874"/>
      <c r="JC47" s="874"/>
      <c r="JD47" s="874"/>
      <c r="JE47" s="874"/>
      <c r="JF47" s="874"/>
      <c r="JG47" s="874"/>
      <c r="JH47" s="874"/>
      <c r="JI47" s="874"/>
      <c r="JJ47" s="874"/>
      <c r="JK47" s="874"/>
      <c r="JL47" s="874"/>
      <c r="JM47" s="874"/>
      <c r="JN47" s="874"/>
      <c r="JO47" s="874"/>
      <c r="JP47" s="874"/>
      <c r="JQ47" s="874"/>
      <c r="JR47" s="874"/>
      <c r="JS47" s="874"/>
      <c r="JT47" s="874"/>
      <c r="JU47" s="874"/>
      <c r="JV47" s="874"/>
      <c r="JW47" s="874"/>
      <c r="JX47" s="874"/>
      <c r="JY47" s="874"/>
      <c r="JZ47" s="874"/>
      <c r="KA47" s="874"/>
      <c r="KB47" s="874"/>
      <c r="KC47" s="874"/>
      <c r="KD47" s="874"/>
      <c r="KE47" s="874"/>
      <c r="KF47" s="874"/>
      <c r="KG47" s="874"/>
      <c r="KH47" s="865"/>
      <c r="KI47" s="865"/>
      <c r="KJ47" s="865"/>
      <c r="KK47" s="865"/>
      <c r="KL47" s="865"/>
      <c r="KM47" s="865"/>
      <c r="KN47" s="865"/>
      <c r="KO47" s="865"/>
      <c r="KP47" s="865"/>
      <c r="KQ47" s="865"/>
      <c r="KR47" s="865"/>
      <c r="KS47" s="865"/>
      <c r="KT47" s="865"/>
      <c r="KU47" s="865"/>
      <c r="KV47" s="865"/>
      <c r="KW47" s="865"/>
      <c r="KX47" s="865"/>
      <c r="KY47" s="865"/>
      <c r="KZ47" s="865"/>
      <c r="LA47" s="865"/>
      <c r="LB47" s="865"/>
      <c r="LC47" s="865"/>
      <c r="LD47" s="865"/>
      <c r="LE47" s="865"/>
      <c r="LF47" s="865"/>
    </row>
    <row r="48" spans="1:318">
      <c r="A48" s="864"/>
      <c r="B48" s="663"/>
      <c r="C48" s="663"/>
      <c r="D48" s="663"/>
      <c r="E48" s="663"/>
      <c r="F48" s="511"/>
      <c r="G48" s="864"/>
      <c r="H48" s="663"/>
      <c r="I48" s="663"/>
      <c r="J48" s="663"/>
      <c r="K48" s="663"/>
      <c r="L48" s="511"/>
      <c r="M48" s="864"/>
      <c r="N48" s="663"/>
      <c r="O48" s="663"/>
      <c r="P48" s="663"/>
      <c r="Q48" s="663"/>
      <c r="R48" s="511"/>
      <c r="S48" s="864"/>
      <c r="T48" s="663"/>
      <c r="U48" s="663"/>
      <c r="V48" s="663"/>
      <c r="W48" s="663"/>
      <c r="X48" s="511"/>
      <c r="Y48" s="864"/>
      <c r="Z48" s="663"/>
      <c r="AA48" s="663"/>
      <c r="AB48" s="663"/>
      <c r="AC48" s="663"/>
      <c r="AD48" s="511"/>
      <c r="AE48" s="864"/>
      <c r="AF48" s="663"/>
      <c r="AG48" s="663"/>
      <c r="AH48" s="663"/>
      <c r="AI48" s="663"/>
      <c r="AJ48" s="511"/>
      <c r="AK48" s="865"/>
      <c r="AL48" s="865"/>
      <c r="AM48" s="865"/>
      <c r="AN48" s="865"/>
      <c r="AO48" s="865"/>
      <c r="AP48" s="865"/>
      <c r="AQ48" s="865"/>
      <c r="AR48" s="865"/>
      <c r="AS48" s="865"/>
      <c r="AT48" s="865"/>
      <c r="AU48" s="865"/>
      <c r="AV48" s="865"/>
      <c r="AW48" s="865"/>
      <c r="AX48" s="865"/>
      <c r="AY48" s="865"/>
      <c r="AZ48" s="865"/>
      <c r="BA48" s="865"/>
      <c r="BB48" s="865"/>
      <c r="BC48" s="865"/>
      <c r="BD48" s="865"/>
      <c r="BE48" s="865"/>
      <c r="BF48" s="865"/>
      <c r="BG48" s="865"/>
      <c r="BH48" s="865"/>
      <c r="BI48" s="865"/>
      <c r="BJ48" s="865"/>
      <c r="BK48" s="865"/>
      <c r="BL48" s="865"/>
      <c r="BM48" s="865"/>
      <c r="BN48" s="865"/>
      <c r="BO48" s="865"/>
      <c r="BP48" s="865"/>
      <c r="BQ48" s="865"/>
      <c r="BR48" s="865"/>
      <c r="BS48" s="865"/>
      <c r="BT48" s="865"/>
      <c r="BU48" s="865"/>
      <c r="BV48" s="865"/>
      <c r="BW48" s="865"/>
      <c r="BX48" s="865"/>
      <c r="BY48" s="874"/>
      <c r="BZ48" s="888" t="str">
        <f>IF(A48="","",VLOOKUP(A48,'HHV-LHV-MW'!$A$3:$H$40,4,FALSE))</f>
        <v/>
      </c>
      <c r="CA48" s="889" t="str">
        <f>IF(A48="","",VLOOKUP(A48,'HHV-LHV-MW'!$A$3:$H$40,5,FALSE))</f>
        <v/>
      </c>
      <c r="CB48" s="890" t="e">
        <f>(PRODUCT('HHV-LHV-MW'!K32)+PRODUCT('HHV-LHV-MW'!W32)+PRODUCT('HHV-LHV-MW'!AI32)+PRODUCT('HHV-LHV-MW'!AU32))/$BO$19</f>
        <v>#DIV/0!</v>
      </c>
      <c r="CC48" s="890">
        <f>IF($BO$19=1,"",  (SQRT(  (      (IF('HHV-LHV-MW'!K32="",0,('HHV-LHV-MW'!K32-CB48)^2))      +        (IF('HHV-LHV-MW'!W32="",0,('HHV-LHV-MW'!W32-CB48)^2))       +        (IF('HHV-LHV-MW'!AI32="",0,('HHV-LHV-MW'!AI32-CB48)^2))          +        (IF('HHV-LHV-MW'!AU32="",0,('HHV-LHV-MW'!AU32-CB48)^2))          )     *(1/($BO$19-1))  )))</f>
        <v>0</v>
      </c>
      <c r="CD48" s="890" t="e">
        <f t="shared" si="4"/>
        <v>#N/A</v>
      </c>
      <c r="CE48" s="890" t="e">
        <f t="shared" si="5"/>
        <v>#DIV/0!</v>
      </c>
      <c r="CF48" s="636" t="str">
        <f>IF('HHV-LHV-MW'!K32="","",IF(AND('HHV-LHV-MW'!K32&gt;=0,'HHV-LHV-MW'!K32&lt;=0.09),2,  IF(AND('HHV-LHV-MW'!K32&gt;=0.1,'HHV-LHV-MW'!K32&lt;=0.9),7,  IF(AND('HHV-LHV-MW'!K32&gt;=1,'HHV-LHV-MW'!K32&lt;=4.9),10,   IF(AND('HHV-LHV-MW'!K32&gt;=5,'HHV-LHV-MW'!K32&lt;=10),12, 15)))))</f>
        <v/>
      </c>
      <c r="CG48" s="636" t="str">
        <f>IF('HHV-LHV-MW'!K32="","",5*'HHV-LHV-MW'!K32)</f>
        <v/>
      </c>
      <c r="CH48" s="635" t="str">
        <f t="shared" si="6"/>
        <v/>
      </c>
      <c r="CI48" s="636" t="str">
        <f>IF(OR(CH48="",'HHV-LHV-MW'!K32=0),"",CH48/'HHV-LHV-MW'!K32)</f>
        <v/>
      </c>
      <c r="CJ48" s="636" t="str">
        <f>IF(OR(CI48="",BZ48="",'HHV-LHV-MW'!K32=""),"",((CI48*BZ48*('HHV-LHV-MW'!K32/100))/23.685)^2)</f>
        <v/>
      </c>
      <c r="CK48" s="891" t="str">
        <f>IF(OR(CI48="",CA48="",'HHV-LHV-MW'!K32=""),"",((CI48*CA48*('HHV-LHV-MW'!K32/100))/23.685)^2)</f>
        <v/>
      </c>
      <c r="CL48" s="639" t="e">
        <f t="shared" si="7"/>
        <v>#DIV/0!</v>
      </c>
      <c r="CM48" s="892" t="e">
        <f t="shared" si="8"/>
        <v>#DIV/0!</v>
      </c>
      <c r="CN48" s="511"/>
      <c r="CO48" s="511"/>
      <c r="CP48" s="511"/>
      <c r="CQ48" s="511"/>
      <c r="CR48" s="511"/>
      <c r="CS48" s="511"/>
      <c r="CT48" s="511"/>
      <c r="CU48" s="888" t="str">
        <f>IF(G48="","",VLOOKUP(G48,'HHV-LHV-MW'!$A$3:$H$40,4,FALSE))</f>
        <v/>
      </c>
      <c r="CV48" s="889" t="str">
        <f>IF(G48="","",VLOOKUP(G48,'HHV-LHV-MW'!$A$3:$H$40,5,FALSE))</f>
        <v/>
      </c>
      <c r="CW48" s="890" t="e">
        <f>(PRODUCT('HHV-LHV-MW'!BH32)+PRODUCT('HHV-LHV-MW'!BT32)+PRODUCT('HHV-LHV-MW'!CF32)+PRODUCT('HHV-LHV-MW'!CR32))/$BO$28</f>
        <v>#DIV/0!</v>
      </c>
      <c r="CX48" s="890">
        <f>IF($BO$28=1,"",  (SQRT(  (      (IF('HHV-LHV-MW'!BH32="",0,('HHV-LHV-MW'!BH32-CW48)^2))      +        (IF('HHV-LHV-MW'!BT32="",0,('HHV-LHV-MW'!BT32-CW48)^2))       +        (IF('HHV-LHV-MW'!CF32="",0,('HHV-LHV-MW'!CF32-CW48)^2))          +        (IF('HHV-LHV-MW'!CR32="",0,('HHV-LHV-MW'!CR32-CW48)^2))          )     *(1/($BO$28-1))  )))</f>
        <v>0</v>
      </c>
      <c r="CY48" s="890" t="e">
        <f t="shared" si="9"/>
        <v>#N/A</v>
      </c>
      <c r="CZ48" s="890" t="e">
        <f t="shared" si="10"/>
        <v>#DIV/0!</v>
      </c>
      <c r="DA48" s="636" t="str">
        <f>IF('HHV-LHV-MW'!BH32="","",IF(AND('HHV-LHV-MW'!BH32&gt;=0,'HHV-LHV-MW'!BH32&lt;=0.09),2,  IF(AND('HHV-LHV-MW'!BH32&gt;=0.1,'HHV-LHV-MW'!BH32&lt;=0.9),7,  IF(AND('HHV-LHV-MW'!BH32&gt;=1,'HHV-LHV-MW'!BH32&lt;=4.9),10,   IF(AND('HHV-LHV-MW'!BH32&gt;=5,'HHV-LHV-MW'!BH32&lt;=10),12, 15)))))</f>
        <v/>
      </c>
      <c r="DB48" s="636" t="str">
        <f>IF('HHV-LHV-MW'!BH32="","",5*'HHV-LHV-MW'!BH32)</f>
        <v/>
      </c>
      <c r="DC48" s="635" t="str">
        <f t="shared" si="11"/>
        <v/>
      </c>
      <c r="DD48" s="636" t="str">
        <f>IF(OR(DC48="",'HHV-LHV-MW'!BH32=0),"",DC48/'HHV-LHV-MW'!BH32)</f>
        <v/>
      </c>
      <c r="DE48" s="635" t="str">
        <f>IF(OR(DD48="",CU48="",'HHV-LHV-MW'!BH32=""),"",((DD48*CU48*('HHV-LHV-MW'!BH32/100))/23.685)^2)</f>
        <v/>
      </c>
      <c r="DF48" s="636" t="str">
        <f>IF(OR(DD48="",CV48="",'HHV-LHV-MW'!BH32=""),"",((DD48*CV48*('HHV-LHV-MW'!BH32/100))/23.685)^2)</f>
        <v/>
      </c>
      <c r="DG48" s="639" t="e">
        <f t="shared" si="12"/>
        <v>#DIV/0!</v>
      </c>
      <c r="DH48" s="892" t="e">
        <f t="shared" si="13"/>
        <v>#DIV/0!</v>
      </c>
      <c r="DI48" s="511"/>
      <c r="DJ48" s="511"/>
      <c r="DK48" s="511"/>
      <c r="DL48" s="511"/>
      <c r="DM48" s="511"/>
      <c r="DN48" s="511"/>
      <c r="DO48" s="511"/>
      <c r="DP48" s="888" t="str">
        <f>IF(M48="","",VLOOKUP(M48,'HHV-LHV-MW'!$A$3:$H$40,4,FALSE))</f>
        <v/>
      </c>
      <c r="DQ48" s="889" t="str">
        <f>IF(M48="","",VLOOKUP(M48,'HHV-LHV-MW'!$A$3:$H$40,5,FALSE))</f>
        <v/>
      </c>
      <c r="DR48" s="890" t="e">
        <f>(PRODUCT('HHV-LHV-MW'!DE32)+PRODUCT('HHV-LHV-MW'!DQ32)+PRODUCT('HHV-LHV-MW'!EC32)+PRODUCT('HHV-LHV-MW'!EO32))/$BO$37</f>
        <v>#DIV/0!</v>
      </c>
      <c r="DS48" s="890">
        <f>IF($BO$37=1,"",  (SQRT(  (      (IF('HHV-LHV-MW'!DE32="",0,('HHV-LHV-MW'!DE32-DR48)^2))      +        (IF('HHV-LHV-MW'!DQ32="",0,('HHV-LHV-MW'!DQ32-DR48)^2))       +        (IF('HHV-LHV-MW'!EC32="",0,('HHV-LHV-MW'!EC32-DR48)^2))          +        (IF('HHV-LHV-MW'!EO32="",0,('HHV-LHV-MW'!EO32-DR48)^2))          )     *(1/($BO$37-1))  )))</f>
        <v>0</v>
      </c>
      <c r="DT48" s="890" t="e">
        <f t="shared" si="0"/>
        <v>#N/A</v>
      </c>
      <c r="DU48" s="890" t="e">
        <f t="shared" si="14"/>
        <v>#DIV/0!</v>
      </c>
      <c r="DV48" s="636" t="str">
        <f>IF('HHV-LHV-MW'!DE32="","",IF(AND('HHV-LHV-MW'!DE32&gt;=0,'HHV-LHV-MW'!DE32&lt;=0.09),2,  IF(AND('HHV-LHV-MW'!DE32&gt;=0.1,'HHV-LHV-MW'!DE32&lt;=0.9),7,  IF(AND('HHV-LHV-MW'!DE32&gt;=1,'HHV-LHV-MW'!DE32&lt;=4.9),10,   IF(AND('HHV-LHV-MW'!DE32&gt;=5,'HHV-LHV-MW'!DE32&lt;=10),12, 15)))))</f>
        <v/>
      </c>
      <c r="DW48" s="636" t="str">
        <f>IF('HHV-LHV-MW'!DE32="","",5*'HHV-LHV-MW'!DE32)</f>
        <v/>
      </c>
      <c r="DX48" s="635" t="str">
        <f t="shared" si="15"/>
        <v/>
      </c>
      <c r="DY48" s="636" t="str">
        <f>IF(OR(DX48="",'HHV-LHV-MW'!DE32=0),"",DX48/'HHV-LHV-MW'!DE32)</f>
        <v/>
      </c>
      <c r="DZ48" s="636" t="str">
        <f>IF(OR(DY48="",DP48="",'HHV-LHV-MW'!DE32=""),"",((DY48*DP48*('HHV-LHV-MW'!DE32/100))/23.685)^2)</f>
        <v/>
      </c>
      <c r="EA48" s="636" t="str">
        <f>IF(OR(DY48="",DQ48="",'HHV-LHV-MW'!DE32=""),"",((DY48*DQ48*('HHV-LHV-MW'!DE32/100))/23.685)^2)</f>
        <v/>
      </c>
      <c r="EB48" s="639" t="e">
        <f t="shared" si="16"/>
        <v>#DIV/0!</v>
      </c>
      <c r="EC48" s="892" t="e">
        <f t="shared" si="17"/>
        <v>#DIV/0!</v>
      </c>
      <c r="ED48" s="511"/>
      <c r="EE48" s="511"/>
      <c r="EF48" s="511"/>
      <c r="EG48" s="511"/>
      <c r="EH48" s="511"/>
      <c r="EI48" s="511"/>
      <c r="EJ48" s="511"/>
      <c r="EK48" s="888" t="str">
        <f>IF(S48="","",VLOOKUP(S48,'HHV-LHV-MW'!$A$3:$H$40,4,FALSE))</f>
        <v/>
      </c>
      <c r="EL48" s="889" t="str">
        <f>IF(S48="","",VLOOKUP(S48,'HHV-LHV-MW'!$A$3:$H$40,5,FALSE))</f>
        <v/>
      </c>
      <c r="EM48" s="890" t="e">
        <f>(PRODUCT('HHV-LHV-MW'!FB32)+PRODUCT('HHV-LHV-MW'!FN32)+PRODUCT('HHV-LHV-MW'!FZ32)+PRODUCT('HHV-LHV-MW'!GL32))/$BW$19</f>
        <v>#DIV/0!</v>
      </c>
      <c r="EN48" s="890">
        <f>IF($BW$19=1,"",  (SQRT(  (      (IF('HHV-LHV-MW'!FB32="",0,('HHV-LHV-MW'!FB32-EM48)^2))      +        (IF('HHV-LHV-MW'!FN32="",0,('HHV-LHV-MW'!FN32-EM48)^2))       +        (IF('HHV-LHV-MW'!FZ32="",0,('HHV-LHV-MW'!FZ32-EM48)^2))          +        (IF('HHV-LHV-MW'!GL32="",0,('HHV-LHV-MW'!GL32-EM48)^2))          )     *(1/($BW$19-1))  )))</f>
        <v>0</v>
      </c>
      <c r="EO48" s="890" t="e">
        <f t="shared" si="1"/>
        <v>#N/A</v>
      </c>
      <c r="EP48" s="890" t="e">
        <f t="shared" si="18"/>
        <v>#DIV/0!</v>
      </c>
      <c r="EQ48" s="636" t="str">
        <f>IF('HHV-LHV-MW'!FB32="","",IF(AND('HHV-LHV-MW'!FB32&gt;=0,'HHV-LHV-MW'!FB32&lt;=0.09),2,  IF(AND('HHV-LHV-MW'!FB32&gt;=0.1,'HHV-LHV-MW'!FB32&lt;=0.9),7,  IF(AND('HHV-LHV-MW'!FB32&gt;=1,'HHV-LHV-MW'!FB32&lt;=4.9),10,   IF(AND('HHV-LHV-MW'!FB32&gt;=5,'HHV-LHV-MW'!FB32&lt;=10),12, 15)))))</f>
        <v/>
      </c>
      <c r="ER48" s="636" t="str">
        <f>IF('HHV-LHV-MW'!FB32="","",5*'HHV-LHV-MW'!FB32)</f>
        <v/>
      </c>
      <c r="ES48" s="635" t="str">
        <f t="shared" si="19"/>
        <v/>
      </c>
      <c r="ET48" s="636" t="str">
        <f>IF(OR(ES48="",'HHV-LHV-MW'!FB32=0),"",ES48/'HHV-LHV-MW'!FB32)</f>
        <v/>
      </c>
      <c r="EU48" s="636" t="str">
        <f>IF(OR(ET48="",EK48="",'HHV-LHV-MW'!FB32=""),"",((ET48*EK48*('HHV-LHV-MW'!FB32/100))/23.685)^2)</f>
        <v/>
      </c>
      <c r="EV48" s="636" t="str">
        <f>IF(OR(ET48="",EL48="",'HHV-LHV-MW'!FB32=""),"",((ET48*EL48*('HHV-LHV-MW'!FB32/100))/23.685)^2)</f>
        <v/>
      </c>
      <c r="EW48" s="639" t="e">
        <f t="shared" si="20"/>
        <v>#DIV/0!</v>
      </c>
      <c r="EX48" s="892" t="e">
        <f t="shared" si="21"/>
        <v>#DIV/0!</v>
      </c>
      <c r="EY48" s="511"/>
      <c r="EZ48" s="511"/>
      <c r="FA48" s="511"/>
      <c r="FB48" s="511"/>
      <c r="FC48" s="511"/>
      <c r="FD48" s="511"/>
      <c r="FE48" s="511"/>
      <c r="FF48" s="888" t="str">
        <f>IF(Y48="","",VLOOKUP(Y48,'HHV-LHV-MW'!$A$3:$H$40,4,FALSE))</f>
        <v/>
      </c>
      <c r="FG48" s="889" t="str">
        <f>IF(Y48="","",VLOOKUP(Y48,'HHV-LHV-MW'!$A$3:$H$40,5,FALSE))</f>
        <v/>
      </c>
      <c r="FH48" s="890" t="e">
        <f>(PRODUCT('HHV-LHV-MW'!GY32)+PRODUCT('HHV-LHV-MW'!HK32)+PRODUCT('HHV-LHV-MW'!HW32)+PRODUCT('HHV-LHV-MW'!II32))/$BW$28</f>
        <v>#DIV/0!</v>
      </c>
      <c r="FI48" s="890">
        <f>IF($BW$28=1,"",  (SQRT(  (      (IF('HHV-LHV-MW'!GY32="",0,('HHV-LHV-MW'!GY32-FH48)^2))      +        (IF('HHV-LHV-MW'!HK32="",0,('HHV-LHV-MW'!HK32-FH48)^2))       +        (IF('HHV-LHV-MW'!HW32="",0,('HHV-LHV-MW'!HW32-FH48)^2))          +        (IF('HHV-LHV-MW'!II32="",0,('HHV-LHV-MW'!II32-FH48)^2))          )     *(1/($BW$28-1))  )))</f>
        <v>0</v>
      </c>
      <c r="FJ48" s="890" t="e">
        <f t="shared" si="2"/>
        <v>#N/A</v>
      </c>
      <c r="FK48" s="890" t="e">
        <f t="shared" si="22"/>
        <v>#DIV/0!</v>
      </c>
      <c r="FL48" s="636" t="str">
        <f>IF('HHV-LHV-MW'!GY32="","",IF(AND('HHV-LHV-MW'!GY32&gt;=0,'HHV-LHV-MW'!GY32&lt;=0.09),2,  IF(AND('HHV-LHV-MW'!GY32&gt;=0.1,'HHV-LHV-MW'!GY32&lt;=0.9),7,  IF(AND('HHV-LHV-MW'!GY32&gt;=1,'HHV-LHV-MW'!GY32&lt;=4.9),10,   IF(AND('HHV-LHV-MW'!GY32&gt;=5,'HHV-LHV-MW'!GY32&lt;=10),12, 15)))))</f>
        <v/>
      </c>
      <c r="FM48" s="636" t="str">
        <f>IF('HHV-LHV-MW'!GY32="","",5*'HHV-LHV-MW'!GY32)</f>
        <v/>
      </c>
      <c r="FN48" s="635" t="str">
        <f t="shared" si="23"/>
        <v/>
      </c>
      <c r="FO48" s="636" t="str">
        <f>IF(OR(FN48="",'HHV-LHV-MW'!GY32=0),"",FN48/'HHV-LHV-MW'!GY32)</f>
        <v/>
      </c>
      <c r="FP48" s="636" t="str">
        <f>IF(OR(FO48="",FF48="",'HHV-LHV-MW'!GY32=""),"",((FO48*FF48*('HHV-LHV-MW'!GY32/100))/23.685)^2)</f>
        <v/>
      </c>
      <c r="FQ48" s="636" t="str">
        <f>IF(OR(FO48="",FG48="",'HHV-LHV-MW'!GY32=""),"",((FO48*FG48*('HHV-LHV-MW'!GY32/100))/23.685)^2)</f>
        <v/>
      </c>
      <c r="FR48" s="639" t="e">
        <f t="shared" si="24"/>
        <v>#DIV/0!</v>
      </c>
      <c r="FS48" s="892" t="e">
        <f t="shared" si="25"/>
        <v>#DIV/0!</v>
      </c>
      <c r="FT48" s="511"/>
      <c r="FU48" s="511"/>
      <c r="FV48" s="511"/>
      <c r="FW48" s="511"/>
      <c r="FX48" s="511"/>
      <c r="FY48" s="511"/>
      <c r="FZ48" s="511"/>
      <c r="GA48" s="888" t="str">
        <f>IF(AE48="","",VLOOKUP(AE48,'HHV-LHV-MW'!$A$3:$H$40,4,FALSE))</f>
        <v/>
      </c>
      <c r="GB48" s="889" t="str">
        <f>IF(AE48="","",VLOOKUP(AE48,'HHV-LHV-MW'!$A$3:$H$40,5,FALSE))</f>
        <v/>
      </c>
      <c r="GC48" s="890" t="e">
        <f>(PRODUCT('HHV-LHV-MW'!IV32)+PRODUCT('HHV-LHV-MW'!JH32)+PRODUCT('HHV-LHV-MW'!JT32)+PRODUCT('HHV-LHV-MW'!KF32))/$BW$37</f>
        <v>#DIV/0!</v>
      </c>
      <c r="GD48" s="890">
        <f>IF($BW$37=1,"",  (SQRT(  (      (IF('HHV-LHV-MW'!IV32="",0,('HHV-LHV-MW'!IV32-GC48)^2))      +        (IF('HHV-LHV-MW'!JH32="",0,('HHV-LHV-MW'!JH32-GC48)^2))       +        (IF('HHV-LHV-MW'!JT32="",0,('HHV-LHV-MW'!JT32-GC48)^2))          +        (IF('HHV-LHV-MW'!KF32="",0,('HHV-LHV-MW'!KF32-GC48)^2))          )     *(1/($BW$37-1))  )))</f>
        <v>0</v>
      </c>
      <c r="GE48" s="890" t="e">
        <f t="shared" si="3"/>
        <v>#N/A</v>
      </c>
      <c r="GF48" s="890" t="e">
        <f t="shared" si="26"/>
        <v>#DIV/0!</v>
      </c>
      <c r="GG48" s="636" t="str">
        <f>IF('HHV-LHV-MW'!IV32="","",IF(AND('HHV-LHV-MW'!IV32&gt;=0,'HHV-LHV-MW'!IV32&lt;=0.09),2,  IF(AND('HHV-LHV-MW'!IV32&gt;=0.1,'HHV-LHV-MW'!IV32&lt;=0.9),7,  IF(AND('HHV-LHV-MW'!IV32&gt;=1,'HHV-LHV-MW'!IV32&lt;=4.9),10,   IF(AND('HHV-LHV-MW'!IV32&gt;=5,'HHV-LHV-MW'!IV32&lt;=10),12, 15)))))</f>
        <v/>
      </c>
      <c r="GH48" s="636" t="str">
        <f>IF('HHV-LHV-MW'!IV32="","",5*'HHV-LHV-MW'!IV32)</f>
        <v/>
      </c>
      <c r="GI48" s="635" t="str">
        <f t="shared" si="27"/>
        <v/>
      </c>
      <c r="GJ48" s="636" t="str">
        <f>IF(OR(GI48="",'HHV-LHV-MW'!IV32=0),"",GI48/'HHV-LHV-MW'!IV32)</f>
        <v/>
      </c>
      <c r="GK48" s="636" t="str">
        <f>IF(OR(GJ48="",GA48="",'HHV-LHV-MW'!IV32=""),"",((GJ48*GA48*('HHV-LHV-MW'!IV32/100))/23.685)^2)</f>
        <v/>
      </c>
      <c r="GL48" s="636" t="str">
        <f>IF(OR(GJ48="",GB48="",'HHV-LHV-MW'!IV32=""),"",((GJ48*GB48*('HHV-LHV-MW'!IV32/100))/23.685)^2)</f>
        <v/>
      </c>
      <c r="GM48" s="639" t="e">
        <f t="shared" si="28"/>
        <v>#DIV/0!</v>
      </c>
      <c r="GN48" s="892" t="e">
        <f t="shared" si="29"/>
        <v>#DIV/0!</v>
      </c>
      <c r="GO48" s="874"/>
      <c r="GP48" s="874"/>
      <c r="GQ48" s="874"/>
      <c r="GR48" s="874"/>
      <c r="GS48" s="874"/>
      <c r="GT48" s="874"/>
      <c r="GU48" s="874"/>
      <c r="GV48" s="874"/>
      <c r="GW48" s="874"/>
      <c r="GX48" s="874"/>
      <c r="GY48" s="874"/>
      <c r="GZ48" s="874"/>
      <c r="HA48" s="874"/>
      <c r="HB48" s="511"/>
      <c r="HC48" s="511"/>
      <c r="HD48" s="511"/>
      <c r="HE48" s="511"/>
      <c r="HF48" s="511"/>
      <c r="HG48" s="511"/>
      <c r="HH48" s="511"/>
      <c r="HI48" s="511"/>
      <c r="HJ48" s="874"/>
      <c r="HK48" s="874"/>
      <c r="HL48" s="874"/>
      <c r="HM48" s="874"/>
      <c r="HN48" s="874"/>
      <c r="HO48" s="874"/>
      <c r="HP48" s="874"/>
      <c r="HQ48" s="874"/>
      <c r="HR48" s="874"/>
      <c r="HS48" s="874"/>
      <c r="HT48" s="874"/>
      <c r="HU48" s="874"/>
      <c r="HV48" s="874"/>
      <c r="HW48" s="511"/>
      <c r="HX48" s="511"/>
      <c r="HY48" s="511"/>
      <c r="HZ48" s="511"/>
      <c r="IA48" s="511"/>
      <c r="IB48" s="511"/>
      <c r="IC48" s="511"/>
      <c r="ID48" s="511"/>
      <c r="IE48" s="874"/>
      <c r="IF48" s="874"/>
      <c r="IG48" s="874"/>
      <c r="IH48" s="874"/>
      <c r="II48" s="874"/>
      <c r="IJ48" s="874"/>
      <c r="IK48" s="874"/>
      <c r="IL48" s="874"/>
      <c r="IM48" s="874"/>
      <c r="IN48" s="874"/>
      <c r="IO48" s="874"/>
      <c r="IP48" s="874"/>
      <c r="IQ48" s="874"/>
      <c r="IR48" s="511"/>
      <c r="IS48" s="511"/>
      <c r="IT48" s="511"/>
      <c r="IU48" s="511"/>
      <c r="IV48" s="511"/>
      <c r="IW48" s="511"/>
      <c r="IX48" s="511"/>
      <c r="IY48" s="511"/>
      <c r="IZ48" s="874"/>
      <c r="JA48" s="874"/>
      <c r="JB48" s="874"/>
      <c r="JC48" s="874"/>
      <c r="JD48" s="874"/>
      <c r="JE48" s="874"/>
      <c r="JF48" s="874"/>
      <c r="JG48" s="874"/>
      <c r="JH48" s="874"/>
      <c r="JI48" s="874"/>
      <c r="JJ48" s="874"/>
      <c r="JK48" s="874"/>
      <c r="JL48" s="874"/>
      <c r="JM48" s="874"/>
      <c r="JN48" s="874"/>
      <c r="JO48" s="874"/>
      <c r="JP48" s="874"/>
      <c r="JQ48" s="874"/>
      <c r="JR48" s="874"/>
      <c r="JS48" s="874"/>
      <c r="JT48" s="874"/>
      <c r="JU48" s="874"/>
      <c r="JV48" s="874"/>
      <c r="JW48" s="874"/>
      <c r="JX48" s="874"/>
      <c r="JY48" s="874"/>
      <c r="JZ48" s="874"/>
      <c r="KA48" s="874"/>
      <c r="KB48" s="874"/>
      <c r="KC48" s="874"/>
      <c r="KD48" s="874"/>
      <c r="KE48" s="874"/>
      <c r="KF48" s="874"/>
      <c r="KG48" s="874"/>
      <c r="KH48" s="865"/>
      <c r="KI48" s="865"/>
      <c r="KJ48" s="865"/>
      <c r="KK48" s="865"/>
      <c r="KL48" s="865"/>
      <c r="KM48" s="865"/>
      <c r="KN48" s="865"/>
      <c r="KO48" s="865"/>
      <c r="KP48" s="865"/>
      <c r="KQ48" s="865"/>
      <c r="KR48" s="865"/>
      <c r="KS48" s="865"/>
      <c r="KT48" s="865"/>
      <c r="KU48" s="865"/>
      <c r="KV48" s="865"/>
      <c r="KW48" s="865"/>
      <c r="KX48" s="865"/>
      <c r="KY48" s="865"/>
      <c r="KZ48" s="865"/>
      <c r="LA48" s="865"/>
      <c r="LB48" s="865"/>
      <c r="LC48" s="865"/>
      <c r="LD48" s="865"/>
      <c r="LE48" s="865"/>
      <c r="LF48" s="865"/>
    </row>
    <row r="49" spans="1:318" ht="16.2" thickBot="1">
      <c r="A49" s="864"/>
      <c r="B49" s="663"/>
      <c r="C49" s="663"/>
      <c r="D49" s="663"/>
      <c r="E49" s="663"/>
      <c r="F49" s="511"/>
      <c r="G49" s="864"/>
      <c r="H49" s="663"/>
      <c r="I49" s="663"/>
      <c r="J49" s="663"/>
      <c r="K49" s="663"/>
      <c r="L49" s="511"/>
      <c r="M49" s="864"/>
      <c r="N49" s="663"/>
      <c r="O49" s="663"/>
      <c r="P49" s="663"/>
      <c r="Q49" s="663"/>
      <c r="R49" s="511"/>
      <c r="S49" s="864"/>
      <c r="T49" s="663"/>
      <c r="U49" s="663"/>
      <c r="V49" s="663"/>
      <c r="W49" s="663"/>
      <c r="X49" s="511"/>
      <c r="Y49" s="864"/>
      <c r="Z49" s="663"/>
      <c r="AA49" s="663"/>
      <c r="AB49" s="663"/>
      <c r="AC49" s="663"/>
      <c r="AD49" s="511"/>
      <c r="AE49" s="864"/>
      <c r="AF49" s="663"/>
      <c r="AG49" s="663"/>
      <c r="AH49" s="663"/>
      <c r="AI49" s="663"/>
      <c r="AJ49" s="511"/>
      <c r="AK49" s="865"/>
      <c r="AL49" s="865"/>
      <c r="AM49" s="865"/>
      <c r="AN49" s="865"/>
      <c r="AO49" s="865"/>
      <c r="AP49" s="865"/>
      <c r="AQ49" s="865"/>
      <c r="AR49" s="865"/>
      <c r="AS49" s="865"/>
      <c r="AT49" s="865"/>
      <c r="AU49" s="865"/>
      <c r="AV49" s="865"/>
      <c r="AW49" s="865"/>
      <c r="AX49" s="865"/>
      <c r="AY49" s="865"/>
      <c r="AZ49" s="865"/>
      <c r="BA49" s="865"/>
      <c r="BB49" s="865"/>
      <c r="BC49" s="865"/>
      <c r="BD49" s="865"/>
      <c r="BE49" s="865"/>
      <c r="BF49" s="865"/>
      <c r="BG49" s="865"/>
      <c r="BH49" s="865"/>
      <c r="BI49" s="865"/>
      <c r="BJ49" s="865"/>
      <c r="BK49" s="865"/>
      <c r="BL49" s="865"/>
      <c r="BM49" s="865"/>
      <c r="BN49" s="865"/>
      <c r="BO49" s="865"/>
      <c r="BP49" s="865"/>
      <c r="BQ49" s="865"/>
      <c r="BR49" s="865"/>
      <c r="BS49" s="865"/>
      <c r="BT49" s="865"/>
      <c r="BU49" s="865"/>
      <c r="BV49" s="865"/>
      <c r="BW49" s="865"/>
      <c r="BX49" s="865"/>
      <c r="BY49" s="874"/>
      <c r="BZ49" s="888" t="str">
        <f>IF(A49="","",VLOOKUP(A49,'HHV-LHV-MW'!$A$3:$H$40,4,FALSE))</f>
        <v/>
      </c>
      <c r="CA49" s="889" t="str">
        <f>IF(A49="","",VLOOKUP(A49,'HHV-LHV-MW'!$A$3:$H$40,5,FALSE))</f>
        <v/>
      </c>
      <c r="CB49" s="890" t="e">
        <f>(PRODUCT('HHV-LHV-MW'!K33)+PRODUCT('HHV-LHV-MW'!W33)+PRODUCT('HHV-LHV-MW'!AI33)+PRODUCT('HHV-LHV-MW'!AU33))/$BO$19</f>
        <v>#DIV/0!</v>
      </c>
      <c r="CC49" s="890">
        <f>IF($BO$19=1,"",  (SQRT(  (      (IF('HHV-LHV-MW'!K33="",0,('HHV-LHV-MW'!K33-CB49)^2))      +        (IF('HHV-LHV-MW'!W33="",0,('HHV-LHV-MW'!W33-CB49)^2))       +        (IF('HHV-LHV-MW'!AI33="",0,('HHV-LHV-MW'!AI33-CB49)^2))          +        (IF('HHV-LHV-MW'!AU33="",0,('HHV-LHV-MW'!AU33-CB49)^2))          )     *(1/($BO$19-1))  )))</f>
        <v>0</v>
      </c>
      <c r="CD49" s="890" t="e">
        <f t="shared" si="4"/>
        <v>#N/A</v>
      </c>
      <c r="CE49" s="890" t="e">
        <f t="shared" si="5"/>
        <v>#DIV/0!</v>
      </c>
      <c r="CF49" s="636" t="str">
        <f>IF('HHV-LHV-MW'!K33="","",IF(AND('HHV-LHV-MW'!K33&gt;=0,'HHV-LHV-MW'!K33&lt;=0.09),2,  IF(AND('HHV-LHV-MW'!K33&gt;=0.1,'HHV-LHV-MW'!K33&lt;=0.9),7,  IF(AND('HHV-LHV-MW'!K33&gt;=1,'HHV-LHV-MW'!K33&lt;=4.9),10,   IF(AND('HHV-LHV-MW'!K33&gt;=5,'HHV-LHV-MW'!K33&lt;=10),12, 15)))))</f>
        <v/>
      </c>
      <c r="CG49" s="636" t="str">
        <f>IF('HHV-LHV-MW'!K33="","",5*'HHV-LHV-MW'!K33)</f>
        <v/>
      </c>
      <c r="CH49" s="876" t="str">
        <f t="shared" si="6"/>
        <v/>
      </c>
      <c r="CI49" s="636" t="str">
        <f>IF(OR(CH49="",'HHV-LHV-MW'!K33=0),"",CH49/'HHV-LHV-MW'!K33)</f>
        <v/>
      </c>
      <c r="CJ49" s="636" t="str">
        <f>IF(OR(CI49="",BZ49="",'HHV-LHV-MW'!K33=""),"",((CI49*BZ49*('HHV-LHV-MW'!K33/100))/23.685)^2)</f>
        <v/>
      </c>
      <c r="CK49" s="891" t="str">
        <f>IF(OR(CI49="",CA49="",'HHV-LHV-MW'!K33=""),"",((CI49*CA49*('HHV-LHV-MW'!K33/100))/23.685)^2)</f>
        <v/>
      </c>
      <c r="CL49" s="639" t="e">
        <f>IF(OR(CE49="",BZ49="",CB49=""),"",((CE49*BZ49*(CB49/100))/23.685)^2)</f>
        <v>#DIV/0!</v>
      </c>
      <c r="CM49" s="892" t="e">
        <f>IF(OR(CE49="",CA49="",CB49=""),"",((CE49*CA49*(CB49/100))/23.685)^2)</f>
        <v>#DIV/0!</v>
      </c>
      <c r="CN49" s="511"/>
      <c r="CO49" s="511"/>
      <c r="CP49" s="511"/>
      <c r="CQ49" s="511"/>
      <c r="CR49" s="511"/>
      <c r="CS49" s="511"/>
      <c r="CT49" s="511"/>
      <c r="CU49" s="888" t="str">
        <f>IF(G49="","",VLOOKUP(G49,'HHV-LHV-MW'!$A$3:$H$40,4,FALSE))</f>
        <v/>
      </c>
      <c r="CV49" s="889" t="str">
        <f>IF(G49="","",VLOOKUP(G49,'HHV-LHV-MW'!$A$3:$H$40,5,FALSE))</f>
        <v/>
      </c>
      <c r="CW49" s="890" t="e">
        <f>(PRODUCT('HHV-LHV-MW'!BH33)+PRODUCT('HHV-LHV-MW'!BT33)+PRODUCT('HHV-LHV-MW'!CF33)+PRODUCT('HHV-LHV-MW'!CR33))/$BO$28</f>
        <v>#DIV/0!</v>
      </c>
      <c r="CX49" s="890">
        <f>IF($BO$28=1,"",  (SQRT(  (      (IF('HHV-LHV-MW'!BH33="",0,('HHV-LHV-MW'!BH33-CW49)^2))      +        (IF('HHV-LHV-MW'!BT33="",0,('HHV-LHV-MW'!BT33-CW49)^2))       +        (IF('HHV-LHV-MW'!CF33="",0,('HHV-LHV-MW'!CF33-CW49)^2))          +        (IF('HHV-LHV-MW'!CR33="",0,('HHV-LHV-MW'!CR33-CW49)^2))          )     *(1/($BO$28-1))  )))</f>
        <v>0</v>
      </c>
      <c r="CY49" s="890" t="e">
        <f t="shared" si="9"/>
        <v>#N/A</v>
      </c>
      <c r="CZ49" s="890" t="e">
        <f>IF(OR(CW49="",CW49=0),"",CY49*100/CW49)</f>
        <v>#DIV/0!</v>
      </c>
      <c r="DA49" s="636" t="str">
        <f>IF('HHV-LHV-MW'!BH33="","",IF(AND('HHV-LHV-MW'!BH33&gt;=0,'HHV-LHV-MW'!BH33&lt;=0.09),2,  IF(AND('HHV-LHV-MW'!BH33&gt;=0.1,'HHV-LHV-MW'!BH33&lt;=0.9),7,  IF(AND('HHV-LHV-MW'!BH33&gt;=1,'HHV-LHV-MW'!BH33&lt;=4.9),10,   IF(AND('HHV-LHV-MW'!BH33&gt;=5,'HHV-LHV-MW'!BH33&lt;=10),12, 15)))))</f>
        <v/>
      </c>
      <c r="DB49" s="636" t="str">
        <f>IF('HHV-LHV-MW'!BH33="","",5*'HHV-LHV-MW'!BH33)</f>
        <v/>
      </c>
      <c r="DC49" s="635" t="str">
        <f t="shared" si="11"/>
        <v/>
      </c>
      <c r="DD49" s="636" t="str">
        <f>IF(OR(DC49="",'HHV-LHV-MW'!BH33=0),"",DC49/'HHV-LHV-MW'!BH33)</f>
        <v/>
      </c>
      <c r="DE49" s="635" t="str">
        <f>IF(OR(DD49="",CU49="",'HHV-LHV-MW'!BH33=""),"",((DD49*CU49*('HHV-LHV-MW'!BH33/100))/23.685)^2)</f>
        <v/>
      </c>
      <c r="DF49" s="636" t="str">
        <f>IF(OR(DD49="",CV49="",'HHV-LHV-MW'!BH33=""),"",((DD49*CV49*('HHV-LHV-MW'!BH33/100))/23.685)^2)</f>
        <v/>
      </c>
      <c r="DG49" s="639" t="e">
        <f t="shared" si="12"/>
        <v>#DIV/0!</v>
      </c>
      <c r="DH49" s="892" t="e">
        <f t="shared" si="13"/>
        <v>#DIV/0!</v>
      </c>
      <c r="DI49" s="511"/>
      <c r="DJ49" s="511"/>
      <c r="DK49" s="511"/>
      <c r="DL49" s="511"/>
      <c r="DM49" s="511"/>
      <c r="DN49" s="511"/>
      <c r="DO49" s="511"/>
      <c r="DP49" s="888" t="str">
        <f>IF(M49="","",VLOOKUP(M49,'HHV-LHV-MW'!$A$3:$H$40,4,FALSE))</f>
        <v/>
      </c>
      <c r="DQ49" s="889" t="str">
        <f>IF(M49="","",VLOOKUP(M49,'HHV-LHV-MW'!$A$3:$H$40,5,FALSE))</f>
        <v/>
      </c>
      <c r="DR49" s="890" t="e">
        <f>(PRODUCT('HHV-LHV-MW'!DE33)+PRODUCT('HHV-LHV-MW'!DQ33)+PRODUCT('HHV-LHV-MW'!EC33)+PRODUCT('HHV-LHV-MW'!EO33))/$BO$37</f>
        <v>#DIV/0!</v>
      </c>
      <c r="DS49" s="890">
        <f>IF($BO$37=1,"",  (SQRT(  (      (IF('HHV-LHV-MW'!DE33="",0,('HHV-LHV-MW'!DE33-DR49)^2))      +        (IF('HHV-LHV-MW'!DQ33="",0,('HHV-LHV-MW'!DQ33-DR49)^2))       +        (IF('HHV-LHV-MW'!EC33="",0,('HHV-LHV-MW'!EC33-DR49)^2))          +        (IF('HHV-LHV-MW'!EO33="",0,('HHV-LHV-MW'!EO33-DR49)^2))          )     *(1/($BO$37-1))  )))</f>
        <v>0</v>
      </c>
      <c r="DT49" s="890" t="e">
        <f t="shared" si="0"/>
        <v>#N/A</v>
      </c>
      <c r="DU49" s="890" t="e">
        <f t="shared" si="14"/>
        <v>#DIV/0!</v>
      </c>
      <c r="DV49" s="636" t="str">
        <f>IF('HHV-LHV-MW'!DE33="","",IF(AND('HHV-LHV-MW'!DE33&gt;=0,'HHV-LHV-MW'!DE33&lt;=0.09),2,  IF(AND('HHV-LHV-MW'!DE33&gt;=0.1,'HHV-LHV-MW'!DE33&lt;=0.9),7,  IF(AND('HHV-LHV-MW'!DE33&gt;=1,'HHV-LHV-MW'!DE33&lt;=4.9),10,   IF(AND('HHV-LHV-MW'!DE33&gt;=5,'HHV-LHV-MW'!DE33&lt;=10),12, 15)))))</f>
        <v/>
      </c>
      <c r="DW49" s="636" t="str">
        <f>IF('HHV-LHV-MW'!DE33="","",5*'HHV-LHV-MW'!DE33)</f>
        <v/>
      </c>
      <c r="DX49" s="635" t="str">
        <f t="shared" si="15"/>
        <v/>
      </c>
      <c r="DY49" s="636" t="str">
        <f>IF(OR(DX49="",'HHV-LHV-MW'!DE33=0),"",DX49/'HHV-LHV-MW'!DE33)</f>
        <v/>
      </c>
      <c r="DZ49" s="636" t="str">
        <f>IF(OR(DY49="",DP49="",'HHV-LHV-MW'!DE33=""),"",((DY49*DP49*('HHV-LHV-MW'!DE33/100))/23.685)^2)</f>
        <v/>
      </c>
      <c r="EA49" s="636" t="str">
        <f>IF(OR(DY49="",DQ49="",'HHV-LHV-MW'!DE33=""),"",((DY49*DQ49*('HHV-LHV-MW'!DE33/100))/23.685)^2)</f>
        <v/>
      </c>
      <c r="EB49" s="639" t="e">
        <f t="shared" si="16"/>
        <v>#DIV/0!</v>
      </c>
      <c r="EC49" s="892" t="e">
        <f>IF(OR(DU49="",DQ49="",DR49=""),"",((DU49*DQ49*(DR49/100))/23.685)^2)</f>
        <v>#DIV/0!</v>
      </c>
      <c r="ED49" s="511"/>
      <c r="EE49" s="511"/>
      <c r="EF49" s="511"/>
      <c r="EG49" s="511"/>
      <c r="EH49" s="511"/>
      <c r="EI49" s="511"/>
      <c r="EJ49" s="511"/>
      <c r="EK49" s="888" t="str">
        <f>IF(S49="","",VLOOKUP(S49,'HHV-LHV-MW'!$A$3:$H$40,4,FALSE))</f>
        <v/>
      </c>
      <c r="EL49" s="889" t="str">
        <f>IF(S49="","",VLOOKUP(S49,'HHV-LHV-MW'!$A$3:$H$40,5,FALSE))</f>
        <v/>
      </c>
      <c r="EM49" s="890" t="e">
        <f>(PRODUCT('HHV-LHV-MW'!FB33)+PRODUCT('HHV-LHV-MW'!FN33)+PRODUCT('HHV-LHV-MW'!FZ33)+PRODUCT('HHV-LHV-MW'!GL33))/$BW$19</f>
        <v>#DIV/0!</v>
      </c>
      <c r="EN49" s="890">
        <f>IF($BW$19=1,"",  (SQRT(  (      (IF('HHV-LHV-MW'!FB33="",0,('HHV-LHV-MW'!FB33-EM49)^2))      +        (IF('HHV-LHV-MW'!FN33="",0,('HHV-LHV-MW'!FN33-EM49)^2))       +        (IF('HHV-LHV-MW'!FZ33="",0,('HHV-LHV-MW'!FZ33-EM49)^2))          +        (IF('HHV-LHV-MW'!GL33="",0,('HHV-LHV-MW'!GL33-EM49)^2))          )     *(1/($BW$19-1))  )))</f>
        <v>0</v>
      </c>
      <c r="EO49" s="890" t="e">
        <f t="shared" si="1"/>
        <v>#N/A</v>
      </c>
      <c r="EP49" s="890" t="e">
        <f t="shared" si="18"/>
        <v>#DIV/0!</v>
      </c>
      <c r="EQ49" s="636" t="str">
        <f>IF('HHV-LHV-MW'!FB33="","",IF(AND('HHV-LHV-MW'!FB33&gt;=0,'HHV-LHV-MW'!FB33&lt;=0.09),2,  IF(AND('HHV-LHV-MW'!FB33&gt;=0.1,'HHV-LHV-MW'!FB33&lt;=0.9),7,  IF(AND('HHV-LHV-MW'!FB33&gt;=1,'HHV-LHV-MW'!FB33&lt;=4.9),10,   IF(AND('HHV-LHV-MW'!FB33&gt;=5,'HHV-LHV-MW'!FB33&lt;=10),12, 15)))))</f>
        <v/>
      </c>
      <c r="ER49" s="636" t="str">
        <f>IF('HHV-LHV-MW'!FB33="","",5*'HHV-LHV-MW'!FB33)</f>
        <v/>
      </c>
      <c r="ES49" s="635" t="str">
        <f t="shared" si="19"/>
        <v/>
      </c>
      <c r="ET49" s="636" t="str">
        <f>IF(OR(ES49="",'HHV-LHV-MW'!FB33=0),"",ES49/'HHV-LHV-MW'!FB33)</f>
        <v/>
      </c>
      <c r="EU49" s="636" t="str">
        <f>IF(OR(ET49="",EK49="",'HHV-LHV-MW'!FB33=""),"",((ET49*EK49*('HHV-LHV-MW'!FB33/100))/23.685)^2)</f>
        <v/>
      </c>
      <c r="EV49" s="636" t="str">
        <f>IF(OR(ET49="",EL49="",'HHV-LHV-MW'!FB33=""),"",((ET49*EL49*('HHV-LHV-MW'!FB33/100))/23.685)^2)</f>
        <v/>
      </c>
      <c r="EW49" s="639" t="e">
        <f t="shared" si="20"/>
        <v>#DIV/0!</v>
      </c>
      <c r="EX49" s="892" t="e">
        <f t="shared" si="21"/>
        <v>#DIV/0!</v>
      </c>
      <c r="EY49" s="511"/>
      <c r="EZ49" s="511"/>
      <c r="FA49" s="511"/>
      <c r="FB49" s="511"/>
      <c r="FC49" s="511"/>
      <c r="FD49" s="511"/>
      <c r="FE49" s="511"/>
      <c r="FF49" s="888" t="str">
        <f>IF(Y49="","",VLOOKUP(Y49,'HHV-LHV-MW'!$A$3:$H$40,4,FALSE))</f>
        <v/>
      </c>
      <c r="FG49" s="889" t="str">
        <f>IF(Y49="","",VLOOKUP(Y49,'HHV-LHV-MW'!$A$3:$H$40,5,FALSE))</f>
        <v/>
      </c>
      <c r="FH49" s="890" t="e">
        <f>(PRODUCT('HHV-LHV-MW'!GY33)+PRODUCT('HHV-LHV-MW'!HK33)+PRODUCT('HHV-LHV-MW'!HW33)+PRODUCT('HHV-LHV-MW'!II33))/$BW$28</f>
        <v>#DIV/0!</v>
      </c>
      <c r="FI49" s="890">
        <f>IF($BW$28=1,"",  (SQRT(  (      (IF('HHV-LHV-MW'!GY33="",0,('HHV-LHV-MW'!GY33-FH49)^2))      +        (IF('HHV-LHV-MW'!HK33="",0,('HHV-LHV-MW'!HK33-FH49)^2))       +        (IF('HHV-LHV-MW'!HW33="",0,('HHV-LHV-MW'!HW33-FH49)^2))          +        (IF('HHV-LHV-MW'!II33="",0,('HHV-LHV-MW'!II33-FH49)^2))          )     *(1/($BW$28-1))  )))</f>
        <v>0</v>
      </c>
      <c r="FJ49" s="890" t="e">
        <f t="shared" si="2"/>
        <v>#N/A</v>
      </c>
      <c r="FK49" s="890" t="e">
        <f t="shared" si="22"/>
        <v>#DIV/0!</v>
      </c>
      <c r="FL49" s="636" t="str">
        <f>IF('HHV-LHV-MW'!GY33="","",IF(AND('HHV-LHV-MW'!GY33&gt;=0,'HHV-LHV-MW'!GY33&lt;=0.09),2,  IF(AND('HHV-LHV-MW'!GY33&gt;=0.1,'HHV-LHV-MW'!GY33&lt;=0.9),7,  IF(AND('HHV-LHV-MW'!GY33&gt;=1,'HHV-LHV-MW'!GY33&lt;=4.9),10,   IF(AND('HHV-LHV-MW'!GY33&gt;=5,'HHV-LHV-MW'!GY33&lt;=10),12, 15)))))</f>
        <v/>
      </c>
      <c r="FM49" s="636" t="str">
        <f>IF('HHV-LHV-MW'!GY33="","",5*'HHV-LHV-MW'!GY33)</f>
        <v/>
      </c>
      <c r="FN49" s="635" t="str">
        <f t="shared" si="23"/>
        <v/>
      </c>
      <c r="FO49" s="636" t="str">
        <f>IF(OR(FN49="",'HHV-LHV-MW'!GY33=0),"",FN49/'HHV-LHV-MW'!GY33)</f>
        <v/>
      </c>
      <c r="FP49" s="636" t="str">
        <f>IF(OR(FO49="",FF49="",'HHV-LHV-MW'!GY33=""),"",((FO49*FF49*('HHV-LHV-MW'!GY33/100))/23.685)^2)</f>
        <v/>
      </c>
      <c r="FQ49" s="636" t="str">
        <f>IF(OR(FO49="",FG49="",'HHV-LHV-MW'!GY33=""),"",((FO49*FG49*('HHV-LHV-MW'!GY33/100))/23.685)^2)</f>
        <v/>
      </c>
      <c r="FR49" s="639" t="e">
        <f t="shared" si="24"/>
        <v>#DIV/0!</v>
      </c>
      <c r="FS49" s="892" t="e">
        <f t="shared" si="25"/>
        <v>#DIV/0!</v>
      </c>
      <c r="FT49" s="511"/>
      <c r="FU49" s="511"/>
      <c r="FV49" s="511"/>
      <c r="FW49" s="511"/>
      <c r="FX49" s="511"/>
      <c r="FY49" s="511"/>
      <c r="FZ49" s="511"/>
      <c r="GA49" s="888" t="str">
        <f>IF(AE49="","",VLOOKUP(AE49,'HHV-LHV-MW'!$A$3:$H$40,4,FALSE))</f>
        <v/>
      </c>
      <c r="GB49" s="889" t="str">
        <f>IF(AE49="","",VLOOKUP(AE49,'HHV-LHV-MW'!$A$3:$H$40,5,FALSE))</f>
        <v/>
      </c>
      <c r="GC49" s="890" t="e">
        <f>(PRODUCT('HHV-LHV-MW'!IV33)+PRODUCT('HHV-LHV-MW'!JH33)+PRODUCT('HHV-LHV-MW'!JT33)+PRODUCT('HHV-LHV-MW'!KF33))/$BW$37</f>
        <v>#DIV/0!</v>
      </c>
      <c r="GD49" s="890">
        <f>IF($BW$37=1,"",  (SQRT(  (      (IF('HHV-LHV-MW'!IV33="",0,('HHV-LHV-MW'!IV33-GC49)^2))      +        (IF('HHV-LHV-MW'!JH33="",0,('HHV-LHV-MW'!JH33-GC49)^2))       +        (IF('HHV-LHV-MW'!JT33="",0,('HHV-LHV-MW'!JT33-GC49)^2))          +        (IF('HHV-LHV-MW'!KF33="",0,('HHV-LHV-MW'!KF33-GC49)^2))          )     *(1/($BW$37-1))  )))</f>
        <v>0</v>
      </c>
      <c r="GE49" s="890" t="e">
        <f t="shared" si="3"/>
        <v>#N/A</v>
      </c>
      <c r="GF49" s="890" t="e">
        <f t="shared" si="26"/>
        <v>#DIV/0!</v>
      </c>
      <c r="GG49" s="636" t="str">
        <f>IF('HHV-LHV-MW'!IV33="","",IF(AND('HHV-LHV-MW'!IV33&gt;=0,'HHV-LHV-MW'!IV33&lt;=0.09),2,  IF(AND('HHV-LHV-MW'!IV33&gt;=0.1,'HHV-LHV-MW'!IV33&lt;=0.9),7,  IF(AND('HHV-LHV-MW'!IV33&gt;=1,'HHV-LHV-MW'!IV33&lt;=4.9),10,   IF(AND('HHV-LHV-MW'!IV33&gt;=5,'HHV-LHV-MW'!IV33&lt;=10),12, 15)))))</f>
        <v/>
      </c>
      <c r="GH49" s="636" t="str">
        <f>IF('HHV-LHV-MW'!IV33="","",5*'HHV-LHV-MW'!IV33)</f>
        <v/>
      </c>
      <c r="GI49" s="635" t="str">
        <f t="shared" si="27"/>
        <v/>
      </c>
      <c r="GJ49" s="636" t="str">
        <f>IF(OR(GI49="",'HHV-LHV-MW'!IV33=0),"",GI49/'HHV-LHV-MW'!IV33)</f>
        <v/>
      </c>
      <c r="GK49" s="636" t="str">
        <f>IF(OR(GJ49="",GA49="",'HHV-LHV-MW'!IV33=""),"",((GJ49*GA49*('HHV-LHV-MW'!IV33/100))/23.685)^2)</f>
        <v/>
      </c>
      <c r="GL49" s="636" t="str">
        <f>IF(OR(GJ49="",GB49="",'HHV-LHV-MW'!IV33=""),"",((GJ49*GB49*('HHV-LHV-MW'!IV33/100))/23.685)^2)</f>
        <v/>
      </c>
      <c r="GM49" s="639" t="e">
        <f t="shared" si="28"/>
        <v>#DIV/0!</v>
      </c>
      <c r="GN49" s="892" t="e">
        <f t="shared" si="29"/>
        <v>#DIV/0!</v>
      </c>
      <c r="GO49" s="874"/>
      <c r="GP49" s="874"/>
      <c r="GQ49" s="874"/>
      <c r="GR49" s="874"/>
      <c r="GS49" s="874"/>
      <c r="GT49" s="874"/>
      <c r="GU49" s="874"/>
      <c r="GV49" s="874"/>
      <c r="GW49" s="874"/>
      <c r="GX49" s="874"/>
      <c r="GY49" s="874"/>
      <c r="GZ49" s="874"/>
      <c r="HA49" s="874"/>
      <c r="HB49" s="511"/>
      <c r="HC49" s="511"/>
      <c r="HD49" s="511"/>
      <c r="HE49" s="511"/>
      <c r="HF49" s="511"/>
      <c r="HG49" s="511"/>
      <c r="HH49" s="511"/>
      <c r="HI49" s="511"/>
      <c r="HJ49" s="874"/>
      <c r="HK49" s="874"/>
      <c r="HL49" s="874"/>
      <c r="HM49" s="874"/>
      <c r="HN49" s="874"/>
      <c r="HO49" s="874"/>
      <c r="HP49" s="874"/>
      <c r="HQ49" s="874"/>
      <c r="HR49" s="874"/>
      <c r="HS49" s="874"/>
      <c r="HT49" s="874"/>
      <c r="HU49" s="874"/>
      <c r="HV49" s="874"/>
      <c r="HW49" s="511"/>
      <c r="HX49" s="511"/>
      <c r="HY49" s="511"/>
      <c r="HZ49" s="511"/>
      <c r="IA49" s="511"/>
      <c r="IB49" s="511"/>
      <c r="IC49" s="511"/>
      <c r="ID49" s="511"/>
      <c r="IE49" s="874"/>
      <c r="IF49" s="874"/>
      <c r="IG49" s="874"/>
      <c r="IH49" s="874"/>
      <c r="II49" s="874"/>
      <c r="IJ49" s="874"/>
      <c r="IK49" s="874"/>
      <c r="IL49" s="874"/>
      <c r="IM49" s="874"/>
      <c r="IN49" s="874"/>
      <c r="IO49" s="874"/>
      <c r="IP49" s="874"/>
      <c r="IQ49" s="874"/>
      <c r="IR49" s="511"/>
      <c r="IS49" s="511"/>
      <c r="IT49" s="511"/>
      <c r="IU49" s="511"/>
      <c r="IV49" s="511"/>
      <c r="IW49" s="511"/>
      <c r="IX49" s="511"/>
      <c r="IY49" s="511"/>
      <c r="IZ49" s="874"/>
      <c r="JA49" s="874"/>
      <c r="JB49" s="874"/>
      <c r="JC49" s="874"/>
      <c r="JD49" s="874"/>
      <c r="JE49" s="874"/>
      <c r="JF49" s="874"/>
      <c r="JG49" s="874"/>
      <c r="JH49" s="874"/>
      <c r="JI49" s="874"/>
      <c r="JJ49" s="874"/>
      <c r="JK49" s="874"/>
      <c r="JL49" s="874"/>
      <c r="JM49" s="874"/>
      <c r="JN49" s="874"/>
      <c r="JO49" s="874"/>
      <c r="JP49" s="874"/>
      <c r="JQ49" s="874"/>
      <c r="JR49" s="874"/>
      <c r="JS49" s="874"/>
      <c r="JT49" s="874"/>
      <c r="JU49" s="874"/>
      <c r="JV49" s="874"/>
      <c r="JW49" s="874"/>
      <c r="JX49" s="874"/>
      <c r="JY49" s="874"/>
      <c r="JZ49" s="874"/>
      <c r="KA49" s="874"/>
      <c r="KB49" s="874"/>
      <c r="KC49" s="874"/>
      <c r="KD49" s="874"/>
      <c r="KE49" s="874"/>
      <c r="KF49" s="874"/>
      <c r="KG49" s="874"/>
      <c r="KH49" s="865"/>
      <c r="KI49" s="865"/>
      <c r="KJ49" s="865"/>
      <c r="KK49" s="865"/>
      <c r="KL49" s="865"/>
      <c r="KM49" s="865"/>
      <c r="KN49" s="865"/>
      <c r="KO49" s="865"/>
      <c r="KP49" s="865"/>
      <c r="KQ49" s="865"/>
      <c r="KR49" s="865"/>
      <c r="KS49" s="865"/>
      <c r="KT49" s="865"/>
      <c r="KU49" s="865"/>
      <c r="KV49" s="865"/>
      <c r="KW49" s="865"/>
      <c r="KX49" s="865"/>
      <c r="KY49" s="865"/>
      <c r="KZ49" s="865"/>
      <c r="LA49" s="865"/>
      <c r="LB49" s="865"/>
      <c r="LC49" s="865"/>
      <c r="LD49" s="865"/>
      <c r="LE49" s="865"/>
      <c r="LF49" s="865"/>
    </row>
    <row r="50" spans="1:318" ht="21" thickBot="1">
      <c r="A50" s="867" t="s">
        <v>226</v>
      </c>
      <c r="B50" s="648">
        <f>SUM(B27:B49)</f>
        <v>0</v>
      </c>
      <c r="C50" s="648">
        <f t="shared" ref="C50:E50" si="30">SUM(C27:C49)</f>
        <v>0</v>
      </c>
      <c r="D50" s="648">
        <f t="shared" si="30"/>
        <v>0</v>
      </c>
      <c r="E50" s="649">
        <f t="shared" si="30"/>
        <v>0</v>
      </c>
      <c r="F50" s="511"/>
      <c r="G50" s="867" t="s">
        <v>226</v>
      </c>
      <c r="H50" s="648">
        <f>SUM(H27:H49)</f>
        <v>0</v>
      </c>
      <c r="I50" s="648">
        <f>SUM(I27:I49)</f>
        <v>0</v>
      </c>
      <c r="J50" s="648">
        <f>SUM(J27:J49)</f>
        <v>0</v>
      </c>
      <c r="K50" s="649">
        <f>SUM(K27:K49)</f>
        <v>0</v>
      </c>
      <c r="L50" s="511"/>
      <c r="M50" s="867" t="s">
        <v>226</v>
      </c>
      <c r="N50" s="648">
        <f>SUM(N27:N49)</f>
        <v>0</v>
      </c>
      <c r="O50" s="648">
        <f>SUM(O27:O49)</f>
        <v>0</v>
      </c>
      <c r="P50" s="648">
        <f>SUM(P27:P49)</f>
        <v>0</v>
      </c>
      <c r="Q50" s="649">
        <f>SUM(Q27:Q49)</f>
        <v>0</v>
      </c>
      <c r="R50" s="511"/>
      <c r="S50" s="867" t="s">
        <v>226</v>
      </c>
      <c r="T50" s="648">
        <f>SUM(T27:T49)</f>
        <v>0</v>
      </c>
      <c r="U50" s="648">
        <f>SUM(U27:U49)</f>
        <v>0</v>
      </c>
      <c r="V50" s="648">
        <f>SUM(V27:V49)</f>
        <v>0</v>
      </c>
      <c r="W50" s="649">
        <f>SUM(W27:W49)</f>
        <v>0</v>
      </c>
      <c r="X50" s="511"/>
      <c r="Y50" s="867" t="s">
        <v>226</v>
      </c>
      <c r="Z50" s="648">
        <f>SUM(Z27:Z49)</f>
        <v>0</v>
      </c>
      <c r="AA50" s="648">
        <f>SUM(AA27:AA49)</f>
        <v>0</v>
      </c>
      <c r="AB50" s="648">
        <f>SUM(AB27:AB49)</f>
        <v>0</v>
      </c>
      <c r="AC50" s="649">
        <f>SUM(AC27:AC49)</f>
        <v>0</v>
      </c>
      <c r="AD50" s="510"/>
      <c r="AE50" s="867" t="s">
        <v>226</v>
      </c>
      <c r="AF50" s="648">
        <f>SUM(AF27:AF49)</f>
        <v>0</v>
      </c>
      <c r="AG50" s="648">
        <f>SUM(AG27:AG49)</f>
        <v>0</v>
      </c>
      <c r="AH50" s="648">
        <f>SUM(AH27:AH49)</f>
        <v>0</v>
      </c>
      <c r="AI50" s="649">
        <f>SUM(AI27:AI49)</f>
        <v>0</v>
      </c>
      <c r="AJ50" s="510"/>
      <c r="AK50" s="865"/>
      <c r="AL50" s="865"/>
      <c r="AM50" s="865"/>
      <c r="AN50" s="865"/>
      <c r="AO50" s="865"/>
      <c r="AP50" s="865"/>
      <c r="AQ50" s="865"/>
      <c r="AR50" s="865"/>
      <c r="AS50" s="865"/>
      <c r="AT50" s="865"/>
      <c r="AU50" s="865"/>
      <c r="AV50" s="865"/>
      <c r="AW50" s="865"/>
      <c r="AX50" s="865"/>
      <c r="AY50" s="865"/>
      <c r="AZ50" s="865"/>
      <c r="BA50" s="865"/>
      <c r="BB50" s="865"/>
      <c r="BC50" s="865"/>
      <c r="BD50" s="865"/>
      <c r="BE50" s="865"/>
      <c r="BF50" s="865"/>
      <c r="BG50" s="865"/>
      <c r="BH50" s="865"/>
      <c r="BI50" s="865"/>
      <c r="BJ50" s="865"/>
      <c r="BK50" s="865"/>
      <c r="BL50" s="865"/>
      <c r="BM50" s="865"/>
      <c r="BN50" s="865"/>
      <c r="BO50" s="865"/>
      <c r="BP50" s="865"/>
      <c r="BQ50" s="865"/>
      <c r="BR50" s="865"/>
      <c r="BS50" s="865"/>
      <c r="BT50" s="865"/>
      <c r="BU50" s="865"/>
      <c r="BV50" s="865"/>
      <c r="BW50" s="865"/>
      <c r="BX50" s="865"/>
      <c r="BY50" s="874"/>
      <c r="BZ50" s="893" t="s">
        <v>226</v>
      </c>
      <c r="CA50" s="894"/>
      <c r="CB50" s="922" t="e">
        <f>SUM(CB27:CB49)</f>
        <v>#DIV/0!</v>
      </c>
      <c r="CC50" s="922">
        <f t="shared" ref="CC50:CE50" si="31">SUM(CC27:CC49)</f>
        <v>0</v>
      </c>
      <c r="CD50" s="922" t="e">
        <f t="shared" si="31"/>
        <v>#N/A</v>
      </c>
      <c r="CE50" s="923" t="e">
        <f t="shared" si="31"/>
        <v>#DIV/0!</v>
      </c>
      <c r="CF50" s="2453" t="s">
        <v>1478</v>
      </c>
      <c r="CG50" s="2454"/>
      <c r="CH50" s="2454"/>
      <c r="CI50" s="2455"/>
      <c r="CJ50" s="904" t="str">
        <f>IF(AND(CJ27="",CJ28="",CJ29="",CJ30="",CJ49=""),"",SQRT(SUM(CJ27:CJ49)))</f>
        <v/>
      </c>
      <c r="CK50" s="877" t="str">
        <f>IF(AND(CK27="",CK28="",CK29="",CK30="",CK49=""),"",SQRT(SUM(CK27:CK49)))</f>
        <v/>
      </c>
      <c r="CL50" s="904" t="e">
        <f>IF(AND(CL27="",CL28="",CL29="",CL30="",CL49=""),"",SQRT(SUM(CL27:CL49)))</f>
        <v>#DIV/0!</v>
      </c>
      <c r="CM50" s="878" t="e">
        <f>IF(AND(CM27="",CM28="",CM29="",CM30="",CM49=""),"",SQRT(SUM(CM27:CM49)))</f>
        <v>#DIV/0!</v>
      </c>
      <c r="CN50" s="511"/>
      <c r="CO50" s="511"/>
      <c r="CP50" s="511"/>
      <c r="CQ50" s="511"/>
      <c r="CR50" s="511"/>
      <c r="CS50" s="511"/>
      <c r="CT50" s="511"/>
      <c r="CU50" s="893" t="s">
        <v>226</v>
      </c>
      <c r="CV50" s="894"/>
      <c r="CW50" s="922" t="e">
        <f>SUM(CW27:CW49)</f>
        <v>#DIV/0!</v>
      </c>
      <c r="CX50" s="922">
        <f>SUM(CX27:CX49)</f>
        <v>0</v>
      </c>
      <c r="CY50" s="922" t="e">
        <f>SUM(CY27:CY49)</f>
        <v>#N/A</v>
      </c>
      <c r="CZ50" s="924" t="e">
        <f>SUM(CZ27:CZ49)</f>
        <v>#DIV/0!</v>
      </c>
      <c r="DA50" s="2453" t="s">
        <v>1478</v>
      </c>
      <c r="DB50" s="2454"/>
      <c r="DC50" s="2454"/>
      <c r="DD50" s="2455"/>
      <c r="DE50" s="905" t="str">
        <f>IF(AND(DE27="",DE28="",DE29="",DE30="",DE49=""),"",SQRT(SUM(DE27:DE49)))</f>
        <v/>
      </c>
      <c r="DF50" s="878" t="str">
        <f>IF(AND(DF27="",DF28="",DF29="",DF30="",DF49=""),"",SQRT(SUM(DF27:DF49)))</f>
        <v/>
      </c>
      <c r="DG50" s="904" t="e">
        <f>IF(AND(DG27="",DG28="",DG29="",DG30="",DG49=""),"",SQRT(SUM(DG27:DG49)))</f>
        <v>#DIV/0!</v>
      </c>
      <c r="DH50" s="878" t="e">
        <f>IF(AND(DH27="",DH28="",DH29="",DH30="",DH49=""),"",SQRT(SUM(DH27:DH49)))</f>
        <v>#DIV/0!</v>
      </c>
      <c r="DI50" s="511"/>
      <c r="DJ50" s="511"/>
      <c r="DK50" s="511"/>
      <c r="DL50" s="511"/>
      <c r="DM50" s="511"/>
      <c r="DN50" s="511"/>
      <c r="DO50" s="511"/>
      <c r="DP50" s="893" t="s">
        <v>226</v>
      </c>
      <c r="DQ50" s="894"/>
      <c r="DR50" s="922" t="e">
        <f>SUM(DR27:DR49)</f>
        <v>#DIV/0!</v>
      </c>
      <c r="DS50" s="922">
        <f>SUM(DS27:DS49)</f>
        <v>0</v>
      </c>
      <c r="DT50" s="922" t="e">
        <f>SUM(DT27:DT49)</f>
        <v>#N/A</v>
      </c>
      <c r="DU50" s="924" t="e">
        <f>SUM(DU27:DU49)</f>
        <v>#DIV/0!</v>
      </c>
      <c r="DV50" s="2453" t="s">
        <v>1478</v>
      </c>
      <c r="DW50" s="2454"/>
      <c r="DX50" s="2454"/>
      <c r="DY50" s="2455"/>
      <c r="DZ50" s="904" t="str">
        <f>IF(AND(DZ27="",DZ28="",DZ29="",DZ30="",DZ49=""),"",SQRT(SUM(DZ27:DZ49)))</f>
        <v/>
      </c>
      <c r="EA50" s="878" t="str">
        <f>IF(AND(EA27="",EA28="",EA29="",EA30="",EA49=""),"",SQRT(SUM(EA27:EA49)))</f>
        <v/>
      </c>
      <c r="EB50" s="904" t="e">
        <f>IF(AND(EB27="",EB28="",EB29="",EB30="",EB49=""),"",SQRT(SUM(EB27:EB49)))</f>
        <v>#DIV/0!</v>
      </c>
      <c r="EC50" s="878" t="e">
        <f>IF(AND(EC27="",EC28="",EC29="",EC30="",EC49=""),"",SQRT(SUM(EC27:EC49)))</f>
        <v>#DIV/0!</v>
      </c>
      <c r="ED50" s="511"/>
      <c r="EE50" s="511"/>
      <c r="EF50" s="511"/>
      <c r="EG50" s="511"/>
      <c r="EH50" s="511"/>
      <c r="EI50" s="511"/>
      <c r="EJ50" s="511"/>
      <c r="EK50" s="893" t="s">
        <v>226</v>
      </c>
      <c r="EL50" s="894"/>
      <c r="EM50" s="922" t="e">
        <f>SUM(EM27:EM49)</f>
        <v>#DIV/0!</v>
      </c>
      <c r="EN50" s="922">
        <f>SUM(EN27:EN49)</f>
        <v>0</v>
      </c>
      <c r="EO50" s="922" t="e">
        <f>SUM(EO27:EO49)</f>
        <v>#N/A</v>
      </c>
      <c r="EP50" s="924" t="e">
        <f>SUM(EP27:EP49)</f>
        <v>#DIV/0!</v>
      </c>
      <c r="EQ50" s="2453" t="s">
        <v>1478</v>
      </c>
      <c r="ER50" s="2454"/>
      <c r="ES50" s="2454"/>
      <c r="ET50" s="2455"/>
      <c r="EU50" s="904" t="str">
        <f>IF(AND(EU27="",EU28="",EU29="",EU30="",EU49=""),"",SQRT(SUM(EU27:EU49)))</f>
        <v/>
      </c>
      <c r="EV50" s="878" t="str">
        <f>IF(AND(EV27="",EV28="",EV29="",EV30="",EV49=""),"",SQRT(SUM(EV27:EV49)))</f>
        <v/>
      </c>
      <c r="EW50" s="904" t="e">
        <f>IF(AND(EW27="",EW28="",EW29="",EW30="",EW49=""),"",SQRT(SUM(EW27:EW49)))</f>
        <v>#DIV/0!</v>
      </c>
      <c r="EX50" s="878" t="e">
        <f>IF(AND(EX27="",EX28="",EX29="",EX30="",EX49=""),"",SQRT(SUM(EX27:EX49)))</f>
        <v>#DIV/0!</v>
      </c>
      <c r="EY50" s="511"/>
      <c r="EZ50" s="511"/>
      <c r="FA50" s="511"/>
      <c r="FB50" s="511"/>
      <c r="FC50" s="511"/>
      <c r="FD50" s="511"/>
      <c r="FE50" s="511"/>
      <c r="FF50" s="893" t="s">
        <v>226</v>
      </c>
      <c r="FG50" s="894"/>
      <c r="FH50" s="922" t="e">
        <f>SUM(FH27:FH49)</f>
        <v>#DIV/0!</v>
      </c>
      <c r="FI50" s="922">
        <f>SUM(FI27:FI49)</f>
        <v>0</v>
      </c>
      <c r="FJ50" s="922" t="e">
        <f>SUM(FJ27:FJ49)</f>
        <v>#N/A</v>
      </c>
      <c r="FK50" s="924" t="e">
        <f>SUM(FK27:FK49)</f>
        <v>#DIV/0!</v>
      </c>
      <c r="FL50" s="2453" t="s">
        <v>1478</v>
      </c>
      <c r="FM50" s="2454"/>
      <c r="FN50" s="2454"/>
      <c r="FO50" s="2455"/>
      <c r="FP50" s="904" t="str">
        <f>IF(AND(FP27="",FP28="",FP29="",FP30="",FP49=""),"",SQRT(SUM(FP27:FP49)))</f>
        <v/>
      </c>
      <c r="FQ50" s="878" t="str">
        <f>IF(AND(FQ27="",FQ28="",FQ29="",FQ30="",FQ49=""),"",SQRT(SUM(FQ27:FQ49)))</f>
        <v/>
      </c>
      <c r="FR50" s="904" t="e">
        <f>IF(AND(FR27="",FR28="",FR29="",FR30="",FR49=""),"",SQRT(SUM(FR27:FR49)))</f>
        <v>#DIV/0!</v>
      </c>
      <c r="FS50" s="878" t="e">
        <f>IF(AND(FS27="",FS28="",FS29="",FS30="",FS49=""),"",SQRT(SUM(FS27:FS49)))</f>
        <v>#DIV/0!</v>
      </c>
      <c r="FT50" s="510"/>
      <c r="FU50" s="510"/>
      <c r="FV50" s="510"/>
      <c r="FW50" s="510"/>
      <c r="FX50" s="510"/>
      <c r="FY50" s="510"/>
      <c r="FZ50" s="510"/>
      <c r="GA50" s="893" t="s">
        <v>226</v>
      </c>
      <c r="GB50" s="894"/>
      <c r="GC50" s="922" t="e">
        <f>SUM(GC27:GC49)</f>
        <v>#DIV/0!</v>
      </c>
      <c r="GD50" s="922">
        <f>SUM(GD27:GD49)</f>
        <v>0</v>
      </c>
      <c r="GE50" s="922" t="e">
        <f>SUM(GE27:GE49)</f>
        <v>#N/A</v>
      </c>
      <c r="GF50" s="924" t="e">
        <f>SUM(GF27:GF49)</f>
        <v>#DIV/0!</v>
      </c>
      <c r="GG50" s="2453" t="s">
        <v>1478</v>
      </c>
      <c r="GH50" s="2454"/>
      <c r="GI50" s="2454"/>
      <c r="GJ50" s="2455"/>
      <c r="GK50" s="904" t="str">
        <f>IF(AND(GK27="",GK28="",GK29="",GK30="",GK49=""),"",SQRT(SUM(GK27:GK49)))</f>
        <v/>
      </c>
      <c r="GL50" s="878" t="str">
        <f>IF(AND(GL27="",GL28="",GL29="",GL30="",GL49=""),"",SQRT(SUM(GL27:GL49)))</f>
        <v/>
      </c>
      <c r="GM50" s="904" t="e">
        <f>IF(AND(GM27="",GM28="",GM29="",GM30="",GM49=""),"",SQRT(SUM(GM27:GM49)))</f>
        <v>#DIV/0!</v>
      </c>
      <c r="GN50" s="878" t="e">
        <f>IF(AND(GN27="",GN28="",GN29="",GN30="",GN49=""),"",SQRT(SUM(GN27:GN49)))</f>
        <v>#DIV/0!</v>
      </c>
      <c r="GO50" s="874"/>
      <c r="GP50" s="874"/>
      <c r="GQ50" s="874"/>
      <c r="GR50" s="874"/>
      <c r="GS50" s="874"/>
      <c r="GT50" s="874"/>
      <c r="GU50" s="874"/>
      <c r="GV50" s="874"/>
      <c r="GW50" s="874"/>
      <c r="GX50" s="874"/>
      <c r="GY50" s="874"/>
      <c r="GZ50" s="874"/>
      <c r="HA50" s="874"/>
      <c r="HB50" s="511"/>
      <c r="HC50" s="511"/>
      <c r="HD50" s="511"/>
      <c r="HE50" s="511"/>
      <c r="HF50" s="511"/>
      <c r="HG50" s="511"/>
      <c r="HH50" s="511"/>
      <c r="HI50" s="511"/>
      <c r="HJ50" s="874"/>
      <c r="HK50" s="874"/>
      <c r="HL50" s="874"/>
      <c r="HM50" s="874"/>
      <c r="HN50" s="874"/>
      <c r="HO50" s="874"/>
      <c r="HP50" s="874"/>
      <c r="HQ50" s="874"/>
      <c r="HR50" s="874"/>
      <c r="HS50" s="874"/>
      <c r="HT50" s="874"/>
      <c r="HU50" s="874"/>
      <c r="HV50" s="874"/>
      <c r="HW50" s="511"/>
      <c r="HX50" s="511"/>
      <c r="HY50" s="511"/>
      <c r="HZ50" s="511"/>
      <c r="IA50" s="511"/>
      <c r="IB50" s="511"/>
      <c r="IC50" s="511"/>
      <c r="ID50" s="511"/>
      <c r="IE50" s="874"/>
      <c r="IF50" s="874"/>
      <c r="IG50" s="874"/>
      <c r="IH50" s="874"/>
      <c r="II50" s="874"/>
      <c r="IJ50" s="874"/>
      <c r="IK50" s="874"/>
      <c r="IL50" s="874"/>
      <c r="IM50" s="874"/>
      <c r="IN50" s="874"/>
      <c r="IO50" s="874"/>
      <c r="IP50" s="874"/>
      <c r="IQ50" s="874"/>
      <c r="IR50" s="511"/>
      <c r="IS50" s="511"/>
      <c r="IT50" s="511"/>
      <c r="IU50" s="511"/>
      <c r="IV50" s="511"/>
      <c r="IW50" s="511"/>
      <c r="IX50" s="511"/>
      <c r="IY50" s="511"/>
      <c r="IZ50" s="874"/>
      <c r="JA50" s="874"/>
      <c r="JB50" s="874"/>
      <c r="JC50" s="874"/>
      <c r="JD50" s="874"/>
      <c r="JE50" s="874"/>
      <c r="JF50" s="874"/>
      <c r="JG50" s="874"/>
      <c r="JH50" s="874"/>
      <c r="JI50" s="874"/>
      <c r="JJ50" s="874"/>
      <c r="JK50" s="874"/>
      <c r="JL50" s="874"/>
      <c r="JM50" s="874"/>
      <c r="JN50" s="874"/>
      <c r="JO50" s="874"/>
      <c r="JP50" s="874"/>
      <c r="JQ50" s="874"/>
      <c r="JR50" s="874"/>
      <c r="JS50" s="874"/>
      <c r="JT50" s="874"/>
      <c r="JU50" s="874"/>
      <c r="JV50" s="874"/>
      <c r="JW50" s="874"/>
      <c r="JX50" s="874"/>
      <c r="JY50" s="874"/>
      <c r="JZ50" s="874"/>
      <c r="KA50" s="874"/>
      <c r="KB50" s="874"/>
      <c r="KC50" s="874"/>
      <c r="KD50" s="874"/>
      <c r="KE50" s="874"/>
      <c r="KF50" s="874"/>
      <c r="KG50" s="874"/>
      <c r="KH50" s="865"/>
      <c r="KI50" s="865"/>
      <c r="KJ50" s="865"/>
      <c r="KK50" s="865"/>
      <c r="KL50" s="865"/>
      <c r="KM50" s="865"/>
      <c r="KN50" s="865"/>
      <c r="KO50" s="865"/>
      <c r="KP50" s="865"/>
      <c r="KQ50" s="865"/>
      <c r="KR50" s="865"/>
      <c r="KS50" s="865"/>
      <c r="KT50" s="865"/>
      <c r="KU50" s="865"/>
      <c r="KV50" s="865"/>
      <c r="KW50" s="865"/>
      <c r="KX50" s="865"/>
      <c r="KY50" s="865"/>
      <c r="KZ50" s="865"/>
      <c r="LA50" s="865"/>
      <c r="LB50" s="865"/>
      <c r="LC50" s="865"/>
      <c r="LD50" s="865"/>
      <c r="LE50" s="865"/>
      <c r="LF50" s="865"/>
    </row>
    <row r="51" spans="1:318" ht="24.45" customHeight="1" thickBot="1">
      <c r="A51" s="2496" t="s">
        <v>832</v>
      </c>
      <c r="B51" s="2494" t="str">
        <f>IF(SUM(B27:B49)=100,"","مجموع درصدها برابر با 100 نيست. لطفا اصلاح شود.")</f>
        <v>مجموع درصدها برابر با 100 نيست. لطفا اصلاح شود.</v>
      </c>
      <c r="C51" s="2494" t="str">
        <f t="shared" ref="C51:E51" si="32">IF(SUM(C27:C49)=100,"","مجموع درصدها برابر با 100 نيست. لطفا اصلاح شود.")</f>
        <v>مجموع درصدها برابر با 100 نيست. لطفا اصلاح شود.</v>
      </c>
      <c r="D51" s="2494" t="str">
        <f t="shared" si="32"/>
        <v>مجموع درصدها برابر با 100 نيست. لطفا اصلاح شود.</v>
      </c>
      <c r="E51" s="2494" t="str">
        <f t="shared" si="32"/>
        <v>مجموع درصدها برابر با 100 نيست. لطفا اصلاح شود.</v>
      </c>
      <c r="F51" s="511"/>
      <c r="G51" s="2496" t="s">
        <v>832</v>
      </c>
      <c r="H51" s="2494" t="str">
        <f t="shared" ref="H51:K51" si="33">IF(SUM(H27:H49)=100,"","مجموع درصدها برابر با 100 نيست. لطفا اصلاح شود.")</f>
        <v>مجموع درصدها برابر با 100 نيست. لطفا اصلاح شود.</v>
      </c>
      <c r="I51" s="2494" t="str">
        <f t="shared" si="33"/>
        <v>مجموع درصدها برابر با 100 نيست. لطفا اصلاح شود.</v>
      </c>
      <c r="J51" s="2494" t="str">
        <f t="shared" si="33"/>
        <v>مجموع درصدها برابر با 100 نيست. لطفا اصلاح شود.</v>
      </c>
      <c r="K51" s="2494" t="str">
        <f t="shared" si="33"/>
        <v>مجموع درصدها برابر با 100 نيست. لطفا اصلاح شود.</v>
      </c>
      <c r="L51" s="511"/>
      <c r="M51" s="2496" t="s">
        <v>832</v>
      </c>
      <c r="N51" s="2494" t="str">
        <f t="shared" ref="N51:Q51" si="34">IF(SUM(N27:N49)=100,"","مجموع درصدها برابر با 100 نيست. لطفا اصلاح شود.")</f>
        <v>مجموع درصدها برابر با 100 نيست. لطفا اصلاح شود.</v>
      </c>
      <c r="O51" s="2494" t="str">
        <f t="shared" si="34"/>
        <v>مجموع درصدها برابر با 100 نيست. لطفا اصلاح شود.</v>
      </c>
      <c r="P51" s="2494" t="str">
        <f t="shared" si="34"/>
        <v>مجموع درصدها برابر با 100 نيست. لطفا اصلاح شود.</v>
      </c>
      <c r="Q51" s="2494" t="str">
        <f t="shared" si="34"/>
        <v>مجموع درصدها برابر با 100 نيست. لطفا اصلاح شود.</v>
      </c>
      <c r="R51" s="511"/>
      <c r="S51" s="2496" t="s">
        <v>832</v>
      </c>
      <c r="T51" s="2494" t="str">
        <f t="shared" ref="T51:W51" si="35">IF(SUM(T27:T49)=100,"","مجموع درصدها برابر با 100 نيست. لطفا اصلاح شود.")</f>
        <v>مجموع درصدها برابر با 100 نيست. لطفا اصلاح شود.</v>
      </c>
      <c r="U51" s="2494" t="str">
        <f t="shared" si="35"/>
        <v>مجموع درصدها برابر با 100 نيست. لطفا اصلاح شود.</v>
      </c>
      <c r="V51" s="2494" t="str">
        <f t="shared" si="35"/>
        <v>مجموع درصدها برابر با 100 نيست. لطفا اصلاح شود.</v>
      </c>
      <c r="W51" s="2494" t="str">
        <f t="shared" si="35"/>
        <v>مجموع درصدها برابر با 100 نيست. لطفا اصلاح شود.</v>
      </c>
      <c r="X51" s="511"/>
      <c r="Y51" s="2496" t="s">
        <v>832</v>
      </c>
      <c r="Z51" s="2494" t="str">
        <f t="shared" ref="Z51:AC51" si="36">IF(SUM(Z27:Z49)=100,"","مجموع درصدها برابر با 100 نيست. لطفا اصلاح شود.")</f>
        <v>مجموع درصدها برابر با 100 نيست. لطفا اصلاح شود.</v>
      </c>
      <c r="AA51" s="2494" t="str">
        <f t="shared" si="36"/>
        <v>مجموع درصدها برابر با 100 نيست. لطفا اصلاح شود.</v>
      </c>
      <c r="AB51" s="2494" t="str">
        <f t="shared" si="36"/>
        <v>مجموع درصدها برابر با 100 نيست. لطفا اصلاح شود.</v>
      </c>
      <c r="AC51" s="2494" t="str">
        <f t="shared" si="36"/>
        <v>مجموع درصدها برابر با 100 نيست. لطفا اصلاح شود.</v>
      </c>
      <c r="AD51" s="511"/>
      <c r="AE51" s="2496" t="s">
        <v>832</v>
      </c>
      <c r="AF51" s="2494" t="str">
        <f t="shared" ref="AF51:AI51" si="37">IF(SUM(AF27:AF49)=100,"","مجموع درصدها برابر با 100 نيست. لطفا اصلاح شود.")</f>
        <v>مجموع درصدها برابر با 100 نيست. لطفا اصلاح شود.</v>
      </c>
      <c r="AG51" s="2494" t="str">
        <f t="shared" si="37"/>
        <v>مجموع درصدها برابر با 100 نيست. لطفا اصلاح شود.</v>
      </c>
      <c r="AH51" s="2494" t="str">
        <f t="shared" si="37"/>
        <v>مجموع درصدها برابر با 100 نيست. لطفا اصلاح شود.</v>
      </c>
      <c r="AI51" s="2494" t="str">
        <f t="shared" si="37"/>
        <v>مجموع درصدها برابر با 100 نيست. لطفا اصلاح شود.</v>
      </c>
      <c r="AJ51" s="511"/>
      <c r="AK51" s="865"/>
      <c r="AL51" s="865"/>
      <c r="AM51" s="865"/>
      <c r="AN51" s="865"/>
      <c r="AO51" s="865"/>
      <c r="AP51" s="865"/>
      <c r="AQ51" s="865"/>
      <c r="AR51" s="865"/>
      <c r="AS51" s="865"/>
      <c r="AT51" s="865"/>
      <c r="AU51" s="865"/>
      <c r="AV51" s="865"/>
      <c r="AW51" s="865"/>
      <c r="AX51" s="865"/>
      <c r="AY51" s="865"/>
      <c r="AZ51" s="865"/>
      <c r="BA51" s="865"/>
      <c r="BB51" s="865"/>
      <c r="BC51" s="865"/>
      <c r="BD51" s="865"/>
      <c r="BE51" s="865"/>
      <c r="BF51" s="865"/>
      <c r="BG51" s="865"/>
      <c r="BH51" s="865"/>
      <c r="BI51" s="865"/>
      <c r="BJ51" s="865"/>
      <c r="BK51" s="865"/>
      <c r="BL51" s="865"/>
      <c r="BM51" s="865"/>
      <c r="BN51" s="865"/>
      <c r="BO51" s="865"/>
      <c r="BP51" s="865"/>
      <c r="BQ51" s="865"/>
      <c r="BR51" s="865"/>
      <c r="BS51" s="865"/>
      <c r="BT51" s="865"/>
      <c r="BU51" s="865"/>
      <c r="BV51" s="865"/>
      <c r="BW51" s="865"/>
      <c r="BX51" s="865"/>
      <c r="BY51" s="874"/>
      <c r="BZ51" s="2430" t="s">
        <v>832</v>
      </c>
      <c r="CA51" s="894"/>
      <c r="CB51" s="2433" t="e">
        <f>IF(SUM(CB27:CB49)=100,"","مجموع درصدها برابر با 100 نيست. لطفا اصلاح شود.")</f>
        <v>#DIV/0!</v>
      </c>
      <c r="CC51" s="2433" t="str">
        <f t="shared" ref="CC51:CE51" si="38">IF(SUM(CC27:CC49)=100,"","مجموع درصدها برابر با 100 نيست. لطفا اصلاح شود.")</f>
        <v>مجموع درصدها برابر با 100 نيست. لطفا اصلاح شود.</v>
      </c>
      <c r="CD51" s="2433" t="e">
        <f t="shared" si="38"/>
        <v>#N/A</v>
      </c>
      <c r="CE51" s="2489" t="e">
        <f t="shared" si="38"/>
        <v>#DIV/0!</v>
      </c>
      <c r="CF51" s="2456"/>
      <c r="CG51" s="2457"/>
      <c r="CH51" s="2457"/>
      <c r="CI51" s="2458"/>
      <c r="CJ51" s="904" t="s">
        <v>1476</v>
      </c>
      <c r="CK51" s="877" t="s">
        <v>1477</v>
      </c>
      <c r="CL51" s="904" t="s">
        <v>1476</v>
      </c>
      <c r="CM51" s="878" t="s">
        <v>1477</v>
      </c>
      <c r="CN51" s="511"/>
      <c r="CO51" s="511"/>
      <c r="CP51" s="511"/>
      <c r="CQ51" s="511"/>
      <c r="CR51" s="511"/>
      <c r="CS51" s="511"/>
      <c r="CT51" s="511"/>
      <c r="CU51" s="2430" t="s">
        <v>832</v>
      </c>
      <c r="CV51" s="894"/>
      <c r="CW51" s="2433" t="e">
        <f t="shared" ref="CW51:CZ51" si="39">IF(SUM(CW27:CW49)=100,"","مجموع درصدها برابر با 100 نيست. لطفا اصلاح شود.")</f>
        <v>#DIV/0!</v>
      </c>
      <c r="CX51" s="2433" t="str">
        <f t="shared" si="39"/>
        <v>مجموع درصدها برابر با 100 نيست. لطفا اصلاح شود.</v>
      </c>
      <c r="CY51" s="2433" t="e">
        <f t="shared" si="39"/>
        <v>#N/A</v>
      </c>
      <c r="CZ51" s="2433" t="e">
        <f t="shared" si="39"/>
        <v>#DIV/0!</v>
      </c>
      <c r="DA51" s="2456"/>
      <c r="DB51" s="2457"/>
      <c r="DC51" s="2457"/>
      <c r="DD51" s="2458"/>
      <c r="DE51" s="904" t="s">
        <v>1476</v>
      </c>
      <c r="DF51" s="878" t="s">
        <v>1477</v>
      </c>
      <c r="DG51" s="904" t="s">
        <v>1476</v>
      </c>
      <c r="DH51" s="878" t="s">
        <v>1477</v>
      </c>
      <c r="DI51" s="511"/>
      <c r="DJ51" s="511"/>
      <c r="DK51" s="511"/>
      <c r="DL51" s="511"/>
      <c r="DM51" s="511"/>
      <c r="DN51" s="511"/>
      <c r="DO51" s="511"/>
      <c r="DP51" s="2435" t="s">
        <v>832</v>
      </c>
      <c r="DQ51" s="895"/>
      <c r="DR51" s="2459" t="e">
        <f t="shared" ref="DR51:DU51" si="40">IF(SUM(DR27:DR49)=100,"","مجموع درصدها برابر با 100 نيست. لطفا اصلاح شود.")</f>
        <v>#DIV/0!</v>
      </c>
      <c r="DS51" s="2459" t="str">
        <f t="shared" si="40"/>
        <v>مجموع درصدها برابر با 100 نيست. لطفا اصلاح شود.</v>
      </c>
      <c r="DT51" s="2459" t="e">
        <f t="shared" si="40"/>
        <v>#N/A</v>
      </c>
      <c r="DU51" s="2459" t="e">
        <f t="shared" si="40"/>
        <v>#DIV/0!</v>
      </c>
      <c r="DV51" s="2456"/>
      <c r="DW51" s="2457"/>
      <c r="DX51" s="2457"/>
      <c r="DY51" s="2458"/>
      <c r="DZ51" s="904" t="s">
        <v>1476</v>
      </c>
      <c r="EA51" s="878" t="s">
        <v>1477</v>
      </c>
      <c r="EB51" s="904" t="s">
        <v>1476</v>
      </c>
      <c r="EC51" s="878" t="s">
        <v>1477</v>
      </c>
      <c r="ED51" s="511"/>
      <c r="EE51" s="511"/>
      <c r="EF51" s="511"/>
      <c r="EG51" s="511"/>
      <c r="EH51" s="511"/>
      <c r="EI51" s="511"/>
      <c r="EJ51" s="511"/>
      <c r="EK51" s="2430" t="s">
        <v>832</v>
      </c>
      <c r="EL51" s="894"/>
      <c r="EM51" s="2433" t="e">
        <f t="shared" ref="EM51:EP51" si="41">IF(SUM(EM27:EM49)=100,"","مجموع درصدها برابر با 100 نيست. لطفا اصلاح شود.")</f>
        <v>#DIV/0!</v>
      </c>
      <c r="EN51" s="2433" t="str">
        <f t="shared" si="41"/>
        <v>مجموع درصدها برابر با 100 نيست. لطفا اصلاح شود.</v>
      </c>
      <c r="EO51" s="2433" t="e">
        <f t="shared" si="41"/>
        <v>#N/A</v>
      </c>
      <c r="EP51" s="2433" t="e">
        <f t="shared" si="41"/>
        <v>#DIV/0!</v>
      </c>
      <c r="EQ51" s="2456"/>
      <c r="ER51" s="2457"/>
      <c r="ES51" s="2457"/>
      <c r="ET51" s="2458"/>
      <c r="EU51" s="904" t="s">
        <v>1476</v>
      </c>
      <c r="EV51" s="878" t="s">
        <v>1477</v>
      </c>
      <c r="EW51" s="904" t="s">
        <v>1476</v>
      </c>
      <c r="EX51" s="878" t="s">
        <v>1477</v>
      </c>
      <c r="EY51" s="511"/>
      <c r="EZ51" s="511"/>
      <c r="FA51" s="511"/>
      <c r="FB51" s="511"/>
      <c r="FC51" s="511"/>
      <c r="FD51" s="511"/>
      <c r="FE51" s="511"/>
      <c r="FF51" s="2435" t="s">
        <v>832</v>
      </c>
      <c r="FG51" s="895"/>
      <c r="FH51" s="2459" t="e">
        <f t="shared" ref="FH51:FK51" si="42">IF(SUM(FH27:FH49)=100,"","مجموع درصدها برابر با 100 نيست. لطفا اصلاح شود.")</f>
        <v>#DIV/0!</v>
      </c>
      <c r="FI51" s="2459" t="str">
        <f t="shared" si="42"/>
        <v>مجموع درصدها برابر با 100 نيست. لطفا اصلاح شود.</v>
      </c>
      <c r="FJ51" s="2459" t="e">
        <f t="shared" si="42"/>
        <v>#N/A</v>
      </c>
      <c r="FK51" s="2459" t="e">
        <f t="shared" si="42"/>
        <v>#DIV/0!</v>
      </c>
      <c r="FL51" s="2456"/>
      <c r="FM51" s="2457"/>
      <c r="FN51" s="2457"/>
      <c r="FO51" s="2458"/>
      <c r="FP51" s="904" t="s">
        <v>1476</v>
      </c>
      <c r="FQ51" s="878" t="s">
        <v>1477</v>
      </c>
      <c r="FR51" s="904" t="s">
        <v>1476</v>
      </c>
      <c r="FS51" s="878" t="s">
        <v>1477</v>
      </c>
      <c r="FT51" s="511"/>
      <c r="FU51" s="511"/>
      <c r="FV51" s="511"/>
      <c r="FW51" s="511"/>
      <c r="FX51" s="511"/>
      <c r="FY51" s="511"/>
      <c r="FZ51" s="511"/>
      <c r="GA51" s="2430" t="s">
        <v>832</v>
      </c>
      <c r="GB51" s="894"/>
      <c r="GC51" s="2433" t="e">
        <f t="shared" ref="GC51:GF51" si="43">IF(SUM(GC27:GC49)=100,"","مجموع درصدها برابر با 100 نيست. لطفا اصلاح شود.")</f>
        <v>#DIV/0!</v>
      </c>
      <c r="GD51" s="2433" t="str">
        <f t="shared" si="43"/>
        <v>مجموع درصدها برابر با 100 نيست. لطفا اصلاح شود.</v>
      </c>
      <c r="GE51" s="2433" t="e">
        <f t="shared" si="43"/>
        <v>#N/A</v>
      </c>
      <c r="GF51" s="2433" t="e">
        <f t="shared" si="43"/>
        <v>#DIV/0!</v>
      </c>
      <c r="GG51" s="2456"/>
      <c r="GH51" s="2457"/>
      <c r="GI51" s="2457"/>
      <c r="GJ51" s="2458"/>
      <c r="GK51" s="904" t="s">
        <v>1476</v>
      </c>
      <c r="GL51" s="878" t="s">
        <v>1477</v>
      </c>
      <c r="GM51" s="904" t="s">
        <v>1476</v>
      </c>
      <c r="GN51" s="878" t="s">
        <v>1476</v>
      </c>
      <c r="GO51" s="874"/>
      <c r="GP51" s="874"/>
      <c r="GQ51" s="874"/>
      <c r="GR51" s="874"/>
      <c r="GS51" s="874"/>
      <c r="GT51" s="874"/>
      <c r="GU51" s="874"/>
      <c r="GV51" s="874"/>
      <c r="GW51" s="874"/>
      <c r="GX51" s="874"/>
      <c r="GY51" s="874"/>
      <c r="GZ51" s="874"/>
      <c r="HA51" s="874"/>
      <c r="HB51" s="511"/>
      <c r="HC51" s="511"/>
      <c r="HD51" s="511"/>
      <c r="HE51" s="511"/>
      <c r="HF51" s="511"/>
      <c r="HG51" s="511"/>
      <c r="HH51" s="511"/>
      <c r="HI51" s="511"/>
      <c r="HJ51" s="874"/>
      <c r="HK51" s="874"/>
      <c r="HL51" s="874"/>
      <c r="HM51" s="874"/>
      <c r="HN51" s="874"/>
      <c r="HO51" s="874"/>
      <c r="HP51" s="874"/>
      <c r="HQ51" s="874"/>
      <c r="HR51" s="874"/>
      <c r="HS51" s="874"/>
      <c r="HT51" s="874"/>
      <c r="HU51" s="874"/>
      <c r="HV51" s="874"/>
      <c r="HW51" s="511"/>
      <c r="HX51" s="511"/>
      <c r="HY51" s="511"/>
      <c r="HZ51" s="511"/>
      <c r="IA51" s="511"/>
      <c r="IB51" s="511"/>
      <c r="IC51" s="511"/>
      <c r="ID51" s="511"/>
      <c r="IE51" s="874"/>
      <c r="IF51" s="874"/>
      <c r="IG51" s="874"/>
      <c r="IH51" s="874"/>
      <c r="II51" s="874"/>
      <c r="IJ51" s="874"/>
      <c r="IK51" s="874"/>
      <c r="IL51" s="874"/>
      <c r="IM51" s="874"/>
      <c r="IN51" s="874"/>
      <c r="IO51" s="874"/>
      <c r="IP51" s="874"/>
      <c r="IQ51" s="874"/>
      <c r="IR51" s="511"/>
      <c r="IS51" s="511"/>
      <c r="IT51" s="511"/>
      <c r="IU51" s="511"/>
      <c r="IV51" s="511"/>
      <c r="IW51" s="511"/>
      <c r="IX51" s="511"/>
      <c r="IY51" s="511"/>
      <c r="IZ51" s="874"/>
      <c r="JA51" s="874"/>
      <c r="JB51" s="874"/>
      <c r="JC51" s="874"/>
      <c r="JD51" s="874"/>
      <c r="JE51" s="874"/>
      <c r="JF51" s="874"/>
      <c r="JG51" s="874"/>
      <c r="JH51" s="874"/>
      <c r="JI51" s="874"/>
      <c r="JJ51" s="874"/>
      <c r="JK51" s="874"/>
      <c r="JL51" s="874"/>
      <c r="JM51" s="874"/>
      <c r="JN51" s="874"/>
      <c r="JO51" s="874"/>
      <c r="JP51" s="874"/>
      <c r="JQ51" s="874"/>
      <c r="JR51" s="874"/>
      <c r="JS51" s="874"/>
      <c r="JT51" s="874"/>
      <c r="JU51" s="874"/>
      <c r="JV51" s="874"/>
      <c r="JW51" s="874"/>
      <c r="JX51" s="874"/>
      <c r="JY51" s="874"/>
      <c r="JZ51" s="874"/>
      <c r="KA51" s="874"/>
      <c r="KB51" s="874"/>
      <c r="KC51" s="874"/>
      <c r="KD51" s="874"/>
      <c r="KE51" s="874"/>
      <c r="KF51" s="874"/>
      <c r="KG51" s="874"/>
      <c r="KH51" s="865"/>
      <c r="KI51" s="865"/>
      <c r="KJ51" s="865"/>
      <c r="KK51" s="865"/>
      <c r="KL51" s="865"/>
      <c r="KM51" s="865"/>
      <c r="KN51" s="865"/>
      <c r="KO51" s="865"/>
      <c r="KP51" s="865"/>
      <c r="KQ51" s="865"/>
      <c r="KR51" s="865"/>
      <c r="KS51" s="865"/>
      <c r="KT51" s="865"/>
      <c r="KU51" s="865"/>
      <c r="KV51" s="865"/>
      <c r="KW51" s="865"/>
      <c r="KX51" s="865"/>
      <c r="KY51" s="865"/>
      <c r="KZ51" s="865"/>
      <c r="LA51" s="865"/>
      <c r="LB51" s="865"/>
      <c r="LC51" s="865"/>
      <c r="LD51" s="865"/>
      <c r="LE51" s="865"/>
      <c r="LF51" s="865"/>
    </row>
    <row r="52" spans="1:318" ht="24.45" customHeight="1">
      <c r="A52" s="2496"/>
      <c r="B52" s="2494"/>
      <c r="C52" s="2494"/>
      <c r="D52" s="2494"/>
      <c r="E52" s="2494"/>
      <c r="F52" s="511"/>
      <c r="G52" s="2496"/>
      <c r="H52" s="2494"/>
      <c r="I52" s="2494"/>
      <c r="J52" s="2494"/>
      <c r="K52" s="2494"/>
      <c r="L52" s="511"/>
      <c r="M52" s="2496"/>
      <c r="N52" s="2494"/>
      <c r="O52" s="2494"/>
      <c r="P52" s="2494"/>
      <c r="Q52" s="2494"/>
      <c r="R52" s="511"/>
      <c r="S52" s="2496"/>
      <c r="T52" s="2494"/>
      <c r="U52" s="2494"/>
      <c r="V52" s="2494"/>
      <c r="W52" s="2494"/>
      <c r="X52" s="511"/>
      <c r="Y52" s="2496"/>
      <c r="Z52" s="2494"/>
      <c r="AA52" s="2494"/>
      <c r="AB52" s="2494"/>
      <c r="AC52" s="2494"/>
      <c r="AD52" s="511"/>
      <c r="AE52" s="2496"/>
      <c r="AF52" s="2494"/>
      <c r="AG52" s="2494"/>
      <c r="AH52" s="2494"/>
      <c r="AI52" s="2494"/>
      <c r="AJ52" s="511"/>
      <c r="AK52" s="865"/>
      <c r="AL52" s="865"/>
      <c r="AM52" s="865"/>
      <c r="AN52" s="865"/>
      <c r="AO52" s="865"/>
      <c r="AP52" s="865"/>
      <c r="AQ52" s="865"/>
      <c r="AR52" s="865"/>
      <c r="AS52" s="865"/>
      <c r="AT52" s="865"/>
      <c r="AU52" s="865"/>
      <c r="AV52" s="865"/>
      <c r="AW52" s="865"/>
      <c r="AX52" s="865"/>
      <c r="AY52" s="865"/>
      <c r="AZ52" s="865"/>
      <c r="BA52" s="865"/>
      <c r="BB52" s="865"/>
      <c r="BC52" s="865"/>
      <c r="BD52" s="865"/>
      <c r="BE52" s="865"/>
      <c r="BF52" s="865"/>
      <c r="BG52" s="865"/>
      <c r="BH52" s="865"/>
      <c r="BI52" s="865"/>
      <c r="BJ52" s="865"/>
      <c r="BK52" s="865"/>
      <c r="BL52" s="865"/>
      <c r="BM52" s="865"/>
      <c r="BN52" s="865"/>
      <c r="BO52" s="865"/>
      <c r="BP52" s="865"/>
      <c r="BQ52" s="865"/>
      <c r="BR52" s="865"/>
      <c r="BS52" s="865"/>
      <c r="BT52" s="865"/>
      <c r="BU52" s="865"/>
      <c r="BV52" s="865"/>
      <c r="BW52" s="865"/>
      <c r="BX52" s="865"/>
      <c r="BY52" s="874"/>
      <c r="BZ52" s="2430"/>
      <c r="CA52" s="894"/>
      <c r="CB52" s="2433"/>
      <c r="CC52" s="2433"/>
      <c r="CD52" s="2433"/>
      <c r="CE52" s="2433"/>
      <c r="CF52" s="511"/>
      <c r="CG52" s="511"/>
      <c r="CH52" s="511"/>
      <c r="CI52" s="511"/>
      <c r="CJ52" s="511"/>
      <c r="CK52" s="511"/>
      <c r="CL52" s="511"/>
      <c r="CM52" s="511"/>
      <c r="CN52" s="511"/>
      <c r="CO52" s="511"/>
      <c r="CP52" s="511"/>
      <c r="CQ52" s="511"/>
      <c r="CR52" s="511"/>
      <c r="CS52" s="511"/>
      <c r="CT52" s="511"/>
      <c r="CU52" s="2430"/>
      <c r="CV52" s="894"/>
      <c r="CW52" s="2433"/>
      <c r="CX52" s="2433"/>
      <c r="CY52" s="2433"/>
      <c r="CZ52" s="2433"/>
      <c r="DA52" s="511"/>
      <c r="DB52" s="511"/>
      <c r="DC52" s="511"/>
      <c r="DD52" s="511"/>
      <c r="DE52" s="511"/>
      <c r="DF52" s="511"/>
      <c r="DG52" s="511"/>
      <c r="DH52" s="511"/>
      <c r="DI52" s="511"/>
      <c r="DJ52" s="511"/>
      <c r="DK52" s="511"/>
      <c r="DL52" s="511"/>
      <c r="DM52" s="511"/>
      <c r="DN52" s="511"/>
      <c r="DO52" s="511"/>
      <c r="DP52" s="2436"/>
      <c r="DQ52" s="896"/>
      <c r="DR52" s="2460"/>
      <c r="DS52" s="2460"/>
      <c r="DT52" s="2460"/>
      <c r="DU52" s="2460"/>
      <c r="DV52" s="511"/>
      <c r="DW52" s="511"/>
      <c r="DX52" s="511"/>
      <c r="DY52" s="511"/>
      <c r="DZ52" s="511"/>
      <c r="EA52" s="511"/>
      <c r="EB52" s="511"/>
      <c r="EC52" s="511"/>
      <c r="ED52" s="511"/>
      <c r="EE52" s="511"/>
      <c r="EF52" s="511"/>
      <c r="EG52" s="511"/>
      <c r="EH52" s="511"/>
      <c r="EI52" s="511"/>
      <c r="EJ52" s="511"/>
      <c r="EK52" s="2430"/>
      <c r="EL52" s="894"/>
      <c r="EM52" s="2433"/>
      <c r="EN52" s="2433"/>
      <c r="EO52" s="2433"/>
      <c r="EP52" s="2433"/>
      <c r="EQ52" s="511"/>
      <c r="ER52" s="511"/>
      <c r="ES52" s="511"/>
      <c r="ET52" s="511"/>
      <c r="EU52" s="511"/>
      <c r="EV52" s="511"/>
      <c r="EW52" s="511"/>
      <c r="EX52" s="511"/>
      <c r="EY52" s="511"/>
      <c r="EZ52" s="511"/>
      <c r="FA52" s="511"/>
      <c r="FB52" s="511"/>
      <c r="FC52" s="511"/>
      <c r="FD52" s="511"/>
      <c r="FE52" s="511"/>
      <c r="FF52" s="2436"/>
      <c r="FG52" s="896"/>
      <c r="FH52" s="2460"/>
      <c r="FI52" s="2460"/>
      <c r="FJ52" s="2460"/>
      <c r="FK52" s="2460"/>
      <c r="FL52" s="511"/>
      <c r="FM52" s="511"/>
      <c r="FN52" s="511"/>
      <c r="FO52" s="511"/>
      <c r="FP52" s="511"/>
      <c r="FQ52" s="511"/>
      <c r="FR52" s="511"/>
      <c r="FS52" s="511"/>
      <c r="FT52" s="511"/>
      <c r="FU52" s="511"/>
      <c r="FV52" s="511"/>
      <c r="FW52" s="511"/>
      <c r="FX52" s="511"/>
      <c r="FY52" s="511"/>
      <c r="FZ52" s="511"/>
      <c r="GA52" s="2430"/>
      <c r="GB52" s="894"/>
      <c r="GC52" s="2433"/>
      <c r="GD52" s="2433"/>
      <c r="GE52" s="2433"/>
      <c r="GF52" s="2433"/>
      <c r="GG52" s="511"/>
      <c r="GH52" s="511"/>
      <c r="GI52" s="511"/>
      <c r="GJ52" s="511"/>
      <c r="GK52" s="511"/>
      <c r="GL52" s="511"/>
      <c r="GM52" s="511"/>
      <c r="GN52" s="511"/>
      <c r="GO52" s="874"/>
      <c r="GP52" s="874"/>
      <c r="GQ52" s="874"/>
      <c r="GR52" s="874"/>
      <c r="GS52" s="874"/>
      <c r="GT52" s="874"/>
      <c r="GU52" s="874"/>
      <c r="GV52" s="874"/>
      <c r="GW52" s="874"/>
      <c r="GX52" s="874"/>
      <c r="GY52" s="874"/>
      <c r="GZ52" s="874"/>
      <c r="HA52" s="874"/>
      <c r="HB52" s="511"/>
      <c r="HC52" s="511"/>
      <c r="HD52" s="511"/>
      <c r="HE52" s="511"/>
      <c r="HF52" s="511"/>
      <c r="HG52" s="511"/>
      <c r="HH52" s="511"/>
      <c r="HI52" s="511"/>
      <c r="HJ52" s="874"/>
      <c r="HK52" s="874"/>
      <c r="HL52" s="874"/>
      <c r="HM52" s="874"/>
      <c r="HN52" s="874"/>
      <c r="HO52" s="874"/>
      <c r="HP52" s="874"/>
      <c r="HQ52" s="874"/>
      <c r="HR52" s="874"/>
      <c r="HS52" s="874"/>
      <c r="HT52" s="874"/>
      <c r="HU52" s="874"/>
      <c r="HV52" s="874"/>
      <c r="HW52" s="511"/>
      <c r="HX52" s="511"/>
      <c r="HY52" s="511"/>
      <c r="HZ52" s="511"/>
      <c r="IA52" s="511"/>
      <c r="IB52" s="511"/>
      <c r="IC52" s="511"/>
      <c r="ID52" s="511"/>
      <c r="IE52" s="874"/>
      <c r="IF52" s="874"/>
      <c r="IG52" s="874"/>
      <c r="IH52" s="874"/>
      <c r="II52" s="874"/>
      <c r="IJ52" s="874"/>
      <c r="IK52" s="874"/>
      <c r="IL52" s="874"/>
      <c r="IM52" s="874"/>
      <c r="IN52" s="874"/>
      <c r="IO52" s="874"/>
      <c r="IP52" s="874"/>
      <c r="IQ52" s="874"/>
      <c r="IR52" s="511"/>
      <c r="IS52" s="511"/>
      <c r="IT52" s="511"/>
      <c r="IU52" s="511"/>
      <c r="IV52" s="511"/>
      <c r="IW52" s="511"/>
      <c r="IX52" s="511"/>
      <c r="IY52" s="511"/>
      <c r="IZ52" s="874"/>
      <c r="JA52" s="874"/>
      <c r="JB52" s="874"/>
      <c r="JC52" s="874"/>
      <c r="JD52" s="874"/>
      <c r="JE52" s="874"/>
      <c r="JF52" s="874"/>
      <c r="JG52" s="874"/>
      <c r="JH52" s="874"/>
      <c r="JI52" s="874"/>
      <c r="JJ52" s="874"/>
      <c r="JK52" s="874"/>
      <c r="JL52" s="874"/>
      <c r="JM52" s="874"/>
      <c r="JN52" s="874"/>
      <c r="JO52" s="874"/>
      <c r="JP52" s="874"/>
      <c r="JQ52" s="874"/>
      <c r="JR52" s="874"/>
      <c r="JS52" s="874"/>
      <c r="JT52" s="874"/>
      <c r="JU52" s="874"/>
      <c r="JV52" s="874"/>
      <c r="JW52" s="874"/>
      <c r="JX52" s="874"/>
      <c r="JY52" s="874"/>
      <c r="JZ52" s="874"/>
      <c r="KA52" s="874"/>
      <c r="KB52" s="874"/>
      <c r="KC52" s="874"/>
      <c r="KD52" s="874"/>
      <c r="KE52" s="874"/>
      <c r="KF52" s="874"/>
      <c r="KG52" s="874"/>
      <c r="KH52" s="865"/>
      <c r="KI52" s="865"/>
      <c r="KJ52" s="865"/>
      <c r="KK52" s="865"/>
      <c r="KL52" s="865"/>
      <c r="KM52" s="865"/>
      <c r="KN52" s="865"/>
      <c r="KO52" s="865"/>
      <c r="KP52" s="865"/>
      <c r="KQ52" s="865"/>
      <c r="KR52" s="865"/>
      <c r="KS52" s="865"/>
      <c r="KT52" s="865"/>
      <c r="KU52" s="865"/>
      <c r="KV52" s="865"/>
      <c r="KW52" s="865"/>
      <c r="KX52" s="865"/>
      <c r="KY52" s="865"/>
      <c r="KZ52" s="865"/>
      <c r="LA52" s="865"/>
      <c r="LB52" s="865"/>
      <c r="LC52" s="865"/>
      <c r="LD52" s="865"/>
      <c r="LE52" s="865"/>
      <c r="LF52" s="865"/>
    </row>
    <row r="53" spans="1:318" ht="24.45" customHeight="1">
      <c r="A53" s="2496"/>
      <c r="B53" s="2494"/>
      <c r="C53" s="2494"/>
      <c r="D53" s="2494"/>
      <c r="E53" s="2494"/>
      <c r="F53" s="511"/>
      <c r="G53" s="2496"/>
      <c r="H53" s="2494"/>
      <c r="I53" s="2494"/>
      <c r="J53" s="2494"/>
      <c r="K53" s="2494"/>
      <c r="L53" s="511"/>
      <c r="M53" s="2496"/>
      <c r="N53" s="2494"/>
      <c r="O53" s="2494"/>
      <c r="P53" s="2494"/>
      <c r="Q53" s="2494"/>
      <c r="R53" s="511"/>
      <c r="S53" s="2496"/>
      <c r="T53" s="2494"/>
      <c r="U53" s="2494"/>
      <c r="V53" s="2494"/>
      <c r="W53" s="2494"/>
      <c r="X53" s="511"/>
      <c r="Y53" s="2496"/>
      <c r="Z53" s="2494"/>
      <c r="AA53" s="2494"/>
      <c r="AB53" s="2494"/>
      <c r="AC53" s="2494"/>
      <c r="AD53" s="511"/>
      <c r="AE53" s="2496"/>
      <c r="AF53" s="2494"/>
      <c r="AG53" s="2494"/>
      <c r="AH53" s="2494"/>
      <c r="AI53" s="2494"/>
      <c r="AJ53" s="511"/>
      <c r="AK53" s="865"/>
      <c r="AL53" s="865"/>
      <c r="AM53" s="865"/>
      <c r="AN53" s="865"/>
      <c r="AO53" s="865"/>
      <c r="AP53" s="865"/>
      <c r="AQ53" s="865"/>
      <c r="AR53" s="865"/>
      <c r="AS53" s="865"/>
      <c r="AT53" s="865"/>
      <c r="AU53" s="865"/>
      <c r="AV53" s="865"/>
      <c r="AW53" s="865"/>
      <c r="AX53" s="865"/>
      <c r="AY53" s="865"/>
      <c r="AZ53" s="865"/>
      <c r="BA53" s="865"/>
      <c r="BB53" s="865"/>
      <c r="BC53" s="865"/>
      <c r="BD53" s="865"/>
      <c r="BE53" s="865"/>
      <c r="BF53" s="865"/>
      <c r="BG53" s="865"/>
      <c r="BH53" s="865"/>
      <c r="BI53" s="865"/>
      <c r="BJ53" s="865"/>
      <c r="BK53" s="865"/>
      <c r="BL53" s="865"/>
      <c r="BM53" s="865"/>
      <c r="BN53" s="865"/>
      <c r="BO53" s="865"/>
      <c r="BP53" s="865"/>
      <c r="BQ53" s="865"/>
      <c r="BR53" s="865"/>
      <c r="BS53" s="865"/>
      <c r="BT53" s="865"/>
      <c r="BU53" s="865"/>
      <c r="BV53" s="865"/>
      <c r="BW53" s="865"/>
      <c r="BX53" s="865"/>
      <c r="BY53" s="874"/>
      <c r="BZ53" s="2430"/>
      <c r="CA53" s="894"/>
      <c r="CB53" s="2433"/>
      <c r="CC53" s="2433"/>
      <c r="CD53" s="2433"/>
      <c r="CE53" s="2433"/>
      <c r="CF53" s="511"/>
      <c r="CG53" s="511"/>
      <c r="CH53" s="511"/>
      <c r="CI53" s="511"/>
      <c r="CJ53" s="511"/>
      <c r="CK53" s="511"/>
      <c r="CL53" s="511"/>
      <c r="CM53" s="511"/>
      <c r="CN53" s="511"/>
      <c r="CO53" s="511"/>
      <c r="CP53" s="511"/>
      <c r="CQ53" s="511"/>
      <c r="CR53" s="511"/>
      <c r="CS53" s="511"/>
      <c r="CT53" s="511"/>
      <c r="CU53" s="2430"/>
      <c r="CV53" s="894"/>
      <c r="CW53" s="2433"/>
      <c r="CX53" s="2433"/>
      <c r="CY53" s="2433"/>
      <c r="CZ53" s="2433"/>
      <c r="DA53" s="511"/>
      <c r="DB53" s="511"/>
      <c r="DC53" s="511"/>
      <c r="DD53" s="511"/>
      <c r="DE53" s="511"/>
      <c r="DF53" s="511"/>
      <c r="DG53" s="511"/>
      <c r="DH53" s="511"/>
      <c r="DI53" s="511"/>
      <c r="DJ53" s="511"/>
      <c r="DK53" s="511"/>
      <c r="DL53" s="511"/>
      <c r="DM53" s="511"/>
      <c r="DN53" s="511"/>
      <c r="DO53" s="511"/>
      <c r="DP53" s="2436"/>
      <c r="DQ53" s="896"/>
      <c r="DR53" s="2460"/>
      <c r="DS53" s="2460"/>
      <c r="DT53" s="2460"/>
      <c r="DU53" s="2460"/>
      <c r="DV53" s="511"/>
      <c r="DW53" s="511"/>
      <c r="DX53" s="511"/>
      <c r="DY53" s="511"/>
      <c r="DZ53" s="511"/>
      <c r="EA53" s="511"/>
      <c r="EB53" s="511"/>
      <c r="EC53" s="511"/>
      <c r="ED53" s="511"/>
      <c r="EE53" s="511"/>
      <c r="EF53" s="511"/>
      <c r="EG53" s="511"/>
      <c r="EH53" s="511"/>
      <c r="EI53" s="511"/>
      <c r="EJ53" s="511"/>
      <c r="EK53" s="2430"/>
      <c r="EL53" s="894"/>
      <c r="EM53" s="2433"/>
      <c r="EN53" s="2433"/>
      <c r="EO53" s="2433"/>
      <c r="EP53" s="2433"/>
      <c r="EQ53" s="511"/>
      <c r="ER53" s="511"/>
      <c r="ES53" s="511"/>
      <c r="ET53" s="511"/>
      <c r="EU53" s="511"/>
      <c r="EV53" s="511"/>
      <c r="EW53" s="511"/>
      <c r="EX53" s="511"/>
      <c r="EY53" s="511"/>
      <c r="EZ53" s="511"/>
      <c r="FA53" s="511"/>
      <c r="FB53" s="511"/>
      <c r="FC53" s="511"/>
      <c r="FD53" s="511"/>
      <c r="FE53" s="511"/>
      <c r="FF53" s="2436"/>
      <c r="FG53" s="896"/>
      <c r="FH53" s="2460"/>
      <c r="FI53" s="2460"/>
      <c r="FJ53" s="2460"/>
      <c r="FK53" s="2460"/>
      <c r="FL53" s="511"/>
      <c r="FM53" s="511"/>
      <c r="FN53" s="511"/>
      <c r="FO53" s="511"/>
      <c r="FP53" s="511"/>
      <c r="FQ53" s="511"/>
      <c r="FR53" s="511"/>
      <c r="FS53" s="511"/>
      <c r="FT53" s="511"/>
      <c r="FU53" s="511"/>
      <c r="FV53" s="511"/>
      <c r="FW53" s="511"/>
      <c r="FX53" s="511"/>
      <c r="FY53" s="511"/>
      <c r="FZ53" s="511"/>
      <c r="GA53" s="2430"/>
      <c r="GB53" s="894"/>
      <c r="GC53" s="2433"/>
      <c r="GD53" s="2433"/>
      <c r="GE53" s="2433"/>
      <c r="GF53" s="2433"/>
      <c r="GG53" s="511"/>
      <c r="GH53" s="511"/>
      <c r="GI53" s="511"/>
      <c r="GJ53" s="511"/>
      <c r="GK53" s="511"/>
      <c r="GL53" s="511"/>
      <c r="GM53" s="511"/>
      <c r="GN53" s="511"/>
      <c r="GO53" s="874"/>
      <c r="GP53" s="874"/>
      <c r="GQ53" s="874"/>
      <c r="GR53" s="874"/>
      <c r="GS53" s="874"/>
      <c r="GT53" s="874"/>
      <c r="GU53" s="874"/>
      <c r="GV53" s="874"/>
      <c r="GW53" s="874"/>
      <c r="GX53" s="874"/>
      <c r="GY53" s="874"/>
      <c r="GZ53" s="874"/>
      <c r="HA53" s="874"/>
      <c r="HB53" s="511"/>
      <c r="HC53" s="511"/>
      <c r="HD53" s="511"/>
      <c r="HE53" s="511"/>
      <c r="HF53" s="511"/>
      <c r="HG53" s="511"/>
      <c r="HH53" s="511"/>
      <c r="HI53" s="511"/>
      <c r="HJ53" s="874"/>
      <c r="HK53" s="874"/>
      <c r="HL53" s="874"/>
      <c r="HM53" s="874"/>
      <c r="HN53" s="874"/>
      <c r="HO53" s="874"/>
      <c r="HP53" s="874"/>
      <c r="HQ53" s="874"/>
      <c r="HR53" s="874"/>
      <c r="HS53" s="874"/>
      <c r="HT53" s="874"/>
      <c r="HU53" s="874"/>
      <c r="HV53" s="874"/>
      <c r="HW53" s="511"/>
      <c r="HX53" s="511"/>
      <c r="HY53" s="511"/>
      <c r="HZ53" s="511"/>
      <c r="IA53" s="511"/>
      <c r="IB53" s="511"/>
      <c r="IC53" s="511"/>
      <c r="ID53" s="511"/>
      <c r="IE53" s="874"/>
      <c r="IF53" s="874"/>
      <c r="IG53" s="874"/>
      <c r="IH53" s="874"/>
      <c r="II53" s="874"/>
      <c r="IJ53" s="874"/>
      <c r="IK53" s="874"/>
      <c r="IL53" s="874"/>
      <c r="IM53" s="874"/>
      <c r="IN53" s="874"/>
      <c r="IO53" s="874"/>
      <c r="IP53" s="874"/>
      <c r="IQ53" s="874"/>
      <c r="IR53" s="511"/>
      <c r="IS53" s="511"/>
      <c r="IT53" s="511"/>
      <c r="IU53" s="511"/>
      <c r="IV53" s="511"/>
      <c r="IW53" s="511"/>
      <c r="IX53" s="511"/>
      <c r="IY53" s="511"/>
      <c r="IZ53" s="874"/>
      <c r="JA53" s="874"/>
      <c r="JB53" s="874"/>
      <c r="JC53" s="874"/>
      <c r="JD53" s="874"/>
      <c r="JE53" s="874"/>
      <c r="JF53" s="874"/>
      <c r="JG53" s="874"/>
      <c r="JH53" s="874"/>
      <c r="JI53" s="874"/>
      <c r="JJ53" s="874"/>
      <c r="JK53" s="874"/>
      <c r="JL53" s="874"/>
      <c r="JM53" s="874"/>
      <c r="JN53" s="874"/>
      <c r="JO53" s="874"/>
      <c r="JP53" s="874"/>
      <c r="JQ53" s="874"/>
      <c r="JR53" s="874"/>
      <c r="JS53" s="874"/>
      <c r="JT53" s="874"/>
      <c r="JU53" s="874"/>
      <c r="JV53" s="874"/>
      <c r="JW53" s="874"/>
      <c r="JX53" s="874"/>
      <c r="JY53" s="874"/>
      <c r="JZ53" s="874"/>
      <c r="KA53" s="874"/>
      <c r="KB53" s="874"/>
      <c r="KC53" s="874"/>
      <c r="KD53" s="874"/>
      <c r="KE53" s="874"/>
      <c r="KF53" s="874"/>
      <c r="KG53" s="874"/>
      <c r="KH53" s="865"/>
      <c r="KI53" s="865"/>
      <c r="KJ53" s="865"/>
      <c r="KK53" s="865"/>
      <c r="KL53" s="865"/>
      <c r="KM53" s="865"/>
      <c r="KN53" s="865"/>
      <c r="KO53" s="865"/>
      <c r="KP53" s="865"/>
      <c r="KQ53" s="865"/>
      <c r="KR53" s="865"/>
      <c r="KS53" s="865"/>
      <c r="KT53" s="865"/>
      <c r="KU53" s="865"/>
      <c r="KV53" s="865"/>
      <c r="KW53" s="865"/>
      <c r="KX53" s="865"/>
      <c r="KY53" s="865"/>
      <c r="KZ53" s="865"/>
      <c r="LA53" s="865"/>
      <c r="LB53" s="865"/>
      <c r="LC53" s="865"/>
      <c r="LD53" s="865"/>
      <c r="LE53" s="865"/>
      <c r="LF53" s="865"/>
    </row>
    <row r="54" spans="1:318" ht="24.45" customHeight="1">
      <c r="A54" s="2496"/>
      <c r="B54" s="2494"/>
      <c r="C54" s="2494"/>
      <c r="D54" s="2494"/>
      <c r="E54" s="2494"/>
      <c r="F54" s="511"/>
      <c r="G54" s="2496"/>
      <c r="H54" s="2494"/>
      <c r="I54" s="2494"/>
      <c r="J54" s="2494"/>
      <c r="K54" s="2494"/>
      <c r="L54" s="511"/>
      <c r="M54" s="2496"/>
      <c r="N54" s="2494"/>
      <c r="O54" s="2494"/>
      <c r="P54" s="2494"/>
      <c r="Q54" s="2494"/>
      <c r="R54" s="511"/>
      <c r="S54" s="2496"/>
      <c r="T54" s="2494"/>
      <c r="U54" s="2494"/>
      <c r="V54" s="2494"/>
      <c r="W54" s="2494"/>
      <c r="X54" s="511"/>
      <c r="Y54" s="2496"/>
      <c r="Z54" s="2494"/>
      <c r="AA54" s="2494"/>
      <c r="AB54" s="2494"/>
      <c r="AC54" s="2494"/>
      <c r="AD54" s="511"/>
      <c r="AE54" s="2496"/>
      <c r="AF54" s="2494"/>
      <c r="AG54" s="2494"/>
      <c r="AH54" s="2494"/>
      <c r="AI54" s="2494"/>
      <c r="AJ54" s="511"/>
      <c r="AK54" s="865"/>
      <c r="AL54" s="865"/>
      <c r="AM54" s="865"/>
      <c r="AN54" s="865"/>
      <c r="AO54" s="865"/>
      <c r="AP54" s="865"/>
      <c r="AQ54" s="865"/>
      <c r="AR54" s="865"/>
      <c r="AS54" s="865"/>
      <c r="AT54" s="865"/>
      <c r="AU54" s="865"/>
      <c r="AV54" s="865"/>
      <c r="AW54" s="865"/>
      <c r="AX54" s="865"/>
      <c r="AY54" s="865"/>
      <c r="AZ54" s="865"/>
      <c r="BA54" s="865"/>
      <c r="BB54" s="865"/>
      <c r="BC54" s="865"/>
      <c r="BD54" s="865"/>
      <c r="BE54" s="865"/>
      <c r="BF54" s="865"/>
      <c r="BG54" s="865"/>
      <c r="BH54" s="865"/>
      <c r="BI54" s="865"/>
      <c r="BJ54" s="865"/>
      <c r="BK54" s="865"/>
      <c r="BL54" s="865"/>
      <c r="BM54" s="865"/>
      <c r="BN54" s="865"/>
      <c r="BO54" s="865"/>
      <c r="BP54" s="865"/>
      <c r="BQ54" s="865"/>
      <c r="BR54" s="865"/>
      <c r="BS54" s="865"/>
      <c r="BT54" s="865"/>
      <c r="BU54" s="865"/>
      <c r="BV54" s="865"/>
      <c r="BW54" s="865"/>
      <c r="BX54" s="865"/>
      <c r="BY54" s="874"/>
      <c r="BZ54" s="2430"/>
      <c r="CA54" s="894"/>
      <c r="CB54" s="2433"/>
      <c r="CC54" s="2433"/>
      <c r="CD54" s="2433"/>
      <c r="CE54" s="2433"/>
      <c r="CF54" s="511"/>
      <c r="CG54" s="511"/>
      <c r="CH54" s="511"/>
      <c r="CI54" s="511"/>
      <c r="CJ54" s="511"/>
      <c r="CK54" s="511"/>
      <c r="CL54" s="511"/>
      <c r="CM54" s="511"/>
      <c r="CN54" s="511"/>
      <c r="CO54" s="511"/>
      <c r="CP54" s="511"/>
      <c r="CQ54" s="511"/>
      <c r="CR54" s="511"/>
      <c r="CS54" s="511"/>
      <c r="CT54" s="511"/>
      <c r="CU54" s="2430"/>
      <c r="CV54" s="894"/>
      <c r="CW54" s="2433"/>
      <c r="CX54" s="2433"/>
      <c r="CY54" s="2433"/>
      <c r="CZ54" s="2433"/>
      <c r="DA54" s="511"/>
      <c r="DB54" s="511"/>
      <c r="DC54" s="511"/>
      <c r="DD54" s="511"/>
      <c r="DE54" s="511"/>
      <c r="DF54" s="511"/>
      <c r="DG54" s="511"/>
      <c r="DH54" s="511"/>
      <c r="DI54" s="511"/>
      <c r="DJ54" s="511"/>
      <c r="DK54" s="511"/>
      <c r="DL54" s="511"/>
      <c r="DM54" s="511"/>
      <c r="DN54" s="511"/>
      <c r="DO54" s="511"/>
      <c r="DP54" s="2436"/>
      <c r="DQ54" s="896"/>
      <c r="DR54" s="2460"/>
      <c r="DS54" s="2460"/>
      <c r="DT54" s="2460"/>
      <c r="DU54" s="2460"/>
      <c r="DV54" s="511"/>
      <c r="DW54" s="511"/>
      <c r="DX54" s="511"/>
      <c r="DY54" s="511"/>
      <c r="DZ54" s="511"/>
      <c r="EA54" s="511"/>
      <c r="EB54" s="511"/>
      <c r="EC54" s="511"/>
      <c r="ED54" s="511"/>
      <c r="EE54" s="511"/>
      <c r="EF54" s="511"/>
      <c r="EG54" s="511"/>
      <c r="EH54" s="511"/>
      <c r="EI54" s="511"/>
      <c r="EJ54" s="511"/>
      <c r="EK54" s="2430"/>
      <c r="EL54" s="894"/>
      <c r="EM54" s="2433"/>
      <c r="EN54" s="2433"/>
      <c r="EO54" s="2433"/>
      <c r="EP54" s="2433"/>
      <c r="EQ54" s="511"/>
      <c r="ER54" s="511"/>
      <c r="ES54" s="511"/>
      <c r="ET54" s="511"/>
      <c r="EU54" s="511"/>
      <c r="EV54" s="511"/>
      <c r="EW54" s="511"/>
      <c r="EX54" s="511"/>
      <c r="EY54" s="511"/>
      <c r="EZ54" s="511"/>
      <c r="FA54" s="511"/>
      <c r="FB54" s="511"/>
      <c r="FC54" s="511"/>
      <c r="FD54" s="511"/>
      <c r="FE54" s="511"/>
      <c r="FF54" s="2436"/>
      <c r="FG54" s="896"/>
      <c r="FH54" s="2460"/>
      <c r="FI54" s="2460"/>
      <c r="FJ54" s="2460"/>
      <c r="FK54" s="2460"/>
      <c r="FL54" s="511"/>
      <c r="FM54" s="511"/>
      <c r="FN54" s="511"/>
      <c r="FO54" s="511"/>
      <c r="FP54" s="511"/>
      <c r="FQ54" s="511"/>
      <c r="FR54" s="511"/>
      <c r="FS54" s="511"/>
      <c r="FT54" s="511"/>
      <c r="FU54" s="511"/>
      <c r="FV54" s="511"/>
      <c r="FW54" s="511"/>
      <c r="FX54" s="511"/>
      <c r="FY54" s="511"/>
      <c r="FZ54" s="511"/>
      <c r="GA54" s="2430"/>
      <c r="GB54" s="894"/>
      <c r="GC54" s="2433"/>
      <c r="GD54" s="2433"/>
      <c r="GE54" s="2433"/>
      <c r="GF54" s="2433"/>
      <c r="GG54" s="511"/>
      <c r="GH54" s="511"/>
      <c r="GI54" s="511"/>
      <c r="GJ54" s="511"/>
      <c r="GK54" s="511"/>
      <c r="GL54" s="511"/>
      <c r="GM54" s="511"/>
      <c r="GN54" s="511"/>
      <c r="GO54" s="874"/>
      <c r="GP54" s="874"/>
      <c r="GQ54" s="874"/>
      <c r="GR54" s="874"/>
      <c r="GS54" s="874"/>
      <c r="GT54" s="874"/>
      <c r="GU54" s="874"/>
      <c r="GV54" s="874"/>
      <c r="GW54" s="874"/>
      <c r="GX54" s="874"/>
      <c r="GY54" s="874"/>
      <c r="GZ54" s="874"/>
      <c r="HA54" s="874"/>
      <c r="HB54" s="511"/>
      <c r="HC54" s="511"/>
      <c r="HD54" s="511"/>
      <c r="HE54" s="511"/>
      <c r="HF54" s="511"/>
      <c r="HG54" s="511"/>
      <c r="HH54" s="511"/>
      <c r="HI54" s="511"/>
      <c r="HJ54" s="874"/>
      <c r="HK54" s="874"/>
      <c r="HL54" s="874"/>
      <c r="HM54" s="874"/>
      <c r="HN54" s="874"/>
      <c r="HO54" s="874"/>
      <c r="HP54" s="874"/>
      <c r="HQ54" s="874"/>
      <c r="HR54" s="874"/>
      <c r="HS54" s="874"/>
      <c r="HT54" s="874"/>
      <c r="HU54" s="874"/>
      <c r="HV54" s="874"/>
      <c r="HW54" s="511"/>
      <c r="HX54" s="511"/>
      <c r="HY54" s="511"/>
      <c r="HZ54" s="511"/>
      <c r="IA54" s="511"/>
      <c r="IB54" s="511"/>
      <c r="IC54" s="511"/>
      <c r="ID54" s="511"/>
      <c r="IE54" s="874"/>
      <c r="IF54" s="874"/>
      <c r="IG54" s="874"/>
      <c r="IH54" s="874"/>
      <c r="II54" s="874"/>
      <c r="IJ54" s="874"/>
      <c r="IK54" s="874"/>
      <c r="IL54" s="874"/>
      <c r="IM54" s="874"/>
      <c r="IN54" s="874"/>
      <c r="IO54" s="874"/>
      <c r="IP54" s="874"/>
      <c r="IQ54" s="874"/>
      <c r="IR54" s="511"/>
      <c r="IS54" s="511"/>
      <c r="IT54" s="511"/>
      <c r="IU54" s="511"/>
      <c r="IV54" s="511"/>
      <c r="IW54" s="511"/>
      <c r="IX54" s="511"/>
      <c r="IY54" s="511"/>
      <c r="IZ54" s="874"/>
      <c r="JA54" s="874"/>
      <c r="JB54" s="874"/>
      <c r="JC54" s="874"/>
      <c r="JD54" s="874"/>
      <c r="JE54" s="874"/>
      <c r="JF54" s="874"/>
      <c r="JG54" s="874"/>
      <c r="JH54" s="874"/>
      <c r="JI54" s="874"/>
      <c r="JJ54" s="874"/>
      <c r="JK54" s="874"/>
      <c r="JL54" s="874"/>
      <c r="JM54" s="874"/>
      <c r="JN54" s="874"/>
      <c r="JO54" s="874"/>
      <c r="JP54" s="874"/>
      <c r="JQ54" s="874"/>
      <c r="JR54" s="874"/>
      <c r="JS54" s="874"/>
      <c r="JT54" s="874"/>
      <c r="JU54" s="874"/>
      <c r="JV54" s="874"/>
      <c r="JW54" s="874"/>
      <c r="JX54" s="874"/>
      <c r="JY54" s="874"/>
      <c r="JZ54" s="874"/>
      <c r="KA54" s="874"/>
      <c r="KB54" s="874"/>
      <c r="KC54" s="874"/>
      <c r="KD54" s="874"/>
      <c r="KE54" s="874"/>
      <c r="KF54" s="874"/>
      <c r="KG54" s="874"/>
      <c r="KH54" s="865"/>
      <c r="KI54" s="865"/>
      <c r="KJ54" s="865"/>
      <c r="KK54" s="865"/>
      <c r="KL54" s="865"/>
      <c r="KM54" s="865"/>
      <c r="KN54" s="865"/>
      <c r="KO54" s="865"/>
      <c r="KP54" s="865"/>
      <c r="KQ54" s="865"/>
      <c r="KR54" s="865"/>
      <c r="KS54" s="865"/>
      <c r="KT54" s="865"/>
      <c r="KU54" s="865"/>
      <c r="KV54" s="865"/>
      <c r="KW54" s="865"/>
      <c r="KX54" s="865"/>
      <c r="KY54" s="865"/>
      <c r="KZ54" s="865"/>
      <c r="LA54" s="865"/>
      <c r="LB54" s="865"/>
      <c r="LC54" s="865"/>
      <c r="LD54" s="865"/>
      <c r="LE54" s="865"/>
      <c r="LF54" s="865"/>
    </row>
    <row r="55" spans="1:318" ht="24.45" customHeight="1">
      <c r="A55" s="2496"/>
      <c r="B55" s="2494"/>
      <c r="C55" s="2494"/>
      <c r="D55" s="2494"/>
      <c r="E55" s="2494"/>
      <c r="F55" s="511"/>
      <c r="G55" s="2496"/>
      <c r="H55" s="2494"/>
      <c r="I55" s="2494"/>
      <c r="J55" s="2494"/>
      <c r="K55" s="2494"/>
      <c r="L55" s="511"/>
      <c r="M55" s="2496"/>
      <c r="N55" s="2494"/>
      <c r="O55" s="2494"/>
      <c r="P55" s="2494"/>
      <c r="Q55" s="2494"/>
      <c r="R55" s="511"/>
      <c r="S55" s="2496"/>
      <c r="T55" s="2494"/>
      <c r="U55" s="2494"/>
      <c r="V55" s="2494"/>
      <c r="W55" s="2494"/>
      <c r="X55" s="511"/>
      <c r="Y55" s="2496"/>
      <c r="Z55" s="2494"/>
      <c r="AA55" s="2494"/>
      <c r="AB55" s="2494"/>
      <c r="AC55" s="2494"/>
      <c r="AD55" s="511"/>
      <c r="AE55" s="2496"/>
      <c r="AF55" s="2494"/>
      <c r="AG55" s="2494"/>
      <c r="AH55" s="2494"/>
      <c r="AI55" s="2494"/>
      <c r="AJ55" s="511"/>
      <c r="AK55" s="865"/>
      <c r="AL55" s="865"/>
      <c r="AM55" s="865"/>
      <c r="AN55" s="865"/>
      <c r="AO55" s="865"/>
      <c r="AP55" s="865"/>
      <c r="AQ55" s="865"/>
      <c r="AR55" s="865"/>
      <c r="AS55" s="865"/>
      <c r="AT55" s="865"/>
      <c r="AU55" s="865"/>
      <c r="AV55" s="865"/>
      <c r="AW55" s="865"/>
      <c r="AX55" s="865"/>
      <c r="AY55" s="865"/>
      <c r="AZ55" s="865"/>
      <c r="BA55" s="865"/>
      <c r="BB55" s="865"/>
      <c r="BC55" s="865"/>
      <c r="BD55" s="865"/>
      <c r="BE55" s="865"/>
      <c r="BF55" s="865"/>
      <c r="BG55" s="865"/>
      <c r="BH55" s="865"/>
      <c r="BI55" s="865"/>
      <c r="BJ55" s="865"/>
      <c r="BK55" s="865"/>
      <c r="BL55" s="865"/>
      <c r="BM55" s="865"/>
      <c r="BN55" s="865"/>
      <c r="BO55" s="865"/>
      <c r="BP55" s="865"/>
      <c r="BQ55" s="865"/>
      <c r="BR55" s="865"/>
      <c r="BS55" s="865"/>
      <c r="BT55" s="865"/>
      <c r="BU55" s="865"/>
      <c r="BV55" s="865"/>
      <c r="BW55" s="865"/>
      <c r="BX55" s="865"/>
      <c r="BY55" s="874"/>
      <c r="BZ55" s="2430"/>
      <c r="CA55" s="894"/>
      <c r="CB55" s="2433"/>
      <c r="CC55" s="2433"/>
      <c r="CD55" s="2433"/>
      <c r="CE55" s="2433"/>
      <c r="CF55" s="511"/>
      <c r="CG55" s="511"/>
      <c r="CH55" s="511"/>
      <c r="CI55" s="511"/>
      <c r="CJ55" s="511"/>
      <c r="CK55" s="511"/>
      <c r="CL55" s="511"/>
      <c r="CM55" s="511"/>
      <c r="CN55" s="511"/>
      <c r="CO55" s="511"/>
      <c r="CP55" s="511"/>
      <c r="CQ55" s="511"/>
      <c r="CR55" s="511"/>
      <c r="CS55" s="511"/>
      <c r="CT55" s="511"/>
      <c r="CU55" s="2430"/>
      <c r="CV55" s="894"/>
      <c r="CW55" s="2433"/>
      <c r="CX55" s="2433"/>
      <c r="CY55" s="2433"/>
      <c r="CZ55" s="2433"/>
      <c r="DA55" s="511"/>
      <c r="DB55" s="511"/>
      <c r="DC55" s="511"/>
      <c r="DD55" s="511"/>
      <c r="DE55" s="511"/>
      <c r="DF55" s="511"/>
      <c r="DG55" s="511"/>
      <c r="DH55" s="511"/>
      <c r="DI55" s="511"/>
      <c r="DJ55" s="511"/>
      <c r="DK55" s="511"/>
      <c r="DL55" s="511"/>
      <c r="DM55" s="511"/>
      <c r="DN55" s="511"/>
      <c r="DO55" s="511"/>
      <c r="DP55" s="2436"/>
      <c r="DQ55" s="896"/>
      <c r="DR55" s="2460"/>
      <c r="DS55" s="2460"/>
      <c r="DT55" s="2460"/>
      <c r="DU55" s="2460"/>
      <c r="DV55" s="511"/>
      <c r="DW55" s="511"/>
      <c r="DX55" s="511"/>
      <c r="DY55" s="511"/>
      <c r="DZ55" s="511"/>
      <c r="EA55" s="511"/>
      <c r="EB55" s="511"/>
      <c r="EC55" s="511"/>
      <c r="ED55" s="511"/>
      <c r="EE55" s="511"/>
      <c r="EF55" s="511"/>
      <c r="EG55" s="511"/>
      <c r="EH55" s="511"/>
      <c r="EI55" s="511"/>
      <c r="EJ55" s="511"/>
      <c r="EK55" s="2430"/>
      <c r="EL55" s="894"/>
      <c r="EM55" s="2433"/>
      <c r="EN55" s="2433"/>
      <c r="EO55" s="2433"/>
      <c r="EP55" s="2433"/>
      <c r="EQ55" s="511"/>
      <c r="ER55" s="511"/>
      <c r="ES55" s="511"/>
      <c r="ET55" s="511"/>
      <c r="EU55" s="511"/>
      <c r="EV55" s="511"/>
      <c r="EW55" s="511"/>
      <c r="EX55" s="511"/>
      <c r="EY55" s="511"/>
      <c r="EZ55" s="511"/>
      <c r="FA55" s="511"/>
      <c r="FB55" s="511"/>
      <c r="FC55" s="511"/>
      <c r="FD55" s="511"/>
      <c r="FE55" s="511"/>
      <c r="FF55" s="2436"/>
      <c r="FG55" s="896"/>
      <c r="FH55" s="2460"/>
      <c r="FI55" s="2460"/>
      <c r="FJ55" s="2460"/>
      <c r="FK55" s="2460"/>
      <c r="FL55" s="511"/>
      <c r="FM55" s="511"/>
      <c r="FN55" s="511"/>
      <c r="FO55" s="511"/>
      <c r="FP55" s="511"/>
      <c r="FQ55" s="511"/>
      <c r="FR55" s="511"/>
      <c r="FS55" s="511"/>
      <c r="FT55" s="511"/>
      <c r="FU55" s="511"/>
      <c r="FV55" s="511"/>
      <c r="FW55" s="511"/>
      <c r="FX55" s="511"/>
      <c r="FY55" s="511"/>
      <c r="FZ55" s="511"/>
      <c r="GA55" s="2430"/>
      <c r="GB55" s="894"/>
      <c r="GC55" s="2433"/>
      <c r="GD55" s="2433"/>
      <c r="GE55" s="2433"/>
      <c r="GF55" s="2433"/>
      <c r="GG55" s="511"/>
      <c r="GH55" s="511"/>
      <c r="GI55" s="511"/>
      <c r="GJ55" s="511"/>
      <c r="GK55" s="511"/>
      <c r="GL55" s="511"/>
      <c r="GM55" s="511"/>
      <c r="GN55" s="511"/>
      <c r="GO55" s="874"/>
      <c r="GP55" s="874"/>
      <c r="GQ55" s="874"/>
      <c r="GR55" s="874"/>
      <c r="GS55" s="874"/>
      <c r="GT55" s="874"/>
      <c r="GU55" s="874"/>
      <c r="GV55" s="874"/>
      <c r="GW55" s="874"/>
      <c r="GX55" s="874"/>
      <c r="GY55" s="874"/>
      <c r="GZ55" s="874"/>
      <c r="HA55" s="874"/>
      <c r="HB55" s="511"/>
      <c r="HC55" s="511"/>
      <c r="HD55" s="511"/>
      <c r="HE55" s="511"/>
      <c r="HF55" s="511"/>
      <c r="HG55" s="511"/>
      <c r="HH55" s="511"/>
      <c r="HI55" s="511"/>
      <c r="HJ55" s="874"/>
      <c r="HK55" s="874"/>
      <c r="HL55" s="874"/>
      <c r="HM55" s="874"/>
      <c r="HN55" s="874"/>
      <c r="HO55" s="874"/>
      <c r="HP55" s="874"/>
      <c r="HQ55" s="874"/>
      <c r="HR55" s="874"/>
      <c r="HS55" s="874"/>
      <c r="HT55" s="874"/>
      <c r="HU55" s="874"/>
      <c r="HV55" s="874"/>
      <c r="HW55" s="511"/>
      <c r="HX55" s="511"/>
      <c r="HY55" s="511"/>
      <c r="HZ55" s="511"/>
      <c r="IA55" s="511"/>
      <c r="IB55" s="511"/>
      <c r="IC55" s="511"/>
      <c r="ID55" s="511"/>
      <c r="IE55" s="874"/>
      <c r="IF55" s="874"/>
      <c r="IG55" s="874"/>
      <c r="IH55" s="874"/>
      <c r="II55" s="874"/>
      <c r="IJ55" s="874"/>
      <c r="IK55" s="874"/>
      <c r="IL55" s="874"/>
      <c r="IM55" s="874"/>
      <c r="IN55" s="874"/>
      <c r="IO55" s="874"/>
      <c r="IP55" s="874"/>
      <c r="IQ55" s="874"/>
      <c r="IR55" s="511"/>
      <c r="IS55" s="511"/>
      <c r="IT55" s="511"/>
      <c r="IU55" s="511"/>
      <c r="IV55" s="511"/>
      <c r="IW55" s="511"/>
      <c r="IX55" s="511"/>
      <c r="IY55" s="511"/>
      <c r="IZ55" s="874"/>
      <c r="JA55" s="874"/>
      <c r="JB55" s="874"/>
      <c r="JC55" s="874"/>
      <c r="JD55" s="874"/>
      <c r="JE55" s="874"/>
      <c r="JF55" s="874"/>
      <c r="JG55" s="874"/>
      <c r="JH55" s="874"/>
      <c r="JI55" s="874"/>
      <c r="JJ55" s="874"/>
      <c r="JK55" s="874"/>
      <c r="JL55" s="874"/>
      <c r="JM55" s="874"/>
      <c r="JN55" s="874"/>
      <c r="JO55" s="874"/>
      <c r="JP55" s="874"/>
      <c r="JQ55" s="874"/>
      <c r="JR55" s="874"/>
      <c r="JS55" s="874"/>
      <c r="JT55" s="874"/>
      <c r="JU55" s="874"/>
      <c r="JV55" s="874"/>
      <c r="JW55" s="874"/>
      <c r="JX55" s="874"/>
      <c r="JY55" s="874"/>
      <c r="JZ55" s="874"/>
      <c r="KA55" s="874"/>
      <c r="KB55" s="874"/>
      <c r="KC55" s="874"/>
      <c r="KD55" s="874"/>
      <c r="KE55" s="874"/>
      <c r="KF55" s="874"/>
      <c r="KG55" s="874"/>
      <c r="KH55" s="865"/>
      <c r="KI55" s="865"/>
      <c r="KJ55" s="865"/>
      <c r="KK55" s="865"/>
      <c r="KL55" s="865"/>
      <c r="KM55" s="865"/>
      <c r="KN55" s="865"/>
      <c r="KO55" s="865"/>
      <c r="KP55" s="865"/>
      <c r="KQ55" s="865"/>
      <c r="KR55" s="865"/>
      <c r="KS55" s="865"/>
      <c r="KT55" s="865"/>
      <c r="KU55" s="865"/>
      <c r="KV55" s="865"/>
      <c r="KW55" s="865"/>
      <c r="KX55" s="865"/>
      <c r="KY55" s="865"/>
      <c r="KZ55" s="865"/>
      <c r="LA55" s="865"/>
      <c r="LB55" s="865"/>
      <c r="LC55" s="865"/>
      <c r="LD55" s="865"/>
      <c r="LE55" s="865"/>
      <c r="LF55" s="865"/>
    </row>
    <row r="56" spans="1:318" ht="24.45" customHeight="1">
      <c r="A56" s="2496"/>
      <c r="B56" s="2494"/>
      <c r="C56" s="2494"/>
      <c r="D56" s="2494"/>
      <c r="E56" s="2494"/>
      <c r="F56" s="511"/>
      <c r="G56" s="2496"/>
      <c r="H56" s="2494"/>
      <c r="I56" s="2494"/>
      <c r="J56" s="2494"/>
      <c r="K56" s="2494"/>
      <c r="L56" s="511"/>
      <c r="M56" s="2496"/>
      <c r="N56" s="2494"/>
      <c r="O56" s="2494"/>
      <c r="P56" s="2494"/>
      <c r="Q56" s="2494"/>
      <c r="R56" s="511"/>
      <c r="S56" s="2496"/>
      <c r="T56" s="2494"/>
      <c r="U56" s="2494"/>
      <c r="V56" s="2494"/>
      <c r="W56" s="2494"/>
      <c r="X56" s="511"/>
      <c r="Y56" s="2496"/>
      <c r="Z56" s="2494"/>
      <c r="AA56" s="2494"/>
      <c r="AB56" s="2494"/>
      <c r="AC56" s="2494"/>
      <c r="AD56" s="511"/>
      <c r="AE56" s="2496"/>
      <c r="AF56" s="2494"/>
      <c r="AG56" s="2494"/>
      <c r="AH56" s="2494"/>
      <c r="AI56" s="2494"/>
      <c r="AJ56" s="511"/>
      <c r="AK56" s="865"/>
      <c r="AL56" s="865"/>
      <c r="AM56" s="865"/>
      <c r="AN56" s="865"/>
      <c r="AO56" s="865"/>
      <c r="AP56" s="865"/>
      <c r="AQ56" s="865"/>
      <c r="AR56" s="865"/>
      <c r="AS56" s="865"/>
      <c r="AT56" s="865"/>
      <c r="AU56" s="865"/>
      <c r="AV56" s="865"/>
      <c r="AW56" s="865"/>
      <c r="AX56" s="865"/>
      <c r="AY56" s="865"/>
      <c r="AZ56" s="865"/>
      <c r="BA56" s="865"/>
      <c r="BB56" s="865"/>
      <c r="BC56" s="865"/>
      <c r="BD56" s="865"/>
      <c r="BE56" s="865"/>
      <c r="BF56" s="865"/>
      <c r="BG56" s="865"/>
      <c r="BH56" s="865"/>
      <c r="BI56" s="865"/>
      <c r="BJ56" s="865"/>
      <c r="BK56" s="865"/>
      <c r="BL56" s="865"/>
      <c r="BM56" s="865"/>
      <c r="BN56" s="865"/>
      <c r="BO56" s="865"/>
      <c r="BP56" s="865"/>
      <c r="BQ56" s="865"/>
      <c r="BR56" s="865"/>
      <c r="BS56" s="865"/>
      <c r="BT56" s="865"/>
      <c r="BU56" s="865"/>
      <c r="BV56" s="865"/>
      <c r="BW56" s="865"/>
      <c r="BX56" s="865"/>
      <c r="BY56" s="874"/>
      <c r="BZ56" s="2430"/>
      <c r="CA56" s="894"/>
      <c r="CB56" s="2433"/>
      <c r="CC56" s="2433"/>
      <c r="CD56" s="2433"/>
      <c r="CE56" s="2433"/>
      <c r="CF56" s="511"/>
      <c r="CG56" s="511"/>
      <c r="CH56" s="511"/>
      <c r="CI56" s="511"/>
      <c r="CJ56" s="511"/>
      <c r="CK56" s="511"/>
      <c r="CL56" s="511"/>
      <c r="CM56" s="511"/>
      <c r="CN56" s="511"/>
      <c r="CO56" s="511"/>
      <c r="CP56" s="511"/>
      <c r="CQ56" s="511"/>
      <c r="CR56" s="511"/>
      <c r="CS56" s="511"/>
      <c r="CT56" s="511"/>
      <c r="CU56" s="2430"/>
      <c r="CV56" s="894"/>
      <c r="CW56" s="2433"/>
      <c r="CX56" s="2433"/>
      <c r="CY56" s="2433"/>
      <c r="CZ56" s="2433"/>
      <c r="DA56" s="511"/>
      <c r="DB56" s="511"/>
      <c r="DC56" s="511"/>
      <c r="DD56" s="511"/>
      <c r="DE56" s="511"/>
      <c r="DF56" s="511"/>
      <c r="DG56" s="511"/>
      <c r="DH56" s="511"/>
      <c r="DI56" s="511"/>
      <c r="DJ56" s="511"/>
      <c r="DK56" s="511"/>
      <c r="DL56" s="511"/>
      <c r="DM56" s="511"/>
      <c r="DN56" s="511"/>
      <c r="DO56" s="511"/>
      <c r="DP56" s="2436"/>
      <c r="DQ56" s="896"/>
      <c r="DR56" s="2460"/>
      <c r="DS56" s="2460"/>
      <c r="DT56" s="2460"/>
      <c r="DU56" s="2460"/>
      <c r="DV56" s="511"/>
      <c r="DW56" s="511"/>
      <c r="DX56" s="511"/>
      <c r="DY56" s="511"/>
      <c r="DZ56" s="511"/>
      <c r="EA56" s="511"/>
      <c r="EB56" s="511"/>
      <c r="EC56" s="511"/>
      <c r="ED56" s="511"/>
      <c r="EE56" s="511"/>
      <c r="EF56" s="511"/>
      <c r="EG56" s="511"/>
      <c r="EH56" s="511"/>
      <c r="EI56" s="511"/>
      <c r="EJ56" s="511"/>
      <c r="EK56" s="2430"/>
      <c r="EL56" s="894"/>
      <c r="EM56" s="2433"/>
      <c r="EN56" s="2433"/>
      <c r="EO56" s="2433"/>
      <c r="EP56" s="2433"/>
      <c r="EQ56" s="511"/>
      <c r="ER56" s="511"/>
      <c r="ES56" s="511"/>
      <c r="ET56" s="511"/>
      <c r="EU56" s="511"/>
      <c r="EV56" s="511"/>
      <c r="EW56" s="511"/>
      <c r="EX56" s="511"/>
      <c r="EY56" s="511"/>
      <c r="EZ56" s="511"/>
      <c r="FA56" s="511"/>
      <c r="FB56" s="511"/>
      <c r="FC56" s="511"/>
      <c r="FD56" s="511"/>
      <c r="FE56" s="511"/>
      <c r="FF56" s="2436"/>
      <c r="FG56" s="896"/>
      <c r="FH56" s="2460"/>
      <c r="FI56" s="2460"/>
      <c r="FJ56" s="2460"/>
      <c r="FK56" s="2460"/>
      <c r="FL56" s="511"/>
      <c r="FM56" s="511"/>
      <c r="FN56" s="511"/>
      <c r="FO56" s="511"/>
      <c r="FP56" s="511"/>
      <c r="FQ56" s="511"/>
      <c r="FR56" s="511"/>
      <c r="FS56" s="511"/>
      <c r="FT56" s="511"/>
      <c r="FU56" s="511"/>
      <c r="FV56" s="511"/>
      <c r="FW56" s="511"/>
      <c r="FX56" s="511"/>
      <c r="FY56" s="511"/>
      <c r="FZ56" s="511"/>
      <c r="GA56" s="2430"/>
      <c r="GB56" s="894"/>
      <c r="GC56" s="2433"/>
      <c r="GD56" s="2433"/>
      <c r="GE56" s="2433"/>
      <c r="GF56" s="2433"/>
      <c r="GG56" s="511"/>
      <c r="GH56" s="511"/>
      <c r="GI56" s="511"/>
      <c r="GJ56" s="511"/>
      <c r="GK56" s="511"/>
      <c r="GL56" s="511"/>
      <c r="GM56" s="511"/>
      <c r="GN56" s="511"/>
      <c r="GO56" s="874"/>
      <c r="GP56" s="874"/>
      <c r="GQ56" s="874"/>
      <c r="GR56" s="874"/>
      <c r="GS56" s="874"/>
      <c r="GT56" s="874"/>
      <c r="GU56" s="874"/>
      <c r="GV56" s="874"/>
      <c r="GW56" s="874"/>
      <c r="GX56" s="874"/>
      <c r="GY56" s="874"/>
      <c r="GZ56" s="874"/>
      <c r="HA56" s="874"/>
      <c r="HB56" s="511"/>
      <c r="HC56" s="511"/>
      <c r="HD56" s="511"/>
      <c r="HE56" s="511"/>
      <c r="HF56" s="511"/>
      <c r="HG56" s="511"/>
      <c r="HH56" s="511"/>
      <c r="HI56" s="511"/>
      <c r="HJ56" s="874"/>
      <c r="HK56" s="874"/>
      <c r="HL56" s="874"/>
      <c r="HM56" s="874"/>
      <c r="HN56" s="874"/>
      <c r="HO56" s="874"/>
      <c r="HP56" s="874"/>
      <c r="HQ56" s="874"/>
      <c r="HR56" s="874"/>
      <c r="HS56" s="874"/>
      <c r="HT56" s="874"/>
      <c r="HU56" s="874"/>
      <c r="HV56" s="874"/>
      <c r="HW56" s="511"/>
      <c r="HX56" s="511"/>
      <c r="HY56" s="511"/>
      <c r="HZ56" s="511"/>
      <c r="IA56" s="511"/>
      <c r="IB56" s="511"/>
      <c r="IC56" s="511"/>
      <c r="ID56" s="511"/>
      <c r="IE56" s="874"/>
      <c r="IF56" s="874"/>
      <c r="IG56" s="874"/>
      <c r="IH56" s="874"/>
      <c r="II56" s="874"/>
      <c r="IJ56" s="874"/>
      <c r="IK56" s="874"/>
      <c r="IL56" s="874"/>
      <c r="IM56" s="874"/>
      <c r="IN56" s="874"/>
      <c r="IO56" s="874"/>
      <c r="IP56" s="874"/>
      <c r="IQ56" s="874"/>
      <c r="IR56" s="511"/>
      <c r="IS56" s="511"/>
      <c r="IT56" s="511"/>
      <c r="IU56" s="511"/>
      <c r="IV56" s="511"/>
      <c r="IW56" s="511"/>
      <c r="IX56" s="511"/>
      <c r="IY56" s="511"/>
      <c r="IZ56" s="874"/>
      <c r="JA56" s="874"/>
      <c r="JB56" s="874"/>
      <c r="JC56" s="874"/>
      <c r="JD56" s="874"/>
      <c r="JE56" s="874"/>
      <c r="JF56" s="874"/>
      <c r="JG56" s="874"/>
      <c r="JH56" s="874"/>
      <c r="JI56" s="874"/>
      <c r="JJ56" s="874"/>
      <c r="JK56" s="874"/>
      <c r="JL56" s="874"/>
      <c r="JM56" s="874"/>
      <c r="JN56" s="874"/>
      <c r="JO56" s="874"/>
      <c r="JP56" s="874"/>
      <c r="JQ56" s="874"/>
      <c r="JR56" s="874"/>
      <c r="JS56" s="874"/>
      <c r="JT56" s="874"/>
      <c r="JU56" s="874"/>
      <c r="JV56" s="874"/>
      <c r="JW56" s="874"/>
      <c r="JX56" s="874"/>
      <c r="JY56" s="874"/>
      <c r="JZ56" s="874"/>
      <c r="KA56" s="874"/>
      <c r="KB56" s="874"/>
      <c r="KC56" s="874"/>
      <c r="KD56" s="874"/>
      <c r="KE56" s="874"/>
      <c r="KF56" s="874"/>
      <c r="KG56" s="874"/>
      <c r="KH56" s="865"/>
      <c r="KI56" s="865"/>
      <c r="KJ56" s="865"/>
      <c r="KK56" s="865"/>
      <c r="KL56" s="865"/>
      <c r="KM56" s="865"/>
      <c r="KN56" s="865"/>
      <c r="KO56" s="865"/>
      <c r="KP56" s="865"/>
      <c r="KQ56" s="865"/>
      <c r="KR56" s="865"/>
      <c r="KS56" s="865"/>
      <c r="KT56" s="865"/>
      <c r="KU56" s="865"/>
      <c r="KV56" s="865"/>
      <c r="KW56" s="865"/>
      <c r="KX56" s="865"/>
      <c r="KY56" s="865"/>
      <c r="KZ56" s="865"/>
      <c r="LA56" s="865"/>
      <c r="LB56" s="865"/>
      <c r="LC56" s="865"/>
      <c r="LD56" s="865"/>
      <c r="LE56" s="865"/>
      <c r="LF56" s="865"/>
    </row>
    <row r="57" spans="1:318" ht="24.45" customHeight="1">
      <c r="A57" s="2496"/>
      <c r="B57" s="2494"/>
      <c r="C57" s="2494"/>
      <c r="D57" s="2494"/>
      <c r="E57" s="2494"/>
      <c r="F57" s="511"/>
      <c r="G57" s="2496"/>
      <c r="H57" s="2494"/>
      <c r="I57" s="2494"/>
      <c r="J57" s="2494"/>
      <c r="K57" s="2494"/>
      <c r="L57" s="511"/>
      <c r="M57" s="2496"/>
      <c r="N57" s="2494"/>
      <c r="O57" s="2494"/>
      <c r="P57" s="2494"/>
      <c r="Q57" s="2494"/>
      <c r="R57" s="511"/>
      <c r="S57" s="2496"/>
      <c r="T57" s="2494"/>
      <c r="U57" s="2494"/>
      <c r="V57" s="2494"/>
      <c r="W57" s="2494"/>
      <c r="X57" s="511"/>
      <c r="Y57" s="2496"/>
      <c r="Z57" s="2494"/>
      <c r="AA57" s="2494"/>
      <c r="AB57" s="2494"/>
      <c r="AC57" s="2494"/>
      <c r="AD57" s="511"/>
      <c r="AE57" s="2496"/>
      <c r="AF57" s="2494"/>
      <c r="AG57" s="2494"/>
      <c r="AH57" s="2494"/>
      <c r="AI57" s="2494"/>
      <c r="AJ57" s="511"/>
      <c r="AK57" s="865"/>
      <c r="AL57" s="865"/>
      <c r="AM57" s="865"/>
      <c r="AN57" s="865"/>
      <c r="AO57" s="865"/>
      <c r="AP57" s="865"/>
      <c r="AQ57" s="865"/>
      <c r="AR57" s="865"/>
      <c r="AS57" s="865"/>
      <c r="AT57" s="865"/>
      <c r="AU57" s="865"/>
      <c r="AV57" s="865"/>
      <c r="AW57" s="865"/>
      <c r="AX57" s="865"/>
      <c r="AY57" s="865"/>
      <c r="AZ57" s="865"/>
      <c r="BA57" s="865"/>
      <c r="BB57" s="865"/>
      <c r="BC57" s="865"/>
      <c r="BD57" s="865"/>
      <c r="BE57" s="865"/>
      <c r="BF57" s="865"/>
      <c r="BG57" s="865"/>
      <c r="BH57" s="865"/>
      <c r="BI57" s="865"/>
      <c r="BJ57" s="865"/>
      <c r="BK57" s="865"/>
      <c r="BL57" s="865"/>
      <c r="BM57" s="865"/>
      <c r="BN57" s="865"/>
      <c r="BO57" s="865"/>
      <c r="BP57" s="865"/>
      <c r="BQ57" s="865"/>
      <c r="BR57" s="865"/>
      <c r="BS57" s="865"/>
      <c r="BT57" s="865"/>
      <c r="BU57" s="865"/>
      <c r="BV57" s="865"/>
      <c r="BW57" s="865"/>
      <c r="BX57" s="865"/>
      <c r="BY57" s="874"/>
      <c r="BZ57" s="2430"/>
      <c r="CA57" s="894"/>
      <c r="CB57" s="2433"/>
      <c r="CC57" s="2433"/>
      <c r="CD57" s="2433"/>
      <c r="CE57" s="2433"/>
      <c r="CF57" s="511"/>
      <c r="CG57" s="511"/>
      <c r="CH57" s="511"/>
      <c r="CI57" s="511"/>
      <c r="CJ57" s="511"/>
      <c r="CK57" s="511"/>
      <c r="CL57" s="511"/>
      <c r="CM57" s="511"/>
      <c r="CN57" s="511"/>
      <c r="CO57" s="511"/>
      <c r="CP57" s="511"/>
      <c r="CQ57" s="511"/>
      <c r="CR57" s="511"/>
      <c r="CS57" s="511"/>
      <c r="CT57" s="511"/>
      <c r="CU57" s="2430"/>
      <c r="CV57" s="894"/>
      <c r="CW57" s="2433"/>
      <c r="CX57" s="2433"/>
      <c r="CY57" s="2433"/>
      <c r="CZ57" s="2433"/>
      <c r="DA57" s="511"/>
      <c r="DB57" s="511"/>
      <c r="DC57" s="511"/>
      <c r="DD57" s="511"/>
      <c r="DE57" s="511"/>
      <c r="DF57" s="511"/>
      <c r="DG57" s="511"/>
      <c r="DH57" s="511"/>
      <c r="DI57" s="511"/>
      <c r="DJ57" s="511"/>
      <c r="DK57" s="511"/>
      <c r="DL57" s="511"/>
      <c r="DM57" s="511"/>
      <c r="DN57" s="511"/>
      <c r="DO57" s="511"/>
      <c r="DP57" s="2436"/>
      <c r="DQ57" s="896"/>
      <c r="DR57" s="2460"/>
      <c r="DS57" s="2460"/>
      <c r="DT57" s="2460"/>
      <c r="DU57" s="2460"/>
      <c r="DV57" s="511"/>
      <c r="DW57" s="511"/>
      <c r="DX57" s="511"/>
      <c r="DY57" s="511"/>
      <c r="DZ57" s="511"/>
      <c r="EA57" s="511"/>
      <c r="EB57" s="511"/>
      <c r="EC57" s="511"/>
      <c r="ED57" s="511"/>
      <c r="EE57" s="511"/>
      <c r="EF57" s="511"/>
      <c r="EG57" s="511"/>
      <c r="EH57" s="511"/>
      <c r="EI57" s="511"/>
      <c r="EJ57" s="511"/>
      <c r="EK57" s="2430"/>
      <c r="EL57" s="894"/>
      <c r="EM57" s="2433"/>
      <c r="EN57" s="2433"/>
      <c r="EO57" s="2433"/>
      <c r="EP57" s="2433"/>
      <c r="EQ57" s="511"/>
      <c r="ER57" s="511"/>
      <c r="ES57" s="511"/>
      <c r="ET57" s="511"/>
      <c r="EU57" s="511"/>
      <c r="EV57" s="511"/>
      <c r="EW57" s="511"/>
      <c r="EX57" s="511"/>
      <c r="EY57" s="511"/>
      <c r="EZ57" s="511"/>
      <c r="FA57" s="511"/>
      <c r="FB57" s="511"/>
      <c r="FC57" s="511"/>
      <c r="FD57" s="511"/>
      <c r="FE57" s="511"/>
      <c r="FF57" s="2436"/>
      <c r="FG57" s="896"/>
      <c r="FH57" s="2460"/>
      <c r="FI57" s="2460"/>
      <c r="FJ57" s="2460"/>
      <c r="FK57" s="2460"/>
      <c r="FL57" s="511"/>
      <c r="FM57" s="511"/>
      <c r="FN57" s="511"/>
      <c r="FO57" s="511"/>
      <c r="FP57" s="511"/>
      <c r="FQ57" s="511"/>
      <c r="FR57" s="511"/>
      <c r="FS57" s="511"/>
      <c r="FT57" s="511"/>
      <c r="FU57" s="511"/>
      <c r="FV57" s="511"/>
      <c r="FW57" s="511"/>
      <c r="FX57" s="511"/>
      <c r="FY57" s="511"/>
      <c r="FZ57" s="511"/>
      <c r="GA57" s="2430"/>
      <c r="GB57" s="894"/>
      <c r="GC57" s="2433"/>
      <c r="GD57" s="2433"/>
      <c r="GE57" s="2433"/>
      <c r="GF57" s="2433"/>
      <c r="GG57" s="511"/>
      <c r="GH57" s="511"/>
      <c r="GI57" s="511"/>
      <c r="GJ57" s="511"/>
      <c r="GK57" s="511"/>
      <c r="GL57" s="511"/>
      <c r="GM57" s="511"/>
      <c r="GN57" s="511"/>
      <c r="GO57" s="874"/>
      <c r="GP57" s="874"/>
      <c r="GQ57" s="874"/>
      <c r="GR57" s="874"/>
      <c r="GS57" s="874"/>
      <c r="GT57" s="874"/>
      <c r="GU57" s="874"/>
      <c r="GV57" s="874"/>
      <c r="GW57" s="874"/>
      <c r="GX57" s="874"/>
      <c r="GY57" s="874"/>
      <c r="GZ57" s="874"/>
      <c r="HA57" s="874"/>
      <c r="HB57" s="511"/>
      <c r="HC57" s="511"/>
      <c r="HD57" s="511"/>
      <c r="HE57" s="511"/>
      <c r="HF57" s="511"/>
      <c r="HG57" s="511"/>
      <c r="HH57" s="511"/>
      <c r="HI57" s="511"/>
      <c r="HJ57" s="874"/>
      <c r="HK57" s="874"/>
      <c r="HL57" s="874"/>
      <c r="HM57" s="874"/>
      <c r="HN57" s="874"/>
      <c r="HO57" s="874"/>
      <c r="HP57" s="874"/>
      <c r="HQ57" s="874"/>
      <c r="HR57" s="874"/>
      <c r="HS57" s="874"/>
      <c r="HT57" s="874"/>
      <c r="HU57" s="874"/>
      <c r="HV57" s="874"/>
      <c r="HW57" s="511"/>
      <c r="HX57" s="511"/>
      <c r="HY57" s="511"/>
      <c r="HZ57" s="511"/>
      <c r="IA57" s="511"/>
      <c r="IB57" s="511"/>
      <c r="IC57" s="511"/>
      <c r="ID57" s="511"/>
      <c r="IE57" s="874"/>
      <c r="IF57" s="874"/>
      <c r="IG57" s="874"/>
      <c r="IH57" s="874"/>
      <c r="II57" s="874"/>
      <c r="IJ57" s="874"/>
      <c r="IK57" s="874"/>
      <c r="IL57" s="874"/>
      <c r="IM57" s="874"/>
      <c r="IN57" s="874"/>
      <c r="IO57" s="874"/>
      <c r="IP57" s="874"/>
      <c r="IQ57" s="874"/>
      <c r="IR57" s="511"/>
      <c r="IS57" s="511"/>
      <c r="IT57" s="511"/>
      <c r="IU57" s="511"/>
      <c r="IV57" s="511"/>
      <c r="IW57" s="511"/>
      <c r="IX57" s="511"/>
      <c r="IY57" s="511"/>
      <c r="IZ57" s="874"/>
      <c r="JA57" s="874"/>
      <c r="JB57" s="874"/>
      <c r="JC57" s="874"/>
      <c r="JD57" s="874"/>
      <c r="JE57" s="874"/>
      <c r="JF57" s="874"/>
      <c r="JG57" s="874"/>
      <c r="JH57" s="874"/>
      <c r="JI57" s="874"/>
      <c r="JJ57" s="874"/>
      <c r="JK57" s="874"/>
      <c r="JL57" s="874"/>
      <c r="JM57" s="874"/>
      <c r="JN57" s="874"/>
      <c r="JO57" s="874"/>
      <c r="JP57" s="874"/>
      <c r="JQ57" s="874"/>
      <c r="JR57" s="874"/>
      <c r="JS57" s="874"/>
      <c r="JT57" s="874"/>
      <c r="JU57" s="874"/>
      <c r="JV57" s="874"/>
      <c r="JW57" s="874"/>
      <c r="JX57" s="874"/>
      <c r="JY57" s="874"/>
      <c r="JZ57" s="874"/>
      <c r="KA57" s="874"/>
      <c r="KB57" s="874"/>
      <c r="KC57" s="874"/>
      <c r="KD57" s="874"/>
      <c r="KE57" s="874"/>
      <c r="KF57" s="874"/>
      <c r="KG57" s="874"/>
      <c r="KH57" s="865"/>
      <c r="KI57" s="865"/>
      <c r="KJ57" s="865"/>
      <c r="KK57" s="865"/>
      <c r="KL57" s="865"/>
      <c r="KM57" s="865"/>
      <c r="KN57" s="865"/>
      <c r="KO57" s="865"/>
      <c r="KP57" s="865"/>
      <c r="KQ57" s="865"/>
      <c r="KR57" s="865"/>
      <c r="KS57" s="865"/>
      <c r="KT57" s="865"/>
      <c r="KU57" s="865"/>
      <c r="KV57" s="865"/>
      <c r="KW57" s="865"/>
      <c r="KX57" s="865"/>
      <c r="KY57" s="865"/>
      <c r="KZ57" s="865"/>
      <c r="LA57" s="865"/>
      <c r="LB57" s="865"/>
      <c r="LC57" s="865"/>
      <c r="LD57" s="865"/>
      <c r="LE57" s="865"/>
      <c r="LF57" s="865"/>
    </row>
    <row r="58" spans="1:318" ht="24.45" customHeight="1">
      <c r="A58" s="2496"/>
      <c r="B58" s="2494"/>
      <c r="C58" s="2494"/>
      <c r="D58" s="2494"/>
      <c r="E58" s="2494"/>
      <c r="F58" s="511"/>
      <c r="G58" s="2496"/>
      <c r="H58" s="2494"/>
      <c r="I58" s="2494"/>
      <c r="J58" s="2494"/>
      <c r="K58" s="2494"/>
      <c r="L58" s="511"/>
      <c r="M58" s="2496"/>
      <c r="N58" s="2494"/>
      <c r="O58" s="2494"/>
      <c r="P58" s="2494"/>
      <c r="Q58" s="2494"/>
      <c r="R58" s="511"/>
      <c r="S58" s="2496"/>
      <c r="T58" s="2494"/>
      <c r="U58" s="2494"/>
      <c r="V58" s="2494"/>
      <c r="W58" s="2494"/>
      <c r="X58" s="511"/>
      <c r="Y58" s="2496"/>
      <c r="Z58" s="2494"/>
      <c r="AA58" s="2494"/>
      <c r="AB58" s="2494"/>
      <c r="AC58" s="2494"/>
      <c r="AD58" s="511"/>
      <c r="AE58" s="2496"/>
      <c r="AF58" s="2494"/>
      <c r="AG58" s="2494"/>
      <c r="AH58" s="2494"/>
      <c r="AI58" s="2494"/>
      <c r="AJ58" s="511"/>
      <c r="AK58" s="865"/>
      <c r="AL58" s="865"/>
      <c r="AM58" s="865"/>
      <c r="AN58" s="865"/>
      <c r="AO58" s="865"/>
      <c r="AP58" s="865"/>
      <c r="AQ58" s="865"/>
      <c r="AR58" s="865"/>
      <c r="AS58" s="865"/>
      <c r="AT58" s="865"/>
      <c r="AU58" s="865"/>
      <c r="AV58" s="865"/>
      <c r="AW58" s="865"/>
      <c r="AX58" s="865"/>
      <c r="AY58" s="865"/>
      <c r="AZ58" s="865"/>
      <c r="BA58" s="865"/>
      <c r="BB58" s="865"/>
      <c r="BC58" s="865"/>
      <c r="BD58" s="865"/>
      <c r="BE58" s="865"/>
      <c r="BF58" s="865"/>
      <c r="BG58" s="865"/>
      <c r="BH58" s="865"/>
      <c r="BI58" s="865"/>
      <c r="BJ58" s="865"/>
      <c r="BK58" s="865"/>
      <c r="BL58" s="865"/>
      <c r="BM58" s="865"/>
      <c r="BN58" s="865"/>
      <c r="BO58" s="865"/>
      <c r="BP58" s="865"/>
      <c r="BQ58" s="865"/>
      <c r="BR58" s="865"/>
      <c r="BS58" s="865"/>
      <c r="BT58" s="865"/>
      <c r="BU58" s="865"/>
      <c r="BV58" s="865"/>
      <c r="BW58" s="865"/>
      <c r="BX58" s="865"/>
      <c r="BY58" s="874"/>
      <c r="BZ58" s="2430"/>
      <c r="CA58" s="894"/>
      <c r="CB58" s="2433"/>
      <c r="CC58" s="2433"/>
      <c r="CD58" s="2433"/>
      <c r="CE58" s="2433"/>
      <c r="CF58" s="511"/>
      <c r="CG58" s="511"/>
      <c r="CH58" s="511"/>
      <c r="CI58" s="511"/>
      <c r="CJ58" s="511"/>
      <c r="CK58" s="511"/>
      <c r="CL58" s="511"/>
      <c r="CM58" s="511"/>
      <c r="CN58" s="511"/>
      <c r="CO58" s="511"/>
      <c r="CP58" s="511"/>
      <c r="CQ58" s="511"/>
      <c r="CR58" s="511"/>
      <c r="CS58" s="511"/>
      <c r="CT58" s="511"/>
      <c r="CU58" s="2430"/>
      <c r="CV58" s="894"/>
      <c r="CW58" s="2433"/>
      <c r="CX58" s="2433"/>
      <c r="CY58" s="2433"/>
      <c r="CZ58" s="2433"/>
      <c r="DA58" s="511"/>
      <c r="DB58" s="511"/>
      <c r="DC58" s="511"/>
      <c r="DD58" s="511"/>
      <c r="DE58" s="511"/>
      <c r="DF58" s="511"/>
      <c r="DG58" s="511"/>
      <c r="DH58" s="511"/>
      <c r="DI58" s="511"/>
      <c r="DJ58" s="511"/>
      <c r="DK58" s="511"/>
      <c r="DL58" s="511"/>
      <c r="DM58" s="511"/>
      <c r="DN58" s="511"/>
      <c r="DO58" s="511"/>
      <c r="DP58" s="2436"/>
      <c r="DQ58" s="896"/>
      <c r="DR58" s="2460"/>
      <c r="DS58" s="2460"/>
      <c r="DT58" s="2460"/>
      <c r="DU58" s="2460"/>
      <c r="DV58" s="511"/>
      <c r="DW58" s="511"/>
      <c r="DX58" s="511"/>
      <c r="DY58" s="511"/>
      <c r="DZ58" s="511"/>
      <c r="EA58" s="511"/>
      <c r="EB58" s="511"/>
      <c r="EC58" s="511"/>
      <c r="ED58" s="511"/>
      <c r="EE58" s="511"/>
      <c r="EF58" s="511"/>
      <c r="EG58" s="511"/>
      <c r="EH58" s="511"/>
      <c r="EI58" s="511"/>
      <c r="EJ58" s="511"/>
      <c r="EK58" s="2430"/>
      <c r="EL58" s="894"/>
      <c r="EM58" s="2433"/>
      <c r="EN58" s="2433"/>
      <c r="EO58" s="2433"/>
      <c r="EP58" s="2433"/>
      <c r="EQ58" s="511"/>
      <c r="ER58" s="511"/>
      <c r="ES58" s="511"/>
      <c r="ET58" s="511"/>
      <c r="EU58" s="511"/>
      <c r="EV58" s="511"/>
      <c r="EW58" s="511"/>
      <c r="EX58" s="511"/>
      <c r="EY58" s="511"/>
      <c r="EZ58" s="511"/>
      <c r="FA58" s="511"/>
      <c r="FB58" s="511"/>
      <c r="FC58" s="511"/>
      <c r="FD58" s="511"/>
      <c r="FE58" s="511"/>
      <c r="FF58" s="2436"/>
      <c r="FG58" s="896"/>
      <c r="FH58" s="2460"/>
      <c r="FI58" s="2460"/>
      <c r="FJ58" s="2460"/>
      <c r="FK58" s="2460"/>
      <c r="FL58" s="511"/>
      <c r="FM58" s="511"/>
      <c r="FN58" s="511"/>
      <c r="FO58" s="511"/>
      <c r="FP58" s="511"/>
      <c r="FQ58" s="511"/>
      <c r="FR58" s="511"/>
      <c r="FS58" s="511"/>
      <c r="FT58" s="511"/>
      <c r="FU58" s="511"/>
      <c r="FV58" s="511"/>
      <c r="FW58" s="511"/>
      <c r="FX58" s="511"/>
      <c r="FY58" s="511"/>
      <c r="FZ58" s="511"/>
      <c r="GA58" s="2430"/>
      <c r="GB58" s="894"/>
      <c r="GC58" s="2433"/>
      <c r="GD58" s="2433"/>
      <c r="GE58" s="2433"/>
      <c r="GF58" s="2433"/>
      <c r="GG58" s="511"/>
      <c r="GH58" s="511"/>
      <c r="GI58" s="511"/>
      <c r="GJ58" s="511"/>
      <c r="GK58" s="511"/>
      <c r="GL58" s="511"/>
      <c r="GM58" s="511"/>
      <c r="GN58" s="511"/>
      <c r="GO58" s="874"/>
      <c r="GP58" s="874"/>
      <c r="GQ58" s="874"/>
      <c r="GR58" s="874"/>
      <c r="GS58" s="874"/>
      <c r="GT58" s="874"/>
      <c r="GU58" s="874"/>
      <c r="GV58" s="874"/>
      <c r="GW58" s="874"/>
      <c r="GX58" s="874"/>
      <c r="GY58" s="874"/>
      <c r="GZ58" s="874"/>
      <c r="HA58" s="874"/>
      <c r="HB58" s="511"/>
      <c r="HC58" s="511"/>
      <c r="HD58" s="511"/>
      <c r="HE58" s="511"/>
      <c r="HF58" s="511"/>
      <c r="HG58" s="511"/>
      <c r="HH58" s="511"/>
      <c r="HI58" s="511"/>
      <c r="HJ58" s="874"/>
      <c r="HK58" s="874"/>
      <c r="HL58" s="874"/>
      <c r="HM58" s="874"/>
      <c r="HN58" s="874"/>
      <c r="HO58" s="874"/>
      <c r="HP58" s="874"/>
      <c r="HQ58" s="874"/>
      <c r="HR58" s="874"/>
      <c r="HS58" s="874"/>
      <c r="HT58" s="874"/>
      <c r="HU58" s="874"/>
      <c r="HV58" s="874"/>
      <c r="HW58" s="511"/>
      <c r="HX58" s="511"/>
      <c r="HY58" s="511"/>
      <c r="HZ58" s="511"/>
      <c r="IA58" s="511"/>
      <c r="IB58" s="511"/>
      <c r="IC58" s="511"/>
      <c r="ID58" s="511"/>
      <c r="IE58" s="874"/>
      <c r="IF58" s="874"/>
      <c r="IG58" s="874"/>
      <c r="IH58" s="874"/>
      <c r="II58" s="874"/>
      <c r="IJ58" s="874"/>
      <c r="IK58" s="874"/>
      <c r="IL58" s="874"/>
      <c r="IM58" s="874"/>
      <c r="IN58" s="874"/>
      <c r="IO58" s="874"/>
      <c r="IP58" s="874"/>
      <c r="IQ58" s="874"/>
      <c r="IR58" s="511"/>
      <c r="IS58" s="511"/>
      <c r="IT58" s="511"/>
      <c r="IU58" s="511"/>
      <c r="IV58" s="511"/>
      <c r="IW58" s="511"/>
      <c r="IX58" s="511"/>
      <c r="IY58" s="511"/>
      <c r="IZ58" s="874"/>
      <c r="JA58" s="874"/>
      <c r="JB58" s="874"/>
      <c r="JC58" s="874"/>
      <c r="JD58" s="874"/>
      <c r="JE58" s="874"/>
      <c r="JF58" s="874"/>
      <c r="JG58" s="874"/>
      <c r="JH58" s="874"/>
      <c r="JI58" s="874"/>
      <c r="JJ58" s="874"/>
      <c r="JK58" s="874"/>
      <c r="JL58" s="874"/>
      <c r="JM58" s="874"/>
      <c r="JN58" s="874"/>
      <c r="JO58" s="874"/>
      <c r="JP58" s="874"/>
      <c r="JQ58" s="874"/>
      <c r="JR58" s="874"/>
      <c r="JS58" s="874"/>
      <c r="JT58" s="874"/>
      <c r="JU58" s="874"/>
      <c r="JV58" s="874"/>
      <c r="JW58" s="874"/>
      <c r="JX58" s="874"/>
      <c r="JY58" s="874"/>
      <c r="JZ58" s="874"/>
      <c r="KA58" s="874"/>
      <c r="KB58" s="874"/>
      <c r="KC58" s="874"/>
      <c r="KD58" s="874"/>
      <c r="KE58" s="874"/>
      <c r="KF58" s="874"/>
      <c r="KG58" s="874"/>
      <c r="KH58" s="865"/>
      <c r="KI58" s="865"/>
      <c r="KJ58" s="865"/>
      <c r="KK58" s="865"/>
      <c r="KL58" s="865"/>
      <c r="KM58" s="865"/>
      <c r="KN58" s="865"/>
      <c r="KO58" s="865"/>
      <c r="KP58" s="865"/>
      <c r="KQ58" s="865"/>
      <c r="KR58" s="865"/>
      <c r="KS58" s="865"/>
      <c r="KT58" s="865"/>
      <c r="KU58" s="865"/>
      <c r="KV58" s="865"/>
      <c r="KW58" s="865"/>
      <c r="KX58" s="865"/>
      <c r="KY58" s="865"/>
      <c r="KZ58" s="865"/>
      <c r="LA58" s="865"/>
      <c r="LB58" s="865"/>
      <c r="LC58" s="865"/>
      <c r="LD58" s="865"/>
      <c r="LE58" s="865"/>
      <c r="LF58" s="865"/>
    </row>
    <row r="59" spans="1:318" ht="24.45" customHeight="1">
      <c r="A59" s="2496"/>
      <c r="B59" s="2494"/>
      <c r="C59" s="2494"/>
      <c r="D59" s="2494"/>
      <c r="E59" s="2494"/>
      <c r="F59" s="511"/>
      <c r="G59" s="2496"/>
      <c r="H59" s="2494"/>
      <c r="I59" s="2494"/>
      <c r="J59" s="2494"/>
      <c r="K59" s="2494"/>
      <c r="L59" s="511"/>
      <c r="M59" s="2496"/>
      <c r="N59" s="2494"/>
      <c r="O59" s="2494"/>
      <c r="P59" s="2494"/>
      <c r="Q59" s="2494"/>
      <c r="R59" s="511"/>
      <c r="S59" s="2496"/>
      <c r="T59" s="2494"/>
      <c r="U59" s="2494"/>
      <c r="V59" s="2494"/>
      <c r="W59" s="2494"/>
      <c r="X59" s="511"/>
      <c r="Y59" s="2496"/>
      <c r="Z59" s="2494"/>
      <c r="AA59" s="2494"/>
      <c r="AB59" s="2494"/>
      <c r="AC59" s="2494"/>
      <c r="AD59" s="511"/>
      <c r="AE59" s="2496"/>
      <c r="AF59" s="2494"/>
      <c r="AG59" s="2494"/>
      <c r="AH59" s="2494"/>
      <c r="AI59" s="2494"/>
      <c r="AJ59" s="511"/>
      <c r="AK59" s="865"/>
      <c r="AL59" s="865"/>
      <c r="AM59" s="865"/>
      <c r="AN59" s="865"/>
      <c r="AO59" s="865"/>
      <c r="AP59" s="865"/>
      <c r="AQ59" s="865"/>
      <c r="AR59" s="865"/>
      <c r="AS59" s="865"/>
      <c r="AT59" s="865"/>
      <c r="AU59" s="865"/>
      <c r="AV59" s="865"/>
      <c r="AW59" s="865"/>
      <c r="AX59" s="865"/>
      <c r="AY59" s="865"/>
      <c r="AZ59" s="865"/>
      <c r="BA59" s="865"/>
      <c r="BB59" s="865"/>
      <c r="BC59" s="865"/>
      <c r="BD59" s="865"/>
      <c r="BE59" s="865"/>
      <c r="BF59" s="865"/>
      <c r="BG59" s="865"/>
      <c r="BH59" s="865"/>
      <c r="BI59" s="865"/>
      <c r="BJ59" s="865"/>
      <c r="BK59" s="865"/>
      <c r="BL59" s="865"/>
      <c r="BM59" s="865"/>
      <c r="BN59" s="865"/>
      <c r="BO59" s="865"/>
      <c r="BP59" s="865"/>
      <c r="BQ59" s="865"/>
      <c r="BR59" s="865"/>
      <c r="BS59" s="865"/>
      <c r="BT59" s="865"/>
      <c r="BU59" s="865"/>
      <c r="BV59" s="865"/>
      <c r="BW59" s="865"/>
      <c r="BX59" s="865"/>
      <c r="BY59" s="874"/>
      <c r="BZ59" s="2430"/>
      <c r="CA59" s="894"/>
      <c r="CB59" s="2433"/>
      <c r="CC59" s="2433"/>
      <c r="CD59" s="2433"/>
      <c r="CE59" s="2433"/>
      <c r="CF59" s="511"/>
      <c r="CG59" s="511"/>
      <c r="CH59" s="511"/>
      <c r="CI59" s="511"/>
      <c r="CJ59" s="511"/>
      <c r="CK59" s="511"/>
      <c r="CL59" s="511"/>
      <c r="CM59" s="511"/>
      <c r="CN59" s="511"/>
      <c r="CO59" s="511"/>
      <c r="CP59" s="511"/>
      <c r="CQ59" s="511"/>
      <c r="CR59" s="511"/>
      <c r="CS59" s="511"/>
      <c r="CT59" s="511"/>
      <c r="CU59" s="2430"/>
      <c r="CV59" s="894"/>
      <c r="CW59" s="2433"/>
      <c r="CX59" s="2433"/>
      <c r="CY59" s="2433"/>
      <c r="CZ59" s="2433"/>
      <c r="DA59" s="511"/>
      <c r="DB59" s="511"/>
      <c r="DC59" s="511"/>
      <c r="DD59" s="511"/>
      <c r="DE59" s="511"/>
      <c r="DF59" s="511"/>
      <c r="DG59" s="511"/>
      <c r="DH59" s="511"/>
      <c r="DI59" s="511"/>
      <c r="DJ59" s="511"/>
      <c r="DK59" s="511"/>
      <c r="DL59" s="511"/>
      <c r="DM59" s="511"/>
      <c r="DN59" s="511"/>
      <c r="DO59" s="511"/>
      <c r="DP59" s="2436"/>
      <c r="DQ59" s="896"/>
      <c r="DR59" s="2460"/>
      <c r="DS59" s="2460"/>
      <c r="DT59" s="2460"/>
      <c r="DU59" s="2460"/>
      <c r="DV59" s="511"/>
      <c r="DW59" s="511"/>
      <c r="DX59" s="511"/>
      <c r="DY59" s="511"/>
      <c r="DZ59" s="511"/>
      <c r="EA59" s="511"/>
      <c r="EB59" s="511"/>
      <c r="EC59" s="511"/>
      <c r="ED59" s="511"/>
      <c r="EE59" s="511"/>
      <c r="EF59" s="511"/>
      <c r="EG59" s="511"/>
      <c r="EH59" s="511"/>
      <c r="EI59" s="511"/>
      <c r="EJ59" s="511"/>
      <c r="EK59" s="2430"/>
      <c r="EL59" s="894"/>
      <c r="EM59" s="2433"/>
      <c r="EN59" s="2433"/>
      <c r="EO59" s="2433"/>
      <c r="EP59" s="2433"/>
      <c r="EQ59" s="511"/>
      <c r="ER59" s="511"/>
      <c r="ES59" s="511"/>
      <c r="ET59" s="511"/>
      <c r="EU59" s="511"/>
      <c r="EV59" s="511"/>
      <c r="EW59" s="511"/>
      <c r="EX59" s="511"/>
      <c r="EY59" s="511"/>
      <c r="EZ59" s="511"/>
      <c r="FA59" s="511"/>
      <c r="FB59" s="511"/>
      <c r="FC59" s="511"/>
      <c r="FD59" s="511"/>
      <c r="FE59" s="511"/>
      <c r="FF59" s="2436"/>
      <c r="FG59" s="896"/>
      <c r="FH59" s="2460"/>
      <c r="FI59" s="2460"/>
      <c r="FJ59" s="2460"/>
      <c r="FK59" s="2460"/>
      <c r="FL59" s="511"/>
      <c r="FM59" s="511"/>
      <c r="FN59" s="511"/>
      <c r="FO59" s="511"/>
      <c r="FP59" s="511"/>
      <c r="FQ59" s="511"/>
      <c r="FR59" s="511"/>
      <c r="FS59" s="511"/>
      <c r="FT59" s="511"/>
      <c r="FU59" s="511"/>
      <c r="FV59" s="511"/>
      <c r="FW59" s="511"/>
      <c r="FX59" s="511"/>
      <c r="FY59" s="511"/>
      <c r="FZ59" s="511"/>
      <c r="GA59" s="2430"/>
      <c r="GB59" s="894"/>
      <c r="GC59" s="2433"/>
      <c r="GD59" s="2433"/>
      <c r="GE59" s="2433"/>
      <c r="GF59" s="2433"/>
      <c r="GG59" s="511"/>
      <c r="GH59" s="511"/>
      <c r="GI59" s="511"/>
      <c r="GJ59" s="511"/>
      <c r="GK59" s="511"/>
      <c r="GL59" s="511"/>
      <c r="GM59" s="511"/>
      <c r="GN59" s="511"/>
      <c r="GO59" s="874"/>
      <c r="GP59" s="874"/>
      <c r="GQ59" s="874"/>
      <c r="GR59" s="874"/>
      <c r="GS59" s="874"/>
      <c r="GT59" s="874"/>
      <c r="GU59" s="874"/>
      <c r="GV59" s="874"/>
      <c r="GW59" s="874"/>
      <c r="GX59" s="874"/>
      <c r="GY59" s="874"/>
      <c r="GZ59" s="874"/>
      <c r="HA59" s="874"/>
      <c r="HB59" s="511"/>
      <c r="HC59" s="511"/>
      <c r="HD59" s="511"/>
      <c r="HE59" s="511"/>
      <c r="HF59" s="511"/>
      <c r="HG59" s="511"/>
      <c r="HH59" s="511"/>
      <c r="HI59" s="511"/>
      <c r="HJ59" s="874"/>
      <c r="HK59" s="874"/>
      <c r="HL59" s="874"/>
      <c r="HM59" s="874"/>
      <c r="HN59" s="874"/>
      <c r="HO59" s="874"/>
      <c r="HP59" s="874"/>
      <c r="HQ59" s="874"/>
      <c r="HR59" s="874"/>
      <c r="HS59" s="874"/>
      <c r="HT59" s="874"/>
      <c r="HU59" s="874"/>
      <c r="HV59" s="874"/>
      <c r="HW59" s="511"/>
      <c r="HX59" s="511"/>
      <c r="HY59" s="511"/>
      <c r="HZ59" s="511"/>
      <c r="IA59" s="511"/>
      <c r="IB59" s="511"/>
      <c r="IC59" s="511"/>
      <c r="ID59" s="511"/>
      <c r="IE59" s="874"/>
      <c r="IF59" s="874"/>
      <c r="IG59" s="874"/>
      <c r="IH59" s="874"/>
      <c r="II59" s="874"/>
      <c r="IJ59" s="874"/>
      <c r="IK59" s="874"/>
      <c r="IL59" s="874"/>
      <c r="IM59" s="874"/>
      <c r="IN59" s="874"/>
      <c r="IO59" s="874"/>
      <c r="IP59" s="874"/>
      <c r="IQ59" s="874"/>
      <c r="IR59" s="511"/>
      <c r="IS59" s="511"/>
      <c r="IT59" s="511"/>
      <c r="IU59" s="511"/>
      <c r="IV59" s="511"/>
      <c r="IW59" s="511"/>
      <c r="IX59" s="511"/>
      <c r="IY59" s="511"/>
      <c r="IZ59" s="874"/>
      <c r="JA59" s="874"/>
      <c r="JB59" s="874"/>
      <c r="JC59" s="874"/>
      <c r="JD59" s="874"/>
      <c r="JE59" s="874"/>
      <c r="JF59" s="874"/>
      <c r="JG59" s="874"/>
      <c r="JH59" s="874"/>
      <c r="JI59" s="874"/>
      <c r="JJ59" s="874"/>
      <c r="JK59" s="874"/>
      <c r="JL59" s="874"/>
      <c r="JM59" s="874"/>
      <c r="JN59" s="874"/>
      <c r="JO59" s="874"/>
      <c r="JP59" s="874"/>
      <c r="JQ59" s="874"/>
      <c r="JR59" s="874"/>
      <c r="JS59" s="874"/>
      <c r="JT59" s="874"/>
      <c r="JU59" s="874"/>
      <c r="JV59" s="874"/>
      <c r="JW59" s="874"/>
      <c r="JX59" s="874"/>
      <c r="JY59" s="874"/>
      <c r="JZ59" s="874"/>
      <c r="KA59" s="874"/>
      <c r="KB59" s="874"/>
      <c r="KC59" s="874"/>
      <c r="KD59" s="874"/>
      <c r="KE59" s="874"/>
      <c r="KF59" s="874"/>
      <c r="KG59" s="874"/>
      <c r="KH59" s="865"/>
      <c r="KI59" s="865"/>
      <c r="KJ59" s="865"/>
      <c r="KK59" s="865"/>
      <c r="KL59" s="865"/>
      <c r="KM59" s="865"/>
      <c r="KN59" s="865"/>
      <c r="KO59" s="865"/>
      <c r="KP59" s="865"/>
      <c r="KQ59" s="865"/>
      <c r="KR59" s="865"/>
      <c r="KS59" s="865"/>
      <c r="KT59" s="865"/>
      <c r="KU59" s="865"/>
      <c r="KV59" s="865"/>
      <c r="KW59" s="865"/>
      <c r="KX59" s="865"/>
      <c r="KY59" s="865"/>
      <c r="KZ59" s="865"/>
      <c r="LA59" s="865"/>
      <c r="LB59" s="865"/>
      <c r="LC59" s="865"/>
      <c r="LD59" s="865"/>
      <c r="LE59" s="865"/>
      <c r="LF59" s="865"/>
    </row>
    <row r="60" spans="1:318" ht="24.45" customHeight="1">
      <c r="A60" s="2496"/>
      <c r="B60" s="2494"/>
      <c r="C60" s="2494"/>
      <c r="D60" s="2494"/>
      <c r="E60" s="2494"/>
      <c r="F60" s="511"/>
      <c r="G60" s="2496"/>
      <c r="H60" s="2494"/>
      <c r="I60" s="2494"/>
      <c r="J60" s="2494"/>
      <c r="K60" s="2494"/>
      <c r="L60" s="511"/>
      <c r="M60" s="2496"/>
      <c r="N60" s="2494"/>
      <c r="O60" s="2494"/>
      <c r="P60" s="2494"/>
      <c r="Q60" s="2494"/>
      <c r="R60" s="511"/>
      <c r="S60" s="2496"/>
      <c r="T60" s="2494"/>
      <c r="U60" s="2494"/>
      <c r="V60" s="2494"/>
      <c r="W60" s="2494"/>
      <c r="X60" s="511"/>
      <c r="Y60" s="2496"/>
      <c r="Z60" s="2494"/>
      <c r="AA60" s="2494"/>
      <c r="AB60" s="2494"/>
      <c r="AC60" s="2494"/>
      <c r="AD60" s="511"/>
      <c r="AE60" s="2496"/>
      <c r="AF60" s="2494"/>
      <c r="AG60" s="2494"/>
      <c r="AH60" s="2494"/>
      <c r="AI60" s="2494"/>
      <c r="AJ60" s="458"/>
      <c r="AK60" s="865"/>
      <c r="AL60" s="865"/>
      <c r="AM60" s="865"/>
      <c r="AN60" s="865"/>
      <c r="AO60" s="865"/>
      <c r="AP60" s="865"/>
      <c r="AQ60" s="865"/>
      <c r="AR60" s="865"/>
      <c r="AS60" s="865"/>
      <c r="AT60" s="865"/>
      <c r="AU60" s="865"/>
      <c r="AV60" s="865"/>
      <c r="AW60" s="865"/>
      <c r="AX60" s="865"/>
      <c r="AY60" s="865"/>
      <c r="AZ60" s="865"/>
      <c r="BA60" s="865"/>
      <c r="BB60" s="865"/>
      <c r="BC60" s="865"/>
      <c r="BD60" s="865"/>
      <c r="BE60" s="865"/>
      <c r="BF60" s="865"/>
      <c r="BG60" s="865"/>
      <c r="BH60" s="865"/>
      <c r="BI60" s="865"/>
      <c r="BJ60" s="865"/>
      <c r="BK60" s="865"/>
      <c r="BL60" s="865"/>
      <c r="BM60" s="865"/>
      <c r="BN60" s="865"/>
      <c r="BO60" s="865"/>
      <c r="BP60" s="865"/>
      <c r="BQ60" s="865"/>
      <c r="BR60" s="865"/>
      <c r="BS60" s="865"/>
      <c r="BT60" s="865"/>
      <c r="BU60" s="865"/>
      <c r="BV60" s="865"/>
      <c r="BW60" s="865"/>
      <c r="BX60" s="865"/>
      <c r="BY60" s="874"/>
      <c r="BZ60" s="2430"/>
      <c r="CA60" s="894"/>
      <c r="CB60" s="2433"/>
      <c r="CC60" s="2433"/>
      <c r="CD60" s="2433"/>
      <c r="CE60" s="2433"/>
      <c r="CF60" s="511"/>
      <c r="CG60" s="511"/>
      <c r="CH60" s="511"/>
      <c r="CI60" s="511"/>
      <c r="CJ60" s="511"/>
      <c r="CK60" s="511"/>
      <c r="CL60" s="511"/>
      <c r="CM60" s="511"/>
      <c r="CN60" s="511"/>
      <c r="CO60" s="511"/>
      <c r="CP60" s="511"/>
      <c r="CQ60" s="511"/>
      <c r="CR60" s="511"/>
      <c r="CS60" s="511"/>
      <c r="CT60" s="511"/>
      <c r="CU60" s="2430"/>
      <c r="CV60" s="894"/>
      <c r="CW60" s="2433"/>
      <c r="CX60" s="2433"/>
      <c r="CY60" s="2433"/>
      <c r="CZ60" s="2433"/>
      <c r="DA60" s="511"/>
      <c r="DB60" s="511"/>
      <c r="DC60" s="511"/>
      <c r="DD60" s="511"/>
      <c r="DE60" s="511"/>
      <c r="DF60" s="511"/>
      <c r="DG60" s="511"/>
      <c r="DH60" s="511"/>
      <c r="DI60" s="511"/>
      <c r="DJ60" s="511"/>
      <c r="DK60" s="511"/>
      <c r="DL60" s="511"/>
      <c r="DM60" s="511"/>
      <c r="DN60" s="511"/>
      <c r="DO60" s="511"/>
      <c r="DP60" s="2436"/>
      <c r="DQ60" s="896"/>
      <c r="DR60" s="2460"/>
      <c r="DS60" s="2460"/>
      <c r="DT60" s="2460"/>
      <c r="DU60" s="2460"/>
      <c r="DV60" s="511"/>
      <c r="DW60" s="511"/>
      <c r="DX60" s="511"/>
      <c r="DY60" s="511"/>
      <c r="DZ60" s="511"/>
      <c r="EA60" s="511"/>
      <c r="EB60" s="511"/>
      <c r="EC60" s="511"/>
      <c r="ED60" s="511"/>
      <c r="EE60" s="511"/>
      <c r="EF60" s="511"/>
      <c r="EG60" s="511"/>
      <c r="EH60" s="511"/>
      <c r="EI60" s="511"/>
      <c r="EJ60" s="511"/>
      <c r="EK60" s="2430"/>
      <c r="EL60" s="894"/>
      <c r="EM60" s="2433"/>
      <c r="EN60" s="2433"/>
      <c r="EO60" s="2433"/>
      <c r="EP60" s="2433"/>
      <c r="EQ60" s="511"/>
      <c r="ER60" s="511"/>
      <c r="ES60" s="511"/>
      <c r="ET60" s="511"/>
      <c r="EU60" s="511"/>
      <c r="EV60" s="511"/>
      <c r="EW60" s="511"/>
      <c r="EX60" s="511"/>
      <c r="EY60" s="511"/>
      <c r="EZ60" s="511"/>
      <c r="FA60" s="511"/>
      <c r="FB60" s="511"/>
      <c r="FC60" s="511"/>
      <c r="FD60" s="511"/>
      <c r="FE60" s="511"/>
      <c r="FF60" s="2436"/>
      <c r="FG60" s="896"/>
      <c r="FH60" s="2460"/>
      <c r="FI60" s="2460"/>
      <c r="FJ60" s="2460"/>
      <c r="FK60" s="2460"/>
      <c r="FL60" s="511"/>
      <c r="FM60" s="511"/>
      <c r="FN60" s="511"/>
      <c r="FO60" s="511"/>
      <c r="FP60" s="511"/>
      <c r="FQ60" s="511"/>
      <c r="FR60" s="511"/>
      <c r="FS60" s="511"/>
      <c r="FT60" s="511"/>
      <c r="FU60" s="511"/>
      <c r="FV60" s="511"/>
      <c r="FW60" s="511"/>
      <c r="FX60" s="511"/>
      <c r="FY60" s="511"/>
      <c r="FZ60" s="511"/>
      <c r="GA60" s="2430"/>
      <c r="GB60" s="894"/>
      <c r="GC60" s="2433"/>
      <c r="GD60" s="2433"/>
      <c r="GE60" s="2433"/>
      <c r="GF60" s="2433"/>
      <c r="GG60" s="511"/>
      <c r="GH60" s="511"/>
      <c r="GI60" s="511"/>
      <c r="GJ60" s="511"/>
      <c r="GK60" s="511"/>
      <c r="GL60" s="511"/>
      <c r="GM60" s="511"/>
      <c r="GN60" s="511"/>
      <c r="GO60" s="874"/>
      <c r="GP60" s="874"/>
      <c r="GQ60" s="874"/>
      <c r="GR60" s="874"/>
      <c r="GS60" s="874"/>
      <c r="GT60" s="874"/>
      <c r="GU60" s="874"/>
      <c r="GV60" s="874"/>
      <c r="GW60" s="874"/>
      <c r="GX60" s="874"/>
      <c r="GY60" s="874"/>
      <c r="GZ60" s="874"/>
      <c r="HA60" s="874"/>
      <c r="HB60" s="511"/>
      <c r="HC60" s="511"/>
      <c r="HD60" s="511"/>
      <c r="HE60" s="511"/>
      <c r="HF60" s="511"/>
      <c r="HG60" s="511"/>
      <c r="HH60" s="511"/>
      <c r="HI60" s="511"/>
      <c r="HJ60" s="874"/>
      <c r="HK60" s="874"/>
      <c r="HL60" s="874"/>
      <c r="HM60" s="874"/>
      <c r="HN60" s="874"/>
      <c r="HO60" s="874"/>
      <c r="HP60" s="874"/>
      <c r="HQ60" s="874"/>
      <c r="HR60" s="874"/>
      <c r="HS60" s="874"/>
      <c r="HT60" s="874"/>
      <c r="HU60" s="874"/>
      <c r="HV60" s="874"/>
      <c r="HW60" s="511"/>
      <c r="HX60" s="511"/>
      <c r="HY60" s="511"/>
      <c r="HZ60" s="511"/>
      <c r="IA60" s="511"/>
      <c r="IB60" s="511"/>
      <c r="IC60" s="511"/>
      <c r="ID60" s="511"/>
      <c r="IE60" s="874"/>
      <c r="IF60" s="874"/>
      <c r="IG60" s="874"/>
      <c r="IH60" s="874"/>
      <c r="II60" s="874"/>
      <c r="IJ60" s="874"/>
      <c r="IK60" s="874"/>
      <c r="IL60" s="874"/>
      <c r="IM60" s="874"/>
      <c r="IN60" s="874"/>
      <c r="IO60" s="874"/>
      <c r="IP60" s="874"/>
      <c r="IQ60" s="874"/>
      <c r="IR60" s="511"/>
      <c r="IS60" s="511"/>
      <c r="IT60" s="511"/>
      <c r="IU60" s="511"/>
      <c r="IV60" s="511"/>
      <c r="IW60" s="511"/>
      <c r="IX60" s="511"/>
      <c r="IY60" s="511"/>
      <c r="IZ60" s="874"/>
      <c r="JA60" s="874"/>
      <c r="JB60" s="874"/>
      <c r="JC60" s="874"/>
      <c r="JD60" s="874"/>
      <c r="JE60" s="874"/>
      <c r="JF60" s="874"/>
      <c r="JG60" s="874"/>
      <c r="JH60" s="874"/>
      <c r="JI60" s="874"/>
      <c r="JJ60" s="874"/>
      <c r="JK60" s="874"/>
      <c r="JL60" s="874"/>
      <c r="JM60" s="874"/>
      <c r="JN60" s="874"/>
      <c r="JO60" s="874"/>
      <c r="JP60" s="874"/>
      <c r="JQ60" s="874"/>
      <c r="JR60" s="874"/>
      <c r="JS60" s="874"/>
      <c r="JT60" s="874"/>
      <c r="JU60" s="874"/>
      <c r="JV60" s="874"/>
      <c r="JW60" s="874"/>
      <c r="JX60" s="874"/>
      <c r="JY60" s="874"/>
      <c r="JZ60" s="874"/>
      <c r="KA60" s="874"/>
      <c r="KB60" s="874"/>
      <c r="KC60" s="874"/>
      <c r="KD60" s="874"/>
      <c r="KE60" s="874"/>
      <c r="KF60" s="874"/>
      <c r="KG60" s="874"/>
      <c r="KH60" s="865"/>
      <c r="KI60" s="865"/>
      <c r="KJ60" s="865"/>
      <c r="KK60" s="865"/>
      <c r="KL60" s="865"/>
      <c r="KM60" s="865"/>
      <c r="KN60" s="865"/>
      <c r="KO60" s="865"/>
      <c r="KP60" s="865"/>
      <c r="KQ60" s="865"/>
      <c r="KR60" s="865"/>
      <c r="KS60" s="865"/>
      <c r="KT60" s="865"/>
      <c r="KU60" s="865"/>
      <c r="KV60" s="865"/>
      <c r="KW60" s="865"/>
      <c r="KX60" s="865"/>
      <c r="KY60" s="865"/>
      <c r="KZ60" s="865"/>
      <c r="LA60" s="865"/>
      <c r="LB60" s="865"/>
      <c r="LC60" s="865"/>
      <c r="LD60" s="865"/>
      <c r="LE60" s="865"/>
      <c r="LF60" s="865"/>
    </row>
    <row r="61" spans="1:318" ht="24.45" customHeight="1">
      <c r="A61" s="2496"/>
      <c r="B61" s="2494"/>
      <c r="C61" s="2494"/>
      <c r="D61" s="2494"/>
      <c r="E61" s="2494"/>
      <c r="F61" s="511"/>
      <c r="G61" s="2496"/>
      <c r="H61" s="2494"/>
      <c r="I61" s="2494"/>
      <c r="J61" s="2494"/>
      <c r="K61" s="2494"/>
      <c r="L61" s="511"/>
      <c r="M61" s="2496"/>
      <c r="N61" s="2494"/>
      <c r="O61" s="2494"/>
      <c r="P61" s="2494"/>
      <c r="Q61" s="2494"/>
      <c r="R61" s="511"/>
      <c r="S61" s="2496"/>
      <c r="T61" s="2494"/>
      <c r="U61" s="2494"/>
      <c r="V61" s="2494"/>
      <c r="W61" s="2494"/>
      <c r="X61" s="511"/>
      <c r="Y61" s="2496"/>
      <c r="Z61" s="2494"/>
      <c r="AA61" s="2494"/>
      <c r="AB61" s="2494"/>
      <c r="AC61" s="2494"/>
      <c r="AD61" s="511"/>
      <c r="AE61" s="2496"/>
      <c r="AF61" s="2494"/>
      <c r="AG61" s="2494"/>
      <c r="AH61" s="2494"/>
      <c r="AI61" s="2494"/>
      <c r="AJ61" s="458"/>
      <c r="AK61" s="865"/>
      <c r="AL61" s="865"/>
      <c r="AM61" s="865"/>
      <c r="AN61" s="865"/>
      <c r="AO61" s="865"/>
      <c r="AP61" s="865"/>
      <c r="AQ61" s="865"/>
      <c r="AR61" s="865"/>
      <c r="AS61" s="865"/>
      <c r="AT61" s="865"/>
      <c r="AU61" s="865"/>
      <c r="AV61" s="865"/>
      <c r="AW61" s="865"/>
      <c r="AX61" s="865"/>
      <c r="AY61" s="865"/>
      <c r="AZ61" s="865"/>
      <c r="BA61" s="865"/>
      <c r="BB61" s="865"/>
      <c r="BC61" s="865"/>
      <c r="BD61" s="865"/>
      <c r="BE61" s="865"/>
      <c r="BF61" s="865"/>
      <c r="BG61" s="865"/>
      <c r="BH61" s="865"/>
      <c r="BI61" s="865"/>
      <c r="BJ61" s="865"/>
      <c r="BK61" s="865"/>
      <c r="BL61" s="865"/>
      <c r="BM61" s="865"/>
      <c r="BN61" s="865"/>
      <c r="BO61" s="865"/>
      <c r="BP61" s="865"/>
      <c r="BQ61" s="865"/>
      <c r="BR61" s="865"/>
      <c r="BS61" s="865"/>
      <c r="BT61" s="865"/>
      <c r="BU61" s="865"/>
      <c r="BV61" s="865"/>
      <c r="BW61" s="865"/>
      <c r="BX61" s="865"/>
      <c r="BY61" s="874"/>
      <c r="BZ61" s="2430"/>
      <c r="CA61" s="894"/>
      <c r="CB61" s="2433"/>
      <c r="CC61" s="2433"/>
      <c r="CD61" s="2433"/>
      <c r="CE61" s="2433"/>
      <c r="CF61" s="511"/>
      <c r="CG61" s="511"/>
      <c r="CH61" s="511"/>
      <c r="CI61" s="511"/>
      <c r="CJ61" s="511"/>
      <c r="CK61" s="511"/>
      <c r="CL61" s="511"/>
      <c r="CM61" s="511"/>
      <c r="CN61" s="511"/>
      <c r="CO61" s="511"/>
      <c r="CP61" s="511"/>
      <c r="CQ61" s="511"/>
      <c r="CR61" s="511"/>
      <c r="CS61" s="511"/>
      <c r="CT61" s="511"/>
      <c r="CU61" s="2430"/>
      <c r="CV61" s="894"/>
      <c r="CW61" s="2433"/>
      <c r="CX61" s="2433"/>
      <c r="CY61" s="2433"/>
      <c r="CZ61" s="2433"/>
      <c r="DA61" s="511"/>
      <c r="DB61" s="511"/>
      <c r="DC61" s="511"/>
      <c r="DD61" s="511"/>
      <c r="DE61" s="511"/>
      <c r="DF61" s="511"/>
      <c r="DG61" s="511"/>
      <c r="DH61" s="511"/>
      <c r="DI61" s="511"/>
      <c r="DJ61" s="511"/>
      <c r="DK61" s="511"/>
      <c r="DL61" s="511"/>
      <c r="DM61" s="511"/>
      <c r="DN61" s="511"/>
      <c r="DO61" s="511"/>
      <c r="DP61" s="2436"/>
      <c r="DQ61" s="896"/>
      <c r="DR61" s="2460"/>
      <c r="DS61" s="2460"/>
      <c r="DT61" s="2460"/>
      <c r="DU61" s="2460"/>
      <c r="DV61" s="511"/>
      <c r="DW61" s="511"/>
      <c r="DX61" s="511"/>
      <c r="DY61" s="511"/>
      <c r="DZ61" s="511"/>
      <c r="EA61" s="511"/>
      <c r="EB61" s="511"/>
      <c r="EC61" s="511"/>
      <c r="ED61" s="511"/>
      <c r="EE61" s="511"/>
      <c r="EF61" s="511"/>
      <c r="EG61" s="511"/>
      <c r="EH61" s="511"/>
      <c r="EI61" s="511"/>
      <c r="EJ61" s="511"/>
      <c r="EK61" s="2430"/>
      <c r="EL61" s="894"/>
      <c r="EM61" s="2433"/>
      <c r="EN61" s="2433"/>
      <c r="EO61" s="2433"/>
      <c r="EP61" s="2433"/>
      <c r="EQ61" s="511"/>
      <c r="ER61" s="511"/>
      <c r="ES61" s="511"/>
      <c r="ET61" s="511"/>
      <c r="EU61" s="511"/>
      <c r="EV61" s="511"/>
      <c r="EW61" s="511"/>
      <c r="EX61" s="511"/>
      <c r="EY61" s="511"/>
      <c r="EZ61" s="511"/>
      <c r="FA61" s="511"/>
      <c r="FB61" s="511"/>
      <c r="FC61" s="511"/>
      <c r="FD61" s="511"/>
      <c r="FE61" s="511"/>
      <c r="FF61" s="2436"/>
      <c r="FG61" s="896"/>
      <c r="FH61" s="2460"/>
      <c r="FI61" s="2460"/>
      <c r="FJ61" s="2460"/>
      <c r="FK61" s="2460"/>
      <c r="FL61" s="511"/>
      <c r="FM61" s="511"/>
      <c r="FN61" s="511"/>
      <c r="FO61" s="511"/>
      <c r="FP61" s="511"/>
      <c r="FQ61" s="511"/>
      <c r="FR61" s="511"/>
      <c r="FS61" s="511"/>
      <c r="FT61" s="511"/>
      <c r="FU61" s="511"/>
      <c r="FV61" s="511"/>
      <c r="FW61" s="511"/>
      <c r="FX61" s="511"/>
      <c r="FY61" s="511"/>
      <c r="FZ61" s="511"/>
      <c r="GA61" s="2430"/>
      <c r="GB61" s="894"/>
      <c r="GC61" s="2433"/>
      <c r="GD61" s="2433"/>
      <c r="GE61" s="2433"/>
      <c r="GF61" s="2433"/>
      <c r="GG61" s="511"/>
      <c r="GH61" s="511"/>
      <c r="GI61" s="511"/>
      <c r="GJ61" s="511"/>
      <c r="GK61" s="511"/>
      <c r="GL61" s="511"/>
      <c r="GM61" s="511"/>
      <c r="GN61" s="511"/>
      <c r="GO61" s="874"/>
      <c r="GP61" s="874"/>
      <c r="GQ61" s="874"/>
      <c r="GR61" s="874"/>
      <c r="GS61" s="874"/>
      <c r="GT61" s="874"/>
      <c r="GU61" s="874"/>
      <c r="GV61" s="874"/>
      <c r="GW61" s="874"/>
      <c r="GX61" s="874"/>
      <c r="GY61" s="874"/>
      <c r="GZ61" s="874"/>
      <c r="HA61" s="874"/>
      <c r="HB61" s="511"/>
      <c r="HC61" s="511"/>
      <c r="HD61" s="511"/>
      <c r="HE61" s="511"/>
      <c r="HF61" s="511"/>
      <c r="HG61" s="511"/>
      <c r="HH61" s="511"/>
      <c r="HI61" s="511"/>
      <c r="HJ61" s="874"/>
      <c r="HK61" s="874"/>
      <c r="HL61" s="874"/>
      <c r="HM61" s="874"/>
      <c r="HN61" s="874"/>
      <c r="HO61" s="874"/>
      <c r="HP61" s="874"/>
      <c r="HQ61" s="874"/>
      <c r="HR61" s="874"/>
      <c r="HS61" s="874"/>
      <c r="HT61" s="874"/>
      <c r="HU61" s="874"/>
      <c r="HV61" s="874"/>
      <c r="HW61" s="511"/>
      <c r="HX61" s="511"/>
      <c r="HY61" s="511"/>
      <c r="HZ61" s="511"/>
      <c r="IA61" s="511"/>
      <c r="IB61" s="511"/>
      <c r="IC61" s="511"/>
      <c r="ID61" s="511"/>
      <c r="IE61" s="874"/>
      <c r="IF61" s="874"/>
      <c r="IG61" s="874"/>
      <c r="IH61" s="874"/>
      <c r="II61" s="874"/>
      <c r="IJ61" s="874"/>
      <c r="IK61" s="874"/>
      <c r="IL61" s="874"/>
      <c r="IM61" s="874"/>
      <c r="IN61" s="874"/>
      <c r="IO61" s="874"/>
      <c r="IP61" s="874"/>
      <c r="IQ61" s="874"/>
      <c r="IR61" s="511"/>
      <c r="IS61" s="511"/>
      <c r="IT61" s="511"/>
      <c r="IU61" s="511"/>
      <c r="IV61" s="511"/>
      <c r="IW61" s="511"/>
      <c r="IX61" s="511"/>
      <c r="IY61" s="511"/>
      <c r="IZ61" s="874"/>
      <c r="JA61" s="874"/>
      <c r="JB61" s="874"/>
      <c r="JC61" s="874"/>
      <c r="JD61" s="874"/>
      <c r="JE61" s="874"/>
      <c r="JF61" s="874"/>
      <c r="JG61" s="874"/>
      <c r="JH61" s="874"/>
      <c r="JI61" s="874"/>
      <c r="JJ61" s="874"/>
      <c r="JK61" s="874"/>
      <c r="JL61" s="874"/>
      <c r="JM61" s="874"/>
      <c r="JN61" s="874"/>
      <c r="JO61" s="874"/>
      <c r="JP61" s="874"/>
      <c r="JQ61" s="874"/>
      <c r="JR61" s="874"/>
      <c r="JS61" s="874"/>
      <c r="JT61" s="874"/>
      <c r="JU61" s="874"/>
      <c r="JV61" s="874"/>
      <c r="JW61" s="874"/>
      <c r="JX61" s="874"/>
      <c r="JY61" s="874"/>
      <c r="JZ61" s="874"/>
      <c r="KA61" s="874"/>
      <c r="KB61" s="874"/>
      <c r="KC61" s="874"/>
      <c r="KD61" s="874"/>
      <c r="KE61" s="874"/>
      <c r="KF61" s="874"/>
      <c r="KG61" s="874"/>
      <c r="KH61" s="865"/>
      <c r="KI61" s="865"/>
      <c r="KJ61" s="865"/>
      <c r="KK61" s="865"/>
      <c r="KL61" s="865"/>
      <c r="KM61" s="865"/>
      <c r="KN61" s="865"/>
      <c r="KO61" s="865"/>
      <c r="KP61" s="865"/>
      <c r="KQ61" s="865"/>
      <c r="KR61" s="865"/>
      <c r="KS61" s="865"/>
      <c r="KT61" s="865"/>
      <c r="KU61" s="865"/>
      <c r="KV61" s="865"/>
      <c r="KW61" s="865"/>
      <c r="KX61" s="865"/>
      <c r="KY61" s="865"/>
      <c r="KZ61" s="865"/>
      <c r="LA61" s="865"/>
      <c r="LB61" s="865"/>
      <c r="LC61" s="865"/>
      <c r="LD61" s="865"/>
      <c r="LE61" s="865"/>
      <c r="LF61" s="865"/>
    </row>
    <row r="62" spans="1:318" ht="24.45" customHeight="1">
      <c r="A62" s="2496"/>
      <c r="B62" s="2494"/>
      <c r="C62" s="2494"/>
      <c r="D62" s="2494"/>
      <c r="E62" s="2494"/>
      <c r="F62" s="511"/>
      <c r="G62" s="2496"/>
      <c r="H62" s="2494"/>
      <c r="I62" s="2494"/>
      <c r="J62" s="2494"/>
      <c r="K62" s="2494"/>
      <c r="L62" s="511"/>
      <c r="M62" s="2496"/>
      <c r="N62" s="2494"/>
      <c r="O62" s="2494"/>
      <c r="P62" s="2494"/>
      <c r="Q62" s="2494"/>
      <c r="R62" s="511"/>
      <c r="S62" s="2496"/>
      <c r="T62" s="2494"/>
      <c r="U62" s="2494"/>
      <c r="V62" s="2494"/>
      <c r="W62" s="2494"/>
      <c r="X62" s="511"/>
      <c r="Y62" s="2496"/>
      <c r="Z62" s="2494"/>
      <c r="AA62" s="2494"/>
      <c r="AB62" s="2494"/>
      <c r="AC62" s="2494"/>
      <c r="AD62" s="511"/>
      <c r="AE62" s="2496"/>
      <c r="AF62" s="2494"/>
      <c r="AG62" s="2494"/>
      <c r="AH62" s="2494"/>
      <c r="AI62" s="2494"/>
      <c r="AJ62" s="458"/>
      <c r="AK62" s="865"/>
      <c r="AL62" s="865"/>
      <c r="AM62" s="865"/>
      <c r="AN62" s="865"/>
      <c r="AO62" s="865"/>
      <c r="AP62" s="865"/>
      <c r="AQ62" s="865"/>
      <c r="AR62" s="865"/>
      <c r="AS62" s="865"/>
      <c r="AT62" s="865"/>
      <c r="AU62" s="865"/>
      <c r="AV62" s="865"/>
      <c r="AW62" s="865"/>
      <c r="AX62" s="865"/>
      <c r="AY62" s="865"/>
      <c r="AZ62" s="865"/>
      <c r="BA62" s="865"/>
      <c r="BB62" s="865"/>
      <c r="BC62" s="865"/>
      <c r="BD62" s="865"/>
      <c r="BE62" s="865"/>
      <c r="BF62" s="865"/>
      <c r="BG62" s="865"/>
      <c r="BH62" s="865"/>
      <c r="BI62" s="865"/>
      <c r="BJ62" s="865"/>
      <c r="BK62" s="865"/>
      <c r="BL62" s="865"/>
      <c r="BM62" s="865"/>
      <c r="BN62" s="865"/>
      <c r="BO62" s="865"/>
      <c r="BP62" s="865"/>
      <c r="BQ62" s="865"/>
      <c r="BR62" s="865"/>
      <c r="BS62" s="865"/>
      <c r="BT62" s="865"/>
      <c r="BU62" s="865"/>
      <c r="BV62" s="865"/>
      <c r="BW62" s="865"/>
      <c r="BX62" s="865"/>
      <c r="BY62" s="874"/>
      <c r="BZ62" s="2430"/>
      <c r="CA62" s="894"/>
      <c r="CB62" s="2433"/>
      <c r="CC62" s="2433"/>
      <c r="CD62" s="2433"/>
      <c r="CE62" s="2433"/>
      <c r="CF62" s="511"/>
      <c r="CG62" s="511"/>
      <c r="CH62" s="511"/>
      <c r="CI62" s="511"/>
      <c r="CJ62" s="511"/>
      <c r="CK62" s="511"/>
      <c r="CL62" s="511"/>
      <c r="CM62" s="511"/>
      <c r="CN62" s="511"/>
      <c r="CO62" s="511"/>
      <c r="CP62" s="511"/>
      <c r="CQ62" s="511"/>
      <c r="CR62" s="511"/>
      <c r="CS62" s="511"/>
      <c r="CT62" s="511"/>
      <c r="CU62" s="2430"/>
      <c r="CV62" s="894"/>
      <c r="CW62" s="2433"/>
      <c r="CX62" s="2433"/>
      <c r="CY62" s="2433"/>
      <c r="CZ62" s="2433"/>
      <c r="DA62" s="511"/>
      <c r="DB62" s="511"/>
      <c r="DC62" s="511"/>
      <c r="DD62" s="511"/>
      <c r="DE62" s="511"/>
      <c r="DF62" s="511"/>
      <c r="DG62" s="511"/>
      <c r="DH62" s="511"/>
      <c r="DI62" s="511"/>
      <c r="DJ62" s="511"/>
      <c r="DK62" s="511"/>
      <c r="DL62" s="511"/>
      <c r="DM62" s="511"/>
      <c r="DN62" s="511"/>
      <c r="DO62" s="511"/>
      <c r="DP62" s="2436"/>
      <c r="DQ62" s="896"/>
      <c r="DR62" s="2460"/>
      <c r="DS62" s="2460"/>
      <c r="DT62" s="2460"/>
      <c r="DU62" s="2460"/>
      <c r="DV62" s="511"/>
      <c r="DW62" s="511"/>
      <c r="DX62" s="511"/>
      <c r="DY62" s="511"/>
      <c r="DZ62" s="511"/>
      <c r="EA62" s="511"/>
      <c r="EB62" s="511"/>
      <c r="EC62" s="511"/>
      <c r="ED62" s="511"/>
      <c r="EE62" s="511"/>
      <c r="EF62" s="511"/>
      <c r="EG62" s="511"/>
      <c r="EH62" s="511"/>
      <c r="EI62" s="511"/>
      <c r="EJ62" s="511"/>
      <c r="EK62" s="2430"/>
      <c r="EL62" s="894"/>
      <c r="EM62" s="2433"/>
      <c r="EN62" s="2433"/>
      <c r="EO62" s="2433"/>
      <c r="EP62" s="2433"/>
      <c r="EQ62" s="511"/>
      <c r="ER62" s="511"/>
      <c r="ES62" s="511"/>
      <c r="ET62" s="511"/>
      <c r="EU62" s="511"/>
      <c r="EV62" s="511"/>
      <c r="EW62" s="511"/>
      <c r="EX62" s="511"/>
      <c r="EY62" s="511"/>
      <c r="EZ62" s="511"/>
      <c r="FA62" s="511"/>
      <c r="FB62" s="511"/>
      <c r="FC62" s="511"/>
      <c r="FD62" s="511"/>
      <c r="FE62" s="511"/>
      <c r="FF62" s="2436"/>
      <c r="FG62" s="896"/>
      <c r="FH62" s="2460"/>
      <c r="FI62" s="2460"/>
      <c r="FJ62" s="2460"/>
      <c r="FK62" s="2460"/>
      <c r="FL62" s="511"/>
      <c r="FM62" s="511"/>
      <c r="FN62" s="511"/>
      <c r="FO62" s="511"/>
      <c r="FP62" s="511"/>
      <c r="FQ62" s="511"/>
      <c r="FR62" s="511"/>
      <c r="FS62" s="511"/>
      <c r="FT62" s="511"/>
      <c r="FU62" s="511"/>
      <c r="FV62" s="511"/>
      <c r="FW62" s="511"/>
      <c r="FX62" s="511"/>
      <c r="FY62" s="511"/>
      <c r="FZ62" s="511"/>
      <c r="GA62" s="2430"/>
      <c r="GB62" s="894"/>
      <c r="GC62" s="2433"/>
      <c r="GD62" s="2433"/>
      <c r="GE62" s="2433"/>
      <c r="GF62" s="2433"/>
      <c r="GG62" s="511"/>
      <c r="GH62" s="511"/>
      <c r="GI62" s="511"/>
      <c r="GJ62" s="511"/>
      <c r="GK62" s="511"/>
      <c r="GL62" s="511"/>
      <c r="GM62" s="511"/>
      <c r="GN62" s="511"/>
      <c r="GO62" s="874"/>
      <c r="GP62" s="874"/>
      <c r="GQ62" s="874"/>
      <c r="GR62" s="874"/>
      <c r="GS62" s="874"/>
      <c r="GT62" s="874"/>
      <c r="GU62" s="874"/>
      <c r="GV62" s="874"/>
      <c r="GW62" s="874"/>
      <c r="GX62" s="874"/>
      <c r="GY62" s="874"/>
      <c r="GZ62" s="874"/>
      <c r="HA62" s="874"/>
      <c r="HB62" s="511"/>
      <c r="HC62" s="511"/>
      <c r="HD62" s="511"/>
      <c r="HE62" s="511"/>
      <c r="HF62" s="511"/>
      <c r="HG62" s="511"/>
      <c r="HH62" s="511"/>
      <c r="HI62" s="511"/>
      <c r="HJ62" s="874"/>
      <c r="HK62" s="874"/>
      <c r="HL62" s="874"/>
      <c r="HM62" s="874"/>
      <c r="HN62" s="874"/>
      <c r="HO62" s="874"/>
      <c r="HP62" s="874"/>
      <c r="HQ62" s="874"/>
      <c r="HR62" s="874"/>
      <c r="HS62" s="874"/>
      <c r="HT62" s="874"/>
      <c r="HU62" s="874"/>
      <c r="HV62" s="874"/>
      <c r="HW62" s="511"/>
      <c r="HX62" s="511"/>
      <c r="HY62" s="511"/>
      <c r="HZ62" s="511"/>
      <c r="IA62" s="511"/>
      <c r="IB62" s="511"/>
      <c r="IC62" s="511"/>
      <c r="ID62" s="511"/>
      <c r="IE62" s="874"/>
      <c r="IF62" s="874"/>
      <c r="IG62" s="874"/>
      <c r="IH62" s="874"/>
      <c r="II62" s="874"/>
      <c r="IJ62" s="874"/>
      <c r="IK62" s="874"/>
      <c r="IL62" s="874"/>
      <c r="IM62" s="874"/>
      <c r="IN62" s="874"/>
      <c r="IO62" s="874"/>
      <c r="IP62" s="874"/>
      <c r="IQ62" s="874"/>
      <c r="IR62" s="511"/>
      <c r="IS62" s="511"/>
      <c r="IT62" s="511"/>
      <c r="IU62" s="511"/>
      <c r="IV62" s="511"/>
      <c r="IW62" s="511"/>
      <c r="IX62" s="511"/>
      <c r="IY62" s="511"/>
      <c r="IZ62" s="874"/>
      <c r="JA62" s="874"/>
      <c r="JB62" s="874"/>
      <c r="JC62" s="874"/>
      <c r="JD62" s="874"/>
      <c r="JE62" s="874"/>
      <c r="JF62" s="874"/>
      <c r="JG62" s="874"/>
      <c r="JH62" s="874"/>
      <c r="JI62" s="874"/>
      <c r="JJ62" s="874"/>
      <c r="JK62" s="874"/>
      <c r="JL62" s="874"/>
      <c r="JM62" s="874"/>
      <c r="JN62" s="874"/>
      <c r="JO62" s="874"/>
      <c r="JP62" s="874"/>
      <c r="JQ62" s="874"/>
      <c r="JR62" s="874"/>
      <c r="JS62" s="874"/>
      <c r="JT62" s="874"/>
      <c r="JU62" s="874"/>
      <c r="JV62" s="874"/>
      <c r="JW62" s="874"/>
      <c r="JX62" s="874"/>
      <c r="JY62" s="874"/>
      <c r="JZ62" s="874"/>
      <c r="KA62" s="874"/>
      <c r="KB62" s="874"/>
      <c r="KC62" s="874"/>
      <c r="KD62" s="874"/>
      <c r="KE62" s="874"/>
      <c r="KF62" s="874"/>
      <c r="KG62" s="874"/>
      <c r="KH62" s="865"/>
      <c r="KI62" s="865"/>
      <c r="KJ62" s="865"/>
      <c r="KK62" s="865"/>
      <c r="KL62" s="865"/>
      <c r="KM62" s="865"/>
      <c r="KN62" s="865"/>
      <c r="KO62" s="865"/>
      <c r="KP62" s="865"/>
      <c r="KQ62" s="865"/>
      <c r="KR62" s="865"/>
      <c r="KS62" s="865"/>
      <c r="KT62" s="865"/>
      <c r="KU62" s="865"/>
      <c r="KV62" s="865"/>
      <c r="KW62" s="865"/>
      <c r="KX62" s="865"/>
      <c r="KY62" s="865"/>
      <c r="KZ62" s="865"/>
      <c r="LA62" s="865"/>
      <c r="LB62" s="865"/>
      <c r="LC62" s="865"/>
      <c r="LD62" s="865"/>
      <c r="LE62" s="865"/>
      <c r="LF62" s="865"/>
    </row>
    <row r="63" spans="1:318" ht="24.45" customHeight="1" thickBot="1">
      <c r="A63" s="2497"/>
      <c r="B63" s="2495"/>
      <c r="C63" s="2495"/>
      <c r="D63" s="2495"/>
      <c r="E63" s="2495"/>
      <c r="F63" s="513"/>
      <c r="G63" s="2497"/>
      <c r="H63" s="2495"/>
      <c r="I63" s="2495"/>
      <c r="J63" s="2495"/>
      <c r="K63" s="2495"/>
      <c r="L63" s="513"/>
      <c r="M63" s="2497"/>
      <c r="N63" s="2495"/>
      <c r="O63" s="2495"/>
      <c r="P63" s="2495"/>
      <c r="Q63" s="2495"/>
      <c r="R63" s="513"/>
      <c r="S63" s="2497"/>
      <c r="T63" s="2495"/>
      <c r="U63" s="2495"/>
      <c r="V63" s="2495"/>
      <c r="W63" s="2495"/>
      <c r="X63" s="513"/>
      <c r="Y63" s="2497"/>
      <c r="Z63" s="2495"/>
      <c r="AA63" s="2495"/>
      <c r="AB63" s="2495"/>
      <c r="AC63" s="2495"/>
      <c r="AD63" s="513"/>
      <c r="AE63" s="2497"/>
      <c r="AF63" s="2495"/>
      <c r="AG63" s="2495"/>
      <c r="AH63" s="2495"/>
      <c r="AI63" s="2495"/>
      <c r="AJ63" s="458"/>
      <c r="AK63" s="865"/>
      <c r="AL63" s="865"/>
      <c r="AM63" s="865"/>
      <c r="AN63" s="865"/>
      <c r="AO63" s="865"/>
      <c r="AP63" s="865"/>
      <c r="AQ63" s="865"/>
      <c r="AR63" s="865"/>
      <c r="AS63" s="865"/>
      <c r="AT63" s="865"/>
      <c r="AU63" s="865"/>
      <c r="AV63" s="865"/>
      <c r="AW63" s="865"/>
      <c r="AX63" s="865"/>
      <c r="AY63" s="865"/>
      <c r="AZ63" s="865"/>
      <c r="BA63" s="865"/>
      <c r="BB63" s="865"/>
      <c r="BC63" s="865"/>
      <c r="BD63" s="865"/>
      <c r="BE63" s="865"/>
      <c r="BF63" s="865"/>
      <c r="BG63" s="865"/>
      <c r="BH63" s="865"/>
      <c r="BI63" s="865"/>
      <c r="BJ63" s="865"/>
      <c r="BK63" s="865"/>
      <c r="BL63" s="865"/>
      <c r="BM63" s="865"/>
      <c r="BN63" s="865"/>
      <c r="BO63" s="865"/>
      <c r="BP63" s="865"/>
      <c r="BQ63" s="865"/>
      <c r="BR63" s="865"/>
      <c r="BS63" s="865"/>
      <c r="BT63" s="865"/>
      <c r="BU63" s="865"/>
      <c r="BV63" s="865"/>
      <c r="BW63" s="865"/>
      <c r="BX63" s="865"/>
      <c r="BY63" s="874"/>
      <c r="BZ63" s="2447"/>
      <c r="CA63" s="897"/>
      <c r="CB63" s="2434"/>
      <c r="CC63" s="2434"/>
      <c r="CD63" s="2434"/>
      <c r="CE63" s="2434"/>
      <c r="CF63" s="513"/>
      <c r="CG63" s="513"/>
      <c r="CH63" s="513"/>
      <c r="CI63" s="513"/>
      <c r="CJ63" s="513"/>
      <c r="CK63" s="513"/>
      <c r="CL63" s="513"/>
      <c r="CM63" s="513"/>
      <c r="CN63" s="513"/>
      <c r="CO63" s="513"/>
      <c r="CP63" s="513"/>
      <c r="CQ63" s="513"/>
      <c r="CR63" s="513"/>
      <c r="CS63" s="513"/>
      <c r="CT63" s="513"/>
      <c r="CU63" s="2447"/>
      <c r="CV63" s="897"/>
      <c r="CW63" s="2434"/>
      <c r="CX63" s="2434"/>
      <c r="CY63" s="2434"/>
      <c r="CZ63" s="2434"/>
      <c r="DA63" s="513"/>
      <c r="DB63" s="513"/>
      <c r="DC63" s="513"/>
      <c r="DD63" s="513"/>
      <c r="DE63" s="513"/>
      <c r="DF63" s="513"/>
      <c r="DG63" s="513"/>
      <c r="DH63" s="513"/>
      <c r="DI63" s="513"/>
      <c r="DJ63" s="513"/>
      <c r="DK63" s="513"/>
      <c r="DL63" s="513"/>
      <c r="DM63" s="513"/>
      <c r="DN63" s="513"/>
      <c r="DO63" s="513"/>
      <c r="DP63" s="2437"/>
      <c r="DQ63" s="898"/>
      <c r="DR63" s="2461"/>
      <c r="DS63" s="2461"/>
      <c r="DT63" s="2461"/>
      <c r="DU63" s="2461"/>
      <c r="DV63" s="513"/>
      <c r="DW63" s="513"/>
      <c r="DX63" s="513"/>
      <c r="DY63" s="513"/>
      <c r="DZ63" s="513"/>
      <c r="EA63" s="513"/>
      <c r="EB63" s="513"/>
      <c r="EC63" s="513"/>
      <c r="ED63" s="513"/>
      <c r="EE63" s="513"/>
      <c r="EF63" s="513"/>
      <c r="EG63" s="513"/>
      <c r="EH63" s="513"/>
      <c r="EI63" s="513"/>
      <c r="EJ63" s="513"/>
      <c r="EK63" s="2447"/>
      <c r="EL63" s="897"/>
      <c r="EM63" s="2434"/>
      <c r="EN63" s="2434"/>
      <c r="EO63" s="2434"/>
      <c r="EP63" s="2434"/>
      <c r="EQ63" s="513"/>
      <c r="ER63" s="513"/>
      <c r="ES63" s="513"/>
      <c r="ET63" s="513"/>
      <c r="EU63" s="513"/>
      <c r="EV63" s="513"/>
      <c r="EW63" s="513"/>
      <c r="EX63" s="513"/>
      <c r="EY63" s="513"/>
      <c r="EZ63" s="513"/>
      <c r="FA63" s="513"/>
      <c r="FB63" s="513"/>
      <c r="FC63" s="513"/>
      <c r="FD63" s="513"/>
      <c r="FE63" s="513"/>
      <c r="FF63" s="2437"/>
      <c r="FG63" s="898"/>
      <c r="FH63" s="2461"/>
      <c r="FI63" s="2461"/>
      <c r="FJ63" s="2461"/>
      <c r="FK63" s="2461"/>
      <c r="FL63" s="513"/>
      <c r="FM63" s="513"/>
      <c r="FN63" s="513"/>
      <c r="FO63" s="513"/>
      <c r="FP63" s="513"/>
      <c r="FQ63" s="513"/>
      <c r="FR63" s="513"/>
      <c r="FS63" s="513"/>
      <c r="FT63" s="513"/>
      <c r="FU63" s="513"/>
      <c r="FV63" s="513"/>
      <c r="FW63" s="513"/>
      <c r="FX63" s="513"/>
      <c r="FY63" s="513"/>
      <c r="FZ63" s="513"/>
      <c r="GA63" s="2447"/>
      <c r="GB63" s="897"/>
      <c r="GC63" s="2434"/>
      <c r="GD63" s="2434"/>
      <c r="GE63" s="2434"/>
      <c r="GF63" s="2434"/>
      <c r="GG63" s="513"/>
      <c r="GH63" s="513"/>
      <c r="GI63" s="513"/>
      <c r="GJ63" s="513"/>
      <c r="GK63" s="513"/>
      <c r="GL63" s="513"/>
      <c r="GM63" s="513"/>
      <c r="GN63" s="513"/>
      <c r="GO63" s="874"/>
      <c r="GP63" s="874"/>
      <c r="GQ63" s="874"/>
      <c r="GR63" s="874"/>
      <c r="GS63" s="874"/>
      <c r="GT63" s="874"/>
      <c r="GU63" s="874"/>
      <c r="GV63" s="874"/>
      <c r="GW63" s="874"/>
      <c r="GX63" s="874"/>
      <c r="GY63" s="874"/>
      <c r="GZ63" s="874"/>
      <c r="HA63" s="874"/>
      <c r="HB63" s="513"/>
      <c r="HC63" s="513"/>
      <c r="HD63" s="513"/>
      <c r="HE63" s="513"/>
      <c r="HF63" s="513"/>
      <c r="HG63" s="513"/>
      <c r="HH63" s="513"/>
      <c r="HI63" s="513"/>
      <c r="HJ63" s="874"/>
      <c r="HK63" s="874"/>
      <c r="HL63" s="874"/>
      <c r="HM63" s="874"/>
      <c r="HN63" s="874"/>
      <c r="HO63" s="874"/>
      <c r="HP63" s="874"/>
      <c r="HQ63" s="874"/>
      <c r="HR63" s="874"/>
      <c r="HS63" s="874"/>
      <c r="HT63" s="874"/>
      <c r="HU63" s="874"/>
      <c r="HV63" s="874"/>
      <c r="HW63" s="513"/>
      <c r="HX63" s="513"/>
      <c r="HY63" s="513"/>
      <c r="HZ63" s="513"/>
      <c r="IA63" s="513"/>
      <c r="IB63" s="513"/>
      <c r="IC63" s="513"/>
      <c r="ID63" s="513"/>
      <c r="IE63" s="874"/>
      <c r="IF63" s="874"/>
      <c r="IG63" s="874"/>
      <c r="IH63" s="874"/>
      <c r="II63" s="874"/>
      <c r="IJ63" s="874"/>
      <c r="IK63" s="874"/>
      <c r="IL63" s="874"/>
      <c r="IM63" s="874"/>
      <c r="IN63" s="874"/>
      <c r="IO63" s="874"/>
      <c r="IP63" s="874"/>
      <c r="IQ63" s="874"/>
      <c r="IR63" s="513"/>
      <c r="IS63" s="513"/>
      <c r="IT63" s="513"/>
      <c r="IU63" s="513"/>
      <c r="IV63" s="513"/>
      <c r="IW63" s="513"/>
      <c r="IX63" s="513"/>
      <c r="IY63" s="513"/>
      <c r="IZ63" s="874"/>
      <c r="JA63" s="874"/>
      <c r="JB63" s="874"/>
      <c r="JC63" s="874"/>
      <c r="JD63" s="874"/>
      <c r="JE63" s="874"/>
      <c r="JF63" s="874"/>
      <c r="JG63" s="874"/>
      <c r="JH63" s="874"/>
      <c r="JI63" s="874"/>
      <c r="JJ63" s="874"/>
      <c r="JK63" s="874"/>
      <c r="JL63" s="874"/>
      <c r="JM63" s="874"/>
      <c r="JN63" s="874"/>
      <c r="JO63" s="874"/>
      <c r="JP63" s="874"/>
      <c r="JQ63" s="874"/>
      <c r="JR63" s="874"/>
      <c r="JS63" s="874"/>
      <c r="JT63" s="874"/>
      <c r="JU63" s="874"/>
      <c r="JV63" s="874"/>
      <c r="JW63" s="874"/>
      <c r="JX63" s="874"/>
      <c r="JY63" s="874"/>
      <c r="JZ63" s="874"/>
      <c r="KA63" s="874"/>
      <c r="KB63" s="874"/>
      <c r="KC63" s="874"/>
      <c r="KD63" s="874"/>
      <c r="KE63" s="874"/>
      <c r="KF63" s="874"/>
      <c r="KG63" s="874"/>
      <c r="KH63" s="865"/>
      <c r="KI63" s="865"/>
      <c r="KJ63" s="865"/>
      <c r="KK63" s="865"/>
      <c r="KL63" s="865"/>
      <c r="KM63" s="865"/>
      <c r="KN63" s="865"/>
      <c r="KO63" s="865"/>
      <c r="KP63" s="865"/>
      <c r="KQ63" s="865"/>
      <c r="KR63" s="865"/>
      <c r="KS63" s="865"/>
      <c r="KT63" s="865"/>
      <c r="KU63" s="865"/>
      <c r="KV63" s="865"/>
      <c r="KW63" s="865"/>
      <c r="KX63" s="865"/>
      <c r="KY63" s="865"/>
      <c r="KZ63" s="865"/>
      <c r="LA63" s="865"/>
      <c r="LB63" s="865"/>
      <c r="LC63" s="865"/>
      <c r="LD63" s="865"/>
      <c r="LE63" s="865"/>
      <c r="LF63" s="865"/>
    </row>
    <row r="64" spans="1:318" ht="15.45" hidden="1" customHeight="1">
      <c r="B64" s="505"/>
      <c r="C64" s="505"/>
      <c r="D64" s="505"/>
      <c r="E64" s="505"/>
      <c r="H64" s="505"/>
      <c r="I64" s="505"/>
      <c r="J64" s="505"/>
      <c r="K64" s="505"/>
      <c r="N64" s="505"/>
      <c r="O64" s="505"/>
      <c r="P64" s="505"/>
      <c r="Q64" s="505"/>
      <c r="R64" s="865"/>
      <c r="T64" s="505"/>
      <c r="U64" s="505"/>
      <c r="V64" s="505"/>
      <c r="W64" s="505"/>
      <c r="X64" s="865"/>
      <c r="Z64" s="505"/>
      <c r="AA64" s="505"/>
      <c r="AB64" s="505"/>
      <c r="AC64" s="505"/>
      <c r="AD64" s="510"/>
      <c r="AF64" s="505"/>
      <c r="AG64" s="505"/>
      <c r="AH64" s="505"/>
      <c r="AI64" s="505"/>
      <c r="AJ64" s="458"/>
      <c r="AK64" s="865"/>
      <c r="AL64" s="865"/>
      <c r="AM64" s="865"/>
      <c r="AN64" s="865"/>
      <c r="AO64" s="865"/>
      <c r="AP64" s="865"/>
      <c r="AQ64" s="865"/>
      <c r="AR64" s="865"/>
      <c r="AS64" s="865"/>
      <c r="AT64" s="865"/>
      <c r="AU64" s="865"/>
      <c r="AV64" s="865"/>
      <c r="AW64" s="865"/>
      <c r="AX64" s="865"/>
      <c r="AY64" s="865"/>
      <c r="AZ64" s="865"/>
      <c r="BA64" s="865"/>
      <c r="BB64" s="865"/>
      <c r="BC64" s="865"/>
      <c r="BD64" s="865"/>
      <c r="BE64" s="865"/>
      <c r="BF64" s="865"/>
      <c r="BG64" s="865"/>
      <c r="BH64" s="865"/>
      <c r="BI64" s="865"/>
      <c r="BJ64" s="865"/>
      <c r="BK64" s="865"/>
      <c r="BL64" s="865"/>
      <c r="BM64" s="865"/>
      <c r="BN64" s="865"/>
      <c r="BO64" s="865"/>
      <c r="BP64" s="865"/>
      <c r="BQ64" s="865"/>
      <c r="BR64" s="865"/>
      <c r="BS64" s="865"/>
      <c r="BT64" s="865"/>
      <c r="BU64" s="865"/>
      <c r="BV64" s="865"/>
      <c r="BW64" s="865"/>
      <c r="BX64" s="865"/>
      <c r="BY64" s="874"/>
      <c r="BZ64" s="874"/>
      <c r="CA64" s="874"/>
      <c r="CB64" s="874"/>
      <c r="CC64" s="874"/>
      <c r="CD64" s="874"/>
      <c r="CE64" s="874"/>
      <c r="CF64" s="874"/>
      <c r="CG64" s="874"/>
      <c r="CH64" s="874"/>
      <c r="CI64" s="874"/>
      <c r="CJ64" s="874"/>
      <c r="CK64" s="874"/>
      <c r="CL64" s="874"/>
      <c r="CM64" s="874"/>
      <c r="CN64" s="874"/>
      <c r="CO64" s="874"/>
      <c r="CP64" s="874"/>
      <c r="CQ64" s="874"/>
      <c r="CR64" s="874"/>
      <c r="CS64" s="874"/>
      <c r="CT64" s="874"/>
      <c r="CU64" s="874"/>
      <c r="CV64" s="874"/>
      <c r="CW64" s="874"/>
      <c r="CX64" s="874"/>
      <c r="CY64" s="874"/>
      <c r="CZ64" s="874"/>
      <c r="DA64" s="874"/>
      <c r="DB64" s="874"/>
      <c r="DC64" s="874"/>
      <c r="DD64" s="874"/>
      <c r="DE64" s="874"/>
      <c r="DF64" s="874"/>
      <c r="DG64" s="874"/>
      <c r="DH64" s="874"/>
      <c r="DI64" s="874"/>
      <c r="DJ64" s="874"/>
      <c r="DK64" s="874"/>
      <c r="DL64" s="874"/>
      <c r="DM64" s="874"/>
      <c r="DN64" s="874"/>
      <c r="DO64" s="874"/>
      <c r="DP64" s="874"/>
      <c r="DQ64" s="874"/>
      <c r="DR64" s="874"/>
      <c r="DS64" s="874"/>
      <c r="DT64" s="874"/>
      <c r="DU64" s="874"/>
      <c r="DV64" s="874"/>
      <c r="DW64" s="874"/>
      <c r="DX64" s="874"/>
      <c r="DY64" s="874"/>
      <c r="DZ64" s="874"/>
      <c r="EA64" s="874"/>
      <c r="EB64" s="874"/>
      <c r="EC64" s="874"/>
      <c r="ED64" s="874"/>
      <c r="EE64" s="874"/>
      <c r="EF64" s="874"/>
      <c r="EG64" s="874"/>
      <c r="EH64" s="874"/>
      <c r="EI64" s="874"/>
      <c r="EJ64" s="874"/>
      <c r="EK64" s="874"/>
      <c r="EL64" s="874"/>
      <c r="EM64" s="874"/>
      <c r="EN64" s="874"/>
      <c r="EO64" s="874"/>
      <c r="EP64" s="874"/>
      <c r="EQ64" s="874"/>
      <c r="ER64" s="874"/>
      <c r="ES64" s="874"/>
      <c r="ET64" s="874"/>
      <c r="EU64" s="874"/>
      <c r="EV64" s="874"/>
      <c r="EW64" s="874"/>
      <c r="EX64" s="874"/>
      <c r="EY64" s="874"/>
      <c r="EZ64" s="874"/>
      <c r="FA64" s="874"/>
      <c r="FB64" s="874"/>
      <c r="FC64" s="874"/>
      <c r="FD64" s="874"/>
      <c r="FE64" s="874"/>
      <c r="FF64" s="874"/>
      <c r="FG64" s="874"/>
      <c r="FH64" s="874"/>
      <c r="FI64" s="874"/>
      <c r="FJ64" s="874"/>
      <c r="FK64" s="874"/>
      <c r="FL64" s="874"/>
      <c r="FM64" s="874"/>
      <c r="FN64" s="874"/>
      <c r="FO64" s="874"/>
      <c r="FP64" s="874"/>
      <c r="FQ64" s="874"/>
      <c r="FR64" s="874"/>
      <c r="FS64" s="874"/>
      <c r="FT64" s="874"/>
      <c r="FU64" s="874"/>
      <c r="FV64" s="874"/>
      <c r="FW64" s="874"/>
      <c r="FX64" s="874"/>
      <c r="FY64" s="874"/>
      <c r="FZ64" s="874"/>
      <c r="GA64" s="874"/>
      <c r="GB64" s="874"/>
      <c r="GC64" s="874"/>
      <c r="GD64" s="874"/>
      <c r="GE64" s="874"/>
      <c r="GF64" s="874"/>
      <c r="GG64" s="874"/>
      <c r="GH64" s="874"/>
      <c r="GI64" s="874"/>
      <c r="GJ64" s="874"/>
      <c r="GK64" s="874"/>
      <c r="GL64" s="874"/>
      <c r="GM64" s="874"/>
      <c r="GN64" s="874"/>
      <c r="GO64" s="874"/>
      <c r="GP64" s="874"/>
      <c r="GQ64" s="874"/>
      <c r="GR64" s="874"/>
      <c r="GS64" s="874"/>
      <c r="GT64" s="874"/>
      <c r="GU64" s="874"/>
      <c r="GV64" s="874"/>
      <c r="GW64" s="874"/>
      <c r="GX64" s="874"/>
      <c r="GY64" s="874"/>
      <c r="GZ64" s="874"/>
      <c r="HA64" s="874"/>
      <c r="HB64" s="874"/>
      <c r="HC64" s="874"/>
      <c r="HD64" s="874"/>
      <c r="HE64" s="874"/>
      <c r="HF64" s="874"/>
      <c r="HG64" s="874"/>
      <c r="HH64" s="874"/>
      <c r="HI64" s="874"/>
      <c r="HJ64" s="874"/>
      <c r="HK64" s="874"/>
      <c r="HL64" s="874"/>
      <c r="HM64" s="874"/>
      <c r="HN64" s="874"/>
      <c r="HO64" s="874"/>
      <c r="HP64" s="874"/>
      <c r="HQ64" s="874"/>
      <c r="HR64" s="874"/>
      <c r="HS64" s="874"/>
      <c r="HT64" s="874"/>
      <c r="HU64" s="874"/>
      <c r="HV64" s="874"/>
      <c r="HW64" s="874"/>
      <c r="HX64" s="874"/>
      <c r="HY64" s="874"/>
      <c r="HZ64" s="874"/>
      <c r="IA64" s="874"/>
      <c r="IB64" s="874"/>
      <c r="IC64" s="874"/>
      <c r="ID64" s="874"/>
      <c r="IE64" s="874"/>
      <c r="IF64" s="874"/>
      <c r="IG64" s="874"/>
      <c r="IH64" s="874"/>
      <c r="II64" s="874"/>
      <c r="IJ64" s="874"/>
      <c r="IK64" s="874"/>
      <c r="IL64" s="874"/>
      <c r="IM64" s="874"/>
      <c r="IN64" s="874"/>
      <c r="IO64" s="874"/>
      <c r="IP64" s="874"/>
      <c r="IQ64" s="874"/>
      <c r="IR64" s="874"/>
      <c r="IS64" s="874"/>
      <c r="IT64" s="874"/>
      <c r="IU64" s="874"/>
      <c r="IV64" s="874"/>
      <c r="IW64" s="874"/>
      <c r="IX64" s="874"/>
      <c r="IY64" s="874"/>
      <c r="IZ64" s="874"/>
      <c r="JA64" s="874"/>
      <c r="JB64" s="874"/>
      <c r="JC64" s="874"/>
      <c r="JD64" s="874"/>
      <c r="JE64" s="874"/>
      <c r="JF64" s="874"/>
      <c r="JG64" s="874"/>
      <c r="JH64" s="874"/>
      <c r="JI64" s="874"/>
      <c r="JJ64" s="874"/>
      <c r="JK64" s="874"/>
      <c r="JL64" s="874"/>
      <c r="JM64" s="874"/>
      <c r="JN64" s="874"/>
      <c r="JO64" s="874"/>
      <c r="JP64" s="874"/>
      <c r="JQ64" s="874"/>
      <c r="JR64" s="874"/>
      <c r="JS64" s="874"/>
      <c r="JT64" s="874"/>
      <c r="JU64" s="874"/>
      <c r="JV64" s="874"/>
      <c r="JW64" s="874"/>
      <c r="JX64" s="874"/>
      <c r="JY64" s="874"/>
      <c r="JZ64" s="874"/>
      <c r="KA64" s="874"/>
      <c r="KB64" s="874"/>
      <c r="KC64" s="874"/>
      <c r="KD64" s="874"/>
      <c r="KE64" s="874"/>
      <c r="KF64" s="874"/>
      <c r="KG64" s="874"/>
      <c r="KH64" s="865"/>
      <c r="KI64" s="865"/>
      <c r="KJ64" s="865"/>
      <c r="KK64" s="865"/>
      <c r="KL64" s="865"/>
      <c r="KM64" s="865"/>
      <c r="KN64" s="865"/>
      <c r="KO64" s="865"/>
      <c r="KP64" s="865"/>
      <c r="KQ64" s="865"/>
      <c r="KR64" s="865"/>
      <c r="KS64" s="865"/>
      <c r="KT64" s="865"/>
      <c r="KU64" s="865"/>
      <c r="KV64" s="865"/>
      <c r="KW64" s="865"/>
      <c r="KX64" s="865"/>
      <c r="KY64" s="865"/>
      <c r="KZ64" s="865"/>
      <c r="LA64" s="865"/>
      <c r="LB64" s="865"/>
      <c r="LC64" s="865"/>
      <c r="LD64" s="865"/>
      <c r="LE64" s="865"/>
      <c r="LF64" s="865"/>
    </row>
    <row r="65" spans="1:318" ht="15.45" hidden="1" customHeight="1">
      <c r="B65" s="505"/>
      <c r="C65" s="505"/>
      <c r="D65" s="505"/>
      <c r="E65" s="505"/>
      <c r="H65" s="505"/>
      <c r="I65" s="505"/>
      <c r="J65" s="505"/>
      <c r="K65" s="505"/>
      <c r="N65" s="505"/>
      <c r="O65" s="505"/>
      <c r="P65" s="505"/>
      <c r="Q65" s="505"/>
      <c r="R65" s="865"/>
      <c r="T65" s="505"/>
      <c r="U65" s="505"/>
      <c r="V65" s="505"/>
      <c r="W65" s="505"/>
      <c r="X65" s="865"/>
      <c r="Z65" s="505"/>
      <c r="AA65" s="505"/>
      <c r="AB65" s="505"/>
      <c r="AC65" s="505"/>
      <c r="AD65" s="510"/>
      <c r="AF65" s="505"/>
      <c r="AG65" s="505"/>
      <c r="AH65" s="505"/>
      <c r="AI65" s="505"/>
      <c r="AJ65" s="458"/>
      <c r="AK65" s="865"/>
      <c r="AL65" s="865"/>
      <c r="AM65" s="865"/>
      <c r="AN65" s="865"/>
      <c r="AO65" s="865"/>
      <c r="AP65" s="865"/>
      <c r="AQ65" s="865"/>
      <c r="AR65" s="865"/>
      <c r="AS65" s="865"/>
      <c r="AT65" s="865"/>
      <c r="AU65" s="865"/>
      <c r="AV65" s="865"/>
      <c r="AW65" s="865"/>
      <c r="AX65" s="865"/>
      <c r="AY65" s="865"/>
      <c r="AZ65" s="865"/>
      <c r="BA65" s="865"/>
      <c r="BB65" s="865"/>
      <c r="BC65" s="865"/>
      <c r="BD65" s="865"/>
      <c r="BE65" s="865"/>
      <c r="BF65" s="865"/>
      <c r="BG65" s="865"/>
      <c r="BH65" s="865"/>
      <c r="BI65" s="865"/>
      <c r="BJ65" s="865"/>
      <c r="BK65" s="865"/>
      <c r="BL65" s="865"/>
      <c r="BM65" s="865"/>
      <c r="BN65" s="865"/>
      <c r="BO65" s="865"/>
      <c r="BP65" s="865"/>
      <c r="BQ65" s="865"/>
      <c r="BR65" s="865"/>
      <c r="BS65" s="865"/>
      <c r="BT65" s="865"/>
      <c r="BU65" s="865"/>
      <c r="BV65" s="865"/>
      <c r="BW65" s="865"/>
      <c r="BX65" s="865"/>
      <c r="BY65" s="874"/>
      <c r="BZ65" s="874"/>
      <c r="CA65" s="874"/>
      <c r="CB65" s="874"/>
      <c r="CC65" s="874"/>
      <c r="CD65" s="874"/>
      <c r="CE65" s="874"/>
      <c r="CF65" s="874"/>
      <c r="CG65" s="874"/>
      <c r="CH65" s="874"/>
      <c r="CI65" s="874"/>
      <c r="CJ65" s="874"/>
      <c r="CK65" s="874"/>
      <c r="CL65" s="874"/>
      <c r="CM65" s="874"/>
      <c r="CN65" s="874"/>
      <c r="CO65" s="874"/>
      <c r="CP65" s="874"/>
      <c r="CQ65" s="874"/>
      <c r="CR65" s="874"/>
      <c r="CS65" s="874"/>
      <c r="CT65" s="874"/>
      <c r="CU65" s="874"/>
      <c r="CV65" s="874"/>
      <c r="CW65" s="874"/>
      <c r="CX65" s="874"/>
      <c r="CY65" s="874"/>
      <c r="CZ65" s="874"/>
      <c r="DA65" s="874"/>
      <c r="DB65" s="874"/>
      <c r="DC65" s="874"/>
      <c r="DD65" s="874"/>
      <c r="DE65" s="874"/>
      <c r="DF65" s="874"/>
      <c r="DG65" s="874"/>
      <c r="DH65" s="874"/>
      <c r="DI65" s="874"/>
      <c r="DJ65" s="874"/>
      <c r="DK65" s="874"/>
      <c r="DL65" s="874"/>
      <c r="DM65" s="874"/>
      <c r="DN65" s="874"/>
      <c r="DO65" s="874"/>
      <c r="DP65" s="874"/>
      <c r="DQ65" s="874"/>
      <c r="DR65" s="874"/>
      <c r="DS65" s="874"/>
      <c r="DT65" s="874"/>
      <c r="DU65" s="874"/>
      <c r="DV65" s="874"/>
      <c r="DW65" s="874"/>
      <c r="DX65" s="874"/>
      <c r="DY65" s="874"/>
      <c r="DZ65" s="874"/>
      <c r="EA65" s="874"/>
      <c r="EB65" s="874"/>
      <c r="EC65" s="874"/>
      <c r="ED65" s="874"/>
      <c r="EE65" s="874"/>
      <c r="EF65" s="874"/>
      <c r="EG65" s="874"/>
      <c r="EH65" s="874"/>
      <c r="EI65" s="874"/>
      <c r="EJ65" s="874"/>
      <c r="EK65" s="874"/>
      <c r="EL65" s="874"/>
      <c r="EM65" s="874"/>
      <c r="EN65" s="874"/>
      <c r="EO65" s="874"/>
      <c r="EP65" s="874"/>
      <c r="EQ65" s="874"/>
      <c r="ER65" s="874"/>
      <c r="ES65" s="874"/>
      <c r="ET65" s="874"/>
      <c r="EU65" s="874"/>
      <c r="EV65" s="874"/>
      <c r="EW65" s="874"/>
      <c r="EX65" s="874"/>
      <c r="EY65" s="874"/>
      <c r="EZ65" s="874"/>
      <c r="FA65" s="874"/>
      <c r="FB65" s="874"/>
      <c r="FC65" s="874"/>
      <c r="FD65" s="874"/>
      <c r="FE65" s="874"/>
      <c r="FF65" s="874"/>
      <c r="FG65" s="874"/>
      <c r="FH65" s="874"/>
      <c r="FI65" s="874"/>
      <c r="FJ65" s="874"/>
      <c r="FK65" s="874"/>
      <c r="FL65" s="874"/>
      <c r="FM65" s="874"/>
      <c r="FN65" s="874"/>
      <c r="FO65" s="874"/>
      <c r="FP65" s="874"/>
      <c r="FQ65" s="874"/>
      <c r="FR65" s="874"/>
      <c r="FS65" s="874"/>
      <c r="FT65" s="874"/>
      <c r="FU65" s="874"/>
      <c r="FV65" s="874"/>
      <c r="FW65" s="874"/>
      <c r="FX65" s="874"/>
      <c r="FY65" s="874"/>
      <c r="FZ65" s="874"/>
      <c r="GA65" s="874"/>
      <c r="GB65" s="874"/>
      <c r="GC65" s="874"/>
      <c r="GD65" s="874"/>
      <c r="GE65" s="874"/>
      <c r="GF65" s="874"/>
      <c r="GG65" s="874"/>
      <c r="GH65" s="874"/>
      <c r="GI65" s="874"/>
      <c r="GJ65" s="874"/>
      <c r="GK65" s="874"/>
      <c r="GL65" s="874"/>
      <c r="GM65" s="874"/>
      <c r="GN65" s="874"/>
      <c r="GO65" s="874"/>
      <c r="GP65" s="874"/>
      <c r="GQ65" s="874"/>
      <c r="GR65" s="874"/>
      <c r="GS65" s="874"/>
      <c r="GT65" s="874"/>
      <c r="GU65" s="874"/>
      <c r="GV65" s="874"/>
      <c r="GW65" s="874"/>
      <c r="GX65" s="874"/>
      <c r="GY65" s="874"/>
      <c r="GZ65" s="874"/>
      <c r="HA65" s="874"/>
      <c r="HB65" s="874"/>
      <c r="HC65" s="874"/>
      <c r="HD65" s="874"/>
      <c r="HE65" s="874"/>
      <c r="HF65" s="874"/>
      <c r="HG65" s="874"/>
      <c r="HH65" s="874"/>
      <c r="HI65" s="874"/>
      <c r="HJ65" s="874"/>
      <c r="HK65" s="874"/>
      <c r="HL65" s="874"/>
      <c r="HM65" s="874"/>
      <c r="HN65" s="874"/>
      <c r="HO65" s="874"/>
      <c r="HP65" s="874"/>
      <c r="HQ65" s="874"/>
      <c r="HR65" s="874"/>
      <c r="HS65" s="874"/>
      <c r="HT65" s="874"/>
      <c r="HU65" s="874"/>
      <c r="HV65" s="874"/>
      <c r="HW65" s="874"/>
      <c r="HX65" s="874"/>
      <c r="HY65" s="874"/>
      <c r="HZ65" s="874"/>
      <c r="IA65" s="874"/>
      <c r="IB65" s="874"/>
      <c r="IC65" s="874"/>
      <c r="ID65" s="874"/>
      <c r="IE65" s="874"/>
      <c r="IF65" s="874"/>
      <c r="IG65" s="874"/>
      <c r="IH65" s="874"/>
      <c r="II65" s="874"/>
      <c r="IJ65" s="874"/>
      <c r="IK65" s="874"/>
      <c r="IL65" s="874"/>
      <c r="IM65" s="874"/>
      <c r="IN65" s="874"/>
      <c r="IO65" s="874"/>
      <c r="IP65" s="874"/>
      <c r="IQ65" s="874"/>
      <c r="IR65" s="874"/>
      <c r="IS65" s="874"/>
      <c r="IT65" s="874"/>
      <c r="IU65" s="874"/>
      <c r="IV65" s="874"/>
      <c r="IW65" s="874"/>
      <c r="IX65" s="874"/>
      <c r="IY65" s="874"/>
      <c r="IZ65" s="874"/>
      <c r="JA65" s="874"/>
      <c r="JB65" s="874"/>
      <c r="JC65" s="874"/>
      <c r="JD65" s="874"/>
      <c r="JE65" s="874"/>
      <c r="JF65" s="874"/>
      <c r="JG65" s="874"/>
      <c r="JH65" s="874"/>
      <c r="JI65" s="874"/>
      <c r="JJ65" s="874"/>
      <c r="JK65" s="874"/>
      <c r="JL65" s="874"/>
      <c r="JM65" s="874"/>
      <c r="JN65" s="874"/>
      <c r="JO65" s="874"/>
      <c r="JP65" s="874"/>
      <c r="JQ65" s="874"/>
      <c r="JR65" s="874"/>
      <c r="JS65" s="874"/>
      <c r="JT65" s="874"/>
      <c r="JU65" s="874"/>
      <c r="JV65" s="874"/>
      <c r="JW65" s="874"/>
      <c r="JX65" s="874"/>
      <c r="JY65" s="874"/>
      <c r="JZ65" s="874"/>
      <c r="KA65" s="874"/>
      <c r="KB65" s="874"/>
      <c r="KC65" s="874"/>
      <c r="KD65" s="874"/>
      <c r="KE65" s="874"/>
      <c r="KF65" s="874"/>
      <c r="KG65" s="874"/>
      <c r="KH65" s="865"/>
      <c r="KI65" s="865"/>
      <c r="KJ65" s="865"/>
      <c r="KK65" s="865"/>
      <c r="KL65" s="865"/>
      <c r="KM65" s="865"/>
      <c r="KN65" s="865"/>
      <c r="KO65" s="865"/>
      <c r="KP65" s="865"/>
      <c r="KQ65" s="865"/>
      <c r="KR65" s="865"/>
      <c r="KS65" s="865"/>
      <c r="KT65" s="865"/>
      <c r="KU65" s="865"/>
      <c r="KV65" s="865"/>
      <c r="KW65" s="865"/>
      <c r="KX65" s="865"/>
      <c r="KY65" s="865"/>
      <c r="KZ65" s="865"/>
      <c r="LA65" s="865"/>
      <c r="LB65" s="865"/>
      <c r="LC65" s="865"/>
      <c r="LD65" s="865"/>
      <c r="LE65" s="865"/>
      <c r="LF65" s="865"/>
    </row>
    <row r="66" spans="1:318" ht="15.45" hidden="1" customHeight="1">
      <c r="B66" s="505"/>
      <c r="C66" s="505"/>
      <c r="D66" s="505"/>
      <c r="E66" s="505"/>
      <c r="H66" s="505"/>
      <c r="I66" s="505"/>
      <c r="J66" s="505"/>
      <c r="K66" s="505"/>
      <c r="N66" s="505"/>
      <c r="O66" s="505"/>
      <c r="P66" s="505"/>
      <c r="Q66" s="505"/>
      <c r="R66" s="865"/>
      <c r="T66" s="505"/>
      <c r="U66" s="505"/>
      <c r="V66" s="505"/>
      <c r="W66" s="505"/>
      <c r="X66" s="865"/>
      <c r="Z66" s="505"/>
      <c r="AA66" s="505"/>
      <c r="AB66" s="505"/>
      <c r="AC66" s="505"/>
      <c r="AD66" s="510"/>
      <c r="AF66" s="505"/>
      <c r="AG66" s="505"/>
      <c r="AH66" s="505"/>
      <c r="AI66" s="505"/>
      <c r="AJ66" s="510"/>
      <c r="AK66" s="865"/>
      <c r="AL66" s="865"/>
      <c r="AM66" s="865"/>
      <c r="AN66" s="865"/>
      <c r="AO66" s="865"/>
      <c r="AP66" s="865"/>
      <c r="AQ66" s="865"/>
      <c r="AR66" s="865"/>
      <c r="AS66" s="865"/>
      <c r="AT66" s="865"/>
      <c r="AU66" s="865"/>
      <c r="AV66" s="865"/>
      <c r="AW66" s="865"/>
      <c r="AX66" s="865"/>
      <c r="AY66" s="865"/>
      <c r="AZ66" s="865"/>
      <c r="BA66" s="865"/>
      <c r="BB66" s="865"/>
      <c r="BC66" s="865"/>
      <c r="BD66" s="865"/>
      <c r="BE66" s="865"/>
      <c r="BF66" s="865"/>
      <c r="BG66" s="865"/>
      <c r="BH66" s="865"/>
      <c r="BI66" s="865"/>
      <c r="BJ66" s="865"/>
      <c r="BK66" s="865"/>
      <c r="BL66" s="865"/>
      <c r="BM66" s="865"/>
      <c r="BN66" s="865"/>
      <c r="BO66" s="865"/>
      <c r="BP66" s="865"/>
      <c r="BQ66" s="865"/>
      <c r="BR66" s="865"/>
      <c r="BS66" s="865"/>
      <c r="BT66" s="865"/>
      <c r="BU66" s="865"/>
      <c r="BV66" s="865"/>
      <c r="BW66" s="865"/>
      <c r="BX66" s="865"/>
      <c r="BY66" s="874"/>
      <c r="BZ66" s="874"/>
      <c r="CA66" s="874"/>
      <c r="CB66" s="874"/>
      <c r="CC66" s="874"/>
      <c r="CD66" s="874"/>
      <c r="CE66" s="874"/>
      <c r="CF66" s="874"/>
      <c r="CG66" s="874"/>
      <c r="CH66" s="874"/>
      <c r="CI66" s="874"/>
      <c r="CJ66" s="874"/>
      <c r="CK66" s="874"/>
      <c r="CL66" s="874"/>
      <c r="CM66" s="874"/>
      <c r="CN66" s="874"/>
      <c r="CO66" s="874"/>
      <c r="CP66" s="874"/>
      <c r="CQ66" s="874"/>
      <c r="CR66" s="874"/>
      <c r="CS66" s="874"/>
      <c r="CT66" s="874"/>
      <c r="CU66" s="874"/>
      <c r="CV66" s="874"/>
      <c r="CW66" s="874"/>
      <c r="CX66" s="874"/>
      <c r="CY66" s="874"/>
      <c r="CZ66" s="874"/>
      <c r="DA66" s="874"/>
      <c r="DB66" s="874"/>
      <c r="DC66" s="874"/>
      <c r="DD66" s="874"/>
      <c r="DE66" s="874"/>
      <c r="DF66" s="874"/>
      <c r="DG66" s="874"/>
      <c r="DH66" s="874"/>
      <c r="DI66" s="874"/>
      <c r="DJ66" s="874"/>
      <c r="DK66" s="874"/>
      <c r="DL66" s="874"/>
      <c r="DM66" s="874"/>
      <c r="DN66" s="874"/>
      <c r="DO66" s="874"/>
      <c r="DP66" s="874"/>
      <c r="DQ66" s="874"/>
      <c r="DR66" s="874"/>
      <c r="DS66" s="874"/>
      <c r="DT66" s="874"/>
      <c r="DU66" s="874"/>
      <c r="DV66" s="874"/>
      <c r="DW66" s="874"/>
      <c r="DX66" s="874"/>
      <c r="DY66" s="874"/>
      <c r="DZ66" s="874"/>
      <c r="EA66" s="874"/>
      <c r="EB66" s="874"/>
      <c r="EC66" s="874"/>
      <c r="ED66" s="874"/>
      <c r="EE66" s="874"/>
      <c r="EF66" s="874"/>
      <c r="EG66" s="874"/>
      <c r="EH66" s="874"/>
      <c r="EI66" s="874"/>
      <c r="EJ66" s="874"/>
      <c r="EK66" s="874"/>
      <c r="EL66" s="874"/>
      <c r="EM66" s="874"/>
      <c r="EN66" s="874"/>
      <c r="EO66" s="874"/>
      <c r="EP66" s="874"/>
      <c r="EQ66" s="874"/>
      <c r="ER66" s="874"/>
      <c r="ES66" s="874"/>
      <c r="ET66" s="874"/>
      <c r="EU66" s="874"/>
      <c r="EV66" s="874"/>
      <c r="EW66" s="874"/>
      <c r="EX66" s="874"/>
      <c r="EY66" s="874"/>
      <c r="EZ66" s="874"/>
      <c r="FA66" s="874"/>
      <c r="FB66" s="874"/>
      <c r="FC66" s="874"/>
      <c r="FD66" s="874"/>
      <c r="FE66" s="874"/>
      <c r="FF66" s="874"/>
      <c r="FG66" s="874"/>
      <c r="FH66" s="874"/>
      <c r="FI66" s="874"/>
      <c r="FJ66" s="874"/>
      <c r="FK66" s="874"/>
      <c r="FL66" s="874"/>
      <c r="FM66" s="874"/>
      <c r="FN66" s="874"/>
      <c r="FO66" s="874"/>
      <c r="FP66" s="874"/>
      <c r="FQ66" s="874"/>
      <c r="FR66" s="874"/>
      <c r="FS66" s="874"/>
      <c r="FT66" s="874"/>
      <c r="FU66" s="874"/>
      <c r="FV66" s="874"/>
      <c r="FW66" s="874"/>
      <c r="FX66" s="874"/>
      <c r="FY66" s="874"/>
      <c r="FZ66" s="874"/>
      <c r="GA66" s="874"/>
      <c r="GB66" s="874"/>
      <c r="GC66" s="874"/>
      <c r="GD66" s="874"/>
      <c r="GE66" s="874"/>
      <c r="GF66" s="874"/>
      <c r="GG66" s="874"/>
      <c r="GH66" s="874"/>
      <c r="GI66" s="874"/>
      <c r="GJ66" s="874"/>
      <c r="GK66" s="874"/>
      <c r="GL66" s="874"/>
      <c r="GM66" s="874"/>
      <c r="GN66" s="874"/>
      <c r="GO66" s="874"/>
      <c r="GP66" s="874"/>
      <c r="GQ66" s="874"/>
      <c r="GR66" s="874"/>
      <c r="GS66" s="874"/>
      <c r="GT66" s="874"/>
      <c r="GU66" s="874"/>
      <c r="GV66" s="874"/>
      <c r="GW66" s="874"/>
      <c r="GX66" s="874"/>
      <c r="GY66" s="874"/>
      <c r="GZ66" s="874"/>
      <c r="HA66" s="874"/>
      <c r="HB66" s="874"/>
      <c r="HC66" s="874"/>
      <c r="HD66" s="874"/>
      <c r="HE66" s="874"/>
      <c r="HF66" s="874"/>
      <c r="HG66" s="874"/>
      <c r="HH66" s="874"/>
      <c r="HI66" s="874"/>
      <c r="HJ66" s="874"/>
      <c r="HK66" s="874"/>
      <c r="HL66" s="874"/>
      <c r="HM66" s="874"/>
      <c r="HN66" s="874"/>
      <c r="HO66" s="874"/>
      <c r="HP66" s="874"/>
      <c r="HQ66" s="874"/>
      <c r="HR66" s="874"/>
      <c r="HS66" s="874"/>
      <c r="HT66" s="874"/>
      <c r="HU66" s="874"/>
      <c r="HV66" s="874"/>
      <c r="HW66" s="874"/>
      <c r="HX66" s="874"/>
      <c r="HY66" s="874"/>
      <c r="HZ66" s="874"/>
      <c r="IA66" s="874"/>
      <c r="IB66" s="874"/>
      <c r="IC66" s="874"/>
      <c r="ID66" s="874"/>
      <c r="IE66" s="874"/>
      <c r="IF66" s="874"/>
      <c r="IG66" s="874"/>
      <c r="IH66" s="874"/>
      <c r="II66" s="874"/>
      <c r="IJ66" s="874"/>
      <c r="IK66" s="874"/>
      <c r="IL66" s="874"/>
      <c r="IM66" s="874"/>
      <c r="IN66" s="874"/>
      <c r="IO66" s="874"/>
      <c r="IP66" s="874"/>
      <c r="IQ66" s="874"/>
      <c r="IR66" s="874"/>
      <c r="IS66" s="874"/>
      <c r="IT66" s="874"/>
      <c r="IU66" s="874"/>
      <c r="IV66" s="874"/>
      <c r="IW66" s="874"/>
      <c r="IX66" s="874"/>
      <c r="IY66" s="874"/>
      <c r="IZ66" s="874"/>
      <c r="JA66" s="874"/>
      <c r="JB66" s="874"/>
      <c r="JC66" s="874"/>
      <c r="JD66" s="874"/>
      <c r="JE66" s="874"/>
      <c r="JF66" s="874"/>
      <c r="JG66" s="874"/>
      <c r="JH66" s="874"/>
      <c r="JI66" s="874"/>
      <c r="JJ66" s="874"/>
      <c r="JK66" s="874"/>
      <c r="JL66" s="874"/>
      <c r="JM66" s="874"/>
      <c r="JN66" s="874"/>
      <c r="JO66" s="874"/>
      <c r="JP66" s="874"/>
      <c r="JQ66" s="874"/>
      <c r="JR66" s="874"/>
      <c r="JS66" s="874"/>
      <c r="JT66" s="874"/>
      <c r="JU66" s="874"/>
      <c r="JV66" s="874"/>
      <c r="JW66" s="874"/>
      <c r="JX66" s="874"/>
      <c r="JY66" s="874"/>
      <c r="JZ66" s="874"/>
      <c r="KA66" s="874"/>
      <c r="KB66" s="874"/>
      <c r="KC66" s="874"/>
      <c r="KD66" s="874"/>
      <c r="KE66" s="874"/>
      <c r="KF66" s="874"/>
      <c r="KG66" s="874"/>
      <c r="KH66" s="865"/>
      <c r="KI66" s="865"/>
      <c r="KJ66" s="865"/>
      <c r="KK66" s="865"/>
      <c r="KL66" s="865"/>
      <c r="KM66" s="865"/>
      <c r="KN66" s="865"/>
      <c r="KO66" s="865"/>
      <c r="KP66" s="865"/>
      <c r="KQ66" s="865"/>
      <c r="KR66" s="865"/>
      <c r="KS66" s="865"/>
      <c r="KT66" s="865"/>
      <c r="KU66" s="865"/>
      <c r="KV66" s="865"/>
      <c r="KW66" s="865"/>
      <c r="KX66" s="865"/>
      <c r="KY66" s="865"/>
      <c r="KZ66" s="865"/>
      <c r="LA66" s="865"/>
      <c r="LB66" s="865"/>
      <c r="LC66" s="865"/>
      <c r="LD66" s="865"/>
      <c r="LE66" s="865"/>
      <c r="LF66" s="865"/>
    </row>
    <row r="67" spans="1:318" ht="15.45" hidden="1" customHeight="1">
      <c r="B67" s="505"/>
      <c r="C67" s="505"/>
      <c r="D67" s="505"/>
      <c r="E67" s="505"/>
      <c r="H67" s="505"/>
      <c r="I67" s="505"/>
      <c r="J67" s="505"/>
      <c r="K67" s="505"/>
      <c r="N67" s="505"/>
      <c r="O67" s="505"/>
      <c r="P67" s="505"/>
      <c r="Q67" s="505"/>
      <c r="R67" s="865"/>
      <c r="T67" s="505"/>
      <c r="U67" s="505"/>
      <c r="V67" s="505"/>
      <c r="W67" s="505"/>
      <c r="X67" s="865"/>
      <c r="Z67" s="505"/>
      <c r="AA67" s="505"/>
      <c r="AB67" s="505"/>
      <c r="AC67" s="505"/>
      <c r="AD67" s="510"/>
      <c r="AF67" s="505"/>
      <c r="AG67" s="505"/>
      <c r="AH67" s="505"/>
      <c r="AI67" s="505"/>
      <c r="AJ67" s="510"/>
      <c r="AK67" s="865"/>
      <c r="AL67" s="865"/>
      <c r="AM67" s="865"/>
      <c r="AN67" s="865"/>
      <c r="AO67" s="865"/>
      <c r="AP67" s="865"/>
      <c r="AQ67" s="865"/>
      <c r="AR67" s="865"/>
      <c r="AS67" s="865"/>
      <c r="AT67" s="865"/>
      <c r="AU67" s="865"/>
      <c r="AV67" s="865"/>
      <c r="AW67" s="865"/>
      <c r="AX67" s="865"/>
      <c r="AY67" s="865"/>
      <c r="AZ67" s="865"/>
      <c r="BA67" s="865"/>
      <c r="BB67" s="865"/>
      <c r="BC67" s="865"/>
      <c r="BD67" s="865"/>
      <c r="BE67" s="865"/>
      <c r="BF67" s="865"/>
      <c r="BG67" s="865"/>
      <c r="BH67" s="865"/>
      <c r="BI67" s="865"/>
      <c r="BJ67" s="865"/>
      <c r="BK67" s="865"/>
      <c r="BL67" s="865"/>
      <c r="BM67" s="865"/>
      <c r="BN67" s="865"/>
      <c r="BO67" s="865"/>
      <c r="BP67" s="865"/>
      <c r="BQ67" s="865"/>
      <c r="BR67" s="865"/>
      <c r="BS67" s="865"/>
      <c r="BT67" s="865"/>
      <c r="BU67" s="865"/>
      <c r="BV67" s="865"/>
      <c r="BW67" s="865"/>
      <c r="BX67" s="865"/>
      <c r="BY67" s="874"/>
      <c r="BZ67" s="874"/>
      <c r="CA67" s="874"/>
      <c r="CB67" s="874"/>
      <c r="CC67" s="874"/>
      <c r="CD67" s="874"/>
      <c r="CE67" s="874"/>
      <c r="CF67" s="874"/>
      <c r="CG67" s="874"/>
      <c r="CH67" s="874"/>
      <c r="CI67" s="874"/>
      <c r="CJ67" s="874"/>
      <c r="CK67" s="874"/>
      <c r="CL67" s="874"/>
      <c r="CM67" s="874"/>
      <c r="CN67" s="874"/>
      <c r="CO67" s="874"/>
      <c r="CP67" s="874"/>
      <c r="CQ67" s="874"/>
      <c r="CR67" s="874"/>
      <c r="CS67" s="874"/>
      <c r="CT67" s="874"/>
      <c r="CU67" s="874"/>
      <c r="CV67" s="874"/>
      <c r="CW67" s="874"/>
      <c r="CX67" s="874"/>
      <c r="CY67" s="874"/>
      <c r="CZ67" s="874"/>
      <c r="DA67" s="874"/>
      <c r="DB67" s="874"/>
      <c r="DC67" s="874"/>
      <c r="DD67" s="874"/>
      <c r="DE67" s="874"/>
      <c r="DF67" s="874"/>
      <c r="DG67" s="874"/>
      <c r="DH67" s="874"/>
      <c r="DI67" s="874"/>
      <c r="DJ67" s="874"/>
      <c r="DK67" s="874"/>
      <c r="DL67" s="874"/>
      <c r="DM67" s="874"/>
      <c r="DN67" s="874"/>
      <c r="DO67" s="874"/>
      <c r="DP67" s="874"/>
      <c r="DQ67" s="874"/>
      <c r="DR67" s="874"/>
      <c r="DS67" s="874"/>
      <c r="DT67" s="874"/>
      <c r="DU67" s="874"/>
      <c r="DV67" s="874"/>
      <c r="DW67" s="874"/>
      <c r="DX67" s="874"/>
      <c r="DY67" s="874"/>
      <c r="DZ67" s="874"/>
      <c r="EA67" s="874"/>
      <c r="EB67" s="874"/>
      <c r="EC67" s="874"/>
      <c r="ED67" s="874"/>
      <c r="EE67" s="874"/>
      <c r="EF67" s="874"/>
      <c r="EG67" s="874"/>
      <c r="EH67" s="874"/>
      <c r="EI67" s="874"/>
      <c r="EJ67" s="874"/>
      <c r="EK67" s="874"/>
      <c r="EL67" s="874"/>
      <c r="EM67" s="874"/>
      <c r="EN67" s="874"/>
      <c r="EO67" s="874"/>
      <c r="EP67" s="874"/>
      <c r="EQ67" s="874"/>
      <c r="ER67" s="874"/>
      <c r="ES67" s="874"/>
      <c r="ET67" s="874"/>
      <c r="EU67" s="874"/>
      <c r="EV67" s="874"/>
      <c r="EW67" s="874"/>
      <c r="EX67" s="874"/>
      <c r="EY67" s="874"/>
      <c r="EZ67" s="874"/>
      <c r="FA67" s="874"/>
      <c r="FB67" s="874"/>
      <c r="FC67" s="874"/>
      <c r="FD67" s="874"/>
      <c r="FE67" s="874"/>
      <c r="FF67" s="874"/>
      <c r="FG67" s="874"/>
      <c r="FH67" s="874"/>
      <c r="FI67" s="874"/>
      <c r="FJ67" s="874"/>
      <c r="FK67" s="874"/>
      <c r="FL67" s="874"/>
      <c r="FM67" s="874"/>
      <c r="FN67" s="874"/>
      <c r="FO67" s="874"/>
      <c r="FP67" s="874"/>
      <c r="FQ67" s="874"/>
      <c r="FR67" s="874"/>
      <c r="FS67" s="874"/>
      <c r="FT67" s="874"/>
      <c r="FU67" s="874"/>
      <c r="FV67" s="874"/>
      <c r="FW67" s="874"/>
      <c r="FX67" s="874"/>
      <c r="FY67" s="874"/>
      <c r="FZ67" s="874"/>
      <c r="GA67" s="874"/>
      <c r="GB67" s="874"/>
      <c r="GC67" s="874"/>
      <c r="GD67" s="874"/>
      <c r="GE67" s="874"/>
      <c r="GF67" s="874"/>
      <c r="GG67" s="874"/>
      <c r="GH67" s="874"/>
      <c r="GI67" s="874"/>
      <c r="GJ67" s="874"/>
      <c r="GK67" s="874"/>
      <c r="GL67" s="874"/>
      <c r="GM67" s="874"/>
      <c r="GN67" s="874"/>
      <c r="GO67" s="874"/>
      <c r="GP67" s="874"/>
      <c r="GQ67" s="874"/>
      <c r="GR67" s="874"/>
      <c r="GS67" s="874"/>
      <c r="GT67" s="874"/>
      <c r="GU67" s="874"/>
      <c r="GV67" s="874"/>
      <c r="GW67" s="874"/>
      <c r="GX67" s="874"/>
      <c r="GY67" s="874"/>
      <c r="GZ67" s="874"/>
      <c r="HA67" s="874"/>
      <c r="HB67" s="874"/>
      <c r="HC67" s="874"/>
      <c r="HD67" s="874"/>
      <c r="HE67" s="874"/>
      <c r="HF67" s="874"/>
      <c r="HG67" s="874"/>
      <c r="HH67" s="874"/>
      <c r="HI67" s="874"/>
      <c r="HJ67" s="874"/>
      <c r="HK67" s="874"/>
      <c r="HL67" s="874"/>
      <c r="HM67" s="874"/>
      <c r="HN67" s="874"/>
      <c r="HO67" s="874"/>
      <c r="HP67" s="874"/>
      <c r="HQ67" s="874"/>
      <c r="HR67" s="874"/>
      <c r="HS67" s="874"/>
      <c r="HT67" s="874"/>
      <c r="HU67" s="874"/>
      <c r="HV67" s="874"/>
      <c r="HW67" s="874"/>
      <c r="HX67" s="874"/>
      <c r="HY67" s="874"/>
      <c r="HZ67" s="874"/>
      <c r="IA67" s="874"/>
      <c r="IB67" s="874"/>
      <c r="IC67" s="874"/>
      <c r="ID67" s="874"/>
      <c r="IE67" s="874"/>
      <c r="IF67" s="874"/>
      <c r="IG67" s="874"/>
      <c r="IH67" s="874"/>
      <c r="II67" s="874"/>
      <c r="IJ67" s="874"/>
      <c r="IK67" s="874"/>
      <c r="IL67" s="874"/>
      <c r="IM67" s="874"/>
      <c r="IN67" s="874"/>
      <c r="IO67" s="874"/>
      <c r="IP67" s="874"/>
      <c r="IQ67" s="874"/>
      <c r="IR67" s="874"/>
      <c r="IS67" s="874"/>
      <c r="IT67" s="874"/>
      <c r="IU67" s="874"/>
      <c r="IV67" s="874"/>
      <c r="IW67" s="874"/>
      <c r="IX67" s="874"/>
      <c r="IY67" s="874"/>
      <c r="IZ67" s="874"/>
      <c r="JA67" s="874"/>
      <c r="JB67" s="874"/>
      <c r="JC67" s="874"/>
      <c r="JD67" s="874"/>
      <c r="JE67" s="874"/>
      <c r="JF67" s="874"/>
      <c r="JG67" s="874"/>
      <c r="JH67" s="874"/>
      <c r="JI67" s="874"/>
      <c r="JJ67" s="874"/>
      <c r="JK67" s="874"/>
      <c r="JL67" s="874"/>
      <c r="JM67" s="874"/>
      <c r="JN67" s="874"/>
      <c r="JO67" s="874"/>
      <c r="JP67" s="874"/>
      <c r="JQ67" s="874"/>
      <c r="JR67" s="874"/>
      <c r="JS67" s="874"/>
      <c r="JT67" s="874"/>
      <c r="JU67" s="874"/>
      <c r="JV67" s="874"/>
      <c r="JW67" s="874"/>
      <c r="JX67" s="874"/>
      <c r="JY67" s="874"/>
      <c r="JZ67" s="874"/>
      <c r="KA67" s="874"/>
      <c r="KB67" s="874"/>
      <c r="KC67" s="874"/>
      <c r="KD67" s="874"/>
      <c r="KE67" s="874"/>
      <c r="KF67" s="874"/>
      <c r="KG67" s="874"/>
      <c r="KH67" s="865"/>
      <c r="KI67" s="865"/>
      <c r="KJ67" s="865"/>
      <c r="KK67" s="865"/>
      <c r="KL67" s="865"/>
      <c r="KM67" s="865"/>
      <c r="KN67" s="865"/>
      <c r="KO67" s="865"/>
      <c r="KP67" s="865"/>
      <c r="KQ67" s="865"/>
      <c r="KR67" s="865"/>
      <c r="KS67" s="865"/>
      <c r="KT67" s="865"/>
      <c r="KU67" s="865"/>
      <c r="KV67" s="865"/>
      <c r="KW67" s="865"/>
      <c r="KX67" s="865"/>
      <c r="KY67" s="865"/>
      <c r="KZ67" s="865"/>
      <c r="LA67" s="865"/>
      <c r="LB67" s="865"/>
      <c r="LC67" s="865"/>
      <c r="LD67" s="865"/>
      <c r="LE67" s="865"/>
      <c r="LF67" s="865"/>
    </row>
    <row r="68" spans="1:318" ht="15.45" hidden="1" customHeight="1">
      <c r="B68" s="505"/>
      <c r="C68" s="505"/>
      <c r="D68" s="505"/>
      <c r="E68" s="505"/>
      <c r="H68" s="505"/>
      <c r="I68" s="505"/>
      <c r="J68" s="505"/>
      <c r="K68" s="505"/>
      <c r="N68" s="505"/>
      <c r="O68" s="505"/>
      <c r="P68" s="505"/>
      <c r="Q68" s="505"/>
      <c r="R68" s="865"/>
      <c r="T68" s="505"/>
      <c r="U68" s="505"/>
      <c r="V68" s="505"/>
      <c r="W68" s="505"/>
      <c r="X68" s="865"/>
      <c r="Z68" s="505"/>
      <c r="AA68" s="505"/>
      <c r="AB68" s="505"/>
      <c r="AC68" s="505"/>
      <c r="AD68" s="510"/>
      <c r="AF68" s="505"/>
      <c r="AG68" s="505"/>
      <c r="AH68" s="505"/>
      <c r="AI68" s="505"/>
      <c r="AJ68" s="510"/>
      <c r="AK68" s="865"/>
      <c r="AL68" s="865"/>
      <c r="AM68" s="865"/>
      <c r="AN68" s="865"/>
      <c r="AO68" s="865"/>
      <c r="AP68" s="865"/>
      <c r="AQ68" s="865"/>
      <c r="AR68" s="865"/>
      <c r="AS68" s="865"/>
      <c r="AT68" s="865"/>
      <c r="AU68" s="865"/>
      <c r="AV68" s="865"/>
      <c r="AW68" s="865"/>
      <c r="AX68" s="865"/>
      <c r="AY68" s="865"/>
      <c r="AZ68" s="865"/>
      <c r="BA68" s="865"/>
      <c r="BB68" s="865"/>
      <c r="BC68" s="865"/>
      <c r="BD68" s="865"/>
      <c r="BE68" s="865"/>
      <c r="BF68" s="865"/>
      <c r="BG68" s="865"/>
      <c r="BH68" s="865"/>
      <c r="BI68" s="865"/>
      <c r="BJ68" s="865"/>
      <c r="BK68" s="865"/>
      <c r="BL68" s="865"/>
      <c r="BM68" s="865"/>
      <c r="BN68" s="865"/>
      <c r="BO68" s="865"/>
      <c r="BP68" s="865"/>
      <c r="BQ68" s="865"/>
      <c r="BR68" s="865"/>
      <c r="BS68" s="865"/>
      <c r="BT68" s="865"/>
      <c r="BU68" s="865"/>
      <c r="BV68" s="865"/>
      <c r="BW68" s="865"/>
      <c r="BX68" s="865"/>
      <c r="BY68" s="874"/>
      <c r="BZ68" s="874"/>
      <c r="CA68" s="874"/>
      <c r="CB68" s="874"/>
      <c r="CC68" s="874"/>
      <c r="CD68" s="874"/>
      <c r="CE68" s="874"/>
      <c r="CF68" s="874"/>
      <c r="CG68" s="874"/>
      <c r="CH68" s="874"/>
      <c r="CI68" s="874"/>
      <c r="CJ68" s="874"/>
      <c r="CK68" s="874"/>
      <c r="CL68" s="874"/>
      <c r="CM68" s="874"/>
      <c r="CN68" s="874"/>
      <c r="CO68" s="874"/>
      <c r="CP68" s="874"/>
      <c r="CQ68" s="874"/>
      <c r="CR68" s="874"/>
      <c r="CS68" s="874"/>
      <c r="CT68" s="874"/>
      <c r="CU68" s="874"/>
      <c r="CV68" s="874"/>
      <c r="CW68" s="874"/>
      <c r="CX68" s="874"/>
      <c r="CY68" s="874"/>
      <c r="CZ68" s="874"/>
      <c r="DA68" s="874"/>
      <c r="DB68" s="874"/>
      <c r="DC68" s="874"/>
      <c r="DD68" s="874"/>
      <c r="DE68" s="874"/>
      <c r="DF68" s="874"/>
      <c r="DG68" s="874"/>
      <c r="DH68" s="874"/>
      <c r="DI68" s="874"/>
      <c r="DJ68" s="874"/>
      <c r="DK68" s="874"/>
      <c r="DL68" s="874"/>
      <c r="DM68" s="874"/>
      <c r="DN68" s="874"/>
      <c r="DO68" s="874"/>
      <c r="DP68" s="874"/>
      <c r="DQ68" s="874"/>
      <c r="DR68" s="874"/>
      <c r="DS68" s="874"/>
      <c r="DT68" s="874"/>
      <c r="DU68" s="874"/>
      <c r="DV68" s="874"/>
      <c r="DW68" s="874"/>
      <c r="DX68" s="874"/>
      <c r="DY68" s="874"/>
      <c r="DZ68" s="874"/>
      <c r="EA68" s="874"/>
      <c r="EB68" s="874"/>
      <c r="EC68" s="874"/>
      <c r="ED68" s="874"/>
      <c r="EE68" s="874"/>
      <c r="EF68" s="874"/>
      <c r="EG68" s="874"/>
      <c r="EH68" s="874"/>
      <c r="EI68" s="874"/>
      <c r="EJ68" s="874"/>
      <c r="EK68" s="874"/>
      <c r="EL68" s="874"/>
      <c r="EM68" s="874"/>
      <c r="EN68" s="874"/>
      <c r="EO68" s="874"/>
      <c r="EP68" s="874"/>
      <c r="EQ68" s="874"/>
      <c r="ER68" s="874"/>
      <c r="ES68" s="874"/>
      <c r="ET68" s="874"/>
      <c r="EU68" s="874"/>
      <c r="EV68" s="874"/>
      <c r="EW68" s="874"/>
      <c r="EX68" s="874"/>
      <c r="EY68" s="874"/>
      <c r="EZ68" s="874"/>
      <c r="FA68" s="874"/>
      <c r="FB68" s="874"/>
      <c r="FC68" s="874"/>
      <c r="FD68" s="874"/>
      <c r="FE68" s="874"/>
      <c r="FF68" s="874"/>
      <c r="FG68" s="874"/>
      <c r="FH68" s="874"/>
      <c r="FI68" s="874"/>
      <c r="FJ68" s="874"/>
      <c r="FK68" s="874"/>
      <c r="FL68" s="874"/>
      <c r="FM68" s="874"/>
      <c r="FN68" s="874"/>
      <c r="FO68" s="874"/>
      <c r="FP68" s="874"/>
      <c r="FQ68" s="874"/>
      <c r="FR68" s="874"/>
      <c r="FS68" s="874"/>
      <c r="FT68" s="874"/>
      <c r="FU68" s="874"/>
      <c r="FV68" s="874"/>
      <c r="FW68" s="874"/>
      <c r="FX68" s="874"/>
      <c r="FY68" s="874"/>
      <c r="FZ68" s="874"/>
      <c r="GA68" s="874"/>
      <c r="GB68" s="874"/>
      <c r="GC68" s="874"/>
      <c r="GD68" s="874"/>
      <c r="GE68" s="874"/>
      <c r="GF68" s="874"/>
      <c r="GG68" s="874"/>
      <c r="GH68" s="874"/>
      <c r="GI68" s="874"/>
      <c r="GJ68" s="874"/>
      <c r="GK68" s="874"/>
      <c r="GL68" s="874"/>
      <c r="GM68" s="874"/>
      <c r="GN68" s="874"/>
      <c r="GO68" s="874"/>
      <c r="GP68" s="874"/>
      <c r="GQ68" s="874"/>
      <c r="GR68" s="874"/>
      <c r="GS68" s="874"/>
      <c r="GT68" s="874"/>
      <c r="GU68" s="874"/>
      <c r="GV68" s="874"/>
      <c r="GW68" s="874"/>
      <c r="GX68" s="874"/>
      <c r="GY68" s="874"/>
      <c r="GZ68" s="874"/>
      <c r="HA68" s="874"/>
      <c r="HB68" s="874"/>
      <c r="HC68" s="874"/>
      <c r="HD68" s="874"/>
      <c r="HE68" s="874"/>
      <c r="HF68" s="874"/>
      <c r="HG68" s="874"/>
      <c r="HH68" s="874"/>
      <c r="HI68" s="874"/>
      <c r="HJ68" s="874"/>
      <c r="HK68" s="874"/>
      <c r="HL68" s="874"/>
      <c r="HM68" s="874"/>
      <c r="HN68" s="874"/>
      <c r="HO68" s="874"/>
      <c r="HP68" s="874"/>
      <c r="HQ68" s="874"/>
      <c r="HR68" s="874"/>
      <c r="HS68" s="874"/>
      <c r="HT68" s="874"/>
      <c r="HU68" s="874"/>
      <c r="HV68" s="874"/>
      <c r="HW68" s="874"/>
      <c r="HX68" s="874"/>
      <c r="HY68" s="874"/>
      <c r="HZ68" s="874"/>
      <c r="IA68" s="874"/>
      <c r="IB68" s="874"/>
      <c r="IC68" s="874"/>
      <c r="ID68" s="874"/>
      <c r="IE68" s="874"/>
      <c r="IF68" s="874"/>
      <c r="IG68" s="874"/>
      <c r="IH68" s="874"/>
      <c r="II68" s="874"/>
      <c r="IJ68" s="874"/>
      <c r="IK68" s="874"/>
      <c r="IL68" s="874"/>
      <c r="IM68" s="874"/>
      <c r="IN68" s="874"/>
      <c r="IO68" s="874"/>
      <c r="IP68" s="874"/>
      <c r="IQ68" s="874"/>
      <c r="IR68" s="874"/>
      <c r="IS68" s="874"/>
      <c r="IT68" s="874"/>
      <c r="IU68" s="874"/>
      <c r="IV68" s="874"/>
      <c r="IW68" s="874"/>
      <c r="IX68" s="874"/>
      <c r="IY68" s="874"/>
      <c r="IZ68" s="874"/>
      <c r="JA68" s="874"/>
      <c r="JB68" s="874"/>
      <c r="JC68" s="874"/>
      <c r="JD68" s="874"/>
      <c r="JE68" s="874"/>
      <c r="JF68" s="874"/>
      <c r="JG68" s="874"/>
      <c r="JH68" s="874"/>
      <c r="JI68" s="874"/>
      <c r="JJ68" s="874"/>
      <c r="JK68" s="874"/>
      <c r="JL68" s="874"/>
      <c r="JM68" s="874"/>
      <c r="JN68" s="874"/>
      <c r="JO68" s="874"/>
      <c r="JP68" s="874"/>
      <c r="JQ68" s="874"/>
      <c r="JR68" s="874"/>
      <c r="JS68" s="874"/>
      <c r="JT68" s="874"/>
      <c r="JU68" s="874"/>
      <c r="JV68" s="874"/>
      <c r="JW68" s="874"/>
      <c r="JX68" s="874"/>
      <c r="JY68" s="874"/>
      <c r="JZ68" s="874"/>
      <c r="KA68" s="874"/>
      <c r="KB68" s="874"/>
      <c r="KC68" s="874"/>
      <c r="KD68" s="874"/>
      <c r="KE68" s="874"/>
      <c r="KF68" s="874"/>
      <c r="KG68" s="874"/>
      <c r="KH68" s="865"/>
      <c r="KI68" s="865"/>
      <c r="KJ68" s="865"/>
      <c r="KK68" s="865"/>
      <c r="KL68" s="865"/>
      <c r="KM68" s="865"/>
      <c r="KN68" s="865"/>
      <c r="KO68" s="865"/>
      <c r="KP68" s="865"/>
      <c r="KQ68" s="865"/>
      <c r="KR68" s="865"/>
      <c r="KS68" s="865"/>
      <c r="KT68" s="865"/>
      <c r="KU68" s="865"/>
      <c r="KV68" s="865"/>
      <c r="KW68" s="865"/>
      <c r="KX68" s="865"/>
      <c r="KY68" s="865"/>
      <c r="KZ68" s="865"/>
      <c r="LA68" s="865"/>
      <c r="LB68" s="865"/>
      <c r="LC68" s="865"/>
      <c r="LD68" s="865"/>
      <c r="LE68" s="865"/>
      <c r="LF68" s="865"/>
    </row>
    <row r="69" spans="1:318" ht="15.45" hidden="1" customHeight="1">
      <c r="B69" s="505"/>
      <c r="C69" s="505"/>
      <c r="D69" s="505"/>
      <c r="E69" s="505"/>
      <c r="H69" s="505"/>
      <c r="I69" s="505"/>
      <c r="J69" s="505"/>
      <c r="K69" s="505"/>
      <c r="N69" s="505"/>
      <c r="O69" s="505"/>
      <c r="P69" s="505"/>
      <c r="Q69" s="505"/>
      <c r="R69" s="865"/>
      <c r="T69" s="505"/>
      <c r="U69" s="505"/>
      <c r="V69" s="505"/>
      <c r="W69" s="505"/>
      <c r="X69" s="865"/>
      <c r="Z69" s="505"/>
      <c r="AA69" s="505"/>
      <c r="AB69" s="505"/>
      <c r="AC69" s="505"/>
      <c r="AD69" s="510"/>
      <c r="AF69" s="505"/>
      <c r="AG69" s="505"/>
      <c r="AH69" s="505"/>
      <c r="AI69" s="505"/>
      <c r="AJ69" s="510"/>
      <c r="AK69" s="865"/>
      <c r="AL69" s="865"/>
      <c r="AM69" s="865"/>
      <c r="AN69" s="865"/>
      <c r="AO69" s="865"/>
      <c r="AP69" s="865"/>
      <c r="AQ69" s="865"/>
      <c r="AR69" s="865"/>
      <c r="AS69" s="865"/>
      <c r="AT69" s="865"/>
      <c r="AU69" s="865"/>
      <c r="AV69" s="865"/>
      <c r="AW69" s="865"/>
      <c r="AX69" s="865"/>
      <c r="AY69" s="865"/>
      <c r="AZ69" s="865"/>
      <c r="BA69" s="865"/>
      <c r="BB69" s="865"/>
      <c r="BC69" s="865"/>
      <c r="BD69" s="865"/>
      <c r="BE69" s="865"/>
      <c r="BF69" s="865"/>
      <c r="BG69" s="865"/>
      <c r="BH69" s="865"/>
      <c r="BI69" s="865"/>
      <c r="BJ69" s="865"/>
      <c r="BK69" s="865"/>
      <c r="BL69" s="865"/>
      <c r="BM69" s="865"/>
      <c r="BN69" s="865"/>
      <c r="BO69" s="865"/>
      <c r="BP69" s="865"/>
      <c r="BQ69" s="865"/>
      <c r="BR69" s="865"/>
      <c r="BS69" s="865"/>
      <c r="BT69" s="865"/>
      <c r="BU69" s="865"/>
      <c r="BV69" s="865"/>
      <c r="BW69" s="865"/>
      <c r="BX69" s="865"/>
      <c r="BY69" s="874"/>
      <c r="BZ69" s="874"/>
      <c r="CA69" s="874"/>
      <c r="CB69" s="874"/>
      <c r="CC69" s="874"/>
      <c r="CD69" s="874"/>
      <c r="CE69" s="874"/>
      <c r="CF69" s="874"/>
      <c r="CG69" s="874"/>
      <c r="CH69" s="874"/>
      <c r="CI69" s="874"/>
      <c r="CJ69" s="874"/>
      <c r="CK69" s="874"/>
      <c r="CL69" s="874"/>
      <c r="CM69" s="874"/>
      <c r="CN69" s="874"/>
      <c r="CO69" s="874"/>
      <c r="CP69" s="874"/>
      <c r="CQ69" s="874"/>
      <c r="CR69" s="874"/>
      <c r="CS69" s="874"/>
      <c r="CT69" s="874"/>
      <c r="CU69" s="874"/>
      <c r="CV69" s="874"/>
      <c r="CW69" s="874"/>
      <c r="CX69" s="874"/>
      <c r="CY69" s="874"/>
      <c r="CZ69" s="874"/>
      <c r="DA69" s="874"/>
      <c r="DB69" s="874"/>
      <c r="DC69" s="874"/>
      <c r="DD69" s="874"/>
      <c r="DE69" s="874"/>
      <c r="DF69" s="874"/>
      <c r="DG69" s="874"/>
      <c r="DH69" s="874"/>
      <c r="DI69" s="874"/>
      <c r="DJ69" s="874"/>
      <c r="DK69" s="874"/>
      <c r="DL69" s="874"/>
      <c r="DM69" s="874"/>
      <c r="DN69" s="874"/>
      <c r="DO69" s="874"/>
      <c r="DP69" s="874"/>
      <c r="DQ69" s="874"/>
      <c r="DR69" s="874"/>
      <c r="DS69" s="874"/>
      <c r="DT69" s="874"/>
      <c r="DU69" s="874"/>
      <c r="DV69" s="874"/>
      <c r="DW69" s="874"/>
      <c r="DX69" s="874"/>
      <c r="DY69" s="874"/>
      <c r="DZ69" s="874"/>
      <c r="EA69" s="874"/>
      <c r="EB69" s="874"/>
      <c r="EC69" s="874"/>
      <c r="ED69" s="874"/>
      <c r="EE69" s="874"/>
      <c r="EF69" s="874"/>
      <c r="EG69" s="874"/>
      <c r="EH69" s="874"/>
      <c r="EI69" s="874"/>
      <c r="EJ69" s="874"/>
      <c r="EK69" s="874"/>
      <c r="EL69" s="874"/>
      <c r="EM69" s="874"/>
      <c r="EN69" s="874"/>
      <c r="EO69" s="874"/>
      <c r="EP69" s="874"/>
      <c r="EQ69" s="874"/>
      <c r="ER69" s="874"/>
      <c r="ES69" s="874"/>
      <c r="ET69" s="874"/>
      <c r="EU69" s="874"/>
      <c r="EV69" s="874"/>
      <c r="EW69" s="874"/>
      <c r="EX69" s="874"/>
      <c r="EY69" s="874"/>
      <c r="EZ69" s="874"/>
      <c r="FA69" s="874"/>
      <c r="FB69" s="874"/>
      <c r="FC69" s="874"/>
      <c r="FD69" s="874"/>
      <c r="FE69" s="874"/>
      <c r="FF69" s="874"/>
      <c r="FG69" s="874"/>
      <c r="FH69" s="874"/>
      <c r="FI69" s="874"/>
      <c r="FJ69" s="874"/>
      <c r="FK69" s="874"/>
      <c r="FL69" s="874"/>
      <c r="FM69" s="874"/>
      <c r="FN69" s="874"/>
      <c r="FO69" s="874"/>
      <c r="FP69" s="874"/>
      <c r="FQ69" s="874"/>
      <c r="FR69" s="874"/>
      <c r="FS69" s="874"/>
      <c r="FT69" s="874"/>
      <c r="FU69" s="874"/>
      <c r="FV69" s="874"/>
      <c r="FW69" s="874"/>
      <c r="FX69" s="874"/>
      <c r="FY69" s="874"/>
      <c r="FZ69" s="874"/>
      <c r="GA69" s="874"/>
      <c r="GB69" s="874"/>
      <c r="GC69" s="874"/>
      <c r="GD69" s="874"/>
      <c r="GE69" s="874"/>
      <c r="GF69" s="874"/>
      <c r="GG69" s="874"/>
      <c r="GH69" s="874"/>
      <c r="GI69" s="874"/>
      <c r="GJ69" s="874"/>
      <c r="GK69" s="874"/>
      <c r="GL69" s="874"/>
      <c r="GM69" s="874"/>
      <c r="GN69" s="874"/>
      <c r="GO69" s="874"/>
      <c r="GP69" s="874"/>
      <c r="GQ69" s="874"/>
      <c r="GR69" s="874"/>
      <c r="GS69" s="874"/>
      <c r="GT69" s="874"/>
      <c r="GU69" s="874"/>
      <c r="GV69" s="874"/>
      <c r="GW69" s="874"/>
      <c r="GX69" s="874"/>
      <c r="GY69" s="874"/>
      <c r="GZ69" s="874"/>
      <c r="HA69" s="874"/>
      <c r="HB69" s="874"/>
      <c r="HC69" s="874"/>
      <c r="HD69" s="874"/>
      <c r="HE69" s="874"/>
      <c r="HF69" s="874"/>
      <c r="HG69" s="874"/>
      <c r="HH69" s="874"/>
      <c r="HI69" s="874"/>
      <c r="HJ69" s="874"/>
      <c r="HK69" s="874"/>
      <c r="HL69" s="874"/>
      <c r="HM69" s="874"/>
      <c r="HN69" s="874"/>
      <c r="HO69" s="874"/>
      <c r="HP69" s="874"/>
      <c r="HQ69" s="874"/>
      <c r="HR69" s="874"/>
      <c r="HS69" s="874"/>
      <c r="HT69" s="874"/>
      <c r="HU69" s="874"/>
      <c r="HV69" s="874"/>
      <c r="HW69" s="874"/>
      <c r="HX69" s="874"/>
      <c r="HY69" s="874"/>
      <c r="HZ69" s="874"/>
      <c r="IA69" s="874"/>
      <c r="IB69" s="874"/>
      <c r="IC69" s="874"/>
      <c r="ID69" s="874"/>
      <c r="IE69" s="874"/>
      <c r="IF69" s="874"/>
      <c r="IG69" s="874"/>
      <c r="IH69" s="874"/>
      <c r="II69" s="874"/>
      <c r="IJ69" s="874"/>
      <c r="IK69" s="874"/>
      <c r="IL69" s="874"/>
      <c r="IM69" s="874"/>
      <c r="IN69" s="874"/>
      <c r="IO69" s="874"/>
      <c r="IP69" s="874"/>
      <c r="IQ69" s="874"/>
      <c r="IR69" s="874"/>
      <c r="IS69" s="874"/>
      <c r="IT69" s="874"/>
      <c r="IU69" s="874"/>
      <c r="IV69" s="874"/>
      <c r="IW69" s="874"/>
      <c r="IX69" s="874"/>
      <c r="IY69" s="874"/>
      <c r="IZ69" s="874"/>
      <c r="JA69" s="874"/>
      <c r="JB69" s="874"/>
      <c r="JC69" s="874"/>
      <c r="JD69" s="874"/>
      <c r="JE69" s="874"/>
      <c r="JF69" s="874"/>
      <c r="JG69" s="874"/>
      <c r="JH69" s="874"/>
      <c r="JI69" s="874"/>
      <c r="JJ69" s="874"/>
      <c r="JK69" s="874"/>
      <c r="JL69" s="874"/>
      <c r="JM69" s="874"/>
      <c r="JN69" s="874"/>
      <c r="JO69" s="874"/>
      <c r="JP69" s="874"/>
      <c r="JQ69" s="874"/>
      <c r="JR69" s="874"/>
      <c r="JS69" s="874"/>
      <c r="JT69" s="874"/>
      <c r="JU69" s="874"/>
      <c r="JV69" s="874"/>
      <c r="JW69" s="874"/>
      <c r="JX69" s="874"/>
      <c r="JY69" s="874"/>
      <c r="JZ69" s="874"/>
      <c r="KA69" s="874"/>
      <c r="KB69" s="874"/>
      <c r="KC69" s="874"/>
      <c r="KD69" s="874"/>
      <c r="KE69" s="874"/>
      <c r="KF69" s="874"/>
      <c r="KG69" s="874"/>
      <c r="KH69" s="865"/>
      <c r="KI69" s="865"/>
      <c r="KJ69" s="865"/>
      <c r="KK69" s="865"/>
      <c r="KL69" s="865"/>
      <c r="KM69" s="865"/>
      <c r="KN69" s="865"/>
      <c r="KO69" s="865"/>
      <c r="KP69" s="865"/>
      <c r="KQ69" s="865"/>
      <c r="KR69" s="865"/>
      <c r="KS69" s="865"/>
      <c r="KT69" s="865"/>
      <c r="KU69" s="865"/>
      <c r="KV69" s="865"/>
      <c r="KW69" s="865"/>
      <c r="KX69" s="865"/>
      <c r="KY69" s="865"/>
      <c r="KZ69" s="865"/>
      <c r="LA69" s="865"/>
      <c r="LB69" s="865"/>
      <c r="LC69" s="865"/>
      <c r="LD69" s="865"/>
      <c r="LE69" s="865"/>
      <c r="LF69" s="865"/>
    </row>
    <row r="70" spans="1:318">
      <c r="A70" s="865"/>
      <c r="B70" s="512"/>
      <c r="C70" s="512"/>
      <c r="D70" s="512"/>
      <c r="E70" s="512"/>
      <c r="F70" s="865"/>
      <c r="G70" s="865"/>
      <c r="H70" s="512"/>
      <c r="I70" s="512"/>
      <c r="J70" s="512"/>
      <c r="K70" s="512"/>
      <c r="L70" s="865"/>
      <c r="M70" s="865"/>
      <c r="N70" s="512"/>
      <c r="O70" s="512"/>
      <c r="P70" s="512"/>
      <c r="Q70" s="512"/>
      <c r="R70" s="865"/>
      <c r="S70" s="865"/>
      <c r="T70" s="512"/>
      <c r="U70" s="512"/>
      <c r="V70" s="512"/>
      <c r="W70" s="512"/>
      <c r="X70" s="865"/>
      <c r="Y70" s="865"/>
      <c r="Z70" s="512"/>
      <c r="AA70" s="512"/>
      <c r="AB70" s="512"/>
      <c r="AC70" s="512"/>
      <c r="AD70" s="510"/>
      <c r="AE70" s="865"/>
      <c r="AF70" s="512"/>
      <c r="AG70" s="512"/>
      <c r="AH70" s="512"/>
      <c r="AI70" s="512"/>
      <c r="AJ70" s="510"/>
      <c r="AK70" s="865"/>
      <c r="AL70" s="865"/>
      <c r="AM70" s="865"/>
      <c r="AN70" s="865"/>
      <c r="AO70" s="865"/>
      <c r="AP70" s="865"/>
      <c r="AQ70" s="865"/>
      <c r="AR70" s="865"/>
      <c r="AS70" s="865"/>
      <c r="AT70" s="865"/>
      <c r="AU70" s="865"/>
      <c r="AV70" s="865"/>
      <c r="AW70" s="865"/>
      <c r="AX70" s="865"/>
      <c r="AY70" s="865"/>
      <c r="AZ70" s="865"/>
      <c r="BA70" s="865"/>
      <c r="BB70" s="865"/>
      <c r="BC70" s="865"/>
      <c r="BD70" s="865"/>
      <c r="BE70" s="865"/>
      <c r="BF70" s="865"/>
      <c r="BG70" s="865"/>
      <c r="BH70" s="865"/>
      <c r="BI70" s="865"/>
      <c r="BJ70" s="865"/>
      <c r="BK70" s="865"/>
      <c r="BL70" s="865"/>
      <c r="BM70" s="865"/>
      <c r="BN70" s="865"/>
      <c r="BO70" s="865"/>
      <c r="BP70" s="865"/>
      <c r="BQ70" s="865"/>
      <c r="BR70" s="865"/>
      <c r="BS70" s="865"/>
      <c r="BT70" s="865"/>
      <c r="BU70" s="865"/>
      <c r="BV70" s="865"/>
      <c r="BW70" s="865"/>
      <c r="BX70" s="865"/>
      <c r="BY70" s="874"/>
      <c r="BZ70" s="874"/>
      <c r="CA70" s="874"/>
      <c r="CB70" s="874"/>
      <c r="CC70" s="874"/>
      <c r="CD70" s="874"/>
      <c r="CE70" s="874"/>
      <c r="CF70" s="874"/>
      <c r="CG70" s="874"/>
      <c r="CH70" s="874"/>
      <c r="CI70" s="874"/>
      <c r="CJ70" s="874"/>
      <c r="CK70" s="874"/>
      <c r="CL70" s="874"/>
      <c r="CM70" s="874"/>
      <c r="CN70" s="874"/>
      <c r="CO70" s="874"/>
      <c r="CP70" s="874"/>
      <c r="CQ70" s="874"/>
      <c r="CR70" s="874"/>
      <c r="CS70" s="874"/>
      <c r="CT70" s="874"/>
      <c r="CU70" s="874"/>
      <c r="CV70" s="874"/>
      <c r="CW70" s="874"/>
      <c r="CX70" s="874"/>
      <c r="CY70" s="874"/>
      <c r="CZ70" s="874"/>
      <c r="DA70" s="874"/>
      <c r="DB70" s="874"/>
      <c r="DC70" s="874"/>
      <c r="DD70" s="874"/>
      <c r="DE70" s="874"/>
      <c r="DF70" s="874"/>
      <c r="DG70" s="874"/>
      <c r="DH70" s="874"/>
      <c r="DI70" s="874"/>
      <c r="DJ70" s="874"/>
      <c r="DK70" s="874"/>
      <c r="DL70" s="874"/>
      <c r="DM70" s="874"/>
      <c r="DN70" s="874"/>
      <c r="DO70" s="874"/>
      <c r="DP70" s="874"/>
      <c r="DQ70" s="874"/>
      <c r="DR70" s="874"/>
      <c r="DS70" s="874"/>
      <c r="DT70" s="874"/>
      <c r="DU70" s="874"/>
      <c r="DV70" s="874"/>
      <c r="DW70" s="874"/>
      <c r="DX70" s="874"/>
      <c r="DY70" s="874"/>
      <c r="DZ70" s="874"/>
      <c r="EA70" s="874"/>
      <c r="EB70" s="874"/>
      <c r="EC70" s="874"/>
      <c r="ED70" s="874"/>
      <c r="EE70" s="874"/>
      <c r="EF70" s="874"/>
      <c r="EG70" s="874"/>
      <c r="EH70" s="874"/>
      <c r="EI70" s="874"/>
      <c r="EJ70" s="874"/>
      <c r="EK70" s="874"/>
      <c r="EL70" s="874"/>
      <c r="EM70" s="874"/>
      <c r="EN70" s="874"/>
      <c r="EO70" s="874"/>
      <c r="EP70" s="874"/>
      <c r="EQ70" s="874"/>
      <c r="ER70" s="874"/>
      <c r="ES70" s="874"/>
      <c r="ET70" s="874"/>
      <c r="EU70" s="874"/>
      <c r="EV70" s="874"/>
      <c r="EW70" s="874"/>
      <c r="EX70" s="874"/>
      <c r="EY70" s="874"/>
      <c r="EZ70" s="874"/>
      <c r="FA70" s="874"/>
      <c r="FB70" s="874"/>
      <c r="FC70" s="874"/>
      <c r="FD70" s="874"/>
      <c r="FE70" s="874"/>
      <c r="FF70" s="874"/>
      <c r="FG70" s="874"/>
      <c r="FH70" s="874"/>
      <c r="FI70" s="874"/>
      <c r="FJ70" s="874"/>
      <c r="FK70" s="874"/>
      <c r="FL70" s="874"/>
      <c r="FM70" s="874"/>
      <c r="FN70" s="874"/>
      <c r="FO70" s="874"/>
      <c r="FP70" s="874"/>
      <c r="FQ70" s="874"/>
      <c r="FR70" s="874"/>
      <c r="FS70" s="874"/>
      <c r="FT70" s="874"/>
      <c r="FU70" s="874"/>
      <c r="FV70" s="874"/>
      <c r="FW70" s="874"/>
      <c r="FX70" s="874"/>
      <c r="FY70" s="874"/>
      <c r="FZ70" s="874"/>
      <c r="GA70" s="874"/>
      <c r="GB70" s="874"/>
      <c r="GC70" s="874"/>
      <c r="GD70" s="874"/>
      <c r="GE70" s="874"/>
      <c r="GF70" s="874"/>
      <c r="GG70" s="874"/>
      <c r="GH70" s="874"/>
      <c r="GI70" s="874"/>
      <c r="GJ70" s="874"/>
      <c r="GK70" s="874"/>
      <c r="GL70" s="874"/>
      <c r="GM70" s="874"/>
      <c r="GN70" s="874"/>
      <c r="GO70" s="874"/>
      <c r="GP70" s="874"/>
      <c r="GQ70" s="874"/>
      <c r="GR70" s="874"/>
      <c r="GS70" s="874"/>
      <c r="GT70" s="874"/>
      <c r="GU70" s="874"/>
      <c r="GV70" s="874"/>
      <c r="GW70" s="874"/>
      <c r="GX70" s="874"/>
      <c r="GY70" s="874"/>
      <c r="GZ70" s="874"/>
      <c r="HA70" s="874"/>
      <c r="HB70" s="874"/>
      <c r="HC70" s="874"/>
      <c r="HD70" s="874"/>
      <c r="HE70" s="874"/>
      <c r="HF70" s="874"/>
      <c r="HG70" s="874"/>
      <c r="HH70" s="874"/>
      <c r="HI70" s="874"/>
      <c r="HJ70" s="874"/>
      <c r="HK70" s="874"/>
      <c r="HL70" s="874"/>
      <c r="HM70" s="874"/>
      <c r="HN70" s="874"/>
      <c r="HO70" s="874"/>
      <c r="HP70" s="874"/>
      <c r="HQ70" s="874"/>
      <c r="HR70" s="874"/>
      <c r="HS70" s="874"/>
      <c r="HT70" s="874"/>
      <c r="HU70" s="874"/>
      <c r="HV70" s="874"/>
      <c r="HW70" s="874"/>
      <c r="HX70" s="874"/>
      <c r="HY70" s="874"/>
      <c r="HZ70" s="874"/>
      <c r="IA70" s="874"/>
      <c r="IB70" s="874"/>
      <c r="IC70" s="874"/>
      <c r="ID70" s="874"/>
      <c r="IE70" s="874"/>
      <c r="IF70" s="874"/>
      <c r="IG70" s="874"/>
      <c r="IH70" s="874"/>
      <c r="II70" s="874"/>
      <c r="IJ70" s="874"/>
      <c r="IK70" s="874"/>
      <c r="IL70" s="874"/>
      <c r="IM70" s="874"/>
      <c r="IN70" s="874"/>
      <c r="IO70" s="874"/>
      <c r="IP70" s="874"/>
      <c r="IQ70" s="874"/>
      <c r="IR70" s="874"/>
      <c r="IS70" s="874"/>
      <c r="IT70" s="874"/>
      <c r="IU70" s="874"/>
      <c r="IV70" s="874"/>
      <c r="IW70" s="874"/>
      <c r="IX70" s="874"/>
      <c r="IY70" s="874"/>
      <c r="IZ70" s="874"/>
      <c r="JA70" s="874"/>
      <c r="JB70" s="874"/>
      <c r="JC70" s="874"/>
      <c r="JD70" s="874"/>
      <c r="JE70" s="874"/>
      <c r="JF70" s="874"/>
      <c r="JG70" s="874"/>
      <c r="JH70" s="874"/>
      <c r="JI70" s="874"/>
      <c r="JJ70" s="874"/>
      <c r="JK70" s="874"/>
      <c r="JL70" s="874"/>
      <c r="JM70" s="874"/>
      <c r="JN70" s="874"/>
      <c r="JO70" s="874"/>
      <c r="JP70" s="874"/>
      <c r="JQ70" s="874"/>
      <c r="JR70" s="874"/>
      <c r="JS70" s="874"/>
      <c r="JT70" s="874"/>
      <c r="JU70" s="874"/>
      <c r="JV70" s="874"/>
      <c r="JW70" s="874"/>
      <c r="JX70" s="874"/>
      <c r="JY70" s="874"/>
      <c r="JZ70" s="874"/>
      <c r="KA70" s="874"/>
      <c r="KB70" s="874"/>
      <c r="KC70" s="874"/>
      <c r="KD70" s="874"/>
      <c r="KE70" s="874"/>
      <c r="KF70" s="874"/>
      <c r="KG70" s="874"/>
      <c r="KH70" s="865"/>
      <c r="KI70" s="865"/>
      <c r="KJ70" s="865"/>
      <c r="KK70" s="865"/>
      <c r="KL70" s="865"/>
      <c r="KM70" s="865"/>
      <c r="KN70" s="865"/>
      <c r="KO70" s="865"/>
      <c r="KP70" s="865"/>
      <c r="KQ70" s="865"/>
      <c r="KR70" s="865"/>
      <c r="KS70" s="865"/>
      <c r="KT70" s="865"/>
      <c r="KU70" s="865"/>
      <c r="KV70" s="865"/>
      <c r="KW70" s="865"/>
      <c r="KX70" s="865"/>
      <c r="KY70" s="865"/>
      <c r="KZ70" s="865"/>
      <c r="LA70" s="865"/>
      <c r="LB70" s="865"/>
      <c r="LC70" s="865"/>
      <c r="LD70" s="865"/>
      <c r="LE70" s="865"/>
      <c r="LF70" s="865"/>
    </row>
    <row r="71" spans="1:318">
      <c r="A71" s="865"/>
      <c r="B71" s="865"/>
      <c r="C71" s="865"/>
      <c r="D71" s="865"/>
      <c r="E71" s="865"/>
      <c r="F71" s="865"/>
      <c r="G71" s="865"/>
      <c r="H71" s="865"/>
      <c r="I71" s="865"/>
      <c r="J71" s="865"/>
      <c r="K71" s="865"/>
      <c r="L71" s="865"/>
      <c r="M71" s="865"/>
      <c r="N71" s="865"/>
      <c r="O71" s="865"/>
      <c r="P71" s="865"/>
      <c r="Q71" s="865"/>
      <c r="R71" s="865"/>
      <c r="S71" s="865"/>
      <c r="T71" s="865"/>
      <c r="U71" s="865"/>
      <c r="V71" s="865"/>
      <c r="W71" s="865"/>
      <c r="X71" s="865"/>
      <c r="Y71" s="865"/>
      <c r="Z71" s="865"/>
      <c r="AA71" s="865"/>
      <c r="AB71" s="865"/>
      <c r="AC71" s="865"/>
      <c r="AD71" s="510"/>
      <c r="AE71" s="865"/>
      <c r="AF71" s="865"/>
      <c r="AG71" s="865"/>
      <c r="AH71" s="865"/>
      <c r="AI71" s="865"/>
      <c r="AJ71" s="510"/>
      <c r="AK71" s="865"/>
      <c r="AL71" s="865"/>
      <c r="AM71" s="865"/>
      <c r="AN71" s="865"/>
      <c r="AO71" s="865"/>
      <c r="AP71" s="865"/>
      <c r="AQ71" s="865"/>
      <c r="AR71" s="865"/>
      <c r="AS71" s="865"/>
      <c r="AT71" s="865"/>
      <c r="AU71" s="865"/>
      <c r="AV71" s="865"/>
      <c r="AW71" s="865"/>
      <c r="AX71" s="865"/>
      <c r="AY71" s="865"/>
      <c r="AZ71" s="865"/>
      <c r="BA71" s="865"/>
      <c r="BB71" s="865"/>
      <c r="BC71" s="865"/>
      <c r="BD71" s="865"/>
      <c r="BE71" s="865"/>
      <c r="BF71" s="865"/>
      <c r="BG71" s="865"/>
      <c r="BH71" s="865"/>
      <c r="BI71" s="865"/>
      <c r="BJ71" s="865"/>
      <c r="BK71" s="865"/>
      <c r="BL71" s="865"/>
      <c r="BM71" s="865"/>
      <c r="BN71" s="865"/>
      <c r="BO71" s="865"/>
      <c r="BP71" s="865"/>
      <c r="BQ71" s="865"/>
      <c r="BR71" s="865"/>
      <c r="BS71" s="865"/>
      <c r="BT71" s="865"/>
      <c r="BU71" s="865"/>
      <c r="BV71" s="865"/>
      <c r="BW71" s="865"/>
      <c r="BX71" s="865"/>
      <c r="BY71" s="874"/>
      <c r="BZ71" s="874"/>
      <c r="CA71" s="874"/>
      <c r="CB71" s="874"/>
      <c r="CC71" s="874"/>
      <c r="CD71" s="874"/>
      <c r="CE71" s="874"/>
      <c r="CF71" s="874"/>
      <c r="CG71" s="874"/>
      <c r="CH71" s="874"/>
      <c r="CI71" s="874"/>
      <c r="CJ71" s="874"/>
      <c r="CK71" s="874"/>
      <c r="CL71" s="874"/>
      <c r="CM71" s="874"/>
      <c r="CN71" s="874"/>
      <c r="CO71" s="874"/>
      <c r="CP71" s="874"/>
      <c r="CQ71" s="874"/>
      <c r="CR71" s="874"/>
      <c r="CS71" s="874"/>
      <c r="CT71" s="874"/>
      <c r="CU71" s="874"/>
      <c r="CV71" s="874"/>
      <c r="CW71" s="874"/>
      <c r="CX71" s="874"/>
      <c r="CY71" s="874"/>
      <c r="CZ71" s="874"/>
      <c r="DA71" s="874"/>
      <c r="DB71" s="874"/>
      <c r="DC71" s="874"/>
      <c r="DD71" s="874"/>
      <c r="DE71" s="874"/>
      <c r="DF71" s="874"/>
      <c r="DG71" s="874"/>
      <c r="DH71" s="874"/>
      <c r="DI71" s="874"/>
      <c r="DJ71" s="874"/>
      <c r="DK71" s="874"/>
      <c r="DL71" s="874"/>
      <c r="DM71" s="874"/>
      <c r="DN71" s="874"/>
      <c r="DO71" s="874"/>
      <c r="DP71" s="874"/>
      <c r="DQ71" s="874"/>
      <c r="DR71" s="874"/>
      <c r="DS71" s="874"/>
      <c r="DT71" s="874"/>
      <c r="DU71" s="874"/>
      <c r="DV71" s="874"/>
      <c r="DW71" s="874"/>
      <c r="DX71" s="874"/>
      <c r="DY71" s="874"/>
      <c r="DZ71" s="874"/>
      <c r="EA71" s="874"/>
      <c r="EB71" s="874"/>
      <c r="EC71" s="874"/>
      <c r="ED71" s="874"/>
      <c r="EE71" s="874"/>
      <c r="EF71" s="874"/>
      <c r="EG71" s="874"/>
      <c r="EH71" s="874"/>
      <c r="EI71" s="874"/>
      <c r="EJ71" s="874"/>
      <c r="EK71" s="874"/>
      <c r="EL71" s="874"/>
      <c r="EM71" s="874"/>
      <c r="EN71" s="874"/>
      <c r="EO71" s="874"/>
      <c r="EP71" s="874"/>
      <c r="EQ71" s="874"/>
      <c r="ER71" s="874"/>
      <c r="ES71" s="874"/>
      <c r="ET71" s="874"/>
      <c r="EU71" s="874"/>
      <c r="EV71" s="874"/>
      <c r="EW71" s="874"/>
      <c r="EX71" s="874"/>
      <c r="EY71" s="874"/>
      <c r="EZ71" s="874"/>
      <c r="FA71" s="874"/>
      <c r="FB71" s="874"/>
      <c r="FC71" s="874"/>
      <c r="FD71" s="874"/>
      <c r="FE71" s="874"/>
      <c r="FF71" s="874"/>
      <c r="FG71" s="874"/>
      <c r="FH71" s="874"/>
      <c r="FI71" s="874"/>
      <c r="FJ71" s="874"/>
      <c r="FK71" s="874"/>
      <c r="FL71" s="874"/>
      <c r="FM71" s="874"/>
      <c r="FN71" s="874"/>
      <c r="FO71" s="874"/>
      <c r="FP71" s="874"/>
      <c r="FQ71" s="874"/>
      <c r="FR71" s="874"/>
      <c r="FS71" s="874"/>
      <c r="FT71" s="874"/>
      <c r="FU71" s="874"/>
      <c r="FV71" s="874"/>
      <c r="FW71" s="874"/>
      <c r="FX71" s="874"/>
      <c r="FY71" s="874"/>
      <c r="FZ71" s="874"/>
      <c r="GA71" s="874"/>
      <c r="GB71" s="874"/>
      <c r="GC71" s="874"/>
      <c r="GD71" s="874"/>
      <c r="GE71" s="874"/>
      <c r="GF71" s="874"/>
      <c r="GG71" s="874"/>
      <c r="GH71" s="874"/>
      <c r="GI71" s="874"/>
      <c r="GJ71" s="874"/>
      <c r="GK71" s="874"/>
      <c r="GL71" s="874"/>
      <c r="GM71" s="874"/>
      <c r="GN71" s="874"/>
      <c r="GO71" s="874"/>
      <c r="GP71" s="874"/>
      <c r="GQ71" s="874"/>
      <c r="GR71" s="874"/>
      <c r="GS71" s="874"/>
      <c r="GT71" s="874"/>
      <c r="GU71" s="874"/>
      <c r="GV71" s="874"/>
      <c r="GW71" s="874"/>
      <c r="GX71" s="874"/>
      <c r="GY71" s="874"/>
      <c r="GZ71" s="874"/>
      <c r="HA71" s="874"/>
      <c r="HB71" s="874"/>
      <c r="HC71" s="874"/>
      <c r="HD71" s="874"/>
      <c r="HE71" s="874"/>
      <c r="HF71" s="874"/>
      <c r="HG71" s="874"/>
      <c r="HH71" s="874"/>
      <c r="HI71" s="874"/>
      <c r="HJ71" s="874"/>
      <c r="HK71" s="874"/>
      <c r="HL71" s="874"/>
      <c r="HM71" s="874"/>
      <c r="HN71" s="874"/>
      <c r="HO71" s="874"/>
      <c r="HP71" s="874"/>
      <c r="HQ71" s="874"/>
      <c r="HR71" s="874"/>
      <c r="HS71" s="874"/>
      <c r="HT71" s="874"/>
      <c r="HU71" s="874"/>
      <c r="HV71" s="874"/>
      <c r="HW71" s="874"/>
      <c r="HX71" s="874"/>
      <c r="HY71" s="874"/>
      <c r="HZ71" s="874"/>
      <c r="IA71" s="874"/>
      <c r="IB71" s="874"/>
      <c r="IC71" s="874"/>
      <c r="ID71" s="874"/>
      <c r="IE71" s="874"/>
      <c r="IF71" s="874"/>
      <c r="IG71" s="874"/>
      <c r="IH71" s="874"/>
      <c r="II71" s="874"/>
      <c r="IJ71" s="874"/>
      <c r="IK71" s="874"/>
      <c r="IL71" s="874"/>
      <c r="IM71" s="874"/>
      <c r="IN71" s="874"/>
      <c r="IO71" s="874"/>
      <c r="IP71" s="874"/>
      <c r="IQ71" s="874"/>
      <c r="IR71" s="874"/>
      <c r="IS71" s="874"/>
      <c r="IT71" s="874"/>
      <c r="IU71" s="874"/>
      <c r="IV71" s="874"/>
      <c r="IW71" s="874"/>
      <c r="IX71" s="874"/>
      <c r="IY71" s="874"/>
      <c r="IZ71" s="874"/>
      <c r="JA71" s="874"/>
      <c r="JB71" s="874"/>
      <c r="JC71" s="874"/>
      <c r="JD71" s="874"/>
      <c r="JE71" s="874"/>
      <c r="JF71" s="874"/>
      <c r="JG71" s="874"/>
      <c r="JH71" s="874"/>
      <c r="JI71" s="874"/>
      <c r="JJ71" s="874"/>
      <c r="JK71" s="874"/>
      <c r="JL71" s="874"/>
      <c r="JM71" s="874"/>
      <c r="JN71" s="874"/>
      <c r="JO71" s="874"/>
      <c r="JP71" s="874"/>
      <c r="JQ71" s="874"/>
      <c r="JR71" s="874"/>
      <c r="JS71" s="874"/>
      <c r="JT71" s="874"/>
      <c r="JU71" s="874"/>
      <c r="JV71" s="874"/>
      <c r="JW71" s="874"/>
      <c r="JX71" s="874"/>
      <c r="JY71" s="874"/>
      <c r="JZ71" s="874"/>
      <c r="KA71" s="874"/>
      <c r="KB71" s="874"/>
      <c r="KC71" s="874"/>
      <c r="KD71" s="874"/>
      <c r="KE71" s="874"/>
      <c r="KF71" s="874"/>
      <c r="KG71" s="874"/>
      <c r="KH71" s="865"/>
      <c r="KI71" s="865"/>
      <c r="KJ71" s="865"/>
      <c r="KK71" s="865"/>
      <c r="KL71" s="865"/>
      <c r="KM71" s="865"/>
      <c r="KN71" s="865"/>
      <c r="KO71" s="865"/>
      <c r="KP71" s="865"/>
      <c r="KQ71" s="865"/>
      <c r="KR71" s="865"/>
      <c r="KS71" s="865"/>
      <c r="KT71" s="865"/>
      <c r="KU71" s="865"/>
      <c r="KV71" s="865"/>
      <c r="KW71" s="865"/>
      <c r="KX71" s="865"/>
      <c r="KY71" s="865"/>
      <c r="KZ71" s="865"/>
      <c r="LA71" s="865"/>
      <c r="LB71" s="865"/>
      <c r="LC71" s="865"/>
      <c r="LD71" s="865"/>
      <c r="LE71" s="865"/>
      <c r="LF71" s="865"/>
    </row>
    <row r="72" spans="1:318">
      <c r="A72" s="865"/>
      <c r="B72" s="865"/>
      <c r="C72" s="865"/>
      <c r="D72" s="865"/>
      <c r="E72" s="865"/>
      <c r="F72" s="865"/>
      <c r="G72" s="865"/>
      <c r="H72" s="865"/>
      <c r="I72" s="865"/>
      <c r="J72" s="865"/>
      <c r="K72" s="865"/>
      <c r="L72" s="865"/>
      <c r="M72" s="865"/>
      <c r="N72" s="865"/>
      <c r="O72" s="865"/>
      <c r="P72" s="865"/>
      <c r="Q72" s="865"/>
      <c r="R72" s="865"/>
      <c r="S72" s="865"/>
      <c r="T72" s="865"/>
      <c r="U72" s="865"/>
      <c r="V72" s="865"/>
      <c r="W72" s="865"/>
      <c r="X72" s="865"/>
      <c r="Y72" s="865"/>
      <c r="Z72" s="865"/>
      <c r="AA72" s="865"/>
      <c r="AB72" s="865"/>
      <c r="AC72" s="865"/>
      <c r="AD72" s="510"/>
      <c r="AE72" s="865"/>
      <c r="AF72" s="865"/>
      <c r="AG72" s="865"/>
      <c r="AH72" s="865"/>
      <c r="AI72" s="865"/>
      <c r="AJ72" s="510"/>
      <c r="AK72" s="865"/>
      <c r="AL72" s="865"/>
      <c r="AM72" s="865"/>
      <c r="AN72" s="865"/>
      <c r="AO72" s="865"/>
      <c r="AP72" s="865"/>
      <c r="AQ72" s="865"/>
      <c r="AR72" s="865"/>
      <c r="AS72" s="865"/>
      <c r="AT72" s="865"/>
      <c r="AU72" s="865"/>
      <c r="AV72" s="865"/>
      <c r="AW72" s="865"/>
      <c r="AX72" s="865"/>
      <c r="AY72" s="865"/>
      <c r="AZ72" s="865"/>
      <c r="BA72" s="865"/>
      <c r="BB72" s="865"/>
      <c r="BC72" s="865"/>
      <c r="BD72" s="865"/>
      <c r="BE72" s="865"/>
      <c r="BF72" s="865"/>
      <c r="BG72" s="865"/>
      <c r="BH72" s="865"/>
      <c r="BI72" s="865"/>
      <c r="BJ72" s="865"/>
      <c r="BK72" s="865"/>
      <c r="BL72" s="865"/>
      <c r="BM72" s="865"/>
      <c r="BN72" s="865"/>
      <c r="BO72" s="865"/>
      <c r="BP72" s="865"/>
      <c r="BQ72" s="865"/>
      <c r="BR72" s="865"/>
      <c r="BS72" s="865"/>
      <c r="BT72" s="865"/>
      <c r="BU72" s="865"/>
      <c r="BV72" s="865"/>
      <c r="BW72" s="865"/>
      <c r="BX72" s="865"/>
      <c r="BY72" s="874"/>
      <c r="BZ72" s="874"/>
      <c r="CA72" s="874"/>
      <c r="CB72" s="874"/>
      <c r="CC72" s="874"/>
      <c r="CD72" s="874"/>
      <c r="CE72" s="874"/>
      <c r="CF72" s="874"/>
      <c r="CG72" s="874"/>
      <c r="CH72" s="874"/>
      <c r="CI72" s="874"/>
      <c r="CJ72" s="874"/>
      <c r="CK72" s="874"/>
      <c r="CL72" s="874"/>
      <c r="CM72" s="874"/>
      <c r="CN72" s="874"/>
      <c r="CO72" s="874"/>
      <c r="CP72" s="874"/>
      <c r="CQ72" s="874"/>
      <c r="CR72" s="874"/>
      <c r="CS72" s="874"/>
      <c r="CT72" s="874"/>
      <c r="CU72" s="874"/>
      <c r="CV72" s="874"/>
      <c r="CW72" s="874"/>
      <c r="CX72" s="874"/>
      <c r="CY72" s="874"/>
      <c r="CZ72" s="874"/>
      <c r="DA72" s="874"/>
      <c r="DB72" s="874"/>
      <c r="DC72" s="874"/>
      <c r="DD72" s="874"/>
      <c r="DE72" s="874"/>
      <c r="DF72" s="874"/>
      <c r="DG72" s="874"/>
      <c r="DH72" s="874"/>
      <c r="DI72" s="874"/>
      <c r="DJ72" s="874"/>
      <c r="DK72" s="874"/>
      <c r="DL72" s="874"/>
      <c r="DM72" s="874"/>
      <c r="DN72" s="874"/>
      <c r="DO72" s="874"/>
      <c r="DP72" s="874"/>
      <c r="DQ72" s="874"/>
      <c r="DR72" s="874"/>
      <c r="DS72" s="874"/>
      <c r="DT72" s="874"/>
      <c r="DU72" s="874"/>
      <c r="DV72" s="874"/>
      <c r="DW72" s="874"/>
      <c r="DX72" s="874"/>
      <c r="DY72" s="874"/>
      <c r="DZ72" s="874"/>
      <c r="EA72" s="874"/>
      <c r="EB72" s="874"/>
      <c r="EC72" s="874"/>
      <c r="ED72" s="874"/>
      <c r="EE72" s="874"/>
      <c r="EF72" s="874"/>
      <c r="EG72" s="874"/>
      <c r="EH72" s="874"/>
      <c r="EI72" s="874"/>
      <c r="EJ72" s="874"/>
      <c r="EK72" s="874"/>
      <c r="EL72" s="874"/>
      <c r="EM72" s="874"/>
      <c r="EN72" s="874"/>
      <c r="EO72" s="874"/>
      <c r="EP72" s="874"/>
      <c r="EQ72" s="874"/>
      <c r="ER72" s="874"/>
      <c r="ES72" s="874"/>
      <c r="ET72" s="874"/>
      <c r="EU72" s="874"/>
      <c r="EV72" s="874"/>
      <c r="EW72" s="874"/>
      <c r="EX72" s="874"/>
      <c r="EY72" s="874"/>
      <c r="EZ72" s="874"/>
      <c r="FA72" s="874"/>
      <c r="FB72" s="874"/>
      <c r="FC72" s="874"/>
      <c r="FD72" s="874"/>
      <c r="FE72" s="874"/>
      <c r="FF72" s="874"/>
      <c r="FG72" s="874"/>
      <c r="FH72" s="874"/>
      <c r="FI72" s="874"/>
      <c r="FJ72" s="874"/>
      <c r="FK72" s="874"/>
      <c r="FL72" s="874"/>
      <c r="FM72" s="874"/>
      <c r="FN72" s="874"/>
      <c r="FO72" s="874"/>
      <c r="FP72" s="874"/>
      <c r="FQ72" s="874"/>
      <c r="FR72" s="874"/>
      <c r="FS72" s="874"/>
      <c r="FT72" s="874"/>
      <c r="FU72" s="874"/>
      <c r="FV72" s="874"/>
      <c r="FW72" s="874"/>
      <c r="FX72" s="874"/>
      <c r="FY72" s="874"/>
      <c r="FZ72" s="874"/>
      <c r="GA72" s="874"/>
      <c r="GB72" s="874"/>
      <c r="GC72" s="874"/>
      <c r="GD72" s="874"/>
      <c r="GE72" s="874"/>
      <c r="GF72" s="874"/>
      <c r="GG72" s="874"/>
      <c r="GH72" s="874"/>
      <c r="GI72" s="874"/>
      <c r="GJ72" s="874"/>
      <c r="GK72" s="874"/>
      <c r="GL72" s="874"/>
      <c r="GM72" s="874"/>
      <c r="GN72" s="874"/>
      <c r="GO72" s="874"/>
      <c r="GP72" s="874"/>
      <c r="GQ72" s="874"/>
      <c r="GR72" s="874"/>
      <c r="GS72" s="874"/>
      <c r="GT72" s="874"/>
      <c r="GU72" s="874"/>
      <c r="GV72" s="874"/>
      <c r="GW72" s="874"/>
      <c r="GX72" s="874"/>
      <c r="GY72" s="874"/>
      <c r="GZ72" s="874"/>
      <c r="HA72" s="874"/>
      <c r="HB72" s="874"/>
      <c r="HC72" s="874"/>
      <c r="HD72" s="874"/>
      <c r="HE72" s="874"/>
      <c r="HF72" s="874"/>
      <c r="HG72" s="874"/>
      <c r="HH72" s="874"/>
      <c r="HI72" s="874"/>
      <c r="HJ72" s="874"/>
      <c r="HK72" s="874"/>
      <c r="HL72" s="874"/>
      <c r="HM72" s="874"/>
      <c r="HN72" s="874"/>
      <c r="HO72" s="874"/>
      <c r="HP72" s="874"/>
      <c r="HQ72" s="874"/>
      <c r="HR72" s="874"/>
      <c r="HS72" s="874"/>
      <c r="HT72" s="874"/>
      <c r="HU72" s="874"/>
      <c r="HV72" s="874"/>
      <c r="HW72" s="874"/>
      <c r="HX72" s="874"/>
      <c r="HY72" s="874"/>
      <c r="HZ72" s="874"/>
      <c r="IA72" s="874"/>
      <c r="IB72" s="874"/>
      <c r="IC72" s="874"/>
      <c r="ID72" s="874"/>
      <c r="IE72" s="874"/>
      <c r="IF72" s="874"/>
      <c r="IG72" s="874"/>
      <c r="IH72" s="874"/>
      <c r="II72" s="874"/>
      <c r="IJ72" s="874"/>
      <c r="IK72" s="874"/>
      <c r="IL72" s="874"/>
      <c r="IM72" s="874"/>
      <c r="IN72" s="874"/>
      <c r="IO72" s="874"/>
      <c r="IP72" s="874"/>
      <c r="IQ72" s="874"/>
      <c r="IR72" s="874"/>
      <c r="IS72" s="874"/>
      <c r="IT72" s="874"/>
      <c r="IU72" s="874"/>
      <c r="IV72" s="874"/>
      <c r="IW72" s="874"/>
      <c r="IX72" s="874"/>
      <c r="IY72" s="874"/>
      <c r="IZ72" s="874"/>
      <c r="JA72" s="874"/>
      <c r="JB72" s="874"/>
      <c r="JC72" s="874"/>
      <c r="JD72" s="874"/>
      <c r="JE72" s="874"/>
      <c r="JF72" s="874"/>
      <c r="JG72" s="874"/>
      <c r="JH72" s="874"/>
      <c r="JI72" s="874"/>
      <c r="JJ72" s="874"/>
      <c r="JK72" s="874"/>
      <c r="JL72" s="874"/>
      <c r="JM72" s="874"/>
      <c r="JN72" s="874"/>
      <c r="JO72" s="874"/>
      <c r="JP72" s="874"/>
      <c r="JQ72" s="874"/>
      <c r="JR72" s="874"/>
      <c r="JS72" s="874"/>
      <c r="JT72" s="874"/>
      <c r="JU72" s="874"/>
      <c r="JV72" s="874"/>
      <c r="JW72" s="874"/>
      <c r="JX72" s="874"/>
      <c r="JY72" s="874"/>
      <c r="JZ72" s="874"/>
      <c r="KA72" s="874"/>
      <c r="KB72" s="874"/>
      <c r="KC72" s="874"/>
      <c r="KD72" s="874"/>
      <c r="KE72" s="874"/>
      <c r="KF72" s="874"/>
      <c r="KG72" s="874"/>
      <c r="KH72" s="865"/>
      <c r="KI72" s="865"/>
      <c r="KJ72" s="865"/>
      <c r="KK72" s="865"/>
      <c r="KL72" s="865"/>
      <c r="KM72" s="865"/>
      <c r="KN72" s="865"/>
      <c r="KO72" s="865"/>
      <c r="KP72" s="865"/>
      <c r="KQ72" s="865"/>
      <c r="KR72" s="865"/>
      <c r="KS72" s="865"/>
      <c r="KT72" s="865"/>
      <c r="KU72" s="865"/>
      <c r="KV72" s="865"/>
      <c r="KW72" s="865"/>
      <c r="KX72" s="865"/>
      <c r="KY72" s="865"/>
      <c r="KZ72" s="865"/>
      <c r="LA72" s="865"/>
      <c r="LB72" s="865"/>
      <c r="LC72" s="865"/>
      <c r="LD72" s="865"/>
      <c r="LE72" s="865"/>
      <c r="LF72" s="865"/>
    </row>
    <row r="73" spans="1:318" ht="16.2" thickBot="1">
      <c r="A73" s="865"/>
      <c r="B73" s="865"/>
      <c r="C73" s="865"/>
      <c r="D73" s="865"/>
      <c r="E73" s="865"/>
      <c r="F73" s="865"/>
      <c r="G73" s="865"/>
      <c r="H73" s="865"/>
      <c r="I73" s="865"/>
      <c r="J73" s="865"/>
      <c r="K73" s="865"/>
      <c r="L73" s="865"/>
      <c r="M73" s="865"/>
      <c r="N73" s="865"/>
      <c r="O73" s="865"/>
      <c r="P73" s="865"/>
      <c r="Q73" s="865"/>
      <c r="R73" s="865"/>
      <c r="S73" s="865"/>
      <c r="T73" s="865"/>
      <c r="U73" s="865"/>
      <c r="V73" s="865"/>
      <c r="W73" s="865"/>
      <c r="X73" s="865"/>
      <c r="Y73" s="865"/>
      <c r="Z73" s="865"/>
      <c r="AA73" s="865"/>
      <c r="AB73" s="865"/>
      <c r="AC73" s="865"/>
      <c r="AD73" s="510"/>
      <c r="AE73" s="865"/>
      <c r="AF73" s="865"/>
      <c r="AG73" s="865"/>
      <c r="AH73" s="865"/>
      <c r="AI73" s="865"/>
      <c r="AJ73" s="510"/>
      <c r="AK73" s="865"/>
      <c r="AL73" s="865"/>
      <c r="AM73" s="865"/>
      <c r="AN73" s="865"/>
      <c r="AO73" s="865"/>
      <c r="AP73" s="865"/>
      <c r="AQ73" s="865"/>
      <c r="AR73" s="865"/>
      <c r="AS73" s="865"/>
      <c r="AT73" s="865"/>
      <c r="AU73" s="865"/>
      <c r="AV73" s="865"/>
      <c r="AW73" s="865"/>
      <c r="AX73" s="865"/>
      <c r="AY73" s="865"/>
      <c r="AZ73" s="865"/>
      <c r="BA73" s="865"/>
      <c r="BB73" s="865"/>
      <c r="BC73" s="865"/>
      <c r="BD73" s="865"/>
      <c r="BE73" s="865"/>
      <c r="BF73" s="865"/>
      <c r="BG73" s="865"/>
      <c r="BH73" s="865"/>
      <c r="BI73" s="865"/>
      <c r="BJ73" s="865"/>
      <c r="BK73" s="865"/>
      <c r="BL73" s="865"/>
      <c r="BM73" s="865"/>
      <c r="BN73" s="865"/>
      <c r="BO73" s="865"/>
      <c r="BP73" s="865"/>
      <c r="BQ73" s="865"/>
      <c r="BR73" s="865"/>
      <c r="BS73" s="865"/>
      <c r="BT73" s="865"/>
      <c r="BU73" s="865"/>
      <c r="BV73" s="865"/>
      <c r="BW73" s="865"/>
      <c r="BX73" s="865"/>
      <c r="BY73" s="874"/>
      <c r="BZ73" s="874"/>
      <c r="CA73" s="874"/>
      <c r="CB73" s="874"/>
      <c r="CC73" s="874"/>
      <c r="CD73" s="874"/>
      <c r="CE73" s="874"/>
      <c r="CF73" s="874"/>
      <c r="CG73" s="874"/>
      <c r="CH73" s="874"/>
      <c r="CI73" s="874"/>
      <c r="CJ73" s="874"/>
      <c r="CK73" s="874"/>
      <c r="CL73" s="874"/>
      <c r="CM73" s="874"/>
      <c r="CN73" s="874"/>
      <c r="CO73" s="874"/>
      <c r="CP73" s="874"/>
      <c r="CQ73" s="874"/>
      <c r="CR73" s="874"/>
      <c r="CS73" s="874"/>
      <c r="CT73" s="874"/>
      <c r="CU73" s="874"/>
      <c r="CV73" s="874"/>
      <c r="CW73" s="874"/>
      <c r="CX73" s="874"/>
      <c r="CY73" s="874"/>
      <c r="CZ73" s="874"/>
      <c r="DA73" s="874"/>
      <c r="DB73" s="874"/>
      <c r="DC73" s="874"/>
      <c r="DD73" s="874"/>
      <c r="DE73" s="874"/>
      <c r="DF73" s="874"/>
      <c r="DG73" s="874"/>
      <c r="DH73" s="874"/>
      <c r="DI73" s="874"/>
      <c r="DJ73" s="874"/>
      <c r="DK73" s="874"/>
      <c r="DL73" s="874"/>
      <c r="DM73" s="874"/>
      <c r="DN73" s="874"/>
      <c r="DO73" s="874"/>
      <c r="DP73" s="874"/>
      <c r="DQ73" s="874"/>
      <c r="DR73" s="874"/>
      <c r="DS73" s="874"/>
      <c r="DT73" s="874"/>
      <c r="DU73" s="874"/>
      <c r="DV73" s="874"/>
      <c r="DW73" s="874"/>
      <c r="DX73" s="874"/>
      <c r="DY73" s="874"/>
      <c r="DZ73" s="874"/>
      <c r="EA73" s="874"/>
      <c r="EB73" s="874"/>
      <c r="EC73" s="874"/>
      <c r="ED73" s="874"/>
      <c r="EE73" s="874"/>
      <c r="EF73" s="874"/>
      <c r="EG73" s="874"/>
      <c r="EH73" s="874"/>
      <c r="EI73" s="874"/>
      <c r="EJ73" s="874"/>
      <c r="EK73" s="874"/>
      <c r="EL73" s="874"/>
      <c r="EM73" s="874"/>
      <c r="EN73" s="874"/>
      <c r="EO73" s="874"/>
      <c r="EP73" s="874"/>
      <c r="EQ73" s="874"/>
      <c r="ER73" s="874"/>
      <c r="ES73" s="874"/>
      <c r="ET73" s="874"/>
      <c r="EU73" s="874"/>
      <c r="EV73" s="874"/>
      <c r="EW73" s="874"/>
      <c r="EX73" s="874"/>
      <c r="EY73" s="874"/>
      <c r="EZ73" s="874"/>
      <c r="FA73" s="874"/>
      <c r="FB73" s="874"/>
      <c r="FC73" s="874"/>
      <c r="FD73" s="874"/>
      <c r="FE73" s="874"/>
      <c r="FF73" s="874"/>
      <c r="FG73" s="874"/>
      <c r="FH73" s="874"/>
      <c r="FI73" s="874"/>
      <c r="FJ73" s="874"/>
      <c r="FK73" s="874"/>
      <c r="FL73" s="874"/>
      <c r="FM73" s="874"/>
      <c r="FN73" s="874"/>
      <c r="FO73" s="874"/>
      <c r="FP73" s="874"/>
      <c r="FQ73" s="874"/>
      <c r="FR73" s="874"/>
      <c r="FS73" s="874"/>
      <c r="FT73" s="874"/>
      <c r="FU73" s="874"/>
      <c r="FV73" s="874"/>
      <c r="FW73" s="874"/>
      <c r="FX73" s="874"/>
      <c r="FY73" s="874"/>
      <c r="FZ73" s="874"/>
      <c r="GA73" s="874"/>
      <c r="GB73" s="874"/>
      <c r="GC73" s="874"/>
      <c r="GD73" s="874"/>
      <c r="GE73" s="874"/>
      <c r="GF73" s="874"/>
      <c r="GG73" s="874"/>
      <c r="GH73" s="874"/>
      <c r="GI73" s="874"/>
      <c r="GJ73" s="874"/>
      <c r="GK73" s="874"/>
      <c r="GL73" s="874"/>
      <c r="GM73" s="874"/>
      <c r="GN73" s="874"/>
      <c r="GO73" s="874"/>
      <c r="GP73" s="874"/>
      <c r="GQ73" s="874"/>
      <c r="GR73" s="874"/>
      <c r="GS73" s="874"/>
      <c r="GT73" s="874"/>
      <c r="GU73" s="874"/>
      <c r="GV73" s="874"/>
      <c r="GW73" s="874"/>
      <c r="GX73" s="874"/>
      <c r="GY73" s="874"/>
      <c r="GZ73" s="874"/>
      <c r="HA73" s="874"/>
      <c r="HB73" s="874"/>
      <c r="HC73" s="874"/>
      <c r="HD73" s="874"/>
      <c r="HE73" s="874"/>
      <c r="HF73" s="874"/>
      <c r="HG73" s="874"/>
      <c r="HH73" s="874"/>
      <c r="HI73" s="874"/>
      <c r="HJ73" s="874"/>
      <c r="HK73" s="874"/>
      <c r="HL73" s="874"/>
      <c r="HM73" s="874"/>
      <c r="HN73" s="874"/>
      <c r="HO73" s="874"/>
      <c r="HP73" s="874"/>
      <c r="HQ73" s="874"/>
      <c r="HR73" s="874"/>
      <c r="HS73" s="874"/>
      <c r="HT73" s="874"/>
      <c r="HU73" s="874"/>
      <c r="HV73" s="874"/>
      <c r="HW73" s="874"/>
      <c r="HX73" s="874"/>
      <c r="HY73" s="874"/>
      <c r="HZ73" s="874"/>
      <c r="IA73" s="874"/>
      <c r="IB73" s="874"/>
      <c r="IC73" s="874"/>
      <c r="ID73" s="874"/>
      <c r="IE73" s="874"/>
      <c r="IF73" s="874"/>
      <c r="IG73" s="874"/>
      <c r="IH73" s="874"/>
      <c r="II73" s="874"/>
      <c r="IJ73" s="874"/>
      <c r="IK73" s="874"/>
      <c r="IL73" s="874"/>
      <c r="IM73" s="874"/>
      <c r="IN73" s="874"/>
      <c r="IO73" s="874"/>
      <c r="IP73" s="874"/>
      <c r="IQ73" s="874"/>
      <c r="IR73" s="874"/>
      <c r="IS73" s="874"/>
      <c r="IT73" s="874"/>
      <c r="IU73" s="874"/>
      <c r="IV73" s="874"/>
      <c r="IW73" s="874"/>
      <c r="IX73" s="874"/>
      <c r="IY73" s="874"/>
      <c r="IZ73" s="874"/>
      <c r="JA73" s="874"/>
      <c r="JB73" s="874"/>
      <c r="JC73" s="874"/>
      <c r="JD73" s="874"/>
      <c r="JE73" s="874"/>
      <c r="JF73" s="874"/>
      <c r="JG73" s="874"/>
      <c r="JH73" s="874"/>
      <c r="JI73" s="874"/>
      <c r="JJ73" s="874"/>
      <c r="JK73" s="874"/>
      <c r="JL73" s="874"/>
      <c r="JM73" s="874"/>
      <c r="JN73" s="874"/>
      <c r="JO73" s="874"/>
      <c r="JP73" s="874"/>
      <c r="JQ73" s="874"/>
      <c r="JR73" s="874"/>
      <c r="JS73" s="874"/>
      <c r="JT73" s="874"/>
      <c r="JU73" s="874"/>
      <c r="JV73" s="874"/>
      <c r="JW73" s="874"/>
      <c r="JX73" s="874"/>
      <c r="JY73" s="874"/>
      <c r="JZ73" s="874"/>
      <c r="KA73" s="874"/>
      <c r="KB73" s="874"/>
      <c r="KC73" s="874"/>
      <c r="KD73" s="874"/>
      <c r="KE73" s="874"/>
      <c r="KF73" s="874"/>
      <c r="KG73" s="874"/>
      <c r="KH73" s="865"/>
      <c r="KI73" s="865"/>
      <c r="KJ73" s="865"/>
      <c r="KK73" s="865"/>
      <c r="KL73" s="865"/>
      <c r="KM73" s="865"/>
      <c r="KN73" s="865"/>
      <c r="KO73" s="865"/>
      <c r="KP73" s="865"/>
      <c r="KQ73" s="865"/>
      <c r="KR73" s="865"/>
      <c r="KS73" s="865"/>
      <c r="KT73" s="865"/>
      <c r="KU73" s="865"/>
      <c r="KV73" s="865"/>
      <c r="KW73" s="865"/>
      <c r="KX73" s="865"/>
      <c r="KY73" s="865"/>
      <c r="KZ73" s="865"/>
      <c r="LA73" s="865"/>
      <c r="LB73" s="865"/>
      <c r="LC73" s="865"/>
      <c r="LD73" s="865"/>
      <c r="LE73" s="865"/>
      <c r="LF73" s="865"/>
    </row>
    <row r="74" spans="1:318" ht="48" customHeight="1">
      <c r="A74" s="2507" t="s">
        <v>254</v>
      </c>
      <c r="B74" s="2508"/>
      <c r="C74" s="2508"/>
      <c r="D74" s="2508"/>
      <c r="E74" s="2508"/>
      <c r="F74" s="2509"/>
      <c r="G74" s="865"/>
      <c r="H74" s="865"/>
      <c r="I74" s="865"/>
      <c r="J74" s="865"/>
      <c r="K74" s="865"/>
      <c r="L74" s="865"/>
      <c r="M74" s="865"/>
      <c r="N74" s="865"/>
      <c r="O74" s="865"/>
      <c r="P74" s="865"/>
      <c r="Q74" s="865"/>
      <c r="R74" s="865"/>
      <c r="S74" s="865"/>
      <c r="T74" s="865"/>
      <c r="U74" s="865"/>
      <c r="V74" s="865"/>
      <c r="W74" s="865"/>
      <c r="X74" s="865"/>
      <c r="Y74" s="865"/>
      <c r="Z74" s="865"/>
      <c r="AA74" s="865"/>
      <c r="AB74" s="865"/>
      <c r="AC74" s="865"/>
      <c r="AD74" s="510"/>
      <c r="AE74" s="865"/>
      <c r="AF74" s="865"/>
      <c r="AG74" s="865"/>
      <c r="AH74" s="865"/>
      <c r="AI74" s="865"/>
      <c r="AJ74" s="510"/>
      <c r="AK74" s="865"/>
      <c r="AL74" s="865"/>
      <c r="AM74" s="865"/>
      <c r="AN74" s="865"/>
      <c r="AO74" s="865"/>
      <c r="AP74" s="865"/>
      <c r="AQ74" s="865"/>
      <c r="AR74" s="865"/>
      <c r="AS74" s="865"/>
      <c r="AT74" s="865"/>
      <c r="AU74" s="865"/>
      <c r="AV74" s="865"/>
      <c r="AW74" s="865"/>
      <c r="AX74" s="865"/>
      <c r="AY74" s="865"/>
      <c r="AZ74" s="865"/>
      <c r="BA74" s="865"/>
      <c r="BB74" s="865"/>
      <c r="BC74" s="865"/>
      <c r="BD74" s="865"/>
      <c r="BE74" s="865"/>
      <c r="BF74" s="865"/>
      <c r="BG74" s="865"/>
      <c r="BH74" s="865"/>
      <c r="BI74" s="865"/>
      <c r="BJ74" s="865"/>
      <c r="BK74" s="865"/>
      <c r="BL74" s="865"/>
      <c r="BM74" s="865"/>
      <c r="BN74" s="865"/>
      <c r="BO74" s="865"/>
      <c r="BP74" s="865"/>
      <c r="BQ74" s="865"/>
      <c r="BR74" s="865"/>
      <c r="BS74" s="865"/>
      <c r="BT74" s="865"/>
      <c r="BU74" s="865"/>
      <c r="BV74" s="865"/>
      <c r="BW74" s="865"/>
      <c r="BX74" s="865"/>
      <c r="BY74" s="874"/>
      <c r="BZ74" s="874"/>
      <c r="CA74" s="874"/>
      <c r="CB74" s="874"/>
      <c r="CC74" s="874"/>
      <c r="CD74" s="874"/>
      <c r="CE74" s="874"/>
      <c r="CF74" s="874"/>
      <c r="CG74" s="874"/>
      <c r="CH74" s="874"/>
      <c r="CI74" s="874"/>
      <c r="CJ74" s="874"/>
      <c r="CK74" s="874"/>
      <c r="CL74" s="874"/>
      <c r="CM74" s="874"/>
      <c r="CN74" s="874"/>
      <c r="CO74" s="874"/>
      <c r="CP74" s="874"/>
      <c r="CQ74" s="874"/>
      <c r="CR74" s="874"/>
      <c r="CS74" s="874"/>
      <c r="CT74" s="874"/>
      <c r="CU74" s="874"/>
      <c r="CV74" s="874"/>
      <c r="CW74" s="874"/>
      <c r="CX74" s="874"/>
      <c r="CY74" s="874"/>
      <c r="CZ74" s="874"/>
      <c r="DA74" s="874"/>
      <c r="DB74" s="874"/>
      <c r="DC74" s="874"/>
      <c r="DD74" s="874"/>
      <c r="DE74" s="874"/>
      <c r="DF74" s="874"/>
      <c r="DG74" s="874"/>
      <c r="DH74" s="874"/>
      <c r="DI74" s="874"/>
      <c r="DJ74" s="874"/>
      <c r="DK74" s="874"/>
      <c r="DL74" s="874"/>
      <c r="DM74" s="874"/>
      <c r="DN74" s="874"/>
      <c r="DO74" s="874"/>
      <c r="DP74" s="874"/>
      <c r="DQ74" s="874"/>
      <c r="DR74" s="874"/>
      <c r="DS74" s="874"/>
      <c r="DT74" s="874"/>
      <c r="DU74" s="874"/>
      <c r="DV74" s="874"/>
      <c r="DW74" s="874"/>
      <c r="DX74" s="874"/>
      <c r="DY74" s="874"/>
      <c r="DZ74" s="874"/>
      <c r="EA74" s="874"/>
      <c r="EB74" s="874"/>
      <c r="EC74" s="874"/>
      <c r="ED74" s="874"/>
      <c r="EE74" s="874"/>
      <c r="EF74" s="874"/>
      <c r="EG74" s="874"/>
      <c r="EH74" s="874"/>
      <c r="EI74" s="874"/>
      <c r="EJ74" s="874"/>
      <c r="EK74" s="874"/>
      <c r="EL74" s="874"/>
      <c r="EM74" s="874"/>
      <c r="EN74" s="874"/>
      <c r="EO74" s="874"/>
      <c r="EP74" s="874"/>
      <c r="EQ74" s="874"/>
      <c r="ER74" s="874"/>
      <c r="ES74" s="874"/>
      <c r="ET74" s="874"/>
      <c r="EU74" s="874"/>
      <c r="EV74" s="874"/>
      <c r="EW74" s="874"/>
      <c r="EX74" s="874"/>
      <c r="EY74" s="874"/>
      <c r="EZ74" s="874"/>
      <c r="FA74" s="874"/>
      <c r="FB74" s="874"/>
      <c r="FC74" s="874"/>
      <c r="FD74" s="874"/>
      <c r="FE74" s="874"/>
      <c r="FF74" s="874"/>
      <c r="FG74" s="874"/>
      <c r="FH74" s="874"/>
      <c r="FI74" s="874"/>
      <c r="FJ74" s="874"/>
      <c r="FK74" s="874"/>
      <c r="FL74" s="874"/>
      <c r="FM74" s="874"/>
      <c r="FN74" s="874"/>
      <c r="FO74" s="874"/>
      <c r="FP74" s="874"/>
      <c r="FQ74" s="874"/>
      <c r="FR74" s="874"/>
      <c r="FS74" s="874"/>
      <c r="FT74" s="874"/>
      <c r="FU74" s="874"/>
      <c r="FV74" s="874"/>
      <c r="FW74" s="874"/>
      <c r="FX74" s="874"/>
      <c r="FY74" s="874"/>
      <c r="FZ74" s="874"/>
      <c r="GA74" s="874"/>
      <c r="GB74" s="874"/>
      <c r="GC74" s="874"/>
      <c r="GD74" s="874"/>
      <c r="GE74" s="874"/>
      <c r="GF74" s="874"/>
      <c r="GG74" s="874"/>
      <c r="GH74" s="874"/>
      <c r="GI74" s="874"/>
      <c r="GJ74" s="874"/>
      <c r="GK74" s="874"/>
      <c r="GL74" s="874"/>
      <c r="GM74" s="874"/>
      <c r="GN74" s="874"/>
      <c r="GO74" s="874"/>
      <c r="GP74" s="874"/>
      <c r="GQ74" s="874"/>
      <c r="GR74" s="874"/>
      <c r="GS74" s="874"/>
      <c r="GT74" s="874"/>
      <c r="GU74" s="874"/>
      <c r="GV74" s="874"/>
      <c r="GW74" s="874"/>
      <c r="GX74" s="874"/>
      <c r="GY74" s="874"/>
      <c r="GZ74" s="874"/>
      <c r="HA74" s="874"/>
      <c r="HB74" s="874"/>
      <c r="HC74" s="874"/>
      <c r="HD74" s="874"/>
      <c r="HE74" s="874"/>
      <c r="HF74" s="874"/>
      <c r="HG74" s="874"/>
      <c r="HH74" s="874"/>
      <c r="HI74" s="874"/>
      <c r="HJ74" s="874"/>
      <c r="HK74" s="874"/>
      <c r="HL74" s="874"/>
      <c r="HM74" s="874"/>
      <c r="HN74" s="874"/>
      <c r="HO74" s="874"/>
      <c r="HP74" s="874"/>
      <c r="HQ74" s="874"/>
      <c r="HR74" s="874"/>
      <c r="HS74" s="874"/>
      <c r="HT74" s="874"/>
      <c r="HU74" s="874"/>
      <c r="HV74" s="874"/>
      <c r="HW74" s="874"/>
      <c r="HX74" s="874"/>
      <c r="HY74" s="874"/>
      <c r="HZ74" s="874"/>
      <c r="IA74" s="874"/>
      <c r="IB74" s="874"/>
      <c r="IC74" s="874"/>
      <c r="ID74" s="874"/>
      <c r="IE74" s="874"/>
      <c r="IF74" s="874"/>
      <c r="IG74" s="874"/>
      <c r="IH74" s="874"/>
      <c r="II74" s="874"/>
      <c r="IJ74" s="874"/>
      <c r="IK74" s="874"/>
      <c r="IL74" s="874"/>
      <c r="IM74" s="874"/>
      <c r="IN74" s="874"/>
      <c r="IO74" s="874"/>
      <c r="IP74" s="874"/>
      <c r="IQ74" s="874"/>
      <c r="IR74" s="874"/>
      <c r="IS74" s="874"/>
      <c r="IT74" s="874"/>
      <c r="IU74" s="874"/>
      <c r="IV74" s="874"/>
      <c r="IW74" s="874"/>
      <c r="IX74" s="874"/>
      <c r="IY74" s="874"/>
      <c r="IZ74" s="874"/>
      <c r="JA74" s="874"/>
      <c r="JB74" s="874"/>
      <c r="JC74" s="874"/>
      <c r="JD74" s="874"/>
      <c r="JE74" s="874"/>
      <c r="JF74" s="874"/>
      <c r="JG74" s="874"/>
      <c r="JH74" s="874"/>
      <c r="JI74" s="874"/>
      <c r="JJ74" s="874"/>
      <c r="JK74" s="874"/>
      <c r="JL74" s="874"/>
      <c r="JM74" s="874"/>
      <c r="JN74" s="874"/>
      <c r="JO74" s="874"/>
      <c r="JP74" s="874"/>
      <c r="JQ74" s="874"/>
      <c r="JR74" s="874"/>
      <c r="JS74" s="874"/>
      <c r="JT74" s="874"/>
      <c r="JU74" s="874"/>
      <c r="JV74" s="874"/>
      <c r="JW74" s="874"/>
      <c r="JX74" s="874"/>
      <c r="JY74" s="874"/>
      <c r="JZ74" s="874"/>
      <c r="KA74" s="874"/>
      <c r="KB74" s="874"/>
      <c r="KC74" s="874"/>
      <c r="KD74" s="874"/>
      <c r="KE74" s="874"/>
      <c r="KF74" s="874"/>
      <c r="KG74" s="874"/>
      <c r="KH74" s="865"/>
      <c r="KI74" s="865"/>
      <c r="KJ74" s="865"/>
      <c r="KK74" s="865"/>
      <c r="KL74" s="865"/>
      <c r="KM74" s="865"/>
      <c r="KN74" s="865"/>
      <c r="KO74" s="865"/>
      <c r="KP74" s="865"/>
      <c r="KQ74" s="865"/>
      <c r="KR74" s="865"/>
      <c r="KS74" s="865"/>
      <c r="KT74" s="865"/>
      <c r="KU74" s="865"/>
      <c r="KV74" s="865"/>
      <c r="KW74" s="865"/>
      <c r="KX74" s="865"/>
      <c r="KY74" s="865"/>
      <c r="KZ74" s="865"/>
      <c r="LA74" s="865"/>
      <c r="LB74" s="865"/>
      <c r="LC74" s="865"/>
      <c r="LD74" s="865"/>
      <c r="LE74" s="865"/>
      <c r="LF74" s="865"/>
    </row>
    <row r="75" spans="1:318" ht="48" customHeight="1">
      <c r="A75" s="2510"/>
      <c r="B75" s="2511"/>
      <c r="C75" s="2511"/>
      <c r="D75" s="2511"/>
      <c r="E75" s="2511"/>
      <c r="F75" s="2512"/>
      <c r="G75" s="865"/>
      <c r="H75" s="865"/>
      <c r="I75" s="865"/>
      <c r="J75" s="865"/>
      <c r="K75" s="865"/>
      <c r="L75" s="865"/>
      <c r="M75" s="865"/>
      <c r="N75" s="865"/>
      <c r="O75" s="865"/>
      <c r="P75" s="865"/>
      <c r="Q75" s="865"/>
      <c r="R75" s="865"/>
      <c r="S75" s="865"/>
      <c r="T75" s="865"/>
      <c r="U75" s="865"/>
      <c r="V75" s="865"/>
      <c r="W75" s="865"/>
      <c r="X75" s="865"/>
      <c r="Y75" s="865"/>
      <c r="Z75" s="865"/>
      <c r="AA75" s="865"/>
      <c r="AB75" s="865"/>
      <c r="AC75" s="865"/>
      <c r="AD75" s="510"/>
      <c r="AE75" s="865"/>
      <c r="AF75" s="865"/>
      <c r="AG75" s="865"/>
      <c r="AH75" s="865"/>
      <c r="AI75" s="865"/>
      <c r="AJ75" s="510"/>
      <c r="AK75" s="865"/>
      <c r="AL75" s="865"/>
      <c r="AM75" s="865"/>
      <c r="AN75" s="865"/>
      <c r="AO75" s="865"/>
      <c r="AP75" s="865"/>
      <c r="AQ75" s="865"/>
      <c r="AR75" s="865"/>
      <c r="AS75" s="865"/>
      <c r="AT75" s="865"/>
      <c r="AU75" s="865"/>
      <c r="AV75" s="865"/>
      <c r="AW75" s="865"/>
      <c r="AX75" s="865"/>
      <c r="AY75" s="865"/>
      <c r="AZ75" s="865"/>
      <c r="BA75" s="865"/>
      <c r="BB75" s="865"/>
      <c r="BC75" s="865"/>
      <c r="BD75" s="865"/>
      <c r="BE75" s="865"/>
      <c r="BF75" s="865"/>
      <c r="BG75" s="865"/>
      <c r="BH75" s="865"/>
      <c r="BI75" s="865"/>
      <c r="BJ75" s="865"/>
      <c r="BK75" s="865"/>
      <c r="BL75" s="865"/>
      <c r="BM75" s="865"/>
      <c r="BN75" s="865"/>
      <c r="BO75" s="865"/>
      <c r="BP75" s="865"/>
      <c r="BQ75" s="865"/>
      <c r="BR75" s="865"/>
      <c r="BS75" s="865"/>
      <c r="BT75" s="865"/>
      <c r="BU75" s="865"/>
      <c r="BV75" s="865"/>
      <c r="BW75" s="865"/>
      <c r="BX75" s="865"/>
      <c r="BY75" s="874"/>
      <c r="BZ75" s="874"/>
      <c r="CA75" s="874"/>
      <c r="CB75" s="874"/>
      <c r="CC75" s="874"/>
      <c r="CD75" s="874"/>
      <c r="CE75" s="874"/>
      <c r="CF75" s="874"/>
      <c r="CG75" s="874"/>
      <c r="CH75" s="874"/>
      <c r="CI75" s="874"/>
      <c r="CJ75" s="874"/>
      <c r="CK75" s="874"/>
      <c r="CL75" s="874"/>
      <c r="CM75" s="874"/>
      <c r="CN75" s="874"/>
      <c r="CO75" s="874"/>
      <c r="CP75" s="874"/>
      <c r="CQ75" s="874"/>
      <c r="CR75" s="874"/>
      <c r="CS75" s="874"/>
      <c r="CT75" s="874"/>
      <c r="CU75" s="874"/>
      <c r="CV75" s="874"/>
      <c r="CW75" s="874"/>
      <c r="CX75" s="874"/>
      <c r="CY75" s="874"/>
      <c r="CZ75" s="874"/>
      <c r="DA75" s="874"/>
      <c r="DB75" s="874"/>
      <c r="DC75" s="874"/>
      <c r="DD75" s="874"/>
      <c r="DE75" s="874"/>
      <c r="DF75" s="874"/>
      <c r="DG75" s="874"/>
      <c r="DH75" s="874"/>
      <c r="DI75" s="874"/>
      <c r="DJ75" s="874"/>
      <c r="DK75" s="874"/>
      <c r="DL75" s="874"/>
      <c r="DM75" s="874"/>
      <c r="DN75" s="874"/>
      <c r="DO75" s="874"/>
      <c r="DP75" s="874"/>
      <c r="DQ75" s="874"/>
      <c r="DR75" s="874"/>
      <c r="DS75" s="874"/>
      <c r="DT75" s="874"/>
      <c r="DU75" s="874"/>
      <c r="DV75" s="874"/>
      <c r="DW75" s="874"/>
      <c r="DX75" s="874"/>
      <c r="DY75" s="874"/>
      <c r="DZ75" s="874"/>
      <c r="EA75" s="874"/>
      <c r="EB75" s="874"/>
      <c r="EC75" s="874"/>
      <c r="ED75" s="874"/>
      <c r="EE75" s="874"/>
      <c r="EF75" s="874"/>
      <c r="EG75" s="874"/>
      <c r="EH75" s="874"/>
      <c r="EI75" s="874"/>
      <c r="EJ75" s="874"/>
      <c r="EK75" s="874"/>
      <c r="EL75" s="874"/>
      <c r="EM75" s="874"/>
      <c r="EN75" s="874"/>
      <c r="EO75" s="874"/>
      <c r="EP75" s="874"/>
      <c r="EQ75" s="874"/>
      <c r="ER75" s="874"/>
      <c r="ES75" s="874"/>
      <c r="ET75" s="874"/>
      <c r="EU75" s="874"/>
      <c r="EV75" s="874"/>
      <c r="EW75" s="874"/>
      <c r="EX75" s="874"/>
      <c r="EY75" s="874"/>
      <c r="EZ75" s="874"/>
      <c r="FA75" s="874"/>
      <c r="FB75" s="874"/>
      <c r="FC75" s="874"/>
      <c r="FD75" s="874"/>
      <c r="FE75" s="874"/>
      <c r="FF75" s="874"/>
      <c r="FG75" s="874"/>
      <c r="FH75" s="874"/>
      <c r="FI75" s="874"/>
      <c r="FJ75" s="874"/>
      <c r="FK75" s="874"/>
      <c r="FL75" s="874"/>
      <c r="FM75" s="874"/>
      <c r="FN75" s="874"/>
      <c r="FO75" s="874"/>
      <c r="FP75" s="874"/>
      <c r="FQ75" s="874"/>
      <c r="FR75" s="874"/>
      <c r="FS75" s="874"/>
      <c r="FT75" s="874"/>
      <c r="FU75" s="874"/>
      <c r="FV75" s="874"/>
      <c r="FW75" s="874"/>
      <c r="FX75" s="874"/>
      <c r="FY75" s="874"/>
      <c r="FZ75" s="874"/>
      <c r="GA75" s="874"/>
      <c r="GB75" s="874"/>
      <c r="GC75" s="874"/>
      <c r="GD75" s="874"/>
      <c r="GE75" s="874"/>
      <c r="GF75" s="874"/>
      <c r="GG75" s="874"/>
      <c r="GH75" s="874"/>
      <c r="GI75" s="874"/>
      <c r="GJ75" s="874"/>
      <c r="GK75" s="874"/>
      <c r="GL75" s="874"/>
      <c r="GM75" s="874"/>
      <c r="GN75" s="874"/>
      <c r="GO75" s="874"/>
      <c r="GP75" s="874"/>
      <c r="GQ75" s="874"/>
      <c r="GR75" s="874"/>
      <c r="GS75" s="874"/>
      <c r="GT75" s="874"/>
      <c r="GU75" s="874"/>
      <c r="GV75" s="874"/>
      <c r="GW75" s="874"/>
      <c r="GX75" s="874"/>
      <c r="GY75" s="874"/>
      <c r="GZ75" s="874"/>
      <c r="HA75" s="874"/>
      <c r="HB75" s="874"/>
      <c r="HC75" s="874"/>
      <c r="HD75" s="874"/>
      <c r="HE75" s="874"/>
      <c r="HF75" s="874"/>
      <c r="HG75" s="874"/>
      <c r="HH75" s="874"/>
      <c r="HI75" s="874"/>
      <c r="HJ75" s="874"/>
      <c r="HK75" s="874"/>
      <c r="HL75" s="874"/>
      <c r="HM75" s="874"/>
      <c r="HN75" s="874"/>
      <c r="HO75" s="874"/>
      <c r="HP75" s="874"/>
      <c r="HQ75" s="874"/>
      <c r="HR75" s="874"/>
      <c r="HS75" s="874"/>
      <c r="HT75" s="874"/>
      <c r="HU75" s="874"/>
      <c r="HV75" s="874"/>
      <c r="HW75" s="874"/>
      <c r="HX75" s="874"/>
      <c r="HY75" s="874"/>
      <c r="HZ75" s="874"/>
      <c r="IA75" s="874"/>
      <c r="IB75" s="874"/>
      <c r="IC75" s="874"/>
      <c r="ID75" s="874"/>
      <c r="IE75" s="874"/>
      <c r="IF75" s="874"/>
      <c r="IG75" s="874"/>
      <c r="IH75" s="874"/>
      <c r="II75" s="874"/>
      <c r="IJ75" s="874"/>
      <c r="IK75" s="874"/>
      <c r="IL75" s="874"/>
      <c r="IM75" s="874"/>
      <c r="IN75" s="874"/>
      <c r="IO75" s="874"/>
      <c r="IP75" s="874"/>
      <c r="IQ75" s="874"/>
      <c r="IR75" s="874"/>
      <c r="IS75" s="874"/>
      <c r="IT75" s="874"/>
      <c r="IU75" s="874"/>
      <c r="IV75" s="874"/>
      <c r="IW75" s="874"/>
      <c r="IX75" s="874"/>
      <c r="IY75" s="874"/>
      <c r="IZ75" s="874"/>
      <c r="JA75" s="874"/>
      <c r="JB75" s="874"/>
      <c r="JC75" s="874"/>
      <c r="JD75" s="874"/>
      <c r="JE75" s="874"/>
      <c r="JF75" s="874"/>
      <c r="JG75" s="874"/>
      <c r="JH75" s="874"/>
      <c r="JI75" s="874"/>
      <c r="JJ75" s="874"/>
      <c r="JK75" s="874"/>
      <c r="JL75" s="874"/>
      <c r="JM75" s="874"/>
      <c r="JN75" s="874"/>
      <c r="JO75" s="874"/>
      <c r="JP75" s="874"/>
      <c r="JQ75" s="874"/>
      <c r="JR75" s="874"/>
      <c r="JS75" s="874"/>
      <c r="JT75" s="874"/>
      <c r="JU75" s="874"/>
      <c r="JV75" s="874"/>
      <c r="JW75" s="874"/>
      <c r="JX75" s="874"/>
      <c r="JY75" s="874"/>
      <c r="JZ75" s="874"/>
      <c r="KA75" s="874"/>
      <c r="KB75" s="874"/>
      <c r="KC75" s="874"/>
      <c r="KD75" s="874"/>
      <c r="KE75" s="874"/>
      <c r="KF75" s="874"/>
      <c r="KG75" s="874"/>
      <c r="KH75" s="865"/>
      <c r="KI75" s="865"/>
      <c r="KJ75" s="865"/>
      <c r="KK75" s="865"/>
      <c r="KL75" s="865"/>
      <c r="KM75" s="865"/>
      <c r="KN75" s="865"/>
      <c r="KO75" s="865"/>
      <c r="KP75" s="865"/>
      <c r="KQ75" s="865"/>
      <c r="KR75" s="865"/>
      <c r="KS75" s="865"/>
      <c r="KT75" s="865"/>
      <c r="KU75" s="865"/>
      <c r="KV75" s="865"/>
      <c r="KW75" s="865"/>
      <c r="KX75" s="865"/>
      <c r="KY75" s="865"/>
      <c r="KZ75" s="865"/>
      <c r="LA75" s="865"/>
      <c r="LB75" s="865"/>
      <c r="LC75" s="865"/>
      <c r="LD75" s="865"/>
      <c r="LE75" s="865"/>
      <c r="LF75" s="865"/>
    </row>
    <row r="76" spans="1:318" ht="64.5" customHeight="1">
      <c r="A76" s="2513"/>
      <c r="B76" s="2514"/>
      <c r="C76" s="2514"/>
      <c r="D76" s="2514"/>
      <c r="E76" s="2514"/>
      <c r="F76" s="2515"/>
      <c r="G76" s="865"/>
      <c r="H76" s="865"/>
      <c r="I76" s="865"/>
      <c r="J76" s="865"/>
      <c r="K76" s="865"/>
      <c r="L76" s="865"/>
      <c r="M76" s="865"/>
      <c r="N76" s="865"/>
      <c r="O76" s="865"/>
      <c r="P76" s="865"/>
      <c r="Q76" s="865"/>
      <c r="R76" s="865"/>
      <c r="S76" s="865"/>
      <c r="T76" s="865"/>
      <c r="U76" s="865"/>
      <c r="V76" s="865"/>
      <c r="W76" s="865"/>
      <c r="X76" s="865"/>
      <c r="Y76" s="865"/>
      <c r="Z76" s="865"/>
      <c r="AA76" s="865"/>
      <c r="AB76" s="865"/>
      <c r="AC76" s="865"/>
      <c r="AD76" s="510"/>
      <c r="AE76" s="865"/>
      <c r="AF76" s="865"/>
      <c r="AG76" s="865"/>
      <c r="AH76" s="865"/>
      <c r="AI76" s="865"/>
      <c r="AJ76" s="510"/>
      <c r="AK76" s="865"/>
      <c r="AL76" s="865"/>
      <c r="AM76" s="865"/>
      <c r="AN76" s="865"/>
      <c r="AO76" s="865"/>
      <c r="AP76" s="865"/>
      <c r="AQ76" s="865"/>
      <c r="AR76" s="865"/>
      <c r="AS76" s="865"/>
      <c r="AT76" s="865"/>
      <c r="AU76" s="865"/>
      <c r="AV76" s="865"/>
      <c r="AW76" s="865"/>
      <c r="AX76" s="865"/>
      <c r="AY76" s="865"/>
      <c r="AZ76" s="865"/>
      <c r="BA76" s="865"/>
      <c r="BB76" s="865"/>
      <c r="BC76" s="865"/>
      <c r="BD76" s="865"/>
      <c r="BE76" s="865"/>
      <c r="BF76" s="865"/>
      <c r="BG76" s="865"/>
      <c r="BH76" s="865"/>
      <c r="BI76" s="865"/>
      <c r="BJ76" s="865"/>
      <c r="BK76" s="865"/>
      <c r="BL76" s="865"/>
      <c r="BM76" s="865"/>
      <c r="BN76" s="865"/>
      <c r="BO76" s="865"/>
      <c r="BP76" s="865"/>
      <c r="BQ76" s="865"/>
      <c r="BR76" s="865"/>
      <c r="BS76" s="865"/>
      <c r="BT76" s="865"/>
      <c r="BU76" s="865"/>
      <c r="BV76" s="865"/>
      <c r="BW76" s="865"/>
      <c r="BX76" s="865"/>
      <c r="BY76" s="874"/>
      <c r="BZ76" s="874"/>
      <c r="CA76" s="874"/>
      <c r="CB76" s="874"/>
      <c r="CC76" s="874"/>
      <c r="CD76" s="874"/>
      <c r="CE76" s="874"/>
      <c r="CF76" s="874"/>
      <c r="CG76" s="874"/>
      <c r="CH76" s="874"/>
      <c r="CI76" s="874"/>
      <c r="CJ76" s="874"/>
      <c r="CK76" s="874"/>
      <c r="CL76" s="874"/>
      <c r="CM76" s="874"/>
      <c r="CN76" s="874"/>
      <c r="CO76" s="874"/>
      <c r="CP76" s="874"/>
      <c r="CQ76" s="874"/>
      <c r="CR76" s="874"/>
      <c r="CS76" s="874"/>
      <c r="CT76" s="874"/>
      <c r="CU76" s="874"/>
      <c r="CV76" s="874"/>
      <c r="CW76" s="874"/>
      <c r="CX76" s="874"/>
      <c r="CY76" s="874"/>
      <c r="CZ76" s="874"/>
      <c r="DA76" s="874"/>
      <c r="DB76" s="874"/>
      <c r="DC76" s="874"/>
      <c r="DD76" s="874"/>
      <c r="DE76" s="874"/>
      <c r="DF76" s="874"/>
      <c r="DG76" s="874"/>
      <c r="DH76" s="874"/>
      <c r="DI76" s="874"/>
      <c r="DJ76" s="874"/>
      <c r="DK76" s="874"/>
      <c r="DL76" s="874"/>
      <c r="DM76" s="874"/>
      <c r="DN76" s="874"/>
      <c r="DO76" s="874"/>
      <c r="DP76" s="874"/>
      <c r="DQ76" s="874"/>
      <c r="DR76" s="874"/>
      <c r="DS76" s="874"/>
      <c r="DT76" s="874"/>
      <c r="DU76" s="874"/>
      <c r="DV76" s="874"/>
      <c r="DW76" s="874"/>
      <c r="DX76" s="874"/>
      <c r="DY76" s="874"/>
      <c r="DZ76" s="874"/>
      <c r="EA76" s="874"/>
      <c r="EB76" s="874"/>
      <c r="EC76" s="874"/>
      <c r="ED76" s="874"/>
      <c r="EE76" s="874"/>
      <c r="EF76" s="874"/>
      <c r="EG76" s="874"/>
      <c r="EH76" s="874"/>
      <c r="EI76" s="874"/>
      <c r="EJ76" s="874"/>
      <c r="EK76" s="874"/>
      <c r="EL76" s="874"/>
      <c r="EM76" s="874"/>
      <c r="EN76" s="874"/>
      <c r="EO76" s="874"/>
      <c r="EP76" s="874"/>
      <c r="EQ76" s="874"/>
      <c r="ER76" s="874"/>
      <c r="ES76" s="874"/>
      <c r="ET76" s="874"/>
      <c r="EU76" s="874"/>
      <c r="EV76" s="874"/>
      <c r="EW76" s="874"/>
      <c r="EX76" s="874"/>
      <c r="EY76" s="874"/>
      <c r="EZ76" s="874"/>
      <c r="FA76" s="874"/>
      <c r="FB76" s="874"/>
      <c r="FC76" s="874"/>
      <c r="FD76" s="874"/>
      <c r="FE76" s="874"/>
      <c r="FF76" s="874"/>
      <c r="FG76" s="874"/>
      <c r="FH76" s="874"/>
      <c r="FI76" s="874"/>
      <c r="FJ76" s="874"/>
      <c r="FK76" s="874"/>
      <c r="FL76" s="874"/>
      <c r="FM76" s="874"/>
      <c r="FN76" s="874"/>
      <c r="FO76" s="874"/>
      <c r="FP76" s="874"/>
      <c r="FQ76" s="874"/>
      <c r="FR76" s="874"/>
      <c r="FS76" s="874"/>
      <c r="FT76" s="874"/>
      <c r="FU76" s="874"/>
      <c r="FV76" s="874"/>
      <c r="FW76" s="874"/>
      <c r="FX76" s="874"/>
      <c r="FY76" s="874"/>
      <c r="FZ76" s="874"/>
      <c r="GA76" s="874"/>
      <c r="GB76" s="874"/>
      <c r="GC76" s="874"/>
      <c r="GD76" s="874"/>
      <c r="GE76" s="874"/>
      <c r="GF76" s="874"/>
      <c r="GG76" s="874"/>
      <c r="GH76" s="874"/>
      <c r="GI76" s="874"/>
      <c r="GJ76" s="874"/>
      <c r="GK76" s="874"/>
      <c r="GL76" s="874"/>
      <c r="GM76" s="874"/>
      <c r="GN76" s="874"/>
      <c r="GO76" s="874"/>
      <c r="GP76" s="874"/>
      <c r="GQ76" s="874"/>
      <c r="GR76" s="874"/>
      <c r="GS76" s="874"/>
      <c r="GT76" s="874"/>
      <c r="GU76" s="874"/>
      <c r="GV76" s="874"/>
      <c r="GW76" s="874"/>
      <c r="GX76" s="874"/>
      <c r="GY76" s="874"/>
      <c r="GZ76" s="874"/>
      <c r="HA76" s="874"/>
      <c r="HB76" s="874"/>
      <c r="HC76" s="874"/>
      <c r="HD76" s="874"/>
      <c r="HE76" s="874"/>
      <c r="HF76" s="874"/>
      <c r="HG76" s="874"/>
      <c r="HH76" s="874"/>
      <c r="HI76" s="874"/>
      <c r="HJ76" s="874"/>
      <c r="HK76" s="874"/>
      <c r="HL76" s="874"/>
      <c r="HM76" s="874"/>
      <c r="HN76" s="874"/>
      <c r="HO76" s="874"/>
      <c r="HP76" s="874"/>
      <c r="HQ76" s="874"/>
      <c r="HR76" s="874"/>
      <c r="HS76" s="874"/>
      <c r="HT76" s="874"/>
      <c r="HU76" s="874"/>
      <c r="HV76" s="874"/>
      <c r="HW76" s="874"/>
      <c r="HX76" s="874"/>
      <c r="HY76" s="874"/>
      <c r="HZ76" s="874"/>
      <c r="IA76" s="874"/>
      <c r="IB76" s="874"/>
      <c r="IC76" s="874"/>
      <c r="ID76" s="874"/>
      <c r="IE76" s="874"/>
      <c r="IF76" s="874"/>
      <c r="IG76" s="874"/>
      <c r="IH76" s="874"/>
      <c r="II76" s="874"/>
      <c r="IJ76" s="874"/>
      <c r="IK76" s="874"/>
      <c r="IL76" s="874"/>
      <c r="IM76" s="874"/>
      <c r="IN76" s="874"/>
      <c r="IO76" s="874"/>
      <c r="IP76" s="874"/>
      <c r="IQ76" s="874"/>
      <c r="IR76" s="874"/>
      <c r="IS76" s="874"/>
      <c r="IT76" s="874"/>
      <c r="IU76" s="874"/>
      <c r="IV76" s="874"/>
      <c r="IW76" s="874"/>
      <c r="IX76" s="874"/>
      <c r="IY76" s="874"/>
      <c r="IZ76" s="874"/>
      <c r="JA76" s="874"/>
      <c r="JB76" s="874"/>
      <c r="JC76" s="874"/>
      <c r="JD76" s="874"/>
      <c r="JE76" s="874"/>
      <c r="JF76" s="874"/>
      <c r="JG76" s="874"/>
      <c r="JH76" s="874"/>
      <c r="JI76" s="874"/>
      <c r="JJ76" s="874"/>
      <c r="JK76" s="874"/>
      <c r="JL76" s="874"/>
      <c r="JM76" s="874"/>
      <c r="JN76" s="874"/>
      <c r="JO76" s="874"/>
      <c r="JP76" s="874"/>
      <c r="JQ76" s="874"/>
      <c r="JR76" s="874"/>
      <c r="JS76" s="874"/>
      <c r="JT76" s="874"/>
      <c r="JU76" s="874"/>
      <c r="JV76" s="874"/>
      <c r="JW76" s="874"/>
      <c r="JX76" s="874"/>
      <c r="JY76" s="874"/>
      <c r="JZ76" s="874"/>
      <c r="KA76" s="874"/>
      <c r="KB76" s="874"/>
      <c r="KC76" s="874"/>
      <c r="KD76" s="874"/>
      <c r="KE76" s="874"/>
      <c r="KF76" s="874"/>
      <c r="KG76" s="874"/>
      <c r="KH76" s="865"/>
      <c r="KI76" s="865"/>
      <c r="KJ76" s="865"/>
      <c r="KK76" s="865"/>
      <c r="KL76" s="865"/>
      <c r="KM76" s="865"/>
      <c r="KN76" s="865"/>
      <c r="KO76" s="865"/>
      <c r="KP76" s="865"/>
      <c r="KQ76" s="865"/>
      <c r="KR76" s="865"/>
      <c r="KS76" s="865"/>
      <c r="KT76" s="865"/>
      <c r="KU76" s="865"/>
      <c r="KV76" s="865"/>
      <c r="KW76" s="865"/>
      <c r="KX76" s="865"/>
      <c r="KY76" s="865"/>
      <c r="KZ76" s="865"/>
      <c r="LA76" s="865"/>
      <c r="LB76" s="865"/>
      <c r="LC76" s="865"/>
      <c r="LD76" s="865"/>
      <c r="LE76" s="865"/>
      <c r="LF76" s="865"/>
    </row>
    <row r="77" spans="1:318" ht="35.549999999999997" customHeight="1">
      <c r="A77" s="2500" t="s">
        <v>252</v>
      </c>
      <c r="B77" s="2516" t="s">
        <v>1228</v>
      </c>
      <c r="C77" s="2516" t="s">
        <v>1229</v>
      </c>
      <c r="D77" s="2516" t="s">
        <v>253</v>
      </c>
      <c r="E77" s="2516" t="s">
        <v>250</v>
      </c>
      <c r="F77" s="2517" t="s">
        <v>1230</v>
      </c>
      <c r="G77" s="865"/>
      <c r="H77" s="865"/>
      <c r="I77" s="865"/>
      <c r="J77" s="865"/>
      <c r="K77" s="865"/>
      <c r="L77" s="865"/>
      <c r="M77" s="865"/>
      <c r="N77" s="865"/>
      <c r="O77" s="865"/>
      <c r="P77" s="865"/>
      <c r="Q77" s="865"/>
      <c r="R77" s="865"/>
      <c r="S77" s="865"/>
      <c r="T77" s="865"/>
      <c r="U77" s="865"/>
      <c r="V77" s="865"/>
      <c r="W77" s="865"/>
      <c r="X77" s="865"/>
      <c r="Y77" s="865"/>
      <c r="Z77" s="865"/>
      <c r="AA77" s="865"/>
      <c r="AB77" s="865"/>
      <c r="AC77" s="865"/>
      <c r="AD77" s="510"/>
      <c r="AE77" s="865"/>
      <c r="AF77" s="865"/>
      <c r="AG77" s="865"/>
      <c r="AH77" s="865"/>
      <c r="AI77" s="865"/>
      <c r="AJ77" s="510"/>
      <c r="AK77" s="865"/>
      <c r="AL77" s="865"/>
      <c r="AM77" s="865"/>
      <c r="AN77" s="865"/>
      <c r="AO77" s="865"/>
      <c r="AP77" s="510"/>
      <c r="AQ77" s="865"/>
      <c r="AR77" s="865"/>
      <c r="AS77" s="865"/>
      <c r="AT77" s="865"/>
      <c r="AU77" s="865"/>
      <c r="AV77" s="510"/>
      <c r="AW77" s="865"/>
      <c r="AX77" s="865"/>
      <c r="AY77" s="865"/>
      <c r="AZ77" s="865"/>
      <c r="BA77" s="865"/>
      <c r="BB77" s="510"/>
      <c r="BC77" s="865"/>
      <c r="BD77" s="865"/>
      <c r="BE77" s="865"/>
      <c r="BF77" s="865"/>
      <c r="BG77" s="865"/>
      <c r="BH77" s="865"/>
      <c r="BI77" s="865"/>
      <c r="BJ77" s="865"/>
      <c r="BK77" s="865"/>
      <c r="BL77" s="865"/>
      <c r="BM77" s="865"/>
      <c r="BN77" s="865"/>
      <c r="BO77" s="865"/>
      <c r="BP77" s="865"/>
      <c r="BQ77" s="865"/>
      <c r="BR77" s="865"/>
      <c r="BS77" s="865"/>
      <c r="BT77" s="865"/>
      <c r="BU77" s="865"/>
      <c r="BV77" s="865"/>
      <c r="BW77" s="865"/>
      <c r="BX77" s="865"/>
      <c r="BY77" s="874"/>
      <c r="BZ77" s="874"/>
      <c r="CA77" s="874"/>
      <c r="CB77" s="874"/>
      <c r="CC77" s="874"/>
      <c r="CD77" s="874"/>
      <c r="CE77" s="874"/>
      <c r="CF77" s="874"/>
      <c r="CG77" s="874"/>
      <c r="CH77" s="874"/>
      <c r="CI77" s="874"/>
      <c r="CJ77" s="874"/>
      <c r="CK77" s="874"/>
      <c r="CL77" s="874"/>
      <c r="CM77" s="874"/>
      <c r="CN77" s="874"/>
      <c r="CO77" s="874"/>
      <c r="CP77" s="874"/>
      <c r="CQ77" s="874"/>
      <c r="CR77" s="874"/>
      <c r="CS77" s="874"/>
      <c r="CT77" s="874"/>
      <c r="CU77" s="874"/>
      <c r="CV77" s="874"/>
      <c r="CW77" s="874"/>
      <c r="CX77" s="874"/>
      <c r="CY77" s="874"/>
      <c r="CZ77" s="874"/>
      <c r="DA77" s="874"/>
      <c r="DB77" s="874"/>
      <c r="DC77" s="874"/>
      <c r="DD77" s="874"/>
      <c r="DE77" s="874"/>
      <c r="DF77" s="874"/>
      <c r="DG77" s="874"/>
      <c r="DH77" s="874"/>
      <c r="DI77" s="874"/>
      <c r="DJ77" s="874"/>
      <c r="DK77" s="874"/>
      <c r="DL77" s="874"/>
      <c r="DM77" s="874"/>
      <c r="DN77" s="874"/>
      <c r="DO77" s="874"/>
      <c r="DP77" s="874"/>
      <c r="DQ77" s="874"/>
      <c r="DR77" s="874"/>
      <c r="DS77" s="874"/>
      <c r="DT77" s="874"/>
      <c r="DU77" s="874"/>
      <c r="DV77" s="874"/>
      <c r="DW77" s="874"/>
      <c r="DX77" s="874"/>
      <c r="DY77" s="874"/>
      <c r="DZ77" s="874"/>
      <c r="EA77" s="874"/>
      <c r="EB77" s="874"/>
      <c r="EC77" s="874"/>
      <c r="ED77" s="874"/>
      <c r="EE77" s="874"/>
      <c r="EF77" s="874"/>
      <c r="EG77" s="874"/>
      <c r="EH77" s="874"/>
      <c r="EI77" s="874"/>
      <c r="EJ77" s="874"/>
      <c r="EK77" s="874"/>
      <c r="EL77" s="874"/>
      <c r="EM77" s="874"/>
      <c r="EN77" s="874"/>
      <c r="EO77" s="874"/>
      <c r="EP77" s="874"/>
      <c r="EQ77" s="874"/>
      <c r="ER77" s="874"/>
      <c r="ES77" s="874"/>
      <c r="ET77" s="874"/>
      <c r="EU77" s="874"/>
      <c r="EV77" s="874"/>
      <c r="EW77" s="874"/>
      <c r="EX77" s="874"/>
      <c r="EY77" s="874"/>
      <c r="EZ77" s="874"/>
      <c r="FA77" s="874"/>
      <c r="FB77" s="874"/>
      <c r="FC77" s="874"/>
      <c r="FD77" s="874"/>
      <c r="FE77" s="874"/>
      <c r="FF77" s="874"/>
      <c r="FG77" s="874"/>
      <c r="FH77" s="874"/>
      <c r="FI77" s="874"/>
      <c r="FJ77" s="874"/>
      <c r="FK77" s="874"/>
      <c r="FL77" s="874"/>
      <c r="FM77" s="874"/>
      <c r="FN77" s="874"/>
      <c r="FO77" s="874"/>
      <c r="FP77" s="874"/>
      <c r="FQ77" s="874"/>
      <c r="FR77" s="874"/>
      <c r="FS77" s="874"/>
      <c r="FT77" s="874"/>
      <c r="FU77" s="874"/>
      <c r="FV77" s="874"/>
      <c r="FW77" s="874"/>
      <c r="FX77" s="874"/>
      <c r="FY77" s="874"/>
      <c r="FZ77" s="874"/>
      <c r="GA77" s="874"/>
      <c r="GB77" s="874"/>
      <c r="GC77" s="874"/>
      <c r="GD77" s="874"/>
      <c r="GE77" s="874"/>
      <c r="GF77" s="874"/>
      <c r="GG77" s="874"/>
      <c r="GH77" s="874"/>
      <c r="GI77" s="874"/>
      <c r="GJ77" s="874"/>
      <c r="GK77" s="874"/>
      <c r="GL77" s="874"/>
      <c r="GM77" s="874"/>
      <c r="GN77" s="874"/>
      <c r="GO77" s="874"/>
      <c r="GP77" s="874"/>
      <c r="GQ77" s="874"/>
      <c r="GR77" s="874"/>
      <c r="GS77" s="874"/>
      <c r="GT77" s="874"/>
      <c r="GU77" s="874"/>
      <c r="GV77" s="874"/>
      <c r="GW77" s="874"/>
      <c r="GX77" s="874"/>
      <c r="GY77" s="874"/>
      <c r="GZ77" s="874"/>
      <c r="HA77" s="874"/>
      <c r="HB77" s="874"/>
      <c r="HC77" s="874"/>
      <c r="HD77" s="874"/>
      <c r="HE77" s="874"/>
      <c r="HF77" s="874"/>
      <c r="HG77" s="874"/>
      <c r="HH77" s="874"/>
      <c r="HI77" s="874"/>
      <c r="HJ77" s="874"/>
      <c r="HK77" s="874"/>
      <c r="HL77" s="874"/>
      <c r="HM77" s="874"/>
      <c r="HN77" s="874"/>
      <c r="HO77" s="874"/>
      <c r="HP77" s="874"/>
      <c r="HQ77" s="874"/>
      <c r="HR77" s="874"/>
      <c r="HS77" s="874"/>
      <c r="HT77" s="874"/>
      <c r="HU77" s="874"/>
      <c r="HV77" s="874"/>
      <c r="HW77" s="874"/>
      <c r="HX77" s="874"/>
      <c r="HY77" s="874"/>
      <c r="HZ77" s="874"/>
      <c r="IA77" s="874"/>
      <c r="IB77" s="874"/>
      <c r="IC77" s="874"/>
      <c r="ID77" s="874"/>
      <c r="IE77" s="874"/>
      <c r="IF77" s="874"/>
      <c r="IG77" s="874"/>
      <c r="IH77" s="874"/>
      <c r="II77" s="874"/>
      <c r="IJ77" s="874"/>
      <c r="IK77" s="874"/>
      <c r="IL77" s="874"/>
      <c r="IM77" s="874"/>
      <c r="IN77" s="874"/>
      <c r="IO77" s="874"/>
      <c r="IP77" s="874"/>
      <c r="IQ77" s="874"/>
      <c r="IR77" s="874"/>
      <c r="IS77" s="874"/>
      <c r="IT77" s="874"/>
      <c r="IU77" s="874"/>
      <c r="IV77" s="874"/>
      <c r="IW77" s="874"/>
      <c r="IX77" s="874"/>
      <c r="IY77" s="874"/>
      <c r="IZ77" s="874"/>
      <c r="JA77" s="874"/>
      <c r="JB77" s="874"/>
      <c r="JC77" s="874"/>
      <c r="JD77" s="874"/>
      <c r="JE77" s="874"/>
      <c r="JF77" s="874"/>
      <c r="JG77" s="874"/>
      <c r="JH77" s="874"/>
      <c r="JI77" s="874"/>
      <c r="JJ77" s="874"/>
      <c r="JK77" s="874"/>
      <c r="JL77" s="874"/>
      <c r="JM77" s="874"/>
      <c r="JN77" s="874"/>
      <c r="JO77" s="874"/>
      <c r="JP77" s="874"/>
      <c r="JQ77" s="874"/>
      <c r="JR77" s="874"/>
      <c r="JS77" s="874"/>
      <c r="JT77" s="874"/>
      <c r="JU77" s="874"/>
      <c r="JV77" s="874"/>
      <c r="JW77" s="874"/>
      <c r="JX77" s="874"/>
      <c r="JY77" s="874"/>
      <c r="JZ77" s="874"/>
      <c r="KA77" s="874"/>
      <c r="KB77" s="874"/>
      <c r="KC77" s="874"/>
      <c r="KD77" s="874"/>
      <c r="KE77" s="874"/>
      <c r="KF77" s="874"/>
      <c r="KG77" s="874"/>
      <c r="KH77" s="865"/>
      <c r="KI77" s="865"/>
      <c r="KJ77" s="865"/>
      <c r="KK77" s="865"/>
      <c r="KL77" s="865"/>
      <c r="KM77" s="865"/>
      <c r="KN77" s="865"/>
      <c r="KO77" s="865"/>
      <c r="KP77" s="865"/>
      <c r="KQ77" s="865"/>
      <c r="KR77" s="865"/>
      <c r="KS77" s="865"/>
      <c r="KT77" s="865"/>
      <c r="KU77" s="865"/>
      <c r="KV77" s="865"/>
      <c r="KW77" s="865"/>
      <c r="KX77" s="865"/>
      <c r="KY77" s="865"/>
      <c r="KZ77" s="865"/>
      <c r="LA77" s="865"/>
      <c r="LB77" s="865"/>
      <c r="LC77" s="865"/>
      <c r="LD77" s="865"/>
      <c r="LE77" s="865"/>
      <c r="LF77" s="865"/>
    </row>
    <row r="78" spans="1:318" ht="35.549999999999997" customHeight="1" thickBot="1">
      <c r="A78" s="2500"/>
      <c r="B78" s="2516"/>
      <c r="C78" s="2516"/>
      <c r="D78" s="2516"/>
      <c r="E78" s="2516"/>
      <c r="F78" s="2517"/>
      <c r="G78" s="865"/>
      <c r="H78" s="865"/>
      <c r="I78" s="865"/>
      <c r="J78" s="865"/>
      <c r="K78" s="865"/>
      <c r="L78" s="865"/>
      <c r="M78" s="865"/>
      <c r="N78" s="865"/>
      <c r="O78" s="865"/>
      <c r="P78" s="865"/>
      <c r="Q78" s="865"/>
      <c r="R78" s="865"/>
      <c r="S78" s="865"/>
      <c r="T78" s="865"/>
      <c r="U78" s="865"/>
      <c r="V78" s="865"/>
      <c r="W78" s="865"/>
      <c r="X78" s="865"/>
      <c r="Y78" s="865"/>
      <c r="Z78" s="865"/>
      <c r="AA78" s="865"/>
      <c r="AB78" s="865"/>
      <c r="AC78" s="865"/>
      <c r="AD78" s="510"/>
      <c r="AE78" s="865"/>
      <c r="AF78" s="865"/>
      <c r="AG78" s="865"/>
      <c r="AH78" s="865"/>
      <c r="AI78" s="865"/>
      <c r="AJ78" s="510"/>
      <c r="AK78" s="865"/>
      <c r="AL78" s="865"/>
      <c r="AM78" s="865"/>
      <c r="AN78" s="865"/>
      <c r="AO78" s="865"/>
      <c r="AP78" s="510"/>
      <c r="AQ78" s="865"/>
      <c r="AR78" s="865"/>
      <c r="AS78" s="865"/>
      <c r="AT78" s="865"/>
      <c r="AU78" s="865"/>
      <c r="AV78" s="510"/>
      <c r="AW78" s="865"/>
      <c r="AX78" s="865"/>
      <c r="AY78" s="865"/>
      <c r="AZ78" s="865"/>
      <c r="BA78" s="865"/>
      <c r="BB78" s="510"/>
      <c r="BC78" s="865"/>
      <c r="BD78" s="865"/>
      <c r="BE78" s="865"/>
      <c r="BF78" s="865"/>
      <c r="BG78" s="865"/>
      <c r="BH78" s="865"/>
      <c r="BI78" s="865"/>
      <c r="BJ78" s="865"/>
      <c r="BK78" s="865"/>
      <c r="BL78" s="865"/>
      <c r="BM78" s="865"/>
      <c r="BN78" s="865"/>
      <c r="BO78" s="865"/>
      <c r="BP78" s="865"/>
      <c r="BQ78" s="865"/>
      <c r="BR78" s="865"/>
      <c r="BS78" s="865"/>
      <c r="BT78" s="865"/>
      <c r="BU78" s="865"/>
      <c r="BV78" s="865"/>
      <c r="BW78" s="865"/>
      <c r="BX78" s="865"/>
      <c r="BY78" s="874"/>
      <c r="BZ78" s="874"/>
      <c r="CA78" s="874"/>
      <c r="CB78" s="874"/>
      <c r="CC78" s="874"/>
      <c r="CD78" s="874"/>
      <c r="CE78" s="874"/>
      <c r="CF78" s="874"/>
      <c r="CG78" s="874"/>
      <c r="CH78" s="874"/>
      <c r="CI78" s="874"/>
      <c r="CJ78" s="874"/>
      <c r="CK78" s="874"/>
      <c r="CL78" s="874"/>
      <c r="CM78" s="874"/>
      <c r="CN78" s="874"/>
      <c r="CO78" s="874"/>
      <c r="CP78" s="874"/>
      <c r="CQ78" s="874"/>
      <c r="CR78" s="874"/>
      <c r="CS78" s="874"/>
      <c r="CT78" s="874"/>
      <c r="CU78" s="874"/>
      <c r="CV78" s="874"/>
      <c r="CW78" s="874"/>
      <c r="CX78" s="874"/>
      <c r="CY78" s="874"/>
      <c r="CZ78" s="874"/>
      <c r="DA78" s="874"/>
      <c r="DB78" s="874"/>
      <c r="DC78" s="874"/>
      <c r="DD78" s="874"/>
      <c r="DE78" s="874"/>
      <c r="DF78" s="874"/>
      <c r="DG78" s="874"/>
      <c r="DH78" s="874"/>
      <c r="DI78" s="874"/>
      <c r="DJ78" s="874"/>
      <c r="DK78" s="874"/>
      <c r="DL78" s="874"/>
      <c r="DM78" s="874"/>
      <c r="DN78" s="874"/>
      <c r="DO78" s="874"/>
      <c r="DP78" s="874"/>
      <c r="DQ78" s="874"/>
      <c r="DR78" s="874"/>
      <c r="DS78" s="874"/>
      <c r="DT78" s="874"/>
      <c r="DU78" s="874"/>
      <c r="DV78" s="874"/>
      <c r="DW78" s="874"/>
      <c r="DX78" s="874"/>
      <c r="DY78" s="874"/>
      <c r="DZ78" s="874"/>
      <c r="EA78" s="874"/>
      <c r="EB78" s="874"/>
      <c r="EC78" s="874"/>
      <c r="ED78" s="874"/>
      <c r="EE78" s="874"/>
      <c r="EF78" s="874"/>
      <c r="EG78" s="874"/>
      <c r="EH78" s="874"/>
      <c r="EI78" s="874"/>
      <c r="EJ78" s="874"/>
      <c r="EK78" s="874"/>
      <c r="EL78" s="874"/>
      <c r="EM78" s="874"/>
      <c r="EN78" s="874"/>
      <c r="EO78" s="874"/>
      <c r="EP78" s="874"/>
      <c r="EQ78" s="874"/>
      <c r="ER78" s="874"/>
      <c r="ES78" s="874"/>
      <c r="ET78" s="874"/>
      <c r="EU78" s="874"/>
      <c r="EV78" s="874"/>
      <c r="EW78" s="874"/>
      <c r="EX78" s="874"/>
      <c r="EY78" s="874"/>
      <c r="EZ78" s="874"/>
      <c r="FA78" s="874"/>
      <c r="FB78" s="874"/>
      <c r="FC78" s="874"/>
      <c r="FD78" s="874"/>
      <c r="FE78" s="874"/>
      <c r="FF78" s="874"/>
      <c r="FG78" s="874"/>
      <c r="FH78" s="874"/>
      <c r="FI78" s="874"/>
      <c r="FJ78" s="874"/>
      <c r="FK78" s="874"/>
      <c r="FL78" s="874"/>
      <c r="FM78" s="874"/>
      <c r="FN78" s="874"/>
      <c r="FO78" s="874"/>
      <c r="FP78" s="874"/>
      <c r="FQ78" s="874"/>
      <c r="FR78" s="874"/>
      <c r="FS78" s="874"/>
      <c r="FT78" s="874"/>
      <c r="FU78" s="874"/>
      <c r="FV78" s="874"/>
      <c r="FW78" s="874"/>
      <c r="FX78" s="874"/>
      <c r="FY78" s="874"/>
      <c r="FZ78" s="874"/>
      <c r="GA78" s="874"/>
      <c r="GB78" s="874"/>
      <c r="GC78" s="874"/>
      <c r="GD78" s="874"/>
      <c r="GE78" s="874"/>
      <c r="GF78" s="874"/>
      <c r="GG78" s="874"/>
      <c r="GH78" s="874"/>
      <c r="GI78" s="874"/>
      <c r="GJ78" s="874"/>
      <c r="GK78" s="874"/>
      <c r="GL78" s="874"/>
      <c r="GM78" s="874"/>
      <c r="GN78" s="874"/>
      <c r="GO78" s="874"/>
      <c r="GP78" s="874"/>
      <c r="GQ78" s="874"/>
      <c r="GR78" s="874"/>
      <c r="GS78" s="874"/>
      <c r="GT78" s="874"/>
      <c r="GU78" s="874"/>
      <c r="GV78" s="874"/>
      <c r="GW78" s="874"/>
      <c r="GX78" s="874"/>
      <c r="GY78" s="874"/>
      <c r="GZ78" s="874"/>
      <c r="HA78" s="874"/>
      <c r="HB78" s="874"/>
      <c r="HC78" s="874"/>
      <c r="HD78" s="874"/>
      <c r="HE78" s="874"/>
      <c r="HF78" s="874"/>
      <c r="HG78" s="874"/>
      <c r="HH78" s="874"/>
      <c r="HI78" s="874"/>
      <c r="HJ78" s="874"/>
      <c r="HK78" s="874"/>
      <c r="HL78" s="874"/>
      <c r="HM78" s="874"/>
      <c r="HN78" s="874"/>
      <c r="HO78" s="874"/>
      <c r="HP78" s="874"/>
      <c r="HQ78" s="874"/>
      <c r="HR78" s="874"/>
      <c r="HS78" s="874"/>
      <c r="HT78" s="874"/>
      <c r="HU78" s="874"/>
      <c r="HV78" s="874"/>
      <c r="HW78" s="874"/>
      <c r="HX78" s="874"/>
      <c r="HY78" s="874"/>
      <c r="HZ78" s="874"/>
      <c r="IA78" s="874"/>
      <c r="IB78" s="874"/>
      <c r="IC78" s="874"/>
      <c r="ID78" s="874"/>
      <c r="IE78" s="874"/>
      <c r="IF78" s="874"/>
      <c r="IG78" s="874"/>
      <c r="IH78" s="874"/>
      <c r="II78" s="874"/>
      <c r="IJ78" s="874"/>
      <c r="IK78" s="874"/>
      <c r="IL78" s="874"/>
      <c r="IM78" s="874"/>
      <c r="IN78" s="874"/>
      <c r="IO78" s="874"/>
      <c r="IP78" s="874"/>
      <c r="IQ78" s="874"/>
      <c r="IR78" s="874"/>
      <c r="IS78" s="874"/>
      <c r="IT78" s="874"/>
      <c r="IU78" s="874"/>
      <c r="IV78" s="874"/>
      <c r="IW78" s="874"/>
      <c r="IX78" s="874"/>
      <c r="IY78" s="874"/>
      <c r="IZ78" s="874"/>
      <c r="JA78" s="874"/>
      <c r="JB78" s="874"/>
      <c r="JC78" s="874"/>
      <c r="JD78" s="874"/>
      <c r="JE78" s="874"/>
      <c r="JF78" s="874"/>
      <c r="JG78" s="874"/>
      <c r="JH78" s="874"/>
      <c r="JI78" s="874"/>
      <c r="JJ78" s="874"/>
      <c r="JK78" s="874"/>
      <c r="JL78" s="874"/>
      <c r="JM78" s="874"/>
      <c r="JN78" s="874"/>
      <c r="JO78" s="874"/>
      <c r="JP78" s="874"/>
      <c r="JQ78" s="874"/>
      <c r="JR78" s="874"/>
      <c r="JS78" s="874"/>
      <c r="JT78" s="874"/>
      <c r="JU78" s="874"/>
      <c r="JV78" s="874"/>
      <c r="JW78" s="874"/>
      <c r="JX78" s="874"/>
      <c r="JY78" s="874"/>
      <c r="JZ78" s="874"/>
      <c r="KA78" s="874"/>
      <c r="KB78" s="874"/>
      <c r="KC78" s="874"/>
      <c r="KD78" s="874"/>
      <c r="KE78" s="874"/>
      <c r="KF78" s="874"/>
      <c r="KG78" s="874"/>
      <c r="KH78" s="865"/>
      <c r="KI78" s="865"/>
      <c r="KJ78" s="865"/>
      <c r="KK78" s="865"/>
      <c r="KL78" s="865"/>
      <c r="KM78" s="865"/>
      <c r="KN78" s="865"/>
      <c r="KO78" s="865"/>
      <c r="KP78" s="865"/>
      <c r="KQ78" s="865"/>
      <c r="KR78" s="865"/>
      <c r="KS78" s="865"/>
      <c r="KT78" s="865"/>
      <c r="KU78" s="865"/>
      <c r="KV78" s="865"/>
      <c r="KW78" s="865"/>
      <c r="KX78" s="865"/>
      <c r="KY78" s="865"/>
      <c r="KZ78" s="865"/>
      <c r="LA78" s="865"/>
      <c r="LB78" s="865"/>
      <c r="LC78" s="865"/>
      <c r="LD78" s="865"/>
      <c r="LE78" s="865"/>
      <c r="LF78" s="865"/>
    </row>
    <row r="79" spans="1:318" ht="52.95" customHeight="1" thickBot="1">
      <c r="A79" s="2500"/>
      <c r="B79" s="2516"/>
      <c r="C79" s="2516"/>
      <c r="D79" s="2516"/>
      <c r="E79" s="2516"/>
      <c r="F79" s="2517"/>
      <c r="G79" s="865"/>
      <c r="H79" s="865"/>
      <c r="I79" s="865"/>
      <c r="J79" s="865"/>
      <c r="K79" s="865"/>
      <c r="L79" s="865"/>
      <c r="M79" s="865"/>
      <c r="N79" s="865"/>
      <c r="O79" s="865"/>
      <c r="P79" s="865"/>
      <c r="Q79" s="865"/>
      <c r="R79" s="865"/>
      <c r="S79" s="865"/>
      <c r="T79" s="865"/>
      <c r="U79" s="865"/>
      <c r="V79" s="865"/>
      <c r="W79" s="865"/>
      <c r="X79" s="865"/>
      <c r="Y79" s="865"/>
      <c r="Z79" s="865"/>
      <c r="AA79" s="865"/>
      <c r="AB79" s="865"/>
      <c r="AC79" s="865"/>
      <c r="AD79" s="510"/>
      <c r="AE79" s="865"/>
      <c r="AF79" s="865"/>
      <c r="AG79" s="865"/>
      <c r="AH79" s="865"/>
      <c r="AI79" s="865"/>
      <c r="AJ79" s="510"/>
      <c r="AK79" s="865"/>
      <c r="AL79" s="865"/>
      <c r="AM79" s="865"/>
      <c r="AN79" s="865"/>
      <c r="AO79" s="865"/>
      <c r="AP79" s="510"/>
      <c r="AQ79" s="865"/>
      <c r="AR79" s="865"/>
      <c r="AS79" s="865"/>
      <c r="AT79" s="865"/>
      <c r="AU79" s="865"/>
      <c r="AV79" s="510"/>
      <c r="AW79" s="865"/>
      <c r="AX79" s="865"/>
      <c r="AY79" s="865"/>
      <c r="AZ79" s="865"/>
      <c r="BA79" s="865"/>
      <c r="BB79" s="510"/>
      <c r="BC79" s="865"/>
      <c r="BD79" s="865"/>
      <c r="BE79" s="865"/>
      <c r="BF79" s="865"/>
      <c r="BG79" s="865"/>
      <c r="BH79" s="865"/>
      <c r="BI79" s="865"/>
      <c r="BJ79" s="2557"/>
      <c r="BK79" s="2558"/>
      <c r="BL79" s="2558"/>
      <c r="BM79" s="2558"/>
      <c r="BN79" s="2558"/>
      <c r="BO79" s="2558"/>
      <c r="BP79" s="2558"/>
      <c r="BQ79" s="2558"/>
      <c r="BR79" s="2558"/>
      <c r="BS79" s="2558"/>
      <c r="BT79" s="2558"/>
      <c r="BU79" s="2558"/>
      <c r="BV79" s="2558"/>
      <c r="BW79" s="2559"/>
      <c r="BX79" s="865"/>
      <c r="BY79" s="874"/>
      <c r="BZ79" s="874"/>
      <c r="CA79" s="874"/>
      <c r="CB79" s="874"/>
      <c r="CC79" s="874"/>
      <c r="CD79" s="874"/>
      <c r="CE79" s="874"/>
      <c r="CF79" s="874"/>
      <c r="CG79" s="874"/>
      <c r="CH79" s="874"/>
      <c r="CI79" s="874"/>
      <c r="CJ79" s="874"/>
      <c r="CK79" s="874"/>
      <c r="CL79" s="874"/>
      <c r="CM79" s="874"/>
      <c r="CN79" s="874"/>
      <c r="CO79" s="874"/>
      <c r="CP79" s="874"/>
      <c r="CQ79" s="874"/>
      <c r="CR79" s="874"/>
      <c r="CS79" s="874"/>
      <c r="CT79" s="874"/>
      <c r="CU79" s="874"/>
      <c r="CV79" s="874"/>
      <c r="CW79" s="874"/>
      <c r="CX79" s="874"/>
      <c r="CY79" s="874"/>
      <c r="CZ79" s="874"/>
      <c r="DA79" s="874"/>
      <c r="DB79" s="874"/>
      <c r="DC79" s="874"/>
      <c r="DD79" s="874"/>
      <c r="DE79" s="874"/>
      <c r="DF79" s="874"/>
      <c r="DG79" s="874"/>
      <c r="DH79" s="874"/>
      <c r="DI79" s="874"/>
      <c r="DJ79" s="874"/>
      <c r="DK79" s="874"/>
      <c r="DL79" s="874"/>
      <c r="DM79" s="874"/>
      <c r="DN79" s="874"/>
      <c r="DO79" s="874"/>
      <c r="DP79" s="874"/>
      <c r="DQ79" s="874"/>
      <c r="DR79" s="874"/>
      <c r="DS79" s="874"/>
      <c r="DT79" s="874"/>
      <c r="DU79" s="874"/>
      <c r="DV79" s="874"/>
      <c r="DW79" s="874"/>
      <c r="DX79" s="874"/>
      <c r="DY79" s="874"/>
      <c r="DZ79" s="874"/>
      <c r="EA79" s="874"/>
      <c r="EB79" s="874"/>
      <c r="EC79" s="874"/>
      <c r="ED79" s="874"/>
      <c r="EE79" s="874"/>
      <c r="EF79" s="874"/>
      <c r="EG79" s="874"/>
      <c r="EH79" s="874"/>
      <c r="EI79" s="874"/>
      <c r="EJ79" s="874"/>
      <c r="EK79" s="874"/>
      <c r="EL79" s="874"/>
      <c r="EM79" s="874"/>
      <c r="EN79" s="874"/>
      <c r="EO79" s="874"/>
      <c r="EP79" s="874"/>
      <c r="EQ79" s="874"/>
      <c r="ER79" s="874"/>
      <c r="ES79" s="874"/>
      <c r="ET79" s="874"/>
      <c r="EU79" s="874"/>
      <c r="EV79" s="874"/>
      <c r="EW79" s="874"/>
      <c r="EX79" s="874"/>
      <c r="EY79" s="874"/>
      <c r="EZ79" s="874"/>
      <c r="FA79" s="874"/>
      <c r="FB79" s="874"/>
      <c r="FC79" s="874"/>
      <c r="FD79" s="874"/>
      <c r="FE79" s="874"/>
      <c r="FF79" s="874"/>
      <c r="FG79" s="874"/>
      <c r="FH79" s="874"/>
      <c r="FI79" s="874"/>
      <c r="FJ79" s="874"/>
      <c r="FK79" s="874"/>
      <c r="FL79" s="874"/>
      <c r="FM79" s="874"/>
      <c r="FN79" s="874"/>
      <c r="FO79" s="874"/>
      <c r="FP79" s="874"/>
      <c r="FQ79" s="874"/>
      <c r="FR79" s="874"/>
      <c r="FS79" s="874"/>
      <c r="FT79" s="874"/>
      <c r="FU79" s="874"/>
      <c r="FV79" s="874"/>
      <c r="FW79" s="874"/>
      <c r="FX79" s="874"/>
      <c r="FY79" s="874"/>
      <c r="FZ79" s="874"/>
      <c r="GA79" s="874"/>
      <c r="GB79" s="874"/>
      <c r="GC79" s="874"/>
      <c r="GD79" s="874"/>
      <c r="GE79" s="874"/>
      <c r="GF79" s="874"/>
      <c r="GG79" s="874"/>
      <c r="GH79" s="874"/>
      <c r="GI79" s="874"/>
      <c r="GJ79" s="874"/>
      <c r="GK79" s="874"/>
      <c r="GL79" s="874"/>
      <c r="GM79" s="874"/>
      <c r="GN79" s="874"/>
      <c r="GO79" s="874"/>
      <c r="GP79" s="874"/>
      <c r="GQ79" s="874"/>
      <c r="GR79" s="874"/>
      <c r="GS79" s="874"/>
      <c r="GT79" s="874"/>
      <c r="GU79" s="874"/>
      <c r="GV79" s="874"/>
      <c r="GW79" s="874"/>
      <c r="GX79" s="874"/>
      <c r="GY79" s="874"/>
      <c r="GZ79" s="874"/>
      <c r="HA79" s="874"/>
      <c r="HB79" s="874"/>
      <c r="HC79" s="874"/>
      <c r="HD79" s="874"/>
      <c r="HE79" s="874"/>
      <c r="HF79" s="874"/>
      <c r="HG79" s="874"/>
      <c r="HH79" s="874"/>
      <c r="HI79" s="874"/>
      <c r="HJ79" s="874"/>
      <c r="HK79" s="874"/>
      <c r="HL79" s="874"/>
      <c r="HM79" s="874"/>
      <c r="HN79" s="874"/>
      <c r="HO79" s="874"/>
      <c r="HP79" s="874"/>
      <c r="HQ79" s="874"/>
      <c r="HR79" s="874"/>
      <c r="HS79" s="874"/>
      <c r="HT79" s="874"/>
      <c r="HU79" s="874"/>
      <c r="HV79" s="874"/>
      <c r="HW79" s="874"/>
      <c r="HX79" s="874"/>
      <c r="HY79" s="874"/>
      <c r="HZ79" s="874"/>
      <c r="IA79" s="874"/>
      <c r="IB79" s="874"/>
      <c r="IC79" s="874"/>
      <c r="ID79" s="874"/>
      <c r="IE79" s="874"/>
      <c r="IF79" s="874"/>
      <c r="IG79" s="874"/>
      <c r="IH79" s="874"/>
      <c r="II79" s="874"/>
      <c r="IJ79" s="874"/>
      <c r="IK79" s="874"/>
      <c r="IL79" s="874"/>
      <c r="IM79" s="874"/>
      <c r="IN79" s="874"/>
      <c r="IO79" s="874"/>
      <c r="IP79" s="874"/>
      <c r="IQ79" s="874"/>
      <c r="IR79" s="874"/>
      <c r="IS79" s="874"/>
      <c r="IT79" s="874"/>
      <c r="IU79" s="874"/>
      <c r="IV79" s="874"/>
      <c r="IW79" s="874"/>
      <c r="IX79" s="874"/>
      <c r="IY79" s="874"/>
      <c r="IZ79" s="874"/>
      <c r="JA79" s="874"/>
      <c r="JB79" s="874"/>
      <c r="JC79" s="874"/>
      <c r="JD79" s="874"/>
      <c r="JE79" s="874"/>
      <c r="JF79" s="874"/>
      <c r="JG79" s="874"/>
      <c r="JH79" s="874"/>
      <c r="JI79" s="874"/>
      <c r="JJ79" s="874"/>
      <c r="JK79" s="874"/>
      <c r="JL79" s="874"/>
      <c r="JM79" s="874"/>
      <c r="JN79" s="874"/>
      <c r="JO79" s="874"/>
      <c r="JP79" s="874"/>
      <c r="JQ79" s="874"/>
      <c r="JR79" s="874"/>
      <c r="JS79" s="874"/>
      <c r="JT79" s="874"/>
      <c r="JU79" s="874"/>
      <c r="JV79" s="874"/>
      <c r="JW79" s="874"/>
      <c r="JX79" s="874"/>
      <c r="JY79" s="874"/>
      <c r="JZ79" s="874"/>
      <c r="KA79" s="874"/>
      <c r="KB79" s="874"/>
      <c r="KC79" s="874"/>
      <c r="KD79" s="874"/>
      <c r="KE79" s="874"/>
      <c r="KF79" s="874"/>
      <c r="KG79" s="874"/>
      <c r="KH79" s="865"/>
      <c r="KI79" s="865"/>
      <c r="KJ79" s="865"/>
      <c r="KK79" s="865"/>
      <c r="KL79" s="865"/>
      <c r="KM79" s="865"/>
      <c r="KN79" s="865"/>
      <c r="KO79" s="865"/>
      <c r="KP79" s="865"/>
      <c r="KQ79" s="865"/>
      <c r="KR79" s="865"/>
      <c r="KS79" s="865"/>
      <c r="KT79" s="865"/>
      <c r="KU79" s="865"/>
      <c r="KV79" s="865"/>
      <c r="KW79" s="865"/>
      <c r="KX79" s="865"/>
      <c r="KY79" s="865"/>
      <c r="KZ79" s="865"/>
      <c r="LA79" s="865"/>
      <c r="LB79" s="865"/>
      <c r="LC79" s="865"/>
      <c r="LD79" s="865"/>
      <c r="LE79" s="865"/>
      <c r="LF79" s="865"/>
    </row>
    <row r="80" spans="1:318" ht="51" customHeight="1" thickBot="1">
      <c r="A80" s="2500"/>
      <c r="B80" s="869" t="s">
        <v>1054</v>
      </c>
      <c r="C80" s="869" t="s">
        <v>1054</v>
      </c>
      <c r="D80" s="869" t="s">
        <v>92</v>
      </c>
      <c r="E80" s="869" t="s">
        <v>1231</v>
      </c>
      <c r="F80" s="506" t="s">
        <v>1232</v>
      </c>
      <c r="G80" s="865"/>
      <c r="H80" s="865"/>
      <c r="I80" s="865"/>
      <c r="J80" s="865"/>
      <c r="K80" s="865"/>
      <c r="L80" s="865"/>
      <c r="M80" s="865"/>
      <c r="N80" s="865"/>
      <c r="O80" s="865"/>
      <c r="P80" s="865"/>
      <c r="Q80" s="865"/>
      <c r="R80" s="865"/>
      <c r="S80" s="865"/>
      <c r="T80" s="865"/>
      <c r="U80" s="865"/>
      <c r="V80" s="865"/>
      <c r="W80" s="865"/>
      <c r="X80" s="865"/>
      <c r="Y80" s="865"/>
      <c r="Z80" s="865"/>
      <c r="AA80" s="865"/>
      <c r="AB80" s="865"/>
      <c r="AC80" s="865"/>
      <c r="AD80" s="510"/>
      <c r="AE80" s="865"/>
      <c r="AF80" s="865"/>
      <c r="AG80" s="865"/>
      <c r="AH80" s="865"/>
      <c r="AI80" s="865"/>
      <c r="AJ80" s="510"/>
      <c r="AK80" s="865"/>
      <c r="AL80" s="865"/>
      <c r="AM80" s="865"/>
      <c r="AN80" s="865"/>
      <c r="AO80" s="865"/>
      <c r="AP80" s="510"/>
      <c r="AQ80" s="865"/>
      <c r="AR80" s="865"/>
      <c r="AS80" s="865"/>
      <c r="AT80" s="865"/>
      <c r="AU80" s="865"/>
      <c r="AV80" s="510"/>
      <c r="AW80" s="865"/>
      <c r="AX80" s="865"/>
      <c r="AY80" s="865"/>
      <c r="AZ80" s="865"/>
      <c r="BA80" s="865"/>
      <c r="BB80" s="510"/>
      <c r="BC80" s="865"/>
      <c r="BD80" s="865"/>
      <c r="BE80" s="865"/>
      <c r="BF80" s="865"/>
      <c r="BG80" s="865"/>
      <c r="BH80" s="865"/>
      <c r="BI80" s="865"/>
      <c r="BJ80" s="660" t="s">
        <v>1521</v>
      </c>
      <c r="BK80" s="2554" t="s">
        <v>1520</v>
      </c>
      <c r="BL80" s="2555"/>
      <c r="BM80" s="2555"/>
      <c r="BN80" s="2555"/>
      <c r="BO80" s="2555"/>
      <c r="BP80" s="2555"/>
      <c r="BQ80" s="2555"/>
      <c r="BR80" s="2555"/>
      <c r="BS80" s="2555"/>
      <c r="BT80" s="2555"/>
      <c r="BU80" s="2555"/>
      <c r="BV80" s="2555"/>
      <c r="BW80" s="2556"/>
      <c r="BX80" s="865"/>
      <c r="BY80" s="874"/>
      <c r="BZ80" s="874"/>
      <c r="CA80" s="874"/>
      <c r="CB80" s="874"/>
      <c r="CC80" s="874"/>
      <c r="CD80" s="874"/>
      <c r="CE80" s="874"/>
      <c r="CF80" s="874"/>
      <c r="CG80" s="874"/>
      <c r="CH80" s="874"/>
      <c r="CI80" s="874"/>
      <c r="CJ80" s="874"/>
      <c r="CK80" s="874"/>
      <c r="CL80" s="874"/>
      <c r="CM80" s="874"/>
      <c r="CN80" s="874"/>
      <c r="CO80" s="874"/>
      <c r="CP80" s="874"/>
      <c r="CQ80" s="874"/>
      <c r="CR80" s="874"/>
      <c r="CS80" s="874"/>
      <c r="CT80" s="874"/>
      <c r="CU80" s="874"/>
      <c r="CV80" s="874"/>
      <c r="CW80" s="874"/>
      <c r="CX80" s="874"/>
      <c r="CY80" s="874"/>
      <c r="CZ80" s="874"/>
      <c r="DA80" s="874"/>
      <c r="DB80" s="874"/>
      <c r="DC80" s="874"/>
      <c r="DD80" s="874"/>
      <c r="DE80" s="874"/>
      <c r="DF80" s="874"/>
      <c r="DG80" s="874"/>
      <c r="DH80" s="874"/>
      <c r="DI80" s="874"/>
      <c r="DJ80" s="874"/>
      <c r="DK80" s="874"/>
      <c r="DL80" s="874"/>
      <c r="DM80" s="874"/>
      <c r="DN80" s="874"/>
      <c r="DO80" s="874"/>
      <c r="DP80" s="874"/>
      <c r="DQ80" s="874"/>
      <c r="DR80" s="874"/>
      <c r="DS80" s="874"/>
      <c r="DT80" s="874"/>
      <c r="DU80" s="874"/>
      <c r="DV80" s="874"/>
      <c r="DW80" s="874"/>
      <c r="DX80" s="874"/>
      <c r="DY80" s="874"/>
      <c r="DZ80" s="874"/>
      <c r="EA80" s="874"/>
      <c r="EB80" s="874"/>
      <c r="EC80" s="874"/>
      <c r="ED80" s="874"/>
      <c r="EE80" s="874"/>
      <c r="EF80" s="874"/>
      <c r="EG80" s="874"/>
      <c r="EH80" s="874"/>
      <c r="EI80" s="874"/>
      <c r="EJ80" s="874"/>
      <c r="EK80" s="874"/>
      <c r="EL80" s="874"/>
      <c r="EM80" s="874"/>
      <c r="EN80" s="874"/>
      <c r="EO80" s="874"/>
      <c r="EP80" s="874"/>
      <c r="EQ80" s="874"/>
      <c r="ER80" s="874"/>
      <c r="ES80" s="874"/>
      <c r="ET80" s="874"/>
      <c r="EU80" s="874"/>
      <c r="EV80" s="874"/>
      <c r="EW80" s="874"/>
      <c r="EX80" s="874"/>
      <c r="EY80" s="874"/>
      <c r="EZ80" s="874"/>
      <c r="FA80" s="874"/>
      <c r="FB80" s="874"/>
      <c r="FC80" s="874"/>
      <c r="FD80" s="874"/>
      <c r="FE80" s="874"/>
      <c r="FF80" s="874"/>
      <c r="FG80" s="874"/>
      <c r="FH80" s="874"/>
      <c r="FI80" s="874"/>
      <c r="FJ80" s="874"/>
      <c r="FK80" s="874"/>
      <c r="FL80" s="874"/>
      <c r="FM80" s="874"/>
      <c r="FN80" s="874"/>
      <c r="FO80" s="874"/>
      <c r="FP80" s="874"/>
      <c r="FQ80" s="874"/>
      <c r="FR80" s="874"/>
      <c r="FS80" s="874"/>
      <c r="FT80" s="874"/>
      <c r="FU80" s="874"/>
      <c r="FV80" s="874"/>
      <c r="FW80" s="874"/>
      <c r="FX80" s="874"/>
      <c r="FY80" s="874"/>
      <c r="FZ80" s="874"/>
      <c r="GA80" s="874"/>
      <c r="GB80" s="874"/>
      <c r="GC80" s="874"/>
      <c r="GD80" s="874"/>
      <c r="GE80" s="874"/>
      <c r="GF80" s="874"/>
      <c r="GG80" s="874"/>
      <c r="GH80" s="874"/>
      <c r="GI80" s="874"/>
      <c r="GJ80" s="874"/>
      <c r="GK80" s="874"/>
      <c r="GL80" s="874"/>
      <c r="GM80" s="874"/>
      <c r="GN80" s="874"/>
      <c r="GO80" s="874"/>
      <c r="GP80" s="874"/>
      <c r="GQ80" s="874"/>
      <c r="GR80" s="874"/>
      <c r="GS80" s="874"/>
      <c r="GT80" s="874"/>
      <c r="GU80" s="874"/>
      <c r="GV80" s="874"/>
      <c r="GW80" s="874"/>
      <c r="GX80" s="874"/>
      <c r="GY80" s="874"/>
      <c r="GZ80" s="874"/>
      <c r="HA80" s="874"/>
      <c r="HB80" s="874"/>
      <c r="HC80" s="874"/>
      <c r="HD80" s="874"/>
      <c r="HE80" s="874"/>
      <c r="HF80" s="874"/>
      <c r="HG80" s="874"/>
      <c r="HH80" s="874"/>
      <c r="HI80" s="874"/>
      <c r="HJ80" s="874"/>
      <c r="HK80" s="874"/>
      <c r="HL80" s="874"/>
      <c r="HM80" s="874"/>
      <c r="HN80" s="874"/>
      <c r="HO80" s="874"/>
      <c r="HP80" s="874"/>
      <c r="HQ80" s="874"/>
      <c r="HR80" s="874"/>
      <c r="HS80" s="874"/>
      <c r="HT80" s="874"/>
      <c r="HU80" s="874"/>
      <c r="HV80" s="874"/>
      <c r="HW80" s="874"/>
      <c r="HX80" s="874"/>
      <c r="HY80" s="874"/>
      <c r="HZ80" s="874"/>
      <c r="IA80" s="874"/>
      <c r="IB80" s="874"/>
      <c r="IC80" s="874"/>
      <c r="ID80" s="874"/>
      <c r="IE80" s="874"/>
      <c r="IF80" s="874"/>
      <c r="IG80" s="874"/>
      <c r="IH80" s="874"/>
      <c r="II80" s="874"/>
      <c r="IJ80" s="874"/>
      <c r="IK80" s="874"/>
      <c r="IL80" s="874"/>
      <c r="IM80" s="874"/>
      <c r="IN80" s="874"/>
      <c r="IO80" s="874"/>
      <c r="IP80" s="874"/>
      <c r="IQ80" s="874"/>
      <c r="IR80" s="874"/>
      <c r="IS80" s="874"/>
      <c r="IT80" s="874"/>
      <c r="IU80" s="874"/>
      <c r="IV80" s="874"/>
      <c r="IW80" s="874"/>
      <c r="IX80" s="874"/>
      <c r="IY80" s="874"/>
      <c r="IZ80" s="874"/>
      <c r="JA80" s="874"/>
      <c r="JB80" s="874"/>
      <c r="JC80" s="874"/>
      <c r="JD80" s="874"/>
      <c r="JE80" s="874"/>
      <c r="JF80" s="874"/>
      <c r="JG80" s="874"/>
      <c r="JH80" s="874"/>
      <c r="JI80" s="874"/>
      <c r="JJ80" s="874"/>
      <c r="JK80" s="874"/>
      <c r="JL80" s="874"/>
      <c r="JM80" s="874"/>
      <c r="JN80" s="874"/>
      <c r="JO80" s="874"/>
      <c r="JP80" s="874"/>
      <c r="JQ80" s="874"/>
      <c r="JR80" s="874"/>
      <c r="JS80" s="874"/>
      <c r="JT80" s="874"/>
      <c r="JU80" s="874"/>
      <c r="JV80" s="874"/>
      <c r="JW80" s="874"/>
      <c r="JX80" s="874"/>
      <c r="JY80" s="874"/>
      <c r="JZ80" s="874"/>
      <c r="KA80" s="874"/>
      <c r="KB80" s="874"/>
      <c r="KC80" s="874"/>
      <c r="KD80" s="874"/>
      <c r="KE80" s="874"/>
      <c r="KF80" s="874"/>
      <c r="KG80" s="874"/>
      <c r="KH80" s="865"/>
      <c r="KI80" s="865"/>
      <c r="KJ80" s="865"/>
      <c r="KK80" s="865"/>
      <c r="KL80" s="865"/>
      <c r="KM80" s="865"/>
      <c r="KN80" s="865"/>
      <c r="KO80" s="865"/>
      <c r="KP80" s="865"/>
      <c r="KQ80" s="865"/>
      <c r="KR80" s="865"/>
      <c r="KS80" s="865"/>
      <c r="KT80" s="865"/>
      <c r="KU80" s="865"/>
      <c r="KV80" s="865"/>
      <c r="KW80" s="865"/>
      <c r="KX80" s="865"/>
      <c r="KY80" s="865"/>
      <c r="KZ80" s="865"/>
      <c r="LA80" s="865"/>
      <c r="LB80" s="865"/>
      <c r="LC80" s="865"/>
      <c r="LD80" s="865"/>
      <c r="LE80" s="865"/>
      <c r="LF80" s="865"/>
    </row>
    <row r="81" spans="1:318" ht="15.45" customHeight="1">
      <c r="A81" s="507" t="s">
        <v>120</v>
      </c>
      <c r="B81" s="870"/>
      <c r="C81" s="870"/>
      <c r="D81" s="870"/>
      <c r="E81" s="870"/>
      <c r="F81" s="871"/>
      <c r="G81" s="865"/>
      <c r="H81" s="865"/>
      <c r="I81" s="865"/>
      <c r="J81" s="865"/>
      <c r="K81" s="865"/>
      <c r="L81" s="865"/>
      <c r="M81" s="865"/>
      <c r="N81" s="865"/>
      <c r="O81" s="865"/>
      <c r="P81" s="865"/>
      <c r="Q81" s="865"/>
      <c r="R81" s="865"/>
      <c r="S81" s="865"/>
      <c r="T81" s="865"/>
      <c r="U81" s="865"/>
      <c r="V81" s="865"/>
      <c r="W81" s="865"/>
      <c r="X81" s="865"/>
      <c r="Y81" s="865"/>
      <c r="Z81" s="865"/>
      <c r="AA81" s="865"/>
      <c r="AB81" s="865"/>
      <c r="AC81" s="865"/>
      <c r="AD81" s="510"/>
      <c r="AE81" s="865"/>
      <c r="AF81" s="865"/>
      <c r="AG81" s="865"/>
      <c r="AH81" s="865"/>
      <c r="AI81" s="865"/>
      <c r="AJ81" s="510"/>
      <c r="AK81" s="865"/>
      <c r="AL81" s="865"/>
      <c r="AM81" s="865"/>
      <c r="AN81" s="865"/>
      <c r="AO81" s="865"/>
      <c r="AP81" s="510"/>
      <c r="AQ81" s="865"/>
      <c r="AR81" s="865"/>
      <c r="AS81" s="865"/>
      <c r="AT81" s="865"/>
      <c r="AU81" s="865"/>
      <c r="AV81" s="510"/>
      <c r="AW81" s="865"/>
      <c r="AX81" s="865"/>
      <c r="AY81" s="865"/>
      <c r="AZ81" s="865"/>
      <c r="BA81" s="865"/>
      <c r="BB81" s="510"/>
      <c r="BC81" s="865"/>
      <c r="BD81" s="865"/>
      <c r="BE81" s="865"/>
      <c r="BF81" s="865"/>
      <c r="BG81" s="865"/>
      <c r="BH81" s="865"/>
      <c r="BI81" s="865"/>
      <c r="BJ81" s="661" t="s">
        <v>120</v>
      </c>
      <c r="BK81" s="2545"/>
      <c r="BL81" s="2546"/>
      <c r="BM81" s="2546"/>
      <c r="BN81" s="2546"/>
      <c r="BO81" s="2546"/>
      <c r="BP81" s="2546"/>
      <c r="BQ81" s="2546"/>
      <c r="BR81" s="2546"/>
      <c r="BS81" s="2546"/>
      <c r="BT81" s="2546"/>
      <c r="BU81" s="2546"/>
      <c r="BV81" s="2546"/>
      <c r="BW81" s="2547"/>
      <c r="BX81" s="865"/>
      <c r="BY81" s="874"/>
      <c r="BZ81" s="874"/>
      <c r="CA81" s="874"/>
      <c r="CB81" s="874"/>
      <c r="CC81" s="874"/>
      <c r="CD81" s="874"/>
      <c r="CE81" s="874"/>
      <c r="CF81" s="874"/>
      <c r="CG81" s="874"/>
      <c r="CH81" s="874"/>
      <c r="CI81" s="874"/>
      <c r="CJ81" s="874"/>
      <c r="CK81" s="874"/>
      <c r="CL81" s="874"/>
      <c r="CM81" s="874"/>
      <c r="CN81" s="874"/>
      <c r="CO81" s="874"/>
      <c r="CP81" s="874"/>
      <c r="CQ81" s="874"/>
      <c r="CR81" s="874"/>
      <c r="CS81" s="874"/>
      <c r="CT81" s="874"/>
      <c r="CU81" s="874"/>
      <c r="CV81" s="874"/>
      <c r="CW81" s="874"/>
      <c r="CX81" s="874"/>
      <c r="CY81" s="874"/>
      <c r="CZ81" s="874"/>
      <c r="DA81" s="874"/>
      <c r="DB81" s="874"/>
      <c r="DC81" s="874"/>
      <c r="DD81" s="874"/>
      <c r="DE81" s="874"/>
      <c r="DF81" s="874"/>
      <c r="DG81" s="874"/>
      <c r="DH81" s="874"/>
      <c r="DI81" s="874"/>
      <c r="DJ81" s="874"/>
      <c r="DK81" s="874"/>
      <c r="DL81" s="874"/>
      <c r="DM81" s="874"/>
      <c r="DN81" s="874"/>
      <c r="DO81" s="874"/>
      <c r="DP81" s="874"/>
      <c r="DQ81" s="874"/>
      <c r="DR81" s="874"/>
      <c r="DS81" s="874"/>
      <c r="DT81" s="874"/>
      <c r="DU81" s="874"/>
      <c r="DV81" s="874"/>
      <c r="DW81" s="874"/>
      <c r="DX81" s="874"/>
      <c r="DY81" s="874"/>
      <c r="DZ81" s="874"/>
      <c r="EA81" s="874"/>
      <c r="EB81" s="874"/>
      <c r="EC81" s="874"/>
      <c r="ED81" s="874"/>
      <c r="EE81" s="874"/>
      <c r="EF81" s="874"/>
      <c r="EG81" s="874"/>
      <c r="EH81" s="874"/>
      <c r="EI81" s="874"/>
      <c r="EJ81" s="874"/>
      <c r="EK81" s="874"/>
      <c r="EL81" s="874"/>
      <c r="EM81" s="874"/>
      <c r="EN81" s="874"/>
      <c r="EO81" s="874"/>
      <c r="EP81" s="874"/>
      <c r="EQ81" s="874"/>
      <c r="ER81" s="874"/>
      <c r="ES81" s="874"/>
      <c r="ET81" s="874"/>
      <c r="EU81" s="874"/>
      <c r="EV81" s="874"/>
      <c r="EW81" s="874"/>
      <c r="EX81" s="874"/>
      <c r="EY81" s="874"/>
      <c r="EZ81" s="874"/>
      <c r="FA81" s="874"/>
      <c r="FB81" s="874"/>
      <c r="FC81" s="874"/>
      <c r="FD81" s="874"/>
      <c r="FE81" s="874"/>
      <c r="FF81" s="874"/>
      <c r="FG81" s="874"/>
      <c r="FH81" s="874"/>
      <c r="FI81" s="874"/>
      <c r="FJ81" s="874"/>
      <c r="FK81" s="874"/>
      <c r="FL81" s="874"/>
      <c r="FM81" s="874"/>
      <c r="FN81" s="874"/>
      <c r="FO81" s="874"/>
      <c r="FP81" s="874"/>
      <c r="FQ81" s="874"/>
      <c r="FR81" s="874"/>
      <c r="FS81" s="874"/>
      <c r="FT81" s="874"/>
      <c r="FU81" s="874"/>
      <c r="FV81" s="874"/>
      <c r="FW81" s="874"/>
      <c r="FX81" s="874"/>
      <c r="FY81" s="874"/>
      <c r="FZ81" s="874"/>
      <c r="GA81" s="874"/>
      <c r="GB81" s="874"/>
      <c r="GC81" s="874"/>
      <c r="GD81" s="874"/>
      <c r="GE81" s="874"/>
      <c r="GF81" s="874"/>
      <c r="GG81" s="874"/>
      <c r="GH81" s="874"/>
      <c r="GI81" s="874"/>
      <c r="GJ81" s="874"/>
      <c r="GK81" s="874"/>
      <c r="GL81" s="874"/>
      <c r="GM81" s="874"/>
      <c r="GN81" s="874"/>
      <c r="GO81" s="874"/>
      <c r="GP81" s="874"/>
      <c r="GQ81" s="874"/>
      <c r="GR81" s="874"/>
      <c r="GS81" s="874"/>
      <c r="GT81" s="874"/>
      <c r="GU81" s="874"/>
      <c r="GV81" s="874"/>
      <c r="GW81" s="874"/>
      <c r="GX81" s="874"/>
      <c r="GY81" s="874"/>
      <c r="GZ81" s="874"/>
      <c r="HA81" s="874"/>
      <c r="HB81" s="874"/>
      <c r="HC81" s="874"/>
      <c r="HD81" s="874"/>
      <c r="HE81" s="874"/>
      <c r="HF81" s="874"/>
      <c r="HG81" s="874"/>
      <c r="HH81" s="874"/>
      <c r="HI81" s="874"/>
      <c r="HJ81" s="874"/>
      <c r="HK81" s="874"/>
      <c r="HL81" s="874"/>
      <c r="HM81" s="874"/>
      <c r="HN81" s="874"/>
      <c r="HO81" s="874"/>
      <c r="HP81" s="874"/>
      <c r="HQ81" s="874"/>
      <c r="HR81" s="874"/>
      <c r="HS81" s="874"/>
      <c r="HT81" s="874"/>
      <c r="HU81" s="874"/>
      <c r="HV81" s="874"/>
      <c r="HW81" s="874"/>
      <c r="HX81" s="874"/>
      <c r="HY81" s="874"/>
      <c r="HZ81" s="874"/>
      <c r="IA81" s="874"/>
      <c r="IB81" s="874"/>
      <c r="IC81" s="874"/>
      <c r="ID81" s="874"/>
      <c r="IE81" s="874"/>
      <c r="IF81" s="874"/>
      <c r="IG81" s="874"/>
      <c r="IH81" s="874"/>
      <c r="II81" s="874"/>
      <c r="IJ81" s="874"/>
      <c r="IK81" s="874"/>
      <c r="IL81" s="874"/>
      <c r="IM81" s="874"/>
      <c r="IN81" s="874"/>
      <c r="IO81" s="874"/>
      <c r="IP81" s="874"/>
      <c r="IQ81" s="874"/>
      <c r="IR81" s="874"/>
      <c r="IS81" s="874"/>
      <c r="IT81" s="874"/>
      <c r="IU81" s="874"/>
      <c r="IV81" s="874"/>
      <c r="IW81" s="874"/>
      <c r="IX81" s="874"/>
      <c r="IY81" s="874"/>
      <c r="IZ81" s="874"/>
      <c r="JA81" s="874"/>
      <c r="JB81" s="874"/>
      <c r="JC81" s="874"/>
      <c r="JD81" s="874"/>
      <c r="JE81" s="874"/>
      <c r="JF81" s="874"/>
      <c r="JG81" s="874"/>
      <c r="JH81" s="874"/>
      <c r="JI81" s="874"/>
      <c r="JJ81" s="874"/>
      <c r="JK81" s="874"/>
      <c r="JL81" s="874"/>
      <c r="JM81" s="874"/>
      <c r="JN81" s="874"/>
      <c r="JO81" s="874"/>
      <c r="JP81" s="874"/>
      <c r="JQ81" s="874"/>
      <c r="JR81" s="874"/>
      <c r="JS81" s="874"/>
      <c r="JT81" s="874"/>
      <c r="JU81" s="874"/>
      <c r="JV81" s="874"/>
      <c r="JW81" s="874"/>
      <c r="JX81" s="874"/>
      <c r="JY81" s="874"/>
      <c r="JZ81" s="874"/>
      <c r="KA81" s="874"/>
      <c r="KB81" s="874"/>
      <c r="KC81" s="874"/>
      <c r="KD81" s="874"/>
      <c r="KE81" s="874"/>
      <c r="KF81" s="874"/>
      <c r="KG81" s="874"/>
      <c r="KH81" s="865"/>
      <c r="KI81" s="865"/>
      <c r="KJ81" s="865"/>
      <c r="KK81" s="865"/>
      <c r="KL81" s="865"/>
      <c r="KM81" s="865"/>
      <c r="KN81" s="865"/>
      <c r="KO81" s="865"/>
      <c r="KP81" s="865"/>
      <c r="KQ81" s="865"/>
      <c r="KR81" s="865"/>
      <c r="KS81" s="865"/>
      <c r="KT81" s="865"/>
      <c r="KU81" s="865"/>
      <c r="KV81" s="865"/>
      <c r="KW81" s="865"/>
      <c r="KX81" s="865"/>
      <c r="KY81" s="865"/>
      <c r="KZ81" s="865"/>
      <c r="LA81" s="865"/>
      <c r="LB81" s="865"/>
      <c r="LC81" s="865"/>
      <c r="LD81" s="865"/>
      <c r="LE81" s="865"/>
      <c r="LF81" s="865"/>
    </row>
    <row r="82" spans="1:318" ht="15.45" customHeight="1">
      <c r="A82" s="507" t="s">
        <v>154</v>
      </c>
      <c r="B82" s="870"/>
      <c r="C82" s="870"/>
      <c r="D82" s="870"/>
      <c r="E82" s="870"/>
      <c r="F82" s="871"/>
      <c r="G82" s="865"/>
      <c r="H82" s="865"/>
      <c r="I82" s="865"/>
      <c r="J82" s="865"/>
      <c r="K82" s="865"/>
      <c r="L82" s="865"/>
      <c r="M82" s="865"/>
      <c r="N82" s="865"/>
      <c r="O82" s="865"/>
      <c r="P82" s="865"/>
      <c r="Q82" s="865"/>
      <c r="R82" s="865"/>
      <c r="S82" s="865"/>
      <c r="T82" s="865"/>
      <c r="U82" s="865"/>
      <c r="V82" s="865"/>
      <c r="W82" s="865"/>
      <c r="X82" s="865"/>
      <c r="Y82" s="865"/>
      <c r="Z82" s="865"/>
      <c r="AA82" s="865"/>
      <c r="AB82" s="865"/>
      <c r="AC82" s="865"/>
      <c r="AD82" s="510"/>
      <c r="AE82" s="865"/>
      <c r="AF82" s="865"/>
      <c r="AG82" s="865"/>
      <c r="AH82" s="865"/>
      <c r="AI82" s="865"/>
      <c r="AJ82" s="510"/>
      <c r="AK82" s="865"/>
      <c r="AL82" s="865"/>
      <c r="AM82" s="865"/>
      <c r="AN82" s="865"/>
      <c r="AO82" s="865"/>
      <c r="AP82" s="510"/>
      <c r="AQ82" s="865"/>
      <c r="AR82" s="865"/>
      <c r="AS82" s="865"/>
      <c r="AT82" s="865"/>
      <c r="AU82" s="865"/>
      <c r="AV82" s="510"/>
      <c r="AW82" s="865"/>
      <c r="AX82" s="865"/>
      <c r="AY82" s="865"/>
      <c r="AZ82" s="865"/>
      <c r="BA82" s="865"/>
      <c r="BB82" s="510"/>
      <c r="BC82" s="865"/>
      <c r="BD82" s="865"/>
      <c r="BE82" s="865"/>
      <c r="BF82" s="865"/>
      <c r="BG82" s="865"/>
      <c r="BH82" s="865"/>
      <c r="BI82" s="865"/>
      <c r="BJ82" s="661" t="s">
        <v>154</v>
      </c>
      <c r="BK82" s="2548"/>
      <c r="BL82" s="2549"/>
      <c r="BM82" s="2549"/>
      <c r="BN82" s="2549"/>
      <c r="BO82" s="2549"/>
      <c r="BP82" s="2549"/>
      <c r="BQ82" s="2549"/>
      <c r="BR82" s="2549"/>
      <c r="BS82" s="2549"/>
      <c r="BT82" s="2549"/>
      <c r="BU82" s="2549"/>
      <c r="BV82" s="2549"/>
      <c r="BW82" s="2550"/>
      <c r="BX82" s="865"/>
      <c r="BY82" s="874"/>
      <c r="BZ82" s="874"/>
      <c r="CA82" s="874"/>
      <c r="CB82" s="874"/>
      <c r="CC82" s="874"/>
      <c r="CD82" s="874"/>
      <c r="CE82" s="874"/>
      <c r="CF82" s="874"/>
      <c r="CG82" s="874"/>
      <c r="CH82" s="874"/>
      <c r="CI82" s="874"/>
      <c r="CJ82" s="874"/>
      <c r="CK82" s="874"/>
      <c r="CL82" s="874"/>
      <c r="CM82" s="874"/>
      <c r="CN82" s="874"/>
      <c r="CO82" s="874"/>
      <c r="CP82" s="874"/>
      <c r="CQ82" s="874"/>
      <c r="CR82" s="874"/>
      <c r="CS82" s="874"/>
      <c r="CT82" s="874"/>
      <c r="CU82" s="874"/>
      <c r="CV82" s="874"/>
      <c r="CW82" s="874"/>
      <c r="CX82" s="874"/>
      <c r="CY82" s="874"/>
      <c r="CZ82" s="874"/>
      <c r="DA82" s="874"/>
      <c r="DB82" s="874"/>
      <c r="DC82" s="874"/>
      <c r="DD82" s="874"/>
      <c r="DE82" s="874"/>
      <c r="DF82" s="874"/>
      <c r="DG82" s="874"/>
      <c r="DH82" s="874"/>
      <c r="DI82" s="874"/>
      <c r="DJ82" s="874"/>
      <c r="DK82" s="874"/>
      <c r="DL82" s="874"/>
      <c r="DM82" s="874"/>
      <c r="DN82" s="874"/>
      <c r="DO82" s="874"/>
      <c r="DP82" s="874"/>
      <c r="DQ82" s="874"/>
      <c r="DR82" s="874"/>
      <c r="DS82" s="874"/>
      <c r="DT82" s="874"/>
      <c r="DU82" s="874"/>
      <c r="DV82" s="874"/>
      <c r="DW82" s="874"/>
      <c r="DX82" s="874"/>
      <c r="DY82" s="874"/>
      <c r="DZ82" s="874"/>
      <c r="EA82" s="874"/>
      <c r="EB82" s="874"/>
      <c r="EC82" s="874"/>
      <c r="ED82" s="874"/>
      <c r="EE82" s="874"/>
      <c r="EF82" s="874"/>
      <c r="EG82" s="874"/>
      <c r="EH82" s="874"/>
      <c r="EI82" s="874"/>
      <c r="EJ82" s="874"/>
      <c r="EK82" s="874"/>
      <c r="EL82" s="874"/>
      <c r="EM82" s="874"/>
      <c r="EN82" s="874"/>
      <c r="EO82" s="874"/>
      <c r="EP82" s="874"/>
      <c r="EQ82" s="874"/>
      <c r="ER82" s="874"/>
      <c r="ES82" s="874"/>
      <c r="ET82" s="874"/>
      <c r="EU82" s="874"/>
      <c r="EV82" s="874"/>
      <c r="EW82" s="874"/>
      <c r="EX82" s="874"/>
      <c r="EY82" s="874"/>
      <c r="EZ82" s="874"/>
      <c r="FA82" s="874"/>
      <c r="FB82" s="874"/>
      <c r="FC82" s="874"/>
      <c r="FD82" s="874"/>
      <c r="FE82" s="874"/>
      <c r="FF82" s="874"/>
      <c r="FG82" s="874"/>
      <c r="FH82" s="874"/>
      <c r="FI82" s="874"/>
      <c r="FJ82" s="874"/>
      <c r="FK82" s="874"/>
      <c r="FL82" s="874"/>
      <c r="FM82" s="874"/>
      <c r="FN82" s="874"/>
      <c r="FO82" s="874"/>
      <c r="FP82" s="874"/>
      <c r="FQ82" s="874"/>
      <c r="FR82" s="874"/>
      <c r="FS82" s="874"/>
      <c r="FT82" s="874"/>
      <c r="FU82" s="874"/>
      <c r="FV82" s="874"/>
      <c r="FW82" s="874"/>
      <c r="FX82" s="874"/>
      <c r="FY82" s="874"/>
      <c r="FZ82" s="874"/>
      <c r="GA82" s="874"/>
      <c r="GB82" s="874"/>
      <c r="GC82" s="874"/>
      <c r="GD82" s="874"/>
      <c r="GE82" s="874"/>
      <c r="GF82" s="874"/>
      <c r="GG82" s="874"/>
      <c r="GH82" s="874"/>
      <c r="GI82" s="874"/>
      <c r="GJ82" s="874"/>
      <c r="GK82" s="874"/>
      <c r="GL82" s="874"/>
      <c r="GM82" s="874"/>
      <c r="GN82" s="874"/>
      <c r="GO82" s="874"/>
      <c r="GP82" s="874"/>
      <c r="GQ82" s="874"/>
      <c r="GR82" s="874"/>
      <c r="GS82" s="874"/>
      <c r="GT82" s="874"/>
      <c r="GU82" s="874"/>
      <c r="GV82" s="874"/>
      <c r="GW82" s="874"/>
      <c r="GX82" s="874"/>
      <c r="GY82" s="874"/>
      <c r="GZ82" s="874"/>
      <c r="HA82" s="874"/>
      <c r="HB82" s="874"/>
      <c r="HC82" s="874"/>
      <c r="HD82" s="874"/>
      <c r="HE82" s="874"/>
      <c r="HF82" s="874"/>
      <c r="HG82" s="874"/>
      <c r="HH82" s="874"/>
      <c r="HI82" s="874"/>
      <c r="HJ82" s="874"/>
      <c r="HK82" s="874"/>
      <c r="HL82" s="874"/>
      <c r="HM82" s="874"/>
      <c r="HN82" s="874"/>
      <c r="HO82" s="874"/>
      <c r="HP82" s="874"/>
      <c r="HQ82" s="874"/>
      <c r="HR82" s="874"/>
      <c r="HS82" s="874"/>
      <c r="HT82" s="874"/>
      <c r="HU82" s="874"/>
      <c r="HV82" s="874"/>
      <c r="HW82" s="874"/>
      <c r="HX82" s="874"/>
      <c r="HY82" s="874"/>
      <c r="HZ82" s="874"/>
      <c r="IA82" s="874"/>
      <c r="IB82" s="874"/>
      <c r="IC82" s="874"/>
      <c r="ID82" s="874"/>
      <c r="IE82" s="874"/>
      <c r="IF82" s="874"/>
      <c r="IG82" s="874"/>
      <c r="IH82" s="874"/>
      <c r="II82" s="874"/>
      <c r="IJ82" s="874"/>
      <c r="IK82" s="874"/>
      <c r="IL82" s="874"/>
      <c r="IM82" s="874"/>
      <c r="IN82" s="874"/>
      <c r="IO82" s="874"/>
      <c r="IP82" s="874"/>
      <c r="IQ82" s="874"/>
      <c r="IR82" s="874"/>
      <c r="IS82" s="874"/>
      <c r="IT82" s="874"/>
      <c r="IU82" s="874"/>
      <c r="IV82" s="874"/>
      <c r="IW82" s="874"/>
      <c r="IX82" s="874"/>
      <c r="IY82" s="874"/>
      <c r="IZ82" s="874"/>
      <c r="JA82" s="874"/>
      <c r="JB82" s="874"/>
      <c r="JC82" s="874"/>
      <c r="JD82" s="874"/>
      <c r="JE82" s="874"/>
      <c r="JF82" s="874"/>
      <c r="JG82" s="874"/>
      <c r="JH82" s="874"/>
      <c r="JI82" s="874"/>
      <c r="JJ82" s="874"/>
      <c r="JK82" s="874"/>
      <c r="JL82" s="874"/>
      <c r="JM82" s="874"/>
      <c r="JN82" s="874"/>
      <c r="JO82" s="874"/>
      <c r="JP82" s="874"/>
      <c r="JQ82" s="874"/>
      <c r="JR82" s="874"/>
      <c r="JS82" s="874"/>
      <c r="JT82" s="874"/>
      <c r="JU82" s="874"/>
      <c r="JV82" s="874"/>
      <c r="JW82" s="874"/>
      <c r="JX82" s="874"/>
      <c r="JY82" s="874"/>
      <c r="JZ82" s="874"/>
      <c r="KA82" s="874"/>
      <c r="KB82" s="874"/>
      <c r="KC82" s="874"/>
      <c r="KD82" s="874"/>
      <c r="KE82" s="874"/>
      <c r="KF82" s="874"/>
      <c r="KG82" s="874"/>
      <c r="KH82" s="865"/>
      <c r="KI82" s="865"/>
      <c r="KJ82" s="865"/>
      <c r="KK82" s="865"/>
      <c r="KL82" s="865"/>
      <c r="KM82" s="865"/>
      <c r="KN82" s="865"/>
      <c r="KO82" s="865"/>
      <c r="KP82" s="865"/>
      <c r="KQ82" s="865"/>
      <c r="KR82" s="865"/>
      <c r="KS82" s="865"/>
      <c r="KT82" s="865"/>
      <c r="KU82" s="865"/>
      <c r="KV82" s="865"/>
      <c r="KW82" s="865"/>
      <c r="KX82" s="865"/>
      <c r="KY82" s="865"/>
      <c r="KZ82" s="865"/>
      <c r="LA82" s="865"/>
      <c r="LB82" s="865"/>
      <c r="LC82" s="865"/>
      <c r="LD82" s="865"/>
      <c r="LE82" s="865"/>
      <c r="LF82" s="865"/>
    </row>
    <row r="83" spans="1:318">
      <c r="A83" s="507" t="s">
        <v>124</v>
      </c>
      <c r="B83" s="870"/>
      <c r="C83" s="870"/>
      <c r="D83" s="870"/>
      <c r="E83" s="870"/>
      <c r="F83" s="871"/>
      <c r="G83" s="865"/>
      <c r="H83" s="865"/>
      <c r="I83" s="865"/>
      <c r="J83" s="865"/>
      <c r="K83" s="865"/>
      <c r="L83" s="865"/>
      <c r="M83" s="865"/>
      <c r="N83" s="865"/>
      <c r="O83" s="865"/>
      <c r="P83" s="865"/>
      <c r="Q83" s="865"/>
      <c r="R83" s="865"/>
      <c r="S83" s="865"/>
      <c r="T83" s="865"/>
      <c r="U83" s="865"/>
      <c r="V83" s="865"/>
      <c r="W83" s="865"/>
      <c r="X83" s="865"/>
      <c r="Y83" s="865"/>
      <c r="Z83" s="865"/>
      <c r="AA83" s="865"/>
      <c r="AB83" s="865"/>
      <c r="AC83" s="865"/>
      <c r="AD83" s="510"/>
      <c r="AE83" s="865"/>
      <c r="AF83" s="865"/>
      <c r="AG83" s="865"/>
      <c r="AH83" s="865"/>
      <c r="AI83" s="865"/>
      <c r="AJ83" s="510"/>
      <c r="AK83" s="865"/>
      <c r="AL83" s="865"/>
      <c r="AM83" s="865"/>
      <c r="AN83" s="865"/>
      <c r="AO83" s="865"/>
      <c r="AP83" s="510"/>
      <c r="AQ83" s="865"/>
      <c r="AR83" s="865"/>
      <c r="AS83" s="865"/>
      <c r="AT83" s="865"/>
      <c r="AU83" s="865"/>
      <c r="AV83" s="510"/>
      <c r="AW83" s="865"/>
      <c r="AX83" s="865"/>
      <c r="AY83" s="865"/>
      <c r="AZ83" s="865"/>
      <c r="BA83" s="865"/>
      <c r="BB83" s="510"/>
      <c r="BC83" s="865"/>
      <c r="BD83" s="865"/>
      <c r="BE83" s="865"/>
      <c r="BF83" s="865"/>
      <c r="BG83" s="865"/>
      <c r="BH83" s="865"/>
      <c r="BI83" s="865"/>
      <c r="BJ83" s="661" t="s">
        <v>124</v>
      </c>
      <c r="BK83" s="2548"/>
      <c r="BL83" s="2549"/>
      <c r="BM83" s="2549"/>
      <c r="BN83" s="2549"/>
      <c r="BO83" s="2549"/>
      <c r="BP83" s="2549"/>
      <c r="BQ83" s="2549"/>
      <c r="BR83" s="2549"/>
      <c r="BS83" s="2549"/>
      <c r="BT83" s="2549"/>
      <c r="BU83" s="2549"/>
      <c r="BV83" s="2549"/>
      <c r="BW83" s="2550"/>
      <c r="BX83" s="865"/>
      <c r="BY83" s="874"/>
      <c r="BZ83" s="874"/>
      <c r="CA83" s="874"/>
      <c r="CB83" s="874"/>
      <c r="CC83" s="874"/>
      <c r="CD83" s="874"/>
      <c r="CE83" s="874"/>
      <c r="CF83" s="874"/>
      <c r="CG83" s="874"/>
      <c r="CH83" s="874"/>
      <c r="CI83" s="874"/>
      <c r="CJ83" s="874"/>
      <c r="CK83" s="874"/>
      <c r="CL83" s="874"/>
      <c r="CM83" s="874"/>
      <c r="CN83" s="874"/>
      <c r="CO83" s="874"/>
      <c r="CP83" s="874"/>
      <c r="CQ83" s="874"/>
      <c r="CR83" s="874"/>
      <c r="CS83" s="874"/>
      <c r="CT83" s="874"/>
      <c r="CU83" s="874"/>
      <c r="CV83" s="874"/>
      <c r="CW83" s="874"/>
      <c r="CX83" s="874"/>
      <c r="CY83" s="874"/>
      <c r="CZ83" s="874"/>
      <c r="DA83" s="874"/>
      <c r="DB83" s="874"/>
      <c r="DC83" s="874"/>
      <c r="DD83" s="874"/>
      <c r="DE83" s="874"/>
      <c r="DF83" s="874"/>
      <c r="DG83" s="874"/>
      <c r="DH83" s="874"/>
      <c r="DI83" s="874"/>
      <c r="DJ83" s="874"/>
      <c r="DK83" s="874"/>
      <c r="DL83" s="874"/>
      <c r="DM83" s="874"/>
      <c r="DN83" s="874"/>
      <c r="DO83" s="874"/>
      <c r="DP83" s="874"/>
      <c r="DQ83" s="874"/>
      <c r="DR83" s="874"/>
      <c r="DS83" s="874"/>
      <c r="DT83" s="874"/>
      <c r="DU83" s="874"/>
      <c r="DV83" s="874"/>
      <c r="DW83" s="874"/>
      <c r="DX83" s="874"/>
      <c r="DY83" s="874"/>
      <c r="DZ83" s="874"/>
      <c r="EA83" s="874"/>
      <c r="EB83" s="874"/>
      <c r="EC83" s="874"/>
      <c r="ED83" s="874"/>
      <c r="EE83" s="874"/>
      <c r="EF83" s="874"/>
      <c r="EG83" s="874"/>
      <c r="EH83" s="874"/>
      <c r="EI83" s="874"/>
      <c r="EJ83" s="874"/>
      <c r="EK83" s="874"/>
      <c r="EL83" s="874"/>
      <c r="EM83" s="874"/>
      <c r="EN83" s="874"/>
      <c r="EO83" s="874"/>
      <c r="EP83" s="874"/>
      <c r="EQ83" s="874"/>
      <c r="ER83" s="874"/>
      <c r="ES83" s="874"/>
      <c r="ET83" s="874"/>
      <c r="EU83" s="874"/>
      <c r="EV83" s="874"/>
      <c r="EW83" s="874"/>
      <c r="EX83" s="874"/>
      <c r="EY83" s="874"/>
      <c r="EZ83" s="874"/>
      <c r="FA83" s="874"/>
      <c r="FB83" s="874"/>
      <c r="FC83" s="874"/>
      <c r="FD83" s="874"/>
      <c r="FE83" s="874"/>
      <c r="FF83" s="874"/>
      <c r="FG83" s="874"/>
      <c r="FH83" s="874"/>
      <c r="FI83" s="874"/>
      <c r="FJ83" s="874"/>
      <c r="FK83" s="874"/>
      <c r="FL83" s="874"/>
      <c r="FM83" s="874"/>
      <c r="FN83" s="874"/>
      <c r="FO83" s="874"/>
      <c r="FP83" s="874"/>
      <c r="FQ83" s="874"/>
      <c r="FR83" s="874"/>
      <c r="FS83" s="874"/>
      <c r="FT83" s="874"/>
      <c r="FU83" s="874"/>
      <c r="FV83" s="874"/>
      <c r="FW83" s="874"/>
      <c r="FX83" s="874"/>
      <c r="FY83" s="874"/>
      <c r="FZ83" s="874"/>
      <c r="GA83" s="874"/>
      <c r="GB83" s="874"/>
      <c r="GC83" s="874"/>
      <c r="GD83" s="874"/>
      <c r="GE83" s="874"/>
      <c r="GF83" s="874"/>
      <c r="GG83" s="874"/>
      <c r="GH83" s="874"/>
      <c r="GI83" s="874"/>
      <c r="GJ83" s="874"/>
      <c r="GK83" s="874"/>
      <c r="GL83" s="874"/>
      <c r="GM83" s="874"/>
      <c r="GN83" s="874"/>
      <c r="GO83" s="874"/>
      <c r="GP83" s="874"/>
      <c r="GQ83" s="874"/>
      <c r="GR83" s="874"/>
      <c r="GS83" s="874"/>
      <c r="GT83" s="874"/>
      <c r="GU83" s="874"/>
      <c r="GV83" s="874"/>
      <c r="GW83" s="874"/>
      <c r="GX83" s="874"/>
      <c r="GY83" s="874"/>
      <c r="GZ83" s="874"/>
      <c r="HA83" s="874"/>
      <c r="HB83" s="874"/>
      <c r="HC83" s="874"/>
      <c r="HD83" s="874"/>
      <c r="HE83" s="874"/>
      <c r="HF83" s="874"/>
      <c r="HG83" s="874"/>
      <c r="HH83" s="874"/>
      <c r="HI83" s="874"/>
      <c r="HJ83" s="874"/>
      <c r="HK83" s="874"/>
      <c r="HL83" s="874"/>
      <c r="HM83" s="874"/>
      <c r="HN83" s="874"/>
      <c r="HO83" s="874"/>
      <c r="HP83" s="874"/>
      <c r="HQ83" s="874"/>
      <c r="HR83" s="874"/>
      <c r="HS83" s="874"/>
      <c r="HT83" s="874"/>
      <c r="HU83" s="874"/>
      <c r="HV83" s="874"/>
      <c r="HW83" s="874"/>
      <c r="HX83" s="874"/>
      <c r="HY83" s="874"/>
      <c r="HZ83" s="874"/>
      <c r="IA83" s="874"/>
      <c r="IB83" s="874"/>
      <c r="IC83" s="874"/>
      <c r="ID83" s="874"/>
      <c r="IE83" s="874"/>
      <c r="IF83" s="874"/>
      <c r="IG83" s="874"/>
      <c r="IH83" s="874"/>
      <c r="II83" s="874"/>
      <c r="IJ83" s="874"/>
      <c r="IK83" s="874"/>
      <c r="IL83" s="874"/>
      <c r="IM83" s="874"/>
      <c r="IN83" s="874"/>
      <c r="IO83" s="874"/>
      <c r="IP83" s="874"/>
      <c r="IQ83" s="874"/>
      <c r="IR83" s="874"/>
      <c r="IS83" s="874"/>
      <c r="IT83" s="874"/>
      <c r="IU83" s="874"/>
      <c r="IV83" s="874"/>
      <c r="IW83" s="874"/>
      <c r="IX83" s="874"/>
      <c r="IY83" s="874"/>
      <c r="IZ83" s="874"/>
      <c r="JA83" s="874"/>
      <c r="JB83" s="874"/>
      <c r="JC83" s="874"/>
      <c r="JD83" s="874"/>
      <c r="JE83" s="874"/>
      <c r="JF83" s="874"/>
      <c r="JG83" s="874"/>
      <c r="JH83" s="874"/>
      <c r="JI83" s="874"/>
      <c r="JJ83" s="874"/>
      <c r="JK83" s="874"/>
      <c r="JL83" s="874"/>
      <c r="JM83" s="874"/>
      <c r="JN83" s="874"/>
      <c r="JO83" s="874"/>
      <c r="JP83" s="874"/>
      <c r="JQ83" s="874"/>
      <c r="JR83" s="874"/>
      <c r="JS83" s="874"/>
      <c r="JT83" s="874"/>
      <c r="JU83" s="874"/>
      <c r="JV83" s="874"/>
      <c r="JW83" s="874"/>
      <c r="JX83" s="874"/>
      <c r="JY83" s="874"/>
      <c r="JZ83" s="874"/>
      <c r="KA83" s="874"/>
      <c r="KB83" s="874"/>
      <c r="KC83" s="874"/>
      <c r="KD83" s="874"/>
      <c r="KE83" s="874"/>
      <c r="KF83" s="874"/>
      <c r="KG83" s="874"/>
      <c r="KH83" s="865"/>
      <c r="KI83" s="865"/>
      <c r="KJ83" s="865"/>
      <c r="KK83" s="865"/>
      <c r="KL83" s="865"/>
      <c r="KM83" s="865"/>
      <c r="KN83" s="865"/>
      <c r="KO83" s="865"/>
      <c r="KP83" s="865"/>
      <c r="KQ83" s="865"/>
      <c r="KR83" s="865"/>
      <c r="KS83" s="865"/>
      <c r="KT83" s="865"/>
      <c r="KU83" s="865"/>
      <c r="KV83" s="865"/>
      <c r="KW83" s="865"/>
      <c r="KX83" s="865"/>
      <c r="KY83" s="865"/>
      <c r="KZ83" s="865"/>
      <c r="LA83" s="865"/>
      <c r="LB83" s="865"/>
      <c r="LC83" s="865"/>
      <c r="LD83" s="865"/>
      <c r="LE83" s="865"/>
      <c r="LF83" s="865"/>
    </row>
    <row r="84" spans="1:318">
      <c r="A84" s="507" t="s">
        <v>125</v>
      </c>
      <c r="B84" s="870"/>
      <c r="C84" s="870"/>
      <c r="D84" s="870"/>
      <c r="E84" s="870"/>
      <c r="F84" s="871"/>
      <c r="G84" s="865"/>
      <c r="H84" s="865"/>
      <c r="I84" s="865"/>
      <c r="J84" s="865"/>
      <c r="K84" s="865"/>
      <c r="L84" s="865"/>
      <c r="M84" s="865"/>
      <c r="N84" s="865"/>
      <c r="O84" s="865"/>
      <c r="P84" s="865"/>
      <c r="Q84" s="865"/>
      <c r="R84" s="865"/>
      <c r="S84" s="865"/>
      <c r="T84" s="865"/>
      <c r="U84" s="865"/>
      <c r="V84" s="865"/>
      <c r="W84" s="865"/>
      <c r="X84" s="865"/>
      <c r="Y84" s="865"/>
      <c r="Z84" s="865"/>
      <c r="AA84" s="865"/>
      <c r="AB84" s="865"/>
      <c r="AC84" s="865"/>
      <c r="AD84" s="510"/>
      <c r="AE84" s="865"/>
      <c r="AF84" s="865"/>
      <c r="AG84" s="865"/>
      <c r="AH84" s="865"/>
      <c r="AI84" s="865"/>
      <c r="AJ84" s="510"/>
      <c r="AK84" s="865"/>
      <c r="AL84" s="865"/>
      <c r="AM84" s="865"/>
      <c r="AN84" s="865"/>
      <c r="AO84" s="865"/>
      <c r="AP84" s="510"/>
      <c r="AQ84" s="865"/>
      <c r="AR84" s="865"/>
      <c r="AS84" s="865"/>
      <c r="AT84" s="865"/>
      <c r="AU84" s="865"/>
      <c r="AV84" s="510"/>
      <c r="AW84" s="865"/>
      <c r="AX84" s="865"/>
      <c r="AY84" s="865"/>
      <c r="AZ84" s="865"/>
      <c r="BA84" s="865"/>
      <c r="BB84" s="510"/>
      <c r="BC84" s="865"/>
      <c r="BD84" s="865"/>
      <c r="BE84" s="865"/>
      <c r="BF84" s="865"/>
      <c r="BG84" s="865"/>
      <c r="BH84" s="865"/>
      <c r="BI84" s="865"/>
      <c r="BJ84" s="661" t="s">
        <v>125</v>
      </c>
      <c r="BK84" s="2548"/>
      <c r="BL84" s="2549"/>
      <c r="BM84" s="2549"/>
      <c r="BN84" s="2549"/>
      <c r="BO84" s="2549"/>
      <c r="BP84" s="2549"/>
      <c r="BQ84" s="2549"/>
      <c r="BR84" s="2549"/>
      <c r="BS84" s="2549"/>
      <c r="BT84" s="2549"/>
      <c r="BU84" s="2549"/>
      <c r="BV84" s="2549"/>
      <c r="BW84" s="2550"/>
      <c r="BX84" s="865"/>
      <c r="BY84" s="874"/>
      <c r="BZ84" s="874"/>
      <c r="CA84" s="874"/>
      <c r="CB84" s="874"/>
      <c r="CC84" s="874"/>
      <c r="CD84" s="874"/>
      <c r="CE84" s="874"/>
      <c r="CF84" s="874"/>
      <c r="CG84" s="874"/>
      <c r="CH84" s="874"/>
      <c r="CI84" s="874"/>
      <c r="CJ84" s="874"/>
      <c r="CK84" s="874"/>
      <c r="CL84" s="874"/>
      <c r="CM84" s="874"/>
      <c r="CN84" s="874"/>
      <c r="CO84" s="874"/>
      <c r="CP84" s="874"/>
      <c r="CQ84" s="874"/>
      <c r="CR84" s="874"/>
      <c r="CS84" s="874"/>
      <c r="CT84" s="874"/>
      <c r="CU84" s="874"/>
      <c r="CV84" s="874"/>
      <c r="CW84" s="874"/>
      <c r="CX84" s="874"/>
      <c r="CY84" s="874"/>
      <c r="CZ84" s="874"/>
      <c r="DA84" s="874"/>
      <c r="DB84" s="874"/>
      <c r="DC84" s="874"/>
      <c r="DD84" s="874"/>
      <c r="DE84" s="874"/>
      <c r="DF84" s="874"/>
      <c r="DG84" s="874"/>
      <c r="DH84" s="874"/>
      <c r="DI84" s="874"/>
      <c r="DJ84" s="874"/>
      <c r="DK84" s="874"/>
      <c r="DL84" s="874"/>
      <c r="DM84" s="874"/>
      <c r="DN84" s="874"/>
      <c r="DO84" s="874"/>
      <c r="DP84" s="874"/>
      <c r="DQ84" s="874"/>
      <c r="DR84" s="874"/>
      <c r="DS84" s="874"/>
      <c r="DT84" s="874"/>
      <c r="DU84" s="874"/>
      <c r="DV84" s="874"/>
      <c r="DW84" s="874"/>
      <c r="DX84" s="874"/>
      <c r="DY84" s="874"/>
      <c r="DZ84" s="874"/>
      <c r="EA84" s="874"/>
      <c r="EB84" s="874"/>
      <c r="EC84" s="874"/>
      <c r="ED84" s="874"/>
      <c r="EE84" s="874"/>
      <c r="EF84" s="874"/>
      <c r="EG84" s="874"/>
      <c r="EH84" s="874"/>
      <c r="EI84" s="874"/>
      <c r="EJ84" s="874"/>
      <c r="EK84" s="874"/>
      <c r="EL84" s="874"/>
      <c r="EM84" s="874"/>
      <c r="EN84" s="874"/>
      <c r="EO84" s="874"/>
      <c r="EP84" s="874"/>
      <c r="EQ84" s="874"/>
      <c r="ER84" s="874"/>
      <c r="ES84" s="874"/>
      <c r="ET84" s="874"/>
      <c r="EU84" s="874"/>
      <c r="EV84" s="874"/>
      <c r="EW84" s="874"/>
      <c r="EX84" s="874"/>
      <c r="EY84" s="874"/>
      <c r="EZ84" s="874"/>
      <c r="FA84" s="874"/>
      <c r="FB84" s="874"/>
      <c r="FC84" s="874"/>
      <c r="FD84" s="874"/>
      <c r="FE84" s="874"/>
      <c r="FF84" s="874"/>
      <c r="FG84" s="874"/>
      <c r="FH84" s="874"/>
      <c r="FI84" s="874"/>
      <c r="FJ84" s="874"/>
      <c r="FK84" s="874"/>
      <c r="FL84" s="874"/>
      <c r="FM84" s="874"/>
      <c r="FN84" s="874"/>
      <c r="FO84" s="874"/>
      <c r="FP84" s="874"/>
      <c r="FQ84" s="874"/>
      <c r="FR84" s="874"/>
      <c r="FS84" s="874"/>
      <c r="FT84" s="874"/>
      <c r="FU84" s="874"/>
      <c r="FV84" s="874"/>
      <c r="FW84" s="874"/>
      <c r="FX84" s="874"/>
      <c r="FY84" s="874"/>
      <c r="FZ84" s="874"/>
      <c r="GA84" s="874"/>
      <c r="GB84" s="874"/>
      <c r="GC84" s="874"/>
      <c r="GD84" s="874"/>
      <c r="GE84" s="874"/>
      <c r="GF84" s="874"/>
      <c r="GG84" s="874"/>
      <c r="GH84" s="874"/>
      <c r="GI84" s="874"/>
      <c r="GJ84" s="874"/>
      <c r="GK84" s="874"/>
      <c r="GL84" s="874"/>
      <c r="GM84" s="874"/>
      <c r="GN84" s="874"/>
      <c r="GO84" s="874"/>
      <c r="GP84" s="874"/>
      <c r="GQ84" s="874"/>
      <c r="GR84" s="874"/>
      <c r="GS84" s="874"/>
      <c r="GT84" s="874"/>
      <c r="GU84" s="874"/>
      <c r="GV84" s="874"/>
      <c r="GW84" s="874"/>
      <c r="GX84" s="874"/>
      <c r="GY84" s="874"/>
      <c r="GZ84" s="874"/>
      <c r="HA84" s="874"/>
      <c r="HB84" s="874"/>
      <c r="HC84" s="874"/>
      <c r="HD84" s="874"/>
      <c r="HE84" s="874"/>
      <c r="HF84" s="874"/>
      <c r="HG84" s="874"/>
      <c r="HH84" s="874"/>
      <c r="HI84" s="874"/>
      <c r="HJ84" s="874"/>
      <c r="HK84" s="874"/>
      <c r="HL84" s="874"/>
      <c r="HM84" s="874"/>
      <c r="HN84" s="874"/>
      <c r="HO84" s="874"/>
      <c r="HP84" s="874"/>
      <c r="HQ84" s="874"/>
      <c r="HR84" s="874"/>
      <c r="HS84" s="874"/>
      <c r="HT84" s="874"/>
      <c r="HU84" s="874"/>
      <c r="HV84" s="874"/>
      <c r="HW84" s="874"/>
      <c r="HX84" s="874"/>
      <c r="HY84" s="874"/>
      <c r="HZ84" s="874"/>
      <c r="IA84" s="874"/>
      <c r="IB84" s="874"/>
      <c r="IC84" s="874"/>
      <c r="ID84" s="874"/>
      <c r="IE84" s="874"/>
      <c r="IF84" s="874"/>
      <c r="IG84" s="874"/>
      <c r="IH84" s="874"/>
      <c r="II84" s="874"/>
      <c r="IJ84" s="874"/>
      <c r="IK84" s="874"/>
      <c r="IL84" s="874"/>
      <c r="IM84" s="874"/>
      <c r="IN84" s="874"/>
      <c r="IO84" s="874"/>
      <c r="IP84" s="874"/>
      <c r="IQ84" s="874"/>
      <c r="IR84" s="874"/>
      <c r="IS84" s="874"/>
      <c r="IT84" s="874"/>
      <c r="IU84" s="874"/>
      <c r="IV84" s="874"/>
      <c r="IW84" s="874"/>
      <c r="IX84" s="874"/>
      <c r="IY84" s="874"/>
      <c r="IZ84" s="874"/>
      <c r="JA84" s="874"/>
      <c r="JB84" s="874"/>
      <c r="JC84" s="874"/>
      <c r="JD84" s="874"/>
      <c r="JE84" s="874"/>
      <c r="JF84" s="874"/>
      <c r="JG84" s="874"/>
      <c r="JH84" s="874"/>
      <c r="JI84" s="874"/>
      <c r="JJ84" s="874"/>
      <c r="JK84" s="874"/>
      <c r="JL84" s="874"/>
      <c r="JM84" s="874"/>
      <c r="JN84" s="874"/>
      <c r="JO84" s="874"/>
      <c r="JP84" s="874"/>
      <c r="JQ84" s="874"/>
      <c r="JR84" s="874"/>
      <c r="JS84" s="874"/>
      <c r="JT84" s="874"/>
      <c r="JU84" s="874"/>
      <c r="JV84" s="874"/>
      <c r="JW84" s="874"/>
      <c r="JX84" s="874"/>
      <c r="JY84" s="874"/>
      <c r="JZ84" s="874"/>
      <c r="KA84" s="874"/>
      <c r="KB84" s="874"/>
      <c r="KC84" s="874"/>
      <c r="KD84" s="874"/>
      <c r="KE84" s="874"/>
      <c r="KF84" s="874"/>
      <c r="KG84" s="874"/>
      <c r="KH84" s="865"/>
      <c r="KI84" s="865"/>
      <c r="KJ84" s="865"/>
      <c r="KK84" s="865"/>
      <c r="KL84" s="865"/>
      <c r="KM84" s="865"/>
      <c r="KN84" s="865"/>
      <c r="KO84" s="865"/>
      <c r="KP84" s="865"/>
      <c r="KQ84" s="865"/>
      <c r="KR84" s="865"/>
      <c r="KS84" s="865"/>
      <c r="KT84" s="865"/>
      <c r="KU84" s="865"/>
      <c r="KV84" s="865"/>
      <c r="KW84" s="865"/>
      <c r="KX84" s="865"/>
      <c r="KY84" s="865"/>
      <c r="KZ84" s="865"/>
      <c r="LA84" s="865"/>
      <c r="LB84" s="865"/>
      <c r="LC84" s="865"/>
      <c r="LD84" s="865"/>
      <c r="LE84" s="865"/>
      <c r="LF84" s="865"/>
    </row>
    <row r="85" spans="1:318" ht="16.2" thickBot="1">
      <c r="A85" s="508" t="s">
        <v>153</v>
      </c>
      <c r="B85" s="872"/>
      <c r="C85" s="872"/>
      <c r="D85" s="872"/>
      <c r="E85" s="872"/>
      <c r="F85" s="873"/>
      <c r="G85" s="865"/>
      <c r="H85" s="865"/>
      <c r="I85" s="865"/>
      <c r="J85" s="865"/>
      <c r="K85" s="865"/>
      <c r="L85" s="865"/>
      <c r="M85" s="865"/>
      <c r="N85" s="865"/>
      <c r="O85" s="865"/>
      <c r="P85" s="865"/>
      <c r="Q85" s="865"/>
      <c r="R85" s="865"/>
      <c r="S85" s="865"/>
      <c r="T85" s="865"/>
      <c r="U85" s="865"/>
      <c r="V85" s="865"/>
      <c r="W85" s="865"/>
      <c r="X85" s="865"/>
      <c r="Y85" s="865"/>
      <c r="Z85" s="865"/>
      <c r="AA85" s="865"/>
      <c r="AB85" s="865"/>
      <c r="AC85" s="865"/>
      <c r="AD85" s="510"/>
      <c r="AE85" s="865"/>
      <c r="AF85" s="865"/>
      <c r="AG85" s="865"/>
      <c r="AH85" s="865"/>
      <c r="AI85" s="865"/>
      <c r="AJ85" s="510"/>
      <c r="AK85" s="865"/>
      <c r="AL85" s="865"/>
      <c r="AM85" s="865"/>
      <c r="AN85" s="865"/>
      <c r="AO85" s="865"/>
      <c r="AP85" s="510"/>
      <c r="AQ85" s="865"/>
      <c r="AR85" s="865"/>
      <c r="AS85" s="865"/>
      <c r="AT85" s="865"/>
      <c r="AU85" s="865"/>
      <c r="AV85" s="510"/>
      <c r="AW85" s="865"/>
      <c r="AX85" s="865"/>
      <c r="AY85" s="865"/>
      <c r="AZ85" s="865"/>
      <c r="BA85" s="865"/>
      <c r="BB85" s="510"/>
      <c r="BC85" s="865"/>
      <c r="BD85" s="865"/>
      <c r="BE85" s="865"/>
      <c r="BF85" s="865"/>
      <c r="BG85" s="865"/>
      <c r="BH85" s="865"/>
      <c r="BI85" s="865"/>
      <c r="BJ85" s="662" t="s">
        <v>153</v>
      </c>
      <c r="BK85" s="2551"/>
      <c r="BL85" s="2552"/>
      <c r="BM85" s="2552"/>
      <c r="BN85" s="2552"/>
      <c r="BO85" s="2552"/>
      <c r="BP85" s="2552"/>
      <c r="BQ85" s="2552"/>
      <c r="BR85" s="2552"/>
      <c r="BS85" s="2552"/>
      <c r="BT85" s="2552"/>
      <c r="BU85" s="2552"/>
      <c r="BV85" s="2552"/>
      <c r="BW85" s="2553"/>
      <c r="BX85" s="865"/>
      <c r="BY85" s="874"/>
      <c r="BZ85" s="874"/>
      <c r="CA85" s="874"/>
      <c r="CB85" s="874"/>
      <c r="CC85" s="874"/>
      <c r="CD85" s="874"/>
      <c r="CE85" s="874"/>
      <c r="CF85" s="874"/>
      <c r="CG85" s="874"/>
      <c r="CH85" s="874"/>
      <c r="CI85" s="874"/>
      <c r="CJ85" s="874"/>
      <c r="CK85" s="874"/>
      <c r="CL85" s="874"/>
      <c r="CM85" s="874"/>
      <c r="CN85" s="874"/>
      <c r="CO85" s="874"/>
      <c r="CP85" s="874"/>
      <c r="CQ85" s="874"/>
      <c r="CR85" s="874"/>
      <c r="CS85" s="874"/>
      <c r="CT85" s="874"/>
      <c r="CU85" s="874"/>
      <c r="CV85" s="874"/>
      <c r="CW85" s="874"/>
      <c r="CX85" s="874"/>
      <c r="CY85" s="874"/>
      <c r="CZ85" s="874"/>
      <c r="DA85" s="874"/>
      <c r="DB85" s="874"/>
      <c r="DC85" s="874"/>
      <c r="DD85" s="874"/>
      <c r="DE85" s="874"/>
      <c r="DF85" s="874"/>
      <c r="DG85" s="874"/>
      <c r="DH85" s="874"/>
      <c r="DI85" s="874"/>
      <c r="DJ85" s="874"/>
      <c r="DK85" s="874"/>
      <c r="DL85" s="874"/>
      <c r="DM85" s="874"/>
      <c r="DN85" s="874"/>
      <c r="DO85" s="874"/>
      <c r="DP85" s="874"/>
      <c r="DQ85" s="874"/>
      <c r="DR85" s="874"/>
      <c r="DS85" s="874"/>
      <c r="DT85" s="874"/>
      <c r="DU85" s="874"/>
      <c r="DV85" s="874"/>
      <c r="DW85" s="874"/>
      <c r="DX85" s="874"/>
      <c r="DY85" s="874"/>
      <c r="DZ85" s="874"/>
      <c r="EA85" s="874"/>
      <c r="EB85" s="874"/>
      <c r="EC85" s="874"/>
      <c r="ED85" s="874"/>
      <c r="EE85" s="874"/>
      <c r="EF85" s="874"/>
      <c r="EG85" s="874"/>
      <c r="EH85" s="874"/>
      <c r="EI85" s="874"/>
      <c r="EJ85" s="874"/>
      <c r="EK85" s="874"/>
      <c r="EL85" s="874"/>
      <c r="EM85" s="874"/>
      <c r="EN85" s="874"/>
      <c r="EO85" s="874"/>
      <c r="EP85" s="874"/>
      <c r="EQ85" s="874"/>
      <c r="ER85" s="874"/>
      <c r="ES85" s="874"/>
      <c r="ET85" s="874"/>
      <c r="EU85" s="874"/>
      <c r="EV85" s="874"/>
      <c r="EW85" s="874"/>
      <c r="EX85" s="874"/>
      <c r="EY85" s="874"/>
      <c r="EZ85" s="874"/>
      <c r="FA85" s="874"/>
      <c r="FB85" s="874"/>
      <c r="FC85" s="874"/>
      <c r="FD85" s="874"/>
      <c r="FE85" s="874"/>
      <c r="FF85" s="874"/>
      <c r="FG85" s="874"/>
      <c r="FH85" s="874"/>
      <c r="FI85" s="874"/>
      <c r="FJ85" s="874"/>
      <c r="FK85" s="874"/>
      <c r="FL85" s="874"/>
      <c r="FM85" s="874"/>
      <c r="FN85" s="874"/>
      <c r="FO85" s="874"/>
      <c r="FP85" s="874"/>
      <c r="FQ85" s="874"/>
      <c r="FR85" s="874"/>
      <c r="FS85" s="874"/>
      <c r="FT85" s="874"/>
      <c r="FU85" s="874"/>
      <c r="FV85" s="874"/>
      <c r="FW85" s="874"/>
      <c r="FX85" s="874"/>
      <c r="FY85" s="874"/>
      <c r="FZ85" s="874"/>
      <c r="GA85" s="874"/>
      <c r="GB85" s="874"/>
      <c r="GC85" s="874"/>
      <c r="GD85" s="874"/>
      <c r="GE85" s="874"/>
      <c r="GF85" s="874"/>
      <c r="GG85" s="874"/>
      <c r="GH85" s="874"/>
      <c r="GI85" s="874"/>
      <c r="GJ85" s="874"/>
      <c r="GK85" s="874"/>
      <c r="GL85" s="874"/>
      <c r="GM85" s="874"/>
      <c r="GN85" s="874"/>
      <c r="GO85" s="874"/>
      <c r="GP85" s="874"/>
      <c r="GQ85" s="874"/>
      <c r="GR85" s="874"/>
      <c r="GS85" s="874"/>
      <c r="GT85" s="874"/>
      <c r="GU85" s="874"/>
      <c r="GV85" s="874"/>
      <c r="GW85" s="874"/>
      <c r="GX85" s="874"/>
      <c r="GY85" s="874"/>
      <c r="GZ85" s="874"/>
      <c r="HA85" s="874"/>
      <c r="HB85" s="874"/>
      <c r="HC85" s="874"/>
      <c r="HD85" s="874"/>
      <c r="HE85" s="874"/>
      <c r="HF85" s="874"/>
      <c r="HG85" s="874"/>
      <c r="HH85" s="874"/>
      <c r="HI85" s="874"/>
      <c r="HJ85" s="874"/>
      <c r="HK85" s="874"/>
      <c r="HL85" s="874"/>
      <c r="HM85" s="874"/>
      <c r="HN85" s="874"/>
      <c r="HO85" s="874"/>
      <c r="HP85" s="874"/>
      <c r="HQ85" s="874"/>
      <c r="HR85" s="874"/>
      <c r="HS85" s="874"/>
      <c r="HT85" s="874"/>
      <c r="HU85" s="874"/>
      <c r="HV85" s="874"/>
      <c r="HW85" s="874"/>
      <c r="HX85" s="874"/>
      <c r="HY85" s="874"/>
      <c r="HZ85" s="874"/>
      <c r="IA85" s="874"/>
      <c r="IB85" s="874"/>
      <c r="IC85" s="874"/>
      <c r="ID85" s="874"/>
      <c r="IE85" s="874"/>
      <c r="IF85" s="874"/>
      <c r="IG85" s="874"/>
      <c r="IH85" s="874"/>
      <c r="II85" s="874"/>
      <c r="IJ85" s="874"/>
      <c r="IK85" s="874"/>
      <c r="IL85" s="874"/>
      <c r="IM85" s="874"/>
      <c r="IN85" s="874"/>
      <c r="IO85" s="874"/>
      <c r="IP85" s="874"/>
      <c r="IQ85" s="874"/>
      <c r="IR85" s="874"/>
      <c r="IS85" s="874"/>
      <c r="IT85" s="874"/>
      <c r="IU85" s="874"/>
      <c r="IV85" s="874"/>
      <c r="IW85" s="874"/>
      <c r="IX85" s="874"/>
      <c r="IY85" s="874"/>
      <c r="IZ85" s="874"/>
      <c r="JA85" s="874"/>
      <c r="JB85" s="874"/>
      <c r="JC85" s="874"/>
      <c r="JD85" s="874"/>
      <c r="JE85" s="874"/>
      <c r="JF85" s="874"/>
      <c r="JG85" s="874"/>
      <c r="JH85" s="874"/>
      <c r="JI85" s="874"/>
      <c r="JJ85" s="874"/>
      <c r="JK85" s="874"/>
      <c r="JL85" s="874"/>
      <c r="JM85" s="874"/>
      <c r="JN85" s="874"/>
      <c r="JO85" s="874"/>
      <c r="JP85" s="874"/>
      <c r="JQ85" s="874"/>
      <c r="JR85" s="874"/>
      <c r="JS85" s="874"/>
      <c r="JT85" s="874"/>
      <c r="JU85" s="874"/>
      <c r="JV85" s="874"/>
      <c r="JW85" s="874"/>
      <c r="JX85" s="874"/>
      <c r="JY85" s="874"/>
      <c r="JZ85" s="874"/>
      <c r="KA85" s="874"/>
      <c r="KB85" s="874"/>
      <c r="KC85" s="874"/>
      <c r="KD85" s="874"/>
      <c r="KE85" s="874"/>
      <c r="KF85" s="874"/>
      <c r="KG85" s="874"/>
      <c r="KH85" s="865"/>
      <c r="KI85" s="865"/>
      <c r="KJ85" s="865"/>
      <c r="KK85" s="865"/>
      <c r="KL85" s="865"/>
      <c r="KM85" s="865"/>
      <c r="KN85" s="865"/>
      <c r="KO85" s="865"/>
      <c r="KP85" s="865"/>
      <c r="KQ85" s="865"/>
      <c r="KR85" s="865"/>
      <c r="KS85" s="865"/>
      <c r="KT85" s="865"/>
      <c r="KU85" s="865"/>
      <c r="KV85" s="865"/>
      <c r="KW85" s="865"/>
      <c r="KX85" s="865"/>
      <c r="KY85" s="865"/>
      <c r="KZ85" s="865"/>
      <c r="LA85" s="865"/>
      <c r="LB85" s="865"/>
      <c r="LC85" s="865"/>
      <c r="LD85" s="865"/>
      <c r="LE85" s="865"/>
      <c r="LF85" s="865"/>
    </row>
    <row r="86" spans="1:318" ht="26.55" hidden="1" customHeight="1">
      <c r="E86" s="459" t="s">
        <v>251</v>
      </c>
      <c r="G86" s="865"/>
      <c r="H86" s="865"/>
      <c r="I86" s="865"/>
      <c r="J86" s="865"/>
      <c r="K86" s="865"/>
      <c r="L86" s="865"/>
      <c r="M86" s="865"/>
      <c r="N86" s="865"/>
      <c r="O86" s="865"/>
      <c r="P86" s="865"/>
      <c r="Q86" s="865"/>
      <c r="R86" s="865"/>
      <c r="S86" s="865"/>
      <c r="T86" s="865"/>
      <c r="U86" s="865"/>
      <c r="V86" s="865"/>
      <c r="W86" s="865"/>
      <c r="X86" s="865"/>
      <c r="Y86" s="865"/>
      <c r="Z86" s="865"/>
      <c r="AA86" s="865"/>
      <c r="AB86" s="865"/>
      <c r="AC86" s="865"/>
      <c r="AD86" s="510"/>
      <c r="AE86" s="865"/>
      <c r="AF86" s="865"/>
      <c r="AG86" s="865"/>
      <c r="AH86" s="865"/>
      <c r="AI86" s="865"/>
      <c r="AJ86" s="510"/>
      <c r="AK86" s="865"/>
      <c r="AL86" s="865"/>
      <c r="AM86" s="865"/>
      <c r="AN86" s="865"/>
      <c r="AO86" s="865"/>
      <c r="AP86" s="510"/>
      <c r="AQ86" s="865"/>
      <c r="AR86" s="865"/>
      <c r="AS86" s="865"/>
      <c r="AT86" s="865"/>
      <c r="AU86" s="865"/>
      <c r="AV86" s="510"/>
      <c r="AW86" s="865"/>
      <c r="AX86" s="865"/>
      <c r="AY86" s="865"/>
      <c r="AZ86" s="865"/>
      <c r="BA86" s="865"/>
      <c r="BB86" s="510"/>
      <c r="BC86" s="865"/>
      <c r="BD86" s="865"/>
      <c r="BE86" s="865"/>
      <c r="BF86" s="865"/>
      <c r="BG86" s="865"/>
      <c r="BH86" s="865"/>
      <c r="BI86" s="865"/>
      <c r="BY86" s="874"/>
      <c r="BZ86" s="874"/>
      <c r="CA86" s="874"/>
      <c r="CB86" s="874"/>
      <c r="CC86" s="874"/>
      <c r="CD86" s="874"/>
      <c r="CE86" s="874"/>
      <c r="CF86" s="874"/>
      <c r="CG86" s="874"/>
      <c r="CH86" s="874"/>
      <c r="CI86" s="874"/>
      <c r="CJ86" s="874"/>
      <c r="CK86" s="874"/>
      <c r="CL86" s="874"/>
      <c r="CM86" s="874"/>
      <c r="CN86" s="874"/>
      <c r="CO86" s="874"/>
      <c r="CP86" s="874"/>
      <c r="CQ86" s="874"/>
      <c r="CR86" s="874"/>
      <c r="CS86" s="874"/>
      <c r="CT86" s="874"/>
      <c r="CU86" s="874"/>
      <c r="CV86" s="874"/>
      <c r="CW86" s="874"/>
      <c r="CX86" s="874"/>
      <c r="CY86" s="874"/>
      <c r="CZ86" s="874"/>
      <c r="DA86" s="874"/>
      <c r="DB86" s="874"/>
      <c r="DC86" s="874"/>
      <c r="DD86" s="874"/>
      <c r="DE86" s="874"/>
      <c r="DF86" s="874"/>
      <c r="DG86" s="874"/>
      <c r="DH86" s="874"/>
      <c r="DI86" s="874"/>
      <c r="DJ86" s="874"/>
      <c r="DK86" s="874"/>
      <c r="DL86" s="874"/>
      <c r="DM86" s="874"/>
      <c r="DN86" s="874"/>
      <c r="DO86" s="874"/>
      <c r="DP86" s="874"/>
      <c r="DQ86" s="874"/>
      <c r="DR86" s="874"/>
      <c r="DS86" s="874"/>
      <c r="DT86" s="874"/>
      <c r="DU86" s="874"/>
      <c r="DV86" s="874"/>
      <c r="DW86" s="874"/>
      <c r="DX86" s="874"/>
      <c r="DY86" s="874"/>
      <c r="DZ86" s="874"/>
      <c r="EA86" s="874"/>
      <c r="EB86" s="874"/>
      <c r="EC86" s="874"/>
      <c r="ED86" s="874"/>
      <c r="EE86" s="874"/>
      <c r="EF86" s="874"/>
      <c r="EG86" s="874"/>
      <c r="EH86" s="874"/>
      <c r="EI86" s="874"/>
      <c r="EJ86" s="874"/>
      <c r="EK86" s="874"/>
      <c r="EL86" s="874"/>
      <c r="EM86" s="874"/>
      <c r="EN86" s="874"/>
      <c r="EO86" s="874"/>
      <c r="EP86" s="874"/>
      <c r="EQ86" s="874"/>
      <c r="ER86" s="874"/>
      <c r="ES86" s="874"/>
      <c r="ET86" s="874"/>
      <c r="EU86" s="874"/>
      <c r="EV86" s="874"/>
      <c r="EW86" s="874"/>
      <c r="EX86" s="874"/>
      <c r="EY86" s="874"/>
      <c r="EZ86" s="874"/>
      <c r="FA86" s="874"/>
      <c r="FB86" s="874"/>
      <c r="FC86" s="874"/>
      <c r="FD86" s="874"/>
      <c r="FE86" s="874"/>
      <c r="FF86" s="874"/>
      <c r="FG86" s="874"/>
      <c r="FH86" s="874"/>
      <c r="FI86" s="874"/>
      <c r="FJ86" s="874"/>
      <c r="FK86" s="874"/>
      <c r="FL86" s="874"/>
      <c r="FM86" s="874"/>
      <c r="FN86" s="874"/>
      <c r="FO86" s="874"/>
      <c r="FP86" s="874"/>
      <c r="FQ86" s="874"/>
      <c r="FR86" s="874"/>
      <c r="FS86" s="874"/>
      <c r="FT86" s="874"/>
      <c r="FU86" s="874"/>
      <c r="FV86" s="874"/>
      <c r="FW86" s="874"/>
      <c r="FX86" s="874"/>
      <c r="FY86" s="874"/>
      <c r="FZ86" s="874"/>
      <c r="GA86" s="874"/>
      <c r="GB86" s="874"/>
      <c r="GC86" s="874"/>
      <c r="GD86" s="874"/>
      <c r="GE86" s="874"/>
      <c r="GF86" s="874"/>
      <c r="GG86" s="874"/>
      <c r="GH86" s="874"/>
      <c r="GI86" s="874"/>
      <c r="GJ86" s="874"/>
      <c r="GK86" s="874"/>
      <c r="GL86" s="874"/>
      <c r="GM86" s="874"/>
      <c r="GN86" s="874"/>
      <c r="GO86" s="874"/>
      <c r="GP86" s="874"/>
      <c r="GQ86" s="874"/>
      <c r="GR86" s="874"/>
      <c r="GS86" s="874"/>
      <c r="GT86" s="874"/>
      <c r="GU86" s="874"/>
      <c r="GV86" s="874"/>
      <c r="GW86" s="874"/>
      <c r="GX86" s="874"/>
      <c r="GY86" s="874"/>
      <c r="GZ86" s="874"/>
      <c r="HA86" s="874"/>
      <c r="HB86" s="874"/>
      <c r="HC86" s="874"/>
      <c r="HD86" s="874"/>
      <c r="HE86" s="874"/>
      <c r="HF86" s="874"/>
      <c r="HG86" s="874"/>
      <c r="HH86" s="874"/>
      <c r="HI86" s="874"/>
      <c r="HJ86" s="874"/>
      <c r="HK86" s="874"/>
      <c r="HL86" s="874"/>
      <c r="HM86" s="874"/>
      <c r="HN86" s="874"/>
      <c r="HO86" s="874"/>
      <c r="HP86" s="874"/>
      <c r="HQ86" s="874"/>
      <c r="HR86" s="874"/>
      <c r="HS86" s="874"/>
      <c r="HT86" s="874"/>
      <c r="HU86" s="874"/>
      <c r="HV86" s="874"/>
      <c r="HW86" s="874"/>
      <c r="HX86" s="874"/>
      <c r="HY86" s="874"/>
      <c r="HZ86" s="874"/>
      <c r="IA86" s="874"/>
      <c r="IB86" s="874"/>
      <c r="IC86" s="874"/>
      <c r="ID86" s="874"/>
      <c r="IE86" s="874"/>
      <c r="IF86" s="874"/>
      <c r="IG86" s="874"/>
      <c r="IH86" s="874"/>
      <c r="II86" s="874"/>
      <c r="IJ86" s="874"/>
      <c r="IK86" s="874"/>
      <c r="IL86" s="874"/>
      <c r="IM86" s="874"/>
      <c r="IN86" s="874"/>
      <c r="IO86" s="874"/>
      <c r="IP86" s="874"/>
      <c r="IQ86" s="874"/>
      <c r="IR86" s="874"/>
      <c r="IS86" s="874"/>
      <c r="IT86" s="874"/>
      <c r="IU86" s="874"/>
      <c r="IV86" s="874"/>
      <c r="IW86" s="874"/>
      <c r="IX86" s="874"/>
      <c r="IY86" s="874"/>
      <c r="IZ86" s="874"/>
      <c r="JA86" s="874"/>
      <c r="JB86" s="874"/>
      <c r="JC86" s="874"/>
      <c r="JD86" s="874"/>
      <c r="JE86" s="874"/>
      <c r="JF86" s="874"/>
      <c r="JG86" s="874"/>
      <c r="JH86" s="874"/>
      <c r="JI86" s="874"/>
      <c r="JJ86" s="874"/>
      <c r="JK86" s="874"/>
      <c r="JL86" s="874"/>
      <c r="JM86" s="874"/>
      <c r="JN86" s="874"/>
      <c r="JO86" s="874"/>
      <c r="JP86" s="874"/>
      <c r="JQ86" s="874"/>
      <c r="JR86" s="874"/>
      <c r="JS86" s="874"/>
      <c r="JT86" s="874"/>
      <c r="JU86" s="874"/>
      <c r="JV86" s="874"/>
      <c r="JW86" s="874"/>
      <c r="JX86" s="874"/>
      <c r="JY86" s="874"/>
      <c r="JZ86" s="874"/>
      <c r="KA86" s="874"/>
      <c r="KB86" s="874"/>
      <c r="KC86" s="874"/>
      <c r="KD86" s="874"/>
      <c r="KE86" s="874"/>
      <c r="KF86" s="874"/>
      <c r="KG86" s="874"/>
      <c r="KH86" s="865"/>
      <c r="KI86" s="865"/>
      <c r="KJ86" s="865"/>
      <c r="KK86" s="865"/>
      <c r="KL86" s="865"/>
      <c r="KM86" s="865"/>
      <c r="KN86" s="865"/>
      <c r="KO86" s="865"/>
      <c r="KP86" s="865"/>
      <c r="KQ86" s="865"/>
      <c r="KR86" s="865"/>
      <c r="KS86" s="865"/>
      <c r="KT86" s="865"/>
      <c r="KU86" s="865"/>
      <c r="KV86" s="865"/>
      <c r="KW86" s="865"/>
      <c r="KX86" s="865"/>
      <c r="KY86" s="865"/>
      <c r="KZ86" s="865"/>
      <c r="LA86" s="865"/>
      <c r="LB86" s="865"/>
      <c r="LC86" s="865"/>
      <c r="LD86" s="865"/>
      <c r="LE86" s="865"/>
      <c r="LF86" s="865"/>
    </row>
    <row r="87" spans="1:318" ht="26.55" hidden="1" customHeight="1">
      <c r="G87" s="865"/>
      <c r="H87" s="865"/>
      <c r="I87" s="865"/>
      <c r="J87" s="865"/>
      <c r="K87" s="865"/>
      <c r="L87" s="865"/>
      <c r="M87" s="865"/>
      <c r="N87" s="865"/>
      <c r="O87" s="865"/>
      <c r="P87" s="865"/>
      <c r="Q87" s="865"/>
      <c r="R87" s="865"/>
      <c r="S87" s="865"/>
      <c r="T87" s="865"/>
      <c r="U87" s="865"/>
      <c r="V87" s="865"/>
      <c r="W87" s="865"/>
      <c r="X87" s="865"/>
      <c r="Y87" s="865"/>
      <c r="Z87" s="865"/>
      <c r="AA87" s="865"/>
      <c r="AB87" s="865"/>
      <c r="AC87" s="865"/>
      <c r="AD87" s="510"/>
      <c r="AE87" s="865"/>
      <c r="AF87" s="865"/>
      <c r="AG87" s="865"/>
      <c r="AH87" s="865"/>
      <c r="AI87" s="865"/>
      <c r="AJ87" s="510"/>
      <c r="AK87" s="865"/>
      <c r="AL87" s="865"/>
      <c r="AM87" s="865"/>
      <c r="AN87" s="865"/>
      <c r="AO87" s="865"/>
      <c r="AP87" s="510"/>
      <c r="AQ87" s="865"/>
      <c r="AR87" s="865"/>
      <c r="AS87" s="865"/>
      <c r="AT87" s="865"/>
      <c r="AU87" s="865"/>
      <c r="AV87" s="510"/>
      <c r="AW87" s="865"/>
      <c r="AX87" s="865"/>
      <c r="AY87" s="865"/>
      <c r="AZ87" s="865"/>
      <c r="BA87" s="865"/>
      <c r="BB87" s="510"/>
      <c r="BC87" s="865"/>
      <c r="BD87" s="865"/>
      <c r="BE87" s="865"/>
      <c r="BF87" s="865"/>
      <c r="BG87" s="865"/>
      <c r="BH87" s="865"/>
      <c r="BI87" s="865"/>
      <c r="BY87" s="874"/>
      <c r="BZ87" s="874"/>
      <c r="CA87" s="874"/>
      <c r="CB87" s="874"/>
      <c r="CC87" s="874"/>
      <c r="CD87" s="874"/>
      <c r="CE87" s="874"/>
      <c r="CF87" s="874"/>
      <c r="CG87" s="874"/>
      <c r="CH87" s="874"/>
      <c r="CI87" s="874"/>
      <c r="CJ87" s="874"/>
      <c r="CK87" s="874"/>
      <c r="CL87" s="874"/>
      <c r="CM87" s="874"/>
      <c r="CN87" s="874"/>
      <c r="CO87" s="874"/>
      <c r="CP87" s="874"/>
      <c r="CQ87" s="874"/>
      <c r="CR87" s="874"/>
      <c r="CS87" s="874"/>
      <c r="CT87" s="874"/>
      <c r="CU87" s="874"/>
      <c r="CV87" s="874"/>
      <c r="CW87" s="874"/>
      <c r="CX87" s="874"/>
      <c r="CY87" s="874"/>
      <c r="CZ87" s="874"/>
      <c r="DA87" s="874"/>
      <c r="DB87" s="874"/>
      <c r="DC87" s="874"/>
      <c r="DD87" s="874"/>
      <c r="DE87" s="874"/>
      <c r="DF87" s="874"/>
      <c r="DG87" s="874"/>
      <c r="DH87" s="874"/>
      <c r="DI87" s="874"/>
      <c r="DJ87" s="874"/>
      <c r="DK87" s="874"/>
      <c r="DL87" s="874"/>
      <c r="DM87" s="874"/>
      <c r="DN87" s="874"/>
      <c r="DO87" s="874"/>
      <c r="DP87" s="874"/>
      <c r="DQ87" s="874"/>
      <c r="DR87" s="874"/>
      <c r="DS87" s="874"/>
      <c r="DT87" s="874"/>
      <c r="DU87" s="874"/>
      <c r="DV87" s="874"/>
      <c r="DW87" s="874"/>
      <c r="DX87" s="874"/>
      <c r="DY87" s="874"/>
      <c r="DZ87" s="874"/>
      <c r="EA87" s="874"/>
      <c r="EB87" s="874"/>
      <c r="EC87" s="874"/>
      <c r="ED87" s="874"/>
      <c r="EE87" s="874"/>
      <c r="EF87" s="874"/>
      <c r="EG87" s="874"/>
      <c r="EH87" s="874"/>
      <c r="EI87" s="874"/>
      <c r="EJ87" s="874"/>
      <c r="EK87" s="874"/>
      <c r="EL87" s="874"/>
      <c r="EM87" s="874"/>
      <c r="EN87" s="874"/>
      <c r="EO87" s="874"/>
      <c r="EP87" s="874"/>
      <c r="EQ87" s="874"/>
      <c r="ER87" s="874"/>
      <c r="ES87" s="874"/>
      <c r="ET87" s="874"/>
      <c r="EU87" s="874"/>
      <c r="EV87" s="874"/>
      <c r="EW87" s="874"/>
      <c r="EX87" s="874"/>
      <c r="EY87" s="874"/>
      <c r="EZ87" s="874"/>
      <c r="FA87" s="874"/>
      <c r="FB87" s="874"/>
      <c r="FC87" s="874"/>
      <c r="FD87" s="874"/>
      <c r="FE87" s="874"/>
      <c r="FF87" s="874"/>
      <c r="FG87" s="874"/>
      <c r="FH87" s="874"/>
      <c r="FI87" s="874"/>
      <c r="FJ87" s="874"/>
      <c r="FK87" s="874"/>
      <c r="FL87" s="874"/>
      <c r="FM87" s="874"/>
      <c r="FN87" s="874"/>
      <c r="FO87" s="874"/>
      <c r="FP87" s="874"/>
      <c r="FQ87" s="874"/>
      <c r="FR87" s="874"/>
      <c r="FS87" s="874"/>
      <c r="FT87" s="874"/>
      <c r="FU87" s="874"/>
      <c r="FV87" s="874"/>
      <c r="FW87" s="874"/>
      <c r="FX87" s="874"/>
      <c r="FY87" s="874"/>
      <c r="FZ87" s="874"/>
      <c r="GA87" s="874"/>
      <c r="GB87" s="874"/>
      <c r="GC87" s="874"/>
      <c r="GD87" s="874"/>
      <c r="GE87" s="874"/>
      <c r="GF87" s="874"/>
      <c r="GG87" s="874"/>
      <c r="GH87" s="874"/>
      <c r="GI87" s="874"/>
      <c r="GJ87" s="874"/>
      <c r="GK87" s="874"/>
      <c r="GL87" s="874"/>
      <c r="GM87" s="874"/>
      <c r="GN87" s="874"/>
      <c r="GO87" s="874"/>
      <c r="GP87" s="874"/>
      <c r="GQ87" s="874"/>
      <c r="GR87" s="874"/>
      <c r="GS87" s="874"/>
      <c r="GT87" s="874"/>
      <c r="GU87" s="874"/>
      <c r="GV87" s="874"/>
      <c r="GW87" s="874"/>
      <c r="GX87" s="874"/>
      <c r="GY87" s="874"/>
      <c r="GZ87" s="874"/>
      <c r="HA87" s="874"/>
      <c r="HB87" s="874"/>
      <c r="HC87" s="874"/>
      <c r="HD87" s="874"/>
      <c r="HE87" s="874"/>
      <c r="HF87" s="874"/>
      <c r="HG87" s="874"/>
      <c r="HH87" s="874"/>
      <c r="HI87" s="874"/>
      <c r="HJ87" s="874"/>
      <c r="HK87" s="874"/>
      <c r="HL87" s="874"/>
      <c r="HM87" s="874"/>
      <c r="HN87" s="874"/>
      <c r="HO87" s="874"/>
      <c r="HP87" s="874"/>
      <c r="HQ87" s="874"/>
      <c r="HR87" s="874"/>
      <c r="HS87" s="874"/>
      <c r="HT87" s="874"/>
      <c r="HU87" s="874"/>
      <c r="HV87" s="874"/>
      <c r="HW87" s="874"/>
      <c r="HX87" s="874"/>
      <c r="HY87" s="874"/>
      <c r="HZ87" s="874"/>
      <c r="IA87" s="874"/>
      <c r="IB87" s="874"/>
      <c r="IC87" s="874"/>
      <c r="ID87" s="874"/>
      <c r="IE87" s="874"/>
      <c r="IF87" s="874"/>
      <c r="IG87" s="874"/>
      <c r="IH87" s="874"/>
      <c r="II87" s="874"/>
      <c r="IJ87" s="874"/>
      <c r="IK87" s="874"/>
      <c r="IL87" s="874"/>
      <c r="IM87" s="874"/>
      <c r="IN87" s="874"/>
      <c r="IO87" s="874"/>
      <c r="IP87" s="874"/>
      <c r="IQ87" s="874"/>
      <c r="IR87" s="874"/>
      <c r="IS87" s="874"/>
      <c r="IT87" s="874"/>
      <c r="IU87" s="874"/>
      <c r="IV87" s="874"/>
      <c r="IW87" s="874"/>
      <c r="IX87" s="874"/>
      <c r="IY87" s="874"/>
      <c r="IZ87" s="874"/>
      <c r="JA87" s="874"/>
      <c r="JB87" s="874"/>
      <c r="JC87" s="874"/>
      <c r="JD87" s="874"/>
      <c r="JE87" s="874"/>
      <c r="JF87" s="874"/>
      <c r="JG87" s="874"/>
      <c r="JH87" s="874"/>
      <c r="JI87" s="874"/>
      <c r="JJ87" s="874"/>
      <c r="JK87" s="874"/>
      <c r="JL87" s="874"/>
      <c r="JM87" s="874"/>
      <c r="JN87" s="874"/>
      <c r="JO87" s="874"/>
      <c r="JP87" s="874"/>
      <c r="JQ87" s="874"/>
      <c r="JR87" s="874"/>
      <c r="JS87" s="874"/>
      <c r="JT87" s="874"/>
      <c r="JU87" s="874"/>
      <c r="JV87" s="874"/>
      <c r="JW87" s="874"/>
      <c r="JX87" s="874"/>
      <c r="JY87" s="874"/>
      <c r="JZ87" s="874"/>
      <c r="KA87" s="874"/>
      <c r="KB87" s="874"/>
      <c r="KC87" s="874"/>
      <c r="KD87" s="874"/>
      <c r="KE87" s="874"/>
      <c r="KF87" s="874"/>
      <c r="KG87" s="874"/>
      <c r="KH87" s="865"/>
      <c r="KI87" s="865"/>
      <c r="KJ87" s="865"/>
      <c r="KK87" s="865"/>
      <c r="KL87" s="865"/>
      <c r="KM87" s="865"/>
      <c r="KN87" s="865"/>
      <c r="KO87" s="865"/>
      <c r="KP87" s="865"/>
      <c r="KQ87" s="865"/>
      <c r="KR87" s="865"/>
      <c r="KS87" s="865"/>
      <c r="KT87" s="865"/>
      <c r="KU87" s="865"/>
      <c r="KV87" s="865"/>
      <c r="KW87" s="865"/>
      <c r="KX87" s="865"/>
      <c r="KY87" s="865"/>
      <c r="KZ87" s="865"/>
      <c r="LA87" s="865"/>
      <c r="LB87" s="865"/>
      <c r="LC87" s="865"/>
      <c r="LD87" s="865"/>
      <c r="LE87" s="865"/>
      <c r="LF87" s="865"/>
    </row>
    <row r="88" spans="1:318" ht="26.55" hidden="1" customHeight="1">
      <c r="G88" s="865"/>
      <c r="H88" s="865"/>
      <c r="I88" s="865"/>
      <c r="J88" s="865"/>
      <c r="K88" s="865"/>
      <c r="L88" s="865"/>
      <c r="M88" s="865"/>
      <c r="N88" s="865"/>
      <c r="O88" s="865"/>
      <c r="P88" s="865"/>
      <c r="Q88" s="865"/>
      <c r="R88" s="865"/>
      <c r="S88" s="865"/>
      <c r="T88" s="865"/>
      <c r="U88" s="865"/>
      <c r="V88" s="865"/>
      <c r="W88" s="865"/>
      <c r="X88" s="865"/>
      <c r="Y88" s="865"/>
      <c r="Z88" s="865"/>
      <c r="AA88" s="865"/>
      <c r="AB88" s="865"/>
      <c r="AC88" s="865"/>
      <c r="AD88" s="510"/>
      <c r="AE88" s="865"/>
      <c r="AF88" s="865"/>
      <c r="AG88" s="865"/>
      <c r="AH88" s="865"/>
      <c r="AI88" s="865"/>
      <c r="AJ88" s="510"/>
      <c r="AK88" s="865"/>
      <c r="AL88" s="865"/>
      <c r="AM88" s="865"/>
      <c r="AN88" s="865"/>
      <c r="AO88" s="865"/>
      <c r="AP88" s="510"/>
      <c r="AQ88" s="865"/>
      <c r="AR88" s="865"/>
      <c r="AS88" s="865"/>
      <c r="AT88" s="865"/>
      <c r="AU88" s="865"/>
      <c r="AV88" s="510"/>
      <c r="AW88" s="865"/>
      <c r="AX88" s="865"/>
      <c r="AY88" s="865"/>
      <c r="AZ88" s="865"/>
      <c r="BA88" s="865"/>
      <c r="BB88" s="510"/>
      <c r="BC88" s="865"/>
      <c r="BD88" s="865"/>
      <c r="BE88" s="865"/>
      <c r="BF88" s="865"/>
      <c r="BG88" s="865"/>
      <c r="BH88" s="865"/>
      <c r="BI88" s="865"/>
      <c r="BY88" s="874"/>
      <c r="BZ88" s="874"/>
      <c r="CA88" s="874"/>
      <c r="CB88" s="874"/>
      <c r="CC88" s="874"/>
      <c r="CD88" s="874"/>
      <c r="CE88" s="874"/>
      <c r="CF88" s="874"/>
      <c r="CG88" s="874"/>
      <c r="CH88" s="874"/>
      <c r="CI88" s="874"/>
      <c r="CJ88" s="874"/>
      <c r="CK88" s="874"/>
      <c r="CL88" s="874"/>
      <c r="CM88" s="874"/>
      <c r="CN88" s="874"/>
      <c r="CO88" s="874"/>
      <c r="CP88" s="874"/>
      <c r="CQ88" s="874"/>
      <c r="CR88" s="874"/>
      <c r="CS88" s="874"/>
      <c r="CT88" s="874"/>
      <c r="CU88" s="874"/>
      <c r="CV88" s="874"/>
      <c r="CW88" s="874"/>
      <c r="CX88" s="874"/>
      <c r="CY88" s="874"/>
      <c r="CZ88" s="874"/>
      <c r="DA88" s="874"/>
      <c r="DB88" s="874"/>
      <c r="DC88" s="874"/>
      <c r="DD88" s="874"/>
      <c r="DE88" s="874"/>
      <c r="DF88" s="874"/>
      <c r="DG88" s="874"/>
      <c r="DH88" s="874"/>
      <c r="DI88" s="874"/>
      <c r="DJ88" s="874"/>
      <c r="DK88" s="874"/>
      <c r="DL88" s="874"/>
      <c r="DM88" s="874"/>
      <c r="DN88" s="874"/>
      <c r="DO88" s="874"/>
      <c r="DP88" s="874"/>
      <c r="DQ88" s="874"/>
      <c r="DR88" s="874"/>
      <c r="DS88" s="874"/>
      <c r="DT88" s="874"/>
      <c r="DU88" s="874"/>
      <c r="DV88" s="874"/>
      <c r="DW88" s="874"/>
      <c r="DX88" s="874"/>
      <c r="DY88" s="874"/>
      <c r="DZ88" s="874"/>
      <c r="EA88" s="874"/>
      <c r="EB88" s="874"/>
      <c r="EC88" s="874"/>
      <c r="ED88" s="874"/>
      <c r="EE88" s="874"/>
      <c r="EF88" s="874"/>
      <c r="EG88" s="874"/>
      <c r="EH88" s="874"/>
      <c r="EI88" s="874"/>
      <c r="EJ88" s="874"/>
      <c r="EK88" s="874"/>
      <c r="EL88" s="874"/>
      <c r="EM88" s="874"/>
      <c r="EN88" s="874"/>
      <c r="EO88" s="874"/>
      <c r="EP88" s="874"/>
      <c r="EQ88" s="874"/>
      <c r="ER88" s="874"/>
      <c r="ES88" s="874"/>
      <c r="ET88" s="874"/>
      <c r="EU88" s="874"/>
      <c r="EV88" s="874"/>
      <c r="EW88" s="874"/>
      <c r="EX88" s="874"/>
      <c r="EY88" s="874"/>
      <c r="EZ88" s="874"/>
      <c r="FA88" s="874"/>
      <c r="FB88" s="874"/>
      <c r="FC88" s="874"/>
      <c r="FD88" s="874"/>
      <c r="FE88" s="874"/>
      <c r="FF88" s="874"/>
      <c r="FG88" s="874"/>
      <c r="FH88" s="874"/>
      <c r="FI88" s="874"/>
      <c r="FJ88" s="874"/>
      <c r="FK88" s="874"/>
      <c r="FL88" s="874"/>
      <c r="FM88" s="874"/>
      <c r="FN88" s="874"/>
      <c r="FO88" s="874"/>
      <c r="FP88" s="874"/>
      <c r="FQ88" s="874"/>
      <c r="FR88" s="874"/>
      <c r="FS88" s="874"/>
      <c r="FT88" s="874"/>
      <c r="FU88" s="874"/>
      <c r="FV88" s="874"/>
      <c r="FW88" s="874"/>
      <c r="FX88" s="874"/>
      <c r="FY88" s="874"/>
      <c r="FZ88" s="874"/>
      <c r="GA88" s="874"/>
      <c r="GB88" s="874"/>
      <c r="GC88" s="874"/>
      <c r="GD88" s="874"/>
      <c r="GE88" s="874"/>
      <c r="GF88" s="874"/>
      <c r="GG88" s="874"/>
      <c r="GH88" s="874"/>
      <c r="GI88" s="874"/>
      <c r="GJ88" s="874"/>
      <c r="GK88" s="874"/>
      <c r="GL88" s="874"/>
      <c r="GM88" s="874"/>
      <c r="GN88" s="874"/>
      <c r="GO88" s="874"/>
      <c r="GP88" s="874"/>
      <c r="GQ88" s="874"/>
      <c r="GR88" s="874"/>
      <c r="GS88" s="874"/>
      <c r="GT88" s="874"/>
      <c r="GU88" s="874"/>
      <c r="GV88" s="874"/>
      <c r="GW88" s="874"/>
      <c r="GX88" s="874"/>
      <c r="GY88" s="874"/>
      <c r="GZ88" s="874"/>
      <c r="HA88" s="874"/>
      <c r="HB88" s="874"/>
      <c r="HC88" s="874"/>
      <c r="HD88" s="874"/>
      <c r="HE88" s="874"/>
      <c r="HF88" s="874"/>
      <c r="HG88" s="874"/>
      <c r="HH88" s="874"/>
      <c r="HI88" s="874"/>
      <c r="HJ88" s="874"/>
      <c r="HK88" s="874"/>
      <c r="HL88" s="874"/>
      <c r="HM88" s="874"/>
      <c r="HN88" s="874"/>
      <c r="HO88" s="874"/>
      <c r="HP88" s="874"/>
      <c r="HQ88" s="874"/>
      <c r="HR88" s="874"/>
      <c r="HS88" s="874"/>
      <c r="HT88" s="874"/>
      <c r="HU88" s="874"/>
      <c r="HV88" s="874"/>
      <c r="HW88" s="874"/>
      <c r="HX88" s="874"/>
      <c r="HY88" s="874"/>
      <c r="HZ88" s="874"/>
      <c r="IA88" s="874"/>
      <c r="IB88" s="874"/>
      <c r="IC88" s="874"/>
      <c r="ID88" s="874"/>
      <c r="IE88" s="874"/>
      <c r="IF88" s="874"/>
      <c r="IG88" s="874"/>
      <c r="IH88" s="874"/>
      <c r="II88" s="874"/>
      <c r="IJ88" s="874"/>
      <c r="IK88" s="874"/>
      <c r="IL88" s="874"/>
      <c r="IM88" s="874"/>
      <c r="IN88" s="874"/>
      <c r="IO88" s="874"/>
      <c r="IP88" s="874"/>
      <c r="IQ88" s="874"/>
      <c r="IR88" s="874"/>
      <c r="IS88" s="874"/>
      <c r="IT88" s="874"/>
      <c r="IU88" s="874"/>
      <c r="IV88" s="874"/>
      <c r="IW88" s="874"/>
      <c r="IX88" s="874"/>
      <c r="IY88" s="874"/>
      <c r="IZ88" s="874"/>
      <c r="JA88" s="874"/>
      <c r="JB88" s="874"/>
      <c r="JC88" s="874"/>
      <c r="JD88" s="874"/>
      <c r="JE88" s="874"/>
      <c r="JF88" s="874"/>
      <c r="JG88" s="874"/>
      <c r="JH88" s="874"/>
      <c r="JI88" s="874"/>
      <c r="JJ88" s="874"/>
      <c r="JK88" s="874"/>
      <c r="JL88" s="874"/>
      <c r="JM88" s="874"/>
      <c r="JN88" s="874"/>
      <c r="JO88" s="874"/>
      <c r="JP88" s="874"/>
      <c r="JQ88" s="874"/>
      <c r="JR88" s="874"/>
      <c r="JS88" s="874"/>
      <c r="JT88" s="874"/>
      <c r="JU88" s="874"/>
      <c r="JV88" s="874"/>
      <c r="JW88" s="874"/>
      <c r="JX88" s="874"/>
      <c r="JY88" s="874"/>
      <c r="JZ88" s="874"/>
      <c r="KA88" s="874"/>
      <c r="KB88" s="874"/>
      <c r="KC88" s="874"/>
      <c r="KD88" s="874"/>
      <c r="KE88" s="874"/>
      <c r="KF88" s="874"/>
      <c r="KG88" s="874"/>
      <c r="KH88" s="865"/>
      <c r="KI88" s="865"/>
      <c r="KJ88" s="865"/>
      <c r="KK88" s="865"/>
      <c r="KL88" s="865"/>
      <c r="KM88" s="865"/>
      <c r="KN88" s="865"/>
      <c r="KO88" s="865"/>
      <c r="KP88" s="865"/>
      <c r="KQ88" s="865"/>
      <c r="KR88" s="865"/>
      <c r="KS88" s="865"/>
      <c r="KT88" s="865"/>
      <c r="KU88" s="865"/>
      <c r="KV88" s="865"/>
      <c r="KW88" s="865"/>
      <c r="KX88" s="865"/>
      <c r="KY88" s="865"/>
      <c r="KZ88" s="865"/>
      <c r="LA88" s="865"/>
      <c r="LB88" s="865"/>
      <c r="LC88" s="865"/>
      <c r="LD88" s="865"/>
      <c r="LE88" s="865"/>
      <c r="LF88" s="865"/>
    </row>
    <row r="89" spans="1:318" ht="26.55" hidden="1" customHeight="1">
      <c r="G89" s="865"/>
      <c r="H89" s="865"/>
      <c r="I89" s="865"/>
      <c r="J89" s="865"/>
      <c r="K89" s="865"/>
      <c r="L89" s="865"/>
      <c r="M89" s="865"/>
      <c r="N89" s="865"/>
      <c r="O89" s="865"/>
      <c r="P89" s="865"/>
      <c r="Q89" s="865"/>
      <c r="R89" s="865"/>
      <c r="S89" s="865"/>
      <c r="T89" s="865"/>
      <c r="U89" s="865"/>
      <c r="V89" s="865"/>
      <c r="W89" s="865"/>
      <c r="X89" s="865"/>
      <c r="Y89" s="865"/>
      <c r="Z89" s="865"/>
      <c r="AA89" s="865"/>
      <c r="AB89" s="865"/>
      <c r="AC89" s="865"/>
      <c r="AD89" s="510"/>
      <c r="AE89" s="865"/>
      <c r="AF89" s="865"/>
      <c r="AG89" s="865"/>
      <c r="AH89" s="865"/>
      <c r="AI89" s="865"/>
      <c r="AJ89" s="510"/>
      <c r="AK89" s="865"/>
      <c r="AL89" s="865"/>
      <c r="AM89" s="865"/>
      <c r="AN89" s="865"/>
      <c r="AO89" s="865"/>
      <c r="AP89" s="510"/>
      <c r="AQ89" s="865"/>
      <c r="AR89" s="865"/>
      <c r="AS89" s="865"/>
      <c r="AT89" s="865"/>
      <c r="AU89" s="865"/>
      <c r="AV89" s="510"/>
      <c r="AW89" s="865"/>
      <c r="AX89" s="865"/>
      <c r="AY89" s="865"/>
      <c r="AZ89" s="865"/>
      <c r="BA89" s="865"/>
      <c r="BB89" s="510"/>
      <c r="BC89" s="865"/>
      <c r="BD89" s="865"/>
      <c r="BE89" s="865"/>
      <c r="BF89" s="865"/>
      <c r="BG89" s="865"/>
      <c r="BH89" s="865"/>
      <c r="BI89" s="865"/>
      <c r="BY89" s="874"/>
      <c r="BZ89" s="874"/>
      <c r="CA89" s="874"/>
      <c r="CB89" s="874"/>
      <c r="CC89" s="874"/>
      <c r="CD89" s="874"/>
      <c r="CE89" s="874"/>
      <c r="CF89" s="874"/>
      <c r="CG89" s="874"/>
      <c r="CH89" s="874"/>
      <c r="CI89" s="874"/>
      <c r="CJ89" s="874"/>
      <c r="CK89" s="874"/>
      <c r="CL89" s="874"/>
      <c r="CM89" s="874"/>
      <c r="CN89" s="874"/>
      <c r="CO89" s="874"/>
      <c r="CP89" s="874"/>
      <c r="CQ89" s="874"/>
      <c r="CR89" s="874"/>
      <c r="CS89" s="874"/>
      <c r="CT89" s="874"/>
      <c r="CU89" s="874"/>
      <c r="CV89" s="874"/>
      <c r="CW89" s="874"/>
      <c r="CX89" s="874"/>
      <c r="CY89" s="874"/>
      <c r="CZ89" s="874"/>
      <c r="DA89" s="874"/>
      <c r="DB89" s="874"/>
      <c r="DC89" s="874"/>
      <c r="DD89" s="874"/>
      <c r="DE89" s="874"/>
      <c r="DF89" s="874"/>
      <c r="DG89" s="874"/>
      <c r="DH89" s="874"/>
      <c r="DI89" s="874"/>
      <c r="DJ89" s="874"/>
      <c r="DK89" s="874"/>
      <c r="DL89" s="874"/>
      <c r="DM89" s="874"/>
      <c r="DN89" s="874"/>
      <c r="DO89" s="874"/>
      <c r="DP89" s="874"/>
      <c r="DQ89" s="874"/>
      <c r="DR89" s="874"/>
      <c r="DS89" s="874"/>
      <c r="DT89" s="874"/>
      <c r="DU89" s="874"/>
      <c r="DV89" s="874"/>
      <c r="DW89" s="874"/>
      <c r="DX89" s="874"/>
      <c r="DY89" s="874"/>
      <c r="DZ89" s="874"/>
      <c r="EA89" s="874"/>
      <c r="EB89" s="874"/>
      <c r="EC89" s="874"/>
      <c r="ED89" s="874"/>
      <c r="EE89" s="874"/>
      <c r="EF89" s="874"/>
      <c r="EG89" s="874"/>
      <c r="EH89" s="874"/>
      <c r="EI89" s="874"/>
      <c r="EJ89" s="874"/>
      <c r="EK89" s="874"/>
      <c r="EL89" s="874"/>
      <c r="EM89" s="874"/>
      <c r="EN89" s="874"/>
      <c r="EO89" s="874"/>
      <c r="EP89" s="874"/>
      <c r="EQ89" s="874"/>
      <c r="ER89" s="874"/>
      <c r="ES89" s="874"/>
      <c r="ET89" s="874"/>
      <c r="EU89" s="874"/>
      <c r="EV89" s="874"/>
      <c r="EW89" s="874"/>
      <c r="EX89" s="874"/>
      <c r="EY89" s="874"/>
      <c r="EZ89" s="874"/>
      <c r="FA89" s="874"/>
      <c r="FB89" s="874"/>
      <c r="FC89" s="874"/>
      <c r="FD89" s="874"/>
      <c r="FE89" s="874"/>
      <c r="FF89" s="874"/>
      <c r="FG89" s="874"/>
      <c r="FH89" s="874"/>
      <c r="FI89" s="874"/>
      <c r="FJ89" s="874"/>
      <c r="FK89" s="874"/>
      <c r="FL89" s="874"/>
      <c r="FM89" s="874"/>
      <c r="FN89" s="874"/>
      <c r="FO89" s="874"/>
      <c r="FP89" s="874"/>
      <c r="FQ89" s="874"/>
      <c r="FR89" s="874"/>
      <c r="FS89" s="874"/>
      <c r="FT89" s="874"/>
      <c r="FU89" s="874"/>
      <c r="FV89" s="874"/>
      <c r="FW89" s="874"/>
      <c r="FX89" s="874"/>
      <c r="FY89" s="874"/>
      <c r="FZ89" s="874"/>
      <c r="GA89" s="874"/>
      <c r="GB89" s="874"/>
      <c r="GC89" s="874"/>
      <c r="GD89" s="874"/>
      <c r="GE89" s="874"/>
      <c r="GF89" s="874"/>
      <c r="GG89" s="874"/>
      <c r="GH89" s="874"/>
      <c r="GI89" s="874"/>
      <c r="GJ89" s="874"/>
      <c r="GK89" s="874"/>
      <c r="GL89" s="874"/>
      <c r="GM89" s="874"/>
      <c r="GN89" s="874"/>
      <c r="GO89" s="874"/>
      <c r="GP89" s="874"/>
      <c r="GQ89" s="874"/>
      <c r="GR89" s="874"/>
      <c r="GS89" s="874"/>
      <c r="GT89" s="874"/>
      <c r="GU89" s="874"/>
      <c r="GV89" s="874"/>
      <c r="GW89" s="874"/>
      <c r="GX89" s="874"/>
      <c r="GY89" s="874"/>
      <c r="GZ89" s="874"/>
      <c r="HA89" s="874"/>
      <c r="HB89" s="874"/>
      <c r="HC89" s="874"/>
      <c r="HD89" s="874"/>
      <c r="HE89" s="874"/>
      <c r="HF89" s="874"/>
      <c r="HG89" s="874"/>
      <c r="HH89" s="874"/>
      <c r="HI89" s="874"/>
      <c r="HJ89" s="874"/>
      <c r="HK89" s="874"/>
      <c r="HL89" s="874"/>
      <c r="HM89" s="874"/>
      <c r="HN89" s="874"/>
      <c r="HO89" s="874"/>
      <c r="HP89" s="874"/>
      <c r="HQ89" s="874"/>
      <c r="HR89" s="874"/>
      <c r="HS89" s="874"/>
      <c r="HT89" s="874"/>
      <c r="HU89" s="874"/>
      <c r="HV89" s="874"/>
      <c r="HW89" s="874"/>
      <c r="HX89" s="874"/>
      <c r="HY89" s="874"/>
      <c r="HZ89" s="874"/>
      <c r="IA89" s="874"/>
      <c r="IB89" s="874"/>
      <c r="IC89" s="874"/>
      <c r="ID89" s="874"/>
      <c r="IE89" s="874"/>
      <c r="IF89" s="874"/>
      <c r="IG89" s="874"/>
      <c r="IH89" s="874"/>
      <c r="II89" s="874"/>
      <c r="IJ89" s="874"/>
      <c r="IK89" s="874"/>
      <c r="IL89" s="874"/>
      <c r="IM89" s="874"/>
      <c r="IN89" s="874"/>
      <c r="IO89" s="874"/>
      <c r="IP89" s="874"/>
      <c r="IQ89" s="874"/>
      <c r="IR89" s="874"/>
      <c r="IS89" s="874"/>
      <c r="IT89" s="874"/>
      <c r="IU89" s="874"/>
      <c r="IV89" s="874"/>
      <c r="IW89" s="874"/>
      <c r="IX89" s="874"/>
      <c r="IY89" s="874"/>
      <c r="IZ89" s="874"/>
      <c r="JA89" s="874"/>
      <c r="JB89" s="874"/>
      <c r="JC89" s="874"/>
      <c r="JD89" s="874"/>
      <c r="JE89" s="874"/>
      <c r="JF89" s="874"/>
      <c r="JG89" s="874"/>
      <c r="JH89" s="874"/>
      <c r="JI89" s="874"/>
      <c r="JJ89" s="874"/>
      <c r="JK89" s="874"/>
      <c r="JL89" s="874"/>
      <c r="JM89" s="874"/>
      <c r="JN89" s="874"/>
      <c r="JO89" s="874"/>
      <c r="JP89" s="874"/>
      <c r="JQ89" s="874"/>
      <c r="JR89" s="874"/>
      <c r="JS89" s="874"/>
      <c r="JT89" s="874"/>
      <c r="JU89" s="874"/>
      <c r="JV89" s="874"/>
      <c r="JW89" s="874"/>
      <c r="JX89" s="874"/>
      <c r="JY89" s="874"/>
      <c r="JZ89" s="874"/>
      <c r="KA89" s="874"/>
      <c r="KB89" s="874"/>
      <c r="KC89" s="874"/>
      <c r="KD89" s="874"/>
      <c r="KE89" s="874"/>
      <c r="KF89" s="874"/>
      <c r="KG89" s="874"/>
      <c r="KH89" s="865"/>
      <c r="KI89" s="865"/>
      <c r="KJ89" s="865"/>
      <c r="KK89" s="865"/>
      <c r="KL89" s="865"/>
      <c r="KM89" s="865"/>
      <c r="KN89" s="865"/>
      <c r="KO89" s="865"/>
      <c r="KP89" s="865"/>
      <c r="KQ89" s="865"/>
      <c r="KR89" s="865"/>
      <c r="KS89" s="865"/>
      <c r="KT89" s="865"/>
      <c r="KU89" s="865"/>
      <c r="KV89" s="865"/>
      <c r="KW89" s="865"/>
      <c r="KX89" s="865"/>
      <c r="KY89" s="865"/>
      <c r="KZ89" s="865"/>
      <c r="LA89" s="865"/>
      <c r="LB89" s="865"/>
      <c r="LC89" s="865"/>
      <c r="LD89" s="865"/>
      <c r="LE89" s="865"/>
      <c r="LF89" s="865"/>
    </row>
    <row r="90" spans="1:318" ht="26.55" customHeight="1">
      <c r="A90" s="865"/>
      <c r="B90" s="865"/>
      <c r="C90" s="865"/>
      <c r="D90" s="865"/>
      <c r="E90" s="865"/>
      <c r="F90" s="865"/>
      <c r="G90" s="865"/>
      <c r="H90" s="865"/>
      <c r="I90" s="865"/>
      <c r="J90" s="865"/>
      <c r="K90" s="865"/>
      <c r="L90" s="865"/>
      <c r="M90" s="865"/>
      <c r="N90" s="865"/>
      <c r="O90" s="865"/>
      <c r="P90" s="865"/>
      <c r="Q90" s="865"/>
      <c r="R90" s="865"/>
      <c r="S90" s="865"/>
      <c r="T90" s="865"/>
      <c r="U90" s="865"/>
      <c r="V90" s="865"/>
      <c r="W90" s="865"/>
      <c r="X90" s="865"/>
      <c r="Y90" s="865"/>
      <c r="Z90" s="865"/>
      <c r="AA90" s="865"/>
      <c r="AB90" s="865"/>
      <c r="AC90" s="865"/>
      <c r="AD90" s="510"/>
      <c r="AE90" s="865"/>
      <c r="AF90" s="865"/>
      <c r="AG90" s="865"/>
      <c r="AH90" s="865"/>
      <c r="AI90" s="865"/>
      <c r="AJ90" s="510"/>
      <c r="AK90" s="865"/>
      <c r="AL90" s="865"/>
      <c r="AM90" s="865"/>
      <c r="AN90" s="865"/>
      <c r="AO90" s="865"/>
      <c r="AP90" s="510"/>
      <c r="AQ90" s="865"/>
      <c r="AR90" s="865"/>
      <c r="AS90" s="865"/>
      <c r="AT90" s="865"/>
      <c r="AU90" s="865"/>
      <c r="AV90" s="510"/>
      <c r="AW90" s="865"/>
      <c r="AX90" s="865"/>
      <c r="AY90" s="865"/>
      <c r="AZ90" s="865"/>
      <c r="BA90" s="865"/>
      <c r="BB90" s="510"/>
      <c r="BC90" s="865"/>
      <c r="BD90" s="865"/>
      <c r="BE90" s="865"/>
      <c r="BF90" s="865"/>
      <c r="BG90" s="865"/>
      <c r="BH90" s="865"/>
      <c r="BI90" s="865"/>
      <c r="BJ90" s="865"/>
      <c r="BK90" s="865"/>
      <c r="BL90" s="865"/>
      <c r="BM90" s="865"/>
      <c r="BN90" s="865"/>
      <c r="BO90" s="865"/>
      <c r="BP90" s="865"/>
      <c r="BQ90" s="865"/>
      <c r="BR90" s="865"/>
      <c r="BS90" s="865"/>
      <c r="BT90" s="865"/>
      <c r="BU90" s="865"/>
      <c r="BV90" s="865"/>
      <c r="BW90" s="865"/>
      <c r="BX90" s="865"/>
      <c r="BY90" s="874"/>
      <c r="BZ90" s="874"/>
      <c r="CA90" s="874"/>
      <c r="CB90" s="874"/>
      <c r="CC90" s="874"/>
      <c r="CD90" s="874"/>
      <c r="CE90" s="874"/>
      <c r="CF90" s="874"/>
      <c r="CG90" s="874"/>
      <c r="CH90" s="874"/>
      <c r="CI90" s="874"/>
      <c r="CJ90" s="874"/>
      <c r="CK90" s="874"/>
      <c r="CL90" s="874"/>
      <c r="CM90" s="874"/>
      <c r="CN90" s="874"/>
      <c r="CO90" s="874"/>
      <c r="CP90" s="874"/>
      <c r="CQ90" s="874"/>
      <c r="CR90" s="874"/>
      <c r="CS90" s="874"/>
      <c r="CT90" s="874"/>
      <c r="CU90" s="874"/>
      <c r="CV90" s="874"/>
      <c r="CW90" s="874"/>
      <c r="CX90" s="874"/>
      <c r="CY90" s="874"/>
      <c r="CZ90" s="874"/>
      <c r="DA90" s="874"/>
      <c r="DB90" s="874"/>
      <c r="DC90" s="874"/>
      <c r="DD90" s="874"/>
      <c r="DE90" s="874"/>
      <c r="DF90" s="874"/>
      <c r="DG90" s="874"/>
      <c r="DH90" s="874"/>
      <c r="DI90" s="874"/>
      <c r="DJ90" s="874"/>
      <c r="DK90" s="874"/>
      <c r="DL90" s="874"/>
      <c r="DM90" s="874"/>
      <c r="DN90" s="874"/>
      <c r="DO90" s="874"/>
      <c r="DP90" s="874"/>
      <c r="DQ90" s="874"/>
      <c r="DR90" s="874"/>
      <c r="DS90" s="874"/>
      <c r="DT90" s="874"/>
      <c r="DU90" s="874"/>
      <c r="DV90" s="874"/>
      <c r="DW90" s="874"/>
      <c r="DX90" s="874"/>
      <c r="DY90" s="874"/>
      <c r="DZ90" s="874"/>
      <c r="EA90" s="874"/>
      <c r="EB90" s="874"/>
      <c r="EC90" s="874"/>
      <c r="ED90" s="874"/>
      <c r="EE90" s="874"/>
      <c r="EF90" s="874"/>
      <c r="EG90" s="874"/>
      <c r="EH90" s="874"/>
      <c r="EI90" s="874"/>
      <c r="EJ90" s="874"/>
      <c r="EK90" s="874"/>
      <c r="EL90" s="874"/>
      <c r="EM90" s="874"/>
      <c r="EN90" s="874"/>
      <c r="EO90" s="874"/>
      <c r="EP90" s="874"/>
      <c r="EQ90" s="874"/>
      <c r="ER90" s="874"/>
      <c r="ES90" s="874"/>
      <c r="ET90" s="874"/>
      <c r="EU90" s="874"/>
      <c r="EV90" s="874"/>
      <c r="EW90" s="874"/>
      <c r="EX90" s="874"/>
      <c r="EY90" s="874"/>
      <c r="EZ90" s="874"/>
      <c r="FA90" s="874"/>
      <c r="FB90" s="874"/>
      <c r="FC90" s="874"/>
      <c r="FD90" s="874"/>
      <c r="FE90" s="874"/>
      <c r="FF90" s="874"/>
      <c r="FG90" s="874"/>
      <c r="FH90" s="874"/>
      <c r="FI90" s="874"/>
      <c r="FJ90" s="874"/>
      <c r="FK90" s="874"/>
      <c r="FL90" s="874"/>
      <c r="FM90" s="874"/>
      <c r="FN90" s="874"/>
      <c r="FO90" s="874"/>
      <c r="FP90" s="874"/>
      <c r="FQ90" s="874"/>
      <c r="FR90" s="874"/>
      <c r="FS90" s="874"/>
      <c r="FT90" s="874"/>
      <c r="FU90" s="874"/>
      <c r="FV90" s="874"/>
      <c r="FW90" s="874"/>
      <c r="FX90" s="874"/>
      <c r="FY90" s="874"/>
      <c r="FZ90" s="874"/>
      <c r="GA90" s="874"/>
      <c r="GB90" s="874"/>
      <c r="GC90" s="874"/>
      <c r="GD90" s="874"/>
      <c r="GE90" s="874"/>
      <c r="GF90" s="874"/>
      <c r="GG90" s="874"/>
      <c r="GH90" s="874"/>
      <c r="GI90" s="874"/>
      <c r="GJ90" s="874"/>
      <c r="GK90" s="874"/>
      <c r="GL90" s="874"/>
      <c r="GM90" s="874"/>
      <c r="GN90" s="874"/>
      <c r="GO90" s="874"/>
      <c r="GP90" s="874"/>
      <c r="GQ90" s="874"/>
      <c r="GR90" s="874"/>
      <c r="GS90" s="874"/>
      <c r="GT90" s="874"/>
      <c r="GU90" s="874"/>
      <c r="GV90" s="874"/>
      <c r="GW90" s="874"/>
      <c r="GX90" s="874"/>
      <c r="GY90" s="874"/>
      <c r="GZ90" s="874"/>
      <c r="HA90" s="874"/>
      <c r="HB90" s="874"/>
      <c r="HC90" s="874"/>
      <c r="HD90" s="874"/>
      <c r="HE90" s="874"/>
      <c r="HF90" s="874"/>
      <c r="HG90" s="874"/>
      <c r="HH90" s="874"/>
      <c r="HI90" s="874"/>
      <c r="HJ90" s="874"/>
      <c r="HK90" s="874"/>
      <c r="HL90" s="874"/>
      <c r="HM90" s="874"/>
      <c r="HN90" s="874"/>
      <c r="HO90" s="874"/>
      <c r="HP90" s="874"/>
      <c r="HQ90" s="874"/>
      <c r="HR90" s="874"/>
      <c r="HS90" s="874"/>
      <c r="HT90" s="874"/>
      <c r="HU90" s="874"/>
      <c r="HV90" s="874"/>
      <c r="HW90" s="874"/>
      <c r="HX90" s="874"/>
      <c r="HY90" s="874"/>
      <c r="HZ90" s="874"/>
      <c r="IA90" s="874"/>
      <c r="IB90" s="874"/>
      <c r="IC90" s="874"/>
      <c r="ID90" s="874"/>
      <c r="IE90" s="874"/>
      <c r="IF90" s="874"/>
      <c r="IG90" s="874"/>
      <c r="IH90" s="874"/>
      <c r="II90" s="874"/>
      <c r="IJ90" s="874"/>
      <c r="IK90" s="874"/>
      <c r="IL90" s="874"/>
      <c r="IM90" s="874"/>
      <c r="IN90" s="874"/>
      <c r="IO90" s="874"/>
      <c r="IP90" s="874"/>
      <c r="IQ90" s="874"/>
      <c r="IR90" s="874"/>
      <c r="IS90" s="874"/>
      <c r="IT90" s="874"/>
      <c r="IU90" s="874"/>
      <c r="IV90" s="874"/>
      <c r="IW90" s="874"/>
      <c r="IX90" s="874"/>
      <c r="IY90" s="874"/>
      <c r="IZ90" s="874"/>
      <c r="JA90" s="874"/>
      <c r="JB90" s="874"/>
      <c r="JC90" s="874"/>
      <c r="JD90" s="874"/>
      <c r="JE90" s="874"/>
      <c r="JF90" s="874"/>
      <c r="JG90" s="874"/>
      <c r="JH90" s="874"/>
      <c r="JI90" s="874"/>
      <c r="JJ90" s="874"/>
      <c r="JK90" s="874"/>
      <c r="JL90" s="874"/>
      <c r="JM90" s="874"/>
      <c r="JN90" s="874"/>
      <c r="JO90" s="874"/>
      <c r="JP90" s="874"/>
      <c r="JQ90" s="874"/>
      <c r="JR90" s="874"/>
      <c r="JS90" s="874"/>
      <c r="JT90" s="874"/>
      <c r="JU90" s="874"/>
      <c r="JV90" s="874"/>
      <c r="JW90" s="874"/>
      <c r="JX90" s="874"/>
      <c r="JY90" s="874"/>
      <c r="JZ90" s="874"/>
      <c r="KA90" s="874"/>
      <c r="KB90" s="874"/>
      <c r="KC90" s="874"/>
      <c r="KD90" s="874"/>
      <c r="KE90" s="874"/>
      <c r="KF90" s="874"/>
      <c r="KG90" s="874"/>
      <c r="KH90" s="865"/>
      <c r="KI90" s="865"/>
      <c r="KJ90" s="865"/>
      <c r="KK90" s="865"/>
      <c r="KL90" s="865"/>
      <c r="KM90" s="865"/>
      <c r="KN90" s="865"/>
      <c r="KO90" s="865"/>
      <c r="KP90" s="865"/>
      <c r="KQ90" s="865"/>
      <c r="KR90" s="865"/>
      <c r="KS90" s="865"/>
      <c r="KT90" s="865"/>
      <c r="KU90" s="865"/>
      <c r="KV90" s="865"/>
      <c r="KW90" s="865"/>
      <c r="KX90" s="865"/>
      <c r="KY90" s="865"/>
      <c r="KZ90" s="865"/>
      <c r="LA90" s="865"/>
      <c r="LB90" s="865"/>
      <c r="LC90" s="865"/>
      <c r="LD90" s="865"/>
      <c r="LE90" s="865"/>
      <c r="LF90" s="865"/>
    </row>
    <row r="91" spans="1:318" ht="26.55" customHeight="1" thickBot="1">
      <c r="A91" s="865"/>
      <c r="B91" s="865"/>
      <c r="C91" s="865"/>
      <c r="D91" s="865"/>
      <c r="E91" s="865"/>
      <c r="F91" s="865"/>
      <c r="G91" s="865"/>
      <c r="H91" s="865"/>
      <c r="I91" s="865"/>
      <c r="J91" s="865"/>
      <c r="K91" s="865"/>
      <c r="L91" s="865"/>
      <c r="M91" s="865"/>
      <c r="N91" s="865"/>
      <c r="O91" s="865"/>
      <c r="P91" s="865"/>
      <c r="Q91" s="865"/>
      <c r="R91" s="865"/>
      <c r="S91" s="865"/>
      <c r="T91" s="865"/>
      <c r="U91" s="865"/>
      <c r="V91" s="865"/>
      <c r="W91" s="865"/>
      <c r="X91" s="865"/>
      <c r="Y91" s="865"/>
      <c r="Z91" s="865"/>
      <c r="AA91" s="865"/>
      <c r="AB91" s="865"/>
      <c r="AC91" s="865"/>
      <c r="AD91" s="510"/>
      <c r="AE91" s="865"/>
      <c r="AF91" s="865"/>
      <c r="AG91" s="865"/>
      <c r="AH91" s="865"/>
      <c r="AI91" s="865"/>
      <c r="AJ91" s="510"/>
      <c r="AK91" s="865"/>
      <c r="AL91" s="865"/>
      <c r="AM91" s="865"/>
      <c r="AN91" s="865"/>
      <c r="AO91" s="865"/>
      <c r="AP91" s="510"/>
      <c r="AQ91" s="865"/>
      <c r="AR91" s="865"/>
      <c r="AS91" s="865"/>
      <c r="AT91" s="865"/>
      <c r="AU91" s="865"/>
      <c r="AV91" s="510"/>
      <c r="AW91" s="865"/>
      <c r="AX91" s="865"/>
      <c r="AY91" s="865"/>
      <c r="AZ91" s="865"/>
      <c r="BA91" s="865"/>
      <c r="BB91" s="510"/>
      <c r="BC91" s="865"/>
      <c r="BD91" s="865"/>
      <c r="BE91" s="865"/>
      <c r="BF91" s="865"/>
      <c r="BG91" s="865"/>
      <c r="BH91" s="865"/>
      <c r="BI91" s="865"/>
      <c r="BJ91" s="865"/>
      <c r="BK91" s="865"/>
      <c r="BL91" s="865"/>
      <c r="BM91" s="865"/>
      <c r="BN91" s="865"/>
      <c r="BO91" s="865"/>
      <c r="BP91" s="865"/>
      <c r="BQ91" s="865"/>
      <c r="BR91" s="865"/>
      <c r="BS91" s="865"/>
      <c r="BT91" s="865"/>
      <c r="BU91" s="865"/>
      <c r="BV91" s="865"/>
      <c r="BW91" s="865"/>
      <c r="BX91" s="865"/>
      <c r="BY91" s="874"/>
      <c r="BZ91" s="874"/>
      <c r="CA91" s="874"/>
      <c r="CB91" s="874"/>
      <c r="CC91" s="874"/>
      <c r="CD91" s="874"/>
      <c r="CE91" s="874"/>
      <c r="CF91" s="874"/>
      <c r="CG91" s="874"/>
      <c r="CH91" s="874"/>
      <c r="CI91" s="874"/>
      <c r="CJ91" s="874"/>
      <c r="CK91" s="874"/>
      <c r="CL91" s="874"/>
      <c r="CM91" s="874"/>
      <c r="CN91" s="874"/>
      <c r="CO91" s="874"/>
      <c r="CP91" s="874"/>
      <c r="CQ91" s="874"/>
      <c r="CR91" s="874"/>
      <c r="CS91" s="874"/>
      <c r="CT91" s="874"/>
      <c r="CU91" s="874"/>
      <c r="CV91" s="874"/>
      <c r="CW91" s="874"/>
      <c r="CX91" s="874"/>
      <c r="CY91" s="874"/>
      <c r="CZ91" s="874"/>
      <c r="DA91" s="874"/>
      <c r="DB91" s="874"/>
      <c r="DC91" s="874"/>
      <c r="DD91" s="874"/>
      <c r="DE91" s="874"/>
      <c r="DF91" s="874"/>
      <c r="DG91" s="874"/>
      <c r="DH91" s="874"/>
      <c r="DI91" s="874"/>
      <c r="DJ91" s="874"/>
      <c r="DK91" s="874"/>
      <c r="DL91" s="874"/>
      <c r="DM91" s="874"/>
      <c r="DN91" s="874"/>
      <c r="DO91" s="874"/>
      <c r="DP91" s="874"/>
      <c r="DQ91" s="874"/>
      <c r="DR91" s="874"/>
      <c r="DS91" s="874"/>
      <c r="DT91" s="874"/>
      <c r="DU91" s="874"/>
      <c r="DV91" s="874"/>
      <c r="DW91" s="874"/>
      <c r="DX91" s="874"/>
      <c r="DY91" s="874"/>
      <c r="DZ91" s="874"/>
      <c r="EA91" s="874"/>
      <c r="EB91" s="874"/>
      <c r="EC91" s="874"/>
      <c r="ED91" s="874"/>
      <c r="EE91" s="874"/>
      <c r="EF91" s="874"/>
      <c r="EG91" s="874"/>
      <c r="EH91" s="874"/>
      <c r="EI91" s="874"/>
      <c r="EJ91" s="874"/>
      <c r="EK91" s="874"/>
      <c r="EL91" s="874"/>
      <c r="EM91" s="874"/>
      <c r="EN91" s="874"/>
      <c r="EO91" s="874"/>
      <c r="EP91" s="874"/>
      <c r="EQ91" s="874"/>
      <c r="ER91" s="874"/>
      <c r="ES91" s="874"/>
      <c r="ET91" s="874"/>
      <c r="EU91" s="874"/>
      <c r="EV91" s="874"/>
      <c r="EW91" s="874"/>
      <c r="EX91" s="874"/>
      <c r="EY91" s="874"/>
      <c r="EZ91" s="874"/>
      <c r="FA91" s="874"/>
      <c r="FB91" s="874"/>
      <c r="FC91" s="874"/>
      <c r="FD91" s="874"/>
      <c r="FE91" s="874"/>
      <c r="FF91" s="874"/>
      <c r="FG91" s="874"/>
      <c r="FH91" s="874"/>
      <c r="FI91" s="874"/>
      <c r="FJ91" s="874"/>
      <c r="FK91" s="874"/>
      <c r="FL91" s="874"/>
      <c r="FM91" s="874"/>
      <c r="FN91" s="874"/>
      <c r="FO91" s="874"/>
      <c r="FP91" s="874"/>
      <c r="FQ91" s="874"/>
      <c r="FR91" s="874"/>
      <c r="FS91" s="874"/>
      <c r="FT91" s="874"/>
      <c r="FU91" s="874"/>
      <c r="FV91" s="874"/>
      <c r="FW91" s="874"/>
      <c r="FX91" s="874"/>
      <c r="FY91" s="874"/>
      <c r="FZ91" s="874"/>
      <c r="GA91" s="874"/>
      <c r="GB91" s="874"/>
      <c r="GC91" s="874"/>
      <c r="GD91" s="874"/>
      <c r="GE91" s="874"/>
      <c r="GF91" s="874"/>
      <c r="GG91" s="874"/>
      <c r="GH91" s="874"/>
      <c r="GI91" s="874"/>
      <c r="GJ91" s="874"/>
      <c r="GK91" s="874"/>
      <c r="GL91" s="874"/>
      <c r="GM91" s="874"/>
      <c r="GN91" s="874"/>
      <c r="GO91" s="874"/>
      <c r="GP91" s="874"/>
      <c r="GQ91" s="874"/>
      <c r="GR91" s="874"/>
      <c r="GS91" s="874"/>
      <c r="GT91" s="874"/>
      <c r="GU91" s="874"/>
      <c r="GV91" s="874"/>
      <c r="GW91" s="874"/>
      <c r="GX91" s="874"/>
      <c r="GY91" s="874"/>
      <c r="GZ91" s="874"/>
      <c r="HA91" s="874"/>
      <c r="HB91" s="874"/>
      <c r="HC91" s="874"/>
      <c r="HD91" s="874"/>
      <c r="HE91" s="874"/>
      <c r="HF91" s="874"/>
      <c r="HG91" s="874"/>
      <c r="HH91" s="874"/>
      <c r="HI91" s="874"/>
      <c r="HJ91" s="874"/>
      <c r="HK91" s="874"/>
      <c r="HL91" s="874"/>
      <c r="HM91" s="874"/>
      <c r="HN91" s="874"/>
      <c r="HO91" s="874"/>
      <c r="HP91" s="874"/>
      <c r="HQ91" s="874"/>
      <c r="HR91" s="874"/>
      <c r="HS91" s="874"/>
      <c r="HT91" s="874"/>
      <c r="HU91" s="874"/>
      <c r="HV91" s="874"/>
      <c r="HW91" s="874"/>
      <c r="HX91" s="874"/>
      <c r="HY91" s="874"/>
      <c r="HZ91" s="874"/>
      <c r="IA91" s="874"/>
      <c r="IB91" s="874"/>
      <c r="IC91" s="874"/>
      <c r="ID91" s="874"/>
      <c r="IE91" s="874"/>
      <c r="IF91" s="874"/>
      <c r="IG91" s="874"/>
      <c r="IH91" s="874"/>
      <c r="II91" s="874"/>
      <c r="IJ91" s="874"/>
      <c r="IK91" s="874"/>
      <c r="IL91" s="874"/>
      <c r="IM91" s="874"/>
      <c r="IN91" s="874"/>
      <c r="IO91" s="874"/>
      <c r="IP91" s="874"/>
      <c r="IQ91" s="874"/>
      <c r="IR91" s="874"/>
      <c r="IS91" s="874"/>
      <c r="IT91" s="874"/>
      <c r="IU91" s="874"/>
      <c r="IV91" s="874"/>
      <c r="IW91" s="874"/>
      <c r="IX91" s="874"/>
      <c r="IY91" s="874"/>
      <c r="IZ91" s="874"/>
      <c r="JA91" s="874"/>
      <c r="JB91" s="874"/>
      <c r="JC91" s="874"/>
      <c r="JD91" s="874"/>
      <c r="JE91" s="874"/>
      <c r="JF91" s="874"/>
      <c r="JG91" s="874"/>
      <c r="JH91" s="874"/>
      <c r="JI91" s="874"/>
      <c r="JJ91" s="874"/>
      <c r="JK91" s="874"/>
      <c r="JL91" s="874"/>
      <c r="JM91" s="874"/>
      <c r="JN91" s="874"/>
      <c r="JO91" s="874"/>
      <c r="JP91" s="874"/>
      <c r="JQ91" s="874"/>
      <c r="JR91" s="874"/>
      <c r="JS91" s="874"/>
      <c r="JT91" s="874"/>
      <c r="JU91" s="874"/>
      <c r="JV91" s="874"/>
      <c r="JW91" s="874"/>
      <c r="JX91" s="874"/>
      <c r="JY91" s="874"/>
      <c r="JZ91" s="874"/>
      <c r="KA91" s="874"/>
      <c r="KB91" s="874"/>
      <c r="KC91" s="874"/>
      <c r="KD91" s="874"/>
      <c r="KE91" s="874"/>
      <c r="KF91" s="874"/>
      <c r="KG91" s="874"/>
      <c r="KH91" s="865"/>
      <c r="KI91" s="865"/>
      <c r="KJ91" s="865"/>
      <c r="KK91" s="865"/>
      <c r="KL91" s="865"/>
      <c r="KM91" s="865"/>
      <c r="KN91" s="865"/>
      <c r="KO91" s="865"/>
      <c r="KP91" s="865"/>
      <c r="KQ91" s="865"/>
      <c r="KR91" s="865"/>
      <c r="KS91" s="865"/>
      <c r="KT91" s="865"/>
      <c r="KU91" s="865"/>
      <c r="KV91" s="865"/>
      <c r="KW91" s="865"/>
      <c r="KX91" s="865"/>
      <c r="KY91" s="865"/>
      <c r="KZ91" s="865"/>
      <c r="LA91" s="865"/>
      <c r="LB91" s="865"/>
      <c r="LC91" s="865"/>
      <c r="LD91" s="865"/>
      <c r="LE91" s="865"/>
      <c r="LF91" s="865"/>
    </row>
    <row r="92" spans="1:318" ht="13.95" customHeight="1">
      <c r="A92" s="2521" t="s">
        <v>328</v>
      </c>
      <c r="B92" s="2522"/>
      <c r="C92" s="2522"/>
      <c r="D92" s="2522"/>
      <c r="E92" s="2522"/>
      <c r="F92" s="2522"/>
      <c r="G92" s="2522"/>
      <c r="H92" s="2522"/>
      <c r="I92" s="2522"/>
      <c r="J92" s="2522"/>
      <c r="K92" s="2522"/>
      <c r="L92" s="2522"/>
      <c r="M92" s="2522"/>
      <c r="N92" s="2522"/>
      <c r="O92" s="2522"/>
      <c r="P92" s="2522"/>
      <c r="Q92" s="2522"/>
      <c r="R92" s="2522"/>
      <c r="S92" s="2522"/>
      <c r="T92" s="2522"/>
      <c r="U92" s="2522"/>
      <c r="V92" s="2522"/>
      <c r="W92" s="2522"/>
      <c r="X92" s="2522"/>
      <c r="Y92" s="2522"/>
      <c r="Z92" s="2522"/>
      <c r="AA92" s="2522"/>
      <c r="AB92" s="2522"/>
      <c r="AC92" s="2522"/>
      <c r="AD92" s="2522"/>
      <c r="AE92" s="2522"/>
      <c r="AF92" s="2522"/>
      <c r="AG92" s="2522"/>
      <c r="AH92" s="2522"/>
      <c r="AI92" s="2522"/>
      <c r="AJ92" s="2522"/>
      <c r="AK92" s="2522"/>
      <c r="AL92" s="2522"/>
      <c r="AM92" s="2522"/>
      <c r="AN92" s="2522"/>
      <c r="AO92" s="2522"/>
      <c r="AP92" s="2522"/>
      <c r="AQ92" s="2522"/>
      <c r="AR92" s="2522"/>
      <c r="AS92" s="2522"/>
      <c r="AT92" s="2522"/>
      <c r="AU92" s="2522"/>
      <c r="AV92" s="2522"/>
      <c r="AW92" s="2522"/>
      <c r="AX92" s="2522"/>
      <c r="AY92" s="2522"/>
      <c r="AZ92" s="2522"/>
      <c r="BA92" s="2522"/>
      <c r="BB92" s="2522"/>
      <c r="BC92" s="2522"/>
      <c r="BD92" s="2522"/>
      <c r="BE92" s="2522"/>
      <c r="BF92" s="2522"/>
      <c r="BG92" s="2522"/>
      <c r="BH92" s="865"/>
      <c r="BI92" s="865"/>
      <c r="BJ92" s="2536"/>
      <c r="BK92" s="2537"/>
      <c r="BL92" s="2537"/>
      <c r="BM92" s="2537"/>
      <c r="BN92" s="2537"/>
      <c r="BO92" s="2537"/>
      <c r="BP92" s="2537"/>
      <c r="BQ92" s="2537"/>
      <c r="BR92" s="2537"/>
      <c r="BS92" s="2537"/>
      <c r="BT92" s="2537"/>
      <c r="BU92" s="2537"/>
      <c r="BV92" s="2537"/>
      <c r="BW92" s="2537"/>
      <c r="BX92" s="2538"/>
      <c r="BY92" s="874"/>
      <c r="BZ92" s="912" t="s">
        <v>328</v>
      </c>
      <c r="CA92" s="913"/>
      <c r="CB92" s="913"/>
      <c r="CC92" s="913"/>
      <c r="CD92" s="913"/>
      <c r="CE92" s="913"/>
      <c r="CF92" s="913"/>
      <c r="CG92" s="913"/>
      <c r="CH92" s="913"/>
      <c r="CI92" s="913"/>
      <c r="CJ92" s="913"/>
      <c r="CK92" s="913"/>
      <c r="CL92" s="913"/>
      <c r="CM92" s="913"/>
      <c r="CN92" s="913"/>
      <c r="CO92" s="913"/>
      <c r="CP92" s="913"/>
      <c r="CQ92" s="913"/>
      <c r="CR92" s="913"/>
      <c r="CS92" s="913"/>
      <c r="CT92" s="913"/>
      <c r="CU92" s="913"/>
      <c r="CV92" s="913"/>
      <c r="CW92" s="913"/>
      <c r="CX92" s="913"/>
      <c r="CY92" s="913"/>
      <c r="CZ92" s="913"/>
      <c r="DA92" s="913"/>
      <c r="DB92" s="913"/>
      <c r="DC92" s="913"/>
      <c r="DD92" s="913"/>
      <c r="DE92" s="913"/>
      <c r="DF92" s="913"/>
      <c r="DG92" s="913"/>
      <c r="DH92" s="913"/>
      <c r="DI92" s="913"/>
      <c r="DJ92" s="913"/>
      <c r="DK92" s="913"/>
      <c r="DL92" s="913"/>
      <c r="DM92" s="913"/>
      <c r="DN92" s="913"/>
      <c r="DO92" s="913"/>
      <c r="DP92" s="913"/>
      <c r="DQ92" s="913"/>
      <c r="DR92" s="913"/>
      <c r="DS92" s="913"/>
      <c r="DT92" s="913"/>
      <c r="DU92" s="913"/>
      <c r="DV92" s="913"/>
      <c r="DW92" s="913"/>
      <c r="DX92" s="913"/>
      <c r="DY92" s="913"/>
      <c r="DZ92" s="913"/>
      <c r="EA92" s="913"/>
      <c r="EB92" s="913"/>
      <c r="EC92" s="913"/>
      <c r="ED92" s="913"/>
      <c r="EE92" s="913"/>
      <c r="EF92" s="913"/>
      <c r="EG92" s="913"/>
      <c r="EH92" s="913"/>
      <c r="EI92" s="913"/>
      <c r="EJ92" s="913"/>
      <c r="EK92" s="913"/>
      <c r="EL92" s="913"/>
      <c r="EM92" s="913"/>
      <c r="EN92" s="913"/>
      <c r="EO92" s="913"/>
      <c r="EP92" s="913"/>
      <c r="EQ92" s="913"/>
      <c r="ER92" s="913"/>
      <c r="ES92" s="913"/>
      <c r="ET92" s="913"/>
      <c r="EU92" s="913"/>
      <c r="EV92" s="913"/>
      <c r="EW92" s="913"/>
      <c r="EX92" s="913"/>
      <c r="EY92" s="913"/>
      <c r="EZ92" s="913"/>
      <c r="FA92" s="913"/>
      <c r="FB92" s="913"/>
      <c r="FC92" s="913"/>
      <c r="FD92" s="913"/>
      <c r="FE92" s="913"/>
      <c r="FF92" s="913"/>
      <c r="FG92" s="913"/>
      <c r="FH92" s="913"/>
      <c r="FI92" s="913"/>
      <c r="FJ92" s="913"/>
      <c r="FK92" s="913"/>
      <c r="FL92" s="913"/>
      <c r="FM92" s="913"/>
      <c r="FN92" s="913"/>
      <c r="FO92" s="913"/>
      <c r="FP92" s="913"/>
      <c r="FQ92" s="913"/>
      <c r="FR92" s="913"/>
      <c r="FS92" s="913"/>
      <c r="FT92" s="913"/>
      <c r="FU92" s="913"/>
      <c r="FV92" s="913"/>
      <c r="FW92" s="913"/>
      <c r="FX92" s="913"/>
      <c r="FY92" s="913"/>
      <c r="FZ92" s="913"/>
      <c r="GA92" s="913"/>
      <c r="GB92" s="913"/>
      <c r="GC92" s="913"/>
      <c r="GD92" s="913"/>
      <c r="GE92" s="913"/>
      <c r="GF92" s="913"/>
      <c r="GG92" s="913"/>
      <c r="GH92" s="913"/>
      <c r="GI92" s="913"/>
      <c r="GJ92" s="913"/>
      <c r="GK92" s="913"/>
      <c r="GL92" s="913"/>
      <c r="GM92" s="913"/>
      <c r="GN92" s="913"/>
      <c r="GO92" s="913"/>
      <c r="GP92" s="913"/>
      <c r="GQ92" s="913"/>
      <c r="GR92" s="913"/>
      <c r="GS92" s="913"/>
      <c r="GT92" s="913"/>
      <c r="GU92" s="913"/>
      <c r="GV92" s="913"/>
      <c r="GW92" s="913"/>
      <c r="GX92" s="913"/>
      <c r="GY92" s="913"/>
      <c r="GZ92" s="913"/>
      <c r="HA92" s="913"/>
      <c r="HB92" s="913"/>
      <c r="HC92" s="913"/>
      <c r="HD92" s="913"/>
      <c r="HE92" s="913"/>
      <c r="HF92" s="913"/>
      <c r="HG92" s="913"/>
      <c r="HH92" s="913"/>
      <c r="HI92" s="913"/>
      <c r="HJ92" s="913"/>
      <c r="HK92" s="913"/>
      <c r="HL92" s="913"/>
      <c r="HM92" s="913"/>
      <c r="HN92" s="913"/>
      <c r="HO92" s="913"/>
      <c r="HP92" s="913"/>
      <c r="HQ92" s="913"/>
      <c r="HR92" s="913"/>
      <c r="HS92" s="913"/>
      <c r="HT92" s="913"/>
      <c r="HU92" s="913"/>
      <c r="HV92" s="913"/>
      <c r="HW92" s="913"/>
      <c r="HX92" s="913"/>
      <c r="HY92" s="913"/>
      <c r="HZ92" s="913"/>
      <c r="IA92" s="913"/>
      <c r="IB92" s="913"/>
      <c r="IC92" s="913"/>
      <c r="ID92" s="913"/>
      <c r="IE92" s="913"/>
      <c r="IF92" s="913"/>
      <c r="IG92" s="913"/>
      <c r="IH92" s="913"/>
      <c r="II92" s="913"/>
      <c r="IJ92" s="913"/>
      <c r="IK92" s="913"/>
      <c r="IL92" s="913"/>
      <c r="IM92" s="913"/>
      <c r="IN92" s="913"/>
      <c r="IO92" s="913"/>
      <c r="IP92" s="913"/>
      <c r="IQ92" s="913"/>
      <c r="IR92" s="913"/>
      <c r="IS92" s="913"/>
      <c r="IT92" s="913"/>
      <c r="IU92" s="913"/>
      <c r="IV92" s="913"/>
      <c r="IW92" s="913"/>
      <c r="IX92" s="913"/>
      <c r="IY92" s="913"/>
      <c r="IZ92" s="913"/>
      <c r="JA92" s="913"/>
      <c r="JB92" s="913"/>
      <c r="JC92" s="913"/>
      <c r="JD92" s="913"/>
      <c r="JE92" s="913"/>
      <c r="JF92" s="913"/>
      <c r="JG92" s="913"/>
      <c r="JH92" s="913"/>
      <c r="JI92" s="913"/>
      <c r="JJ92" s="913"/>
      <c r="JK92" s="913"/>
      <c r="JL92" s="913"/>
      <c r="JM92" s="874"/>
      <c r="JN92" s="874"/>
      <c r="JO92" s="874"/>
      <c r="JP92" s="874"/>
      <c r="JQ92" s="874"/>
      <c r="JR92" s="874"/>
      <c r="JS92" s="874"/>
      <c r="JT92" s="874"/>
      <c r="JU92" s="874"/>
      <c r="JV92" s="874"/>
      <c r="JW92" s="874"/>
      <c r="JX92" s="874"/>
      <c r="JY92" s="874"/>
      <c r="JZ92" s="874"/>
      <c r="KA92" s="874"/>
      <c r="KB92" s="874"/>
      <c r="KC92" s="874"/>
      <c r="KD92" s="874"/>
      <c r="KE92" s="874"/>
      <c r="KF92" s="874"/>
      <c r="KG92" s="874"/>
      <c r="KH92" s="865"/>
      <c r="KI92" s="865"/>
      <c r="KJ92" s="865"/>
      <c r="KK92" s="865"/>
      <c r="KL92" s="865"/>
      <c r="KM92" s="865"/>
      <c r="KN92" s="865"/>
      <c r="KO92" s="865"/>
      <c r="KP92" s="865"/>
      <c r="KQ92" s="865"/>
      <c r="KR92" s="865"/>
      <c r="KS92" s="865"/>
      <c r="KT92" s="865"/>
      <c r="KU92" s="865"/>
      <c r="KV92" s="865"/>
      <c r="KW92" s="865"/>
      <c r="KX92" s="865"/>
      <c r="KY92" s="865"/>
      <c r="KZ92" s="865"/>
      <c r="LA92" s="865"/>
      <c r="LB92" s="865"/>
      <c r="LC92" s="865"/>
      <c r="LD92" s="865"/>
      <c r="LE92" s="865"/>
      <c r="LF92" s="865"/>
    </row>
    <row r="93" spans="1:318" ht="13.95" customHeight="1">
      <c r="A93" s="2521"/>
      <c r="B93" s="2522"/>
      <c r="C93" s="2522"/>
      <c r="D93" s="2522"/>
      <c r="E93" s="2522"/>
      <c r="F93" s="2522"/>
      <c r="G93" s="2522"/>
      <c r="H93" s="2522"/>
      <c r="I93" s="2522"/>
      <c r="J93" s="2522"/>
      <c r="K93" s="2522"/>
      <c r="L93" s="2522"/>
      <c r="M93" s="2522"/>
      <c r="N93" s="2522"/>
      <c r="O93" s="2522"/>
      <c r="P93" s="2522"/>
      <c r="Q93" s="2522"/>
      <c r="R93" s="2522"/>
      <c r="S93" s="2522"/>
      <c r="T93" s="2522"/>
      <c r="U93" s="2522"/>
      <c r="V93" s="2522"/>
      <c r="W93" s="2522"/>
      <c r="X93" s="2522"/>
      <c r="Y93" s="2522"/>
      <c r="Z93" s="2522"/>
      <c r="AA93" s="2522"/>
      <c r="AB93" s="2522"/>
      <c r="AC93" s="2522"/>
      <c r="AD93" s="2522"/>
      <c r="AE93" s="2522"/>
      <c r="AF93" s="2522"/>
      <c r="AG93" s="2522"/>
      <c r="AH93" s="2522"/>
      <c r="AI93" s="2522"/>
      <c r="AJ93" s="2522"/>
      <c r="AK93" s="2522"/>
      <c r="AL93" s="2522"/>
      <c r="AM93" s="2522"/>
      <c r="AN93" s="2522"/>
      <c r="AO93" s="2522"/>
      <c r="AP93" s="2522"/>
      <c r="AQ93" s="2522"/>
      <c r="AR93" s="2522"/>
      <c r="AS93" s="2522"/>
      <c r="AT93" s="2522"/>
      <c r="AU93" s="2522"/>
      <c r="AV93" s="2522"/>
      <c r="AW93" s="2522"/>
      <c r="AX93" s="2522"/>
      <c r="AY93" s="2522"/>
      <c r="AZ93" s="2522"/>
      <c r="BA93" s="2522"/>
      <c r="BB93" s="2522"/>
      <c r="BC93" s="2522"/>
      <c r="BD93" s="2522"/>
      <c r="BE93" s="2522"/>
      <c r="BF93" s="2522"/>
      <c r="BG93" s="2522"/>
      <c r="BH93" s="865"/>
      <c r="BI93" s="865"/>
      <c r="BJ93" s="2539"/>
      <c r="BK93" s="2540"/>
      <c r="BL93" s="2540"/>
      <c r="BM93" s="2540"/>
      <c r="BN93" s="2540"/>
      <c r="BO93" s="2540"/>
      <c r="BP93" s="2540"/>
      <c r="BQ93" s="2540"/>
      <c r="BR93" s="2540"/>
      <c r="BS93" s="2540"/>
      <c r="BT93" s="2540"/>
      <c r="BU93" s="2540"/>
      <c r="BV93" s="2540"/>
      <c r="BW93" s="2540"/>
      <c r="BX93" s="2541"/>
      <c r="BY93" s="874"/>
      <c r="BZ93" s="912"/>
      <c r="CA93" s="913"/>
      <c r="CB93" s="913"/>
      <c r="CC93" s="913"/>
      <c r="CD93" s="913"/>
      <c r="CE93" s="913"/>
      <c r="CF93" s="913"/>
      <c r="CG93" s="913"/>
      <c r="CH93" s="913"/>
      <c r="CI93" s="913"/>
      <c r="CJ93" s="913"/>
      <c r="CK93" s="913"/>
      <c r="CL93" s="913"/>
      <c r="CM93" s="913"/>
      <c r="CN93" s="913"/>
      <c r="CO93" s="913"/>
      <c r="CP93" s="913"/>
      <c r="CQ93" s="913"/>
      <c r="CR93" s="913"/>
      <c r="CS93" s="913"/>
      <c r="CT93" s="913"/>
      <c r="CU93" s="913"/>
      <c r="CV93" s="913"/>
      <c r="CW93" s="913"/>
      <c r="CX93" s="913"/>
      <c r="CY93" s="913"/>
      <c r="CZ93" s="913"/>
      <c r="DA93" s="913"/>
      <c r="DB93" s="913"/>
      <c r="DC93" s="913"/>
      <c r="DD93" s="913"/>
      <c r="DE93" s="913"/>
      <c r="DF93" s="913"/>
      <c r="DG93" s="913"/>
      <c r="DH93" s="913"/>
      <c r="DI93" s="913"/>
      <c r="DJ93" s="913"/>
      <c r="DK93" s="913"/>
      <c r="DL93" s="913"/>
      <c r="DM93" s="913"/>
      <c r="DN93" s="913"/>
      <c r="DO93" s="913"/>
      <c r="DP93" s="913"/>
      <c r="DQ93" s="913"/>
      <c r="DR93" s="913"/>
      <c r="DS93" s="913"/>
      <c r="DT93" s="913"/>
      <c r="DU93" s="913"/>
      <c r="DV93" s="913"/>
      <c r="DW93" s="913"/>
      <c r="DX93" s="913"/>
      <c r="DY93" s="913"/>
      <c r="DZ93" s="913"/>
      <c r="EA93" s="913"/>
      <c r="EB93" s="913"/>
      <c r="EC93" s="913"/>
      <c r="ED93" s="913"/>
      <c r="EE93" s="913"/>
      <c r="EF93" s="913"/>
      <c r="EG93" s="913"/>
      <c r="EH93" s="913"/>
      <c r="EI93" s="913"/>
      <c r="EJ93" s="913"/>
      <c r="EK93" s="913"/>
      <c r="EL93" s="913"/>
      <c r="EM93" s="913"/>
      <c r="EN93" s="913"/>
      <c r="EO93" s="913"/>
      <c r="EP93" s="913"/>
      <c r="EQ93" s="913"/>
      <c r="ER93" s="913"/>
      <c r="ES93" s="913"/>
      <c r="ET93" s="913"/>
      <c r="EU93" s="913"/>
      <c r="EV93" s="913"/>
      <c r="EW93" s="913"/>
      <c r="EX93" s="913"/>
      <c r="EY93" s="913"/>
      <c r="EZ93" s="913"/>
      <c r="FA93" s="913"/>
      <c r="FB93" s="913"/>
      <c r="FC93" s="913"/>
      <c r="FD93" s="913"/>
      <c r="FE93" s="913"/>
      <c r="FF93" s="913"/>
      <c r="FG93" s="913"/>
      <c r="FH93" s="913"/>
      <c r="FI93" s="913"/>
      <c r="FJ93" s="913"/>
      <c r="FK93" s="913"/>
      <c r="FL93" s="913"/>
      <c r="FM93" s="913"/>
      <c r="FN93" s="913"/>
      <c r="FO93" s="913"/>
      <c r="FP93" s="913"/>
      <c r="FQ93" s="913"/>
      <c r="FR93" s="913"/>
      <c r="FS93" s="913"/>
      <c r="FT93" s="913"/>
      <c r="FU93" s="913"/>
      <c r="FV93" s="913"/>
      <c r="FW93" s="913"/>
      <c r="FX93" s="913"/>
      <c r="FY93" s="913"/>
      <c r="FZ93" s="913"/>
      <c r="GA93" s="913"/>
      <c r="GB93" s="913"/>
      <c r="GC93" s="913"/>
      <c r="GD93" s="913"/>
      <c r="GE93" s="913"/>
      <c r="GF93" s="913"/>
      <c r="GG93" s="913"/>
      <c r="GH93" s="913"/>
      <c r="GI93" s="913"/>
      <c r="GJ93" s="913"/>
      <c r="GK93" s="913"/>
      <c r="GL93" s="913"/>
      <c r="GM93" s="913"/>
      <c r="GN93" s="913"/>
      <c r="GO93" s="913"/>
      <c r="GP93" s="913"/>
      <c r="GQ93" s="913"/>
      <c r="GR93" s="913"/>
      <c r="GS93" s="913"/>
      <c r="GT93" s="913"/>
      <c r="GU93" s="913"/>
      <c r="GV93" s="913"/>
      <c r="GW93" s="913"/>
      <c r="GX93" s="913"/>
      <c r="GY93" s="913"/>
      <c r="GZ93" s="913"/>
      <c r="HA93" s="913"/>
      <c r="HB93" s="913"/>
      <c r="HC93" s="913"/>
      <c r="HD93" s="913"/>
      <c r="HE93" s="913"/>
      <c r="HF93" s="913"/>
      <c r="HG93" s="913"/>
      <c r="HH93" s="913"/>
      <c r="HI93" s="913"/>
      <c r="HJ93" s="913"/>
      <c r="HK93" s="913"/>
      <c r="HL93" s="913"/>
      <c r="HM93" s="913"/>
      <c r="HN93" s="913"/>
      <c r="HO93" s="913"/>
      <c r="HP93" s="913"/>
      <c r="HQ93" s="913"/>
      <c r="HR93" s="913"/>
      <c r="HS93" s="913"/>
      <c r="HT93" s="913"/>
      <c r="HU93" s="913"/>
      <c r="HV93" s="913"/>
      <c r="HW93" s="913"/>
      <c r="HX93" s="913"/>
      <c r="HY93" s="913"/>
      <c r="HZ93" s="913"/>
      <c r="IA93" s="913"/>
      <c r="IB93" s="913"/>
      <c r="IC93" s="913"/>
      <c r="ID93" s="913"/>
      <c r="IE93" s="913"/>
      <c r="IF93" s="913"/>
      <c r="IG93" s="913"/>
      <c r="IH93" s="913"/>
      <c r="II93" s="913"/>
      <c r="IJ93" s="913"/>
      <c r="IK93" s="913"/>
      <c r="IL93" s="913"/>
      <c r="IM93" s="913"/>
      <c r="IN93" s="913"/>
      <c r="IO93" s="913"/>
      <c r="IP93" s="913"/>
      <c r="IQ93" s="913"/>
      <c r="IR93" s="913"/>
      <c r="IS93" s="913"/>
      <c r="IT93" s="913"/>
      <c r="IU93" s="913"/>
      <c r="IV93" s="913"/>
      <c r="IW93" s="913"/>
      <c r="IX93" s="913"/>
      <c r="IY93" s="913"/>
      <c r="IZ93" s="913"/>
      <c r="JA93" s="913"/>
      <c r="JB93" s="913"/>
      <c r="JC93" s="913"/>
      <c r="JD93" s="913"/>
      <c r="JE93" s="913"/>
      <c r="JF93" s="913"/>
      <c r="JG93" s="913"/>
      <c r="JH93" s="913"/>
      <c r="JI93" s="913"/>
      <c r="JJ93" s="913"/>
      <c r="JK93" s="913"/>
      <c r="JL93" s="913"/>
      <c r="JM93" s="874"/>
      <c r="JN93" s="874"/>
      <c r="JO93" s="874"/>
      <c r="JP93" s="874"/>
      <c r="JQ93" s="874"/>
      <c r="JR93" s="874"/>
      <c r="JS93" s="874"/>
      <c r="JT93" s="874"/>
      <c r="JU93" s="874"/>
      <c r="JV93" s="874"/>
      <c r="JW93" s="874"/>
      <c r="JX93" s="874"/>
      <c r="JY93" s="874"/>
      <c r="JZ93" s="874"/>
      <c r="KA93" s="874"/>
      <c r="KB93" s="874"/>
      <c r="KC93" s="874"/>
      <c r="KD93" s="874"/>
      <c r="KE93" s="874"/>
      <c r="KF93" s="874"/>
      <c r="KG93" s="874"/>
      <c r="KH93" s="865"/>
      <c r="KI93" s="865"/>
      <c r="KJ93" s="865"/>
      <c r="KK93" s="865"/>
      <c r="KL93" s="865"/>
      <c r="KM93" s="865"/>
      <c r="KN93" s="865"/>
      <c r="KO93" s="865"/>
      <c r="KP93" s="865"/>
      <c r="KQ93" s="865"/>
      <c r="KR93" s="865"/>
      <c r="KS93" s="865"/>
      <c r="KT93" s="865"/>
      <c r="KU93" s="865"/>
      <c r="KV93" s="865"/>
      <c r="KW93" s="865"/>
      <c r="KX93" s="865"/>
      <c r="KY93" s="865"/>
      <c r="KZ93" s="865"/>
      <c r="LA93" s="865"/>
      <c r="LB93" s="865"/>
      <c r="LC93" s="865"/>
      <c r="LD93" s="865"/>
      <c r="LE93" s="865"/>
      <c r="LF93" s="865"/>
    </row>
    <row r="94" spans="1:318" ht="14.55" customHeight="1" thickBot="1">
      <c r="A94" s="2521"/>
      <c r="B94" s="2522"/>
      <c r="C94" s="2522"/>
      <c r="D94" s="2522"/>
      <c r="E94" s="2522"/>
      <c r="F94" s="2522"/>
      <c r="G94" s="2522"/>
      <c r="H94" s="2522"/>
      <c r="I94" s="2522"/>
      <c r="J94" s="2522"/>
      <c r="K94" s="2522"/>
      <c r="L94" s="2522"/>
      <c r="M94" s="2522"/>
      <c r="N94" s="2522"/>
      <c r="O94" s="2522"/>
      <c r="P94" s="2522"/>
      <c r="Q94" s="2522"/>
      <c r="R94" s="2522"/>
      <c r="S94" s="2522"/>
      <c r="T94" s="2522"/>
      <c r="U94" s="2522"/>
      <c r="V94" s="2522"/>
      <c r="W94" s="2522"/>
      <c r="X94" s="2522"/>
      <c r="Y94" s="2522"/>
      <c r="Z94" s="2522"/>
      <c r="AA94" s="2522"/>
      <c r="AB94" s="2522"/>
      <c r="AC94" s="2522"/>
      <c r="AD94" s="2522"/>
      <c r="AE94" s="2522"/>
      <c r="AF94" s="2522"/>
      <c r="AG94" s="2522"/>
      <c r="AH94" s="2522"/>
      <c r="AI94" s="2522"/>
      <c r="AJ94" s="2522"/>
      <c r="AK94" s="2522"/>
      <c r="AL94" s="2522"/>
      <c r="AM94" s="2522"/>
      <c r="AN94" s="2522"/>
      <c r="AO94" s="2522"/>
      <c r="AP94" s="2522"/>
      <c r="AQ94" s="2522"/>
      <c r="AR94" s="2522"/>
      <c r="AS94" s="2522"/>
      <c r="AT94" s="2522"/>
      <c r="AU94" s="2522"/>
      <c r="AV94" s="2522"/>
      <c r="AW94" s="2522"/>
      <c r="AX94" s="2522"/>
      <c r="AY94" s="2522"/>
      <c r="AZ94" s="2522"/>
      <c r="BA94" s="2522"/>
      <c r="BB94" s="2522"/>
      <c r="BC94" s="2522"/>
      <c r="BD94" s="2522"/>
      <c r="BE94" s="2522"/>
      <c r="BF94" s="2522"/>
      <c r="BG94" s="2522"/>
      <c r="BH94" s="865"/>
      <c r="BI94" s="865"/>
      <c r="BJ94" s="2542"/>
      <c r="BK94" s="2543"/>
      <c r="BL94" s="2543"/>
      <c r="BM94" s="2543"/>
      <c r="BN94" s="2543"/>
      <c r="BO94" s="2543"/>
      <c r="BP94" s="2543"/>
      <c r="BQ94" s="2543"/>
      <c r="BR94" s="2543"/>
      <c r="BS94" s="2543"/>
      <c r="BT94" s="2543"/>
      <c r="BU94" s="2543"/>
      <c r="BV94" s="2543"/>
      <c r="BW94" s="2543"/>
      <c r="BX94" s="2544"/>
      <c r="BY94" s="874"/>
      <c r="BZ94" s="912"/>
      <c r="CA94" s="913"/>
      <c r="CB94" s="913"/>
      <c r="CC94" s="913"/>
      <c r="CD94" s="913"/>
      <c r="CE94" s="913"/>
      <c r="CF94" s="913"/>
      <c r="CG94" s="913"/>
      <c r="CH94" s="913"/>
      <c r="CI94" s="913"/>
      <c r="CJ94" s="913"/>
      <c r="CK94" s="913"/>
      <c r="CL94" s="913"/>
      <c r="CM94" s="913"/>
      <c r="CN94" s="913"/>
      <c r="CO94" s="913"/>
      <c r="CP94" s="913"/>
      <c r="CQ94" s="913"/>
      <c r="CR94" s="913"/>
      <c r="CS94" s="913"/>
      <c r="CT94" s="913"/>
      <c r="CU94" s="913"/>
      <c r="CV94" s="913"/>
      <c r="CW94" s="913"/>
      <c r="CX94" s="913"/>
      <c r="CY94" s="913"/>
      <c r="CZ94" s="913"/>
      <c r="DA94" s="913"/>
      <c r="DB94" s="913"/>
      <c r="DC94" s="913"/>
      <c r="DD94" s="913"/>
      <c r="DE94" s="913"/>
      <c r="DF94" s="913"/>
      <c r="DG94" s="913"/>
      <c r="DH94" s="913"/>
      <c r="DI94" s="913"/>
      <c r="DJ94" s="913"/>
      <c r="DK94" s="913"/>
      <c r="DL94" s="913"/>
      <c r="DM94" s="913"/>
      <c r="DN94" s="913"/>
      <c r="DO94" s="913"/>
      <c r="DP94" s="913"/>
      <c r="DQ94" s="913"/>
      <c r="DR94" s="913"/>
      <c r="DS94" s="913"/>
      <c r="DT94" s="913"/>
      <c r="DU94" s="913"/>
      <c r="DV94" s="913"/>
      <c r="DW94" s="913"/>
      <c r="DX94" s="913"/>
      <c r="DY94" s="913"/>
      <c r="DZ94" s="913"/>
      <c r="EA94" s="913"/>
      <c r="EB94" s="913"/>
      <c r="EC94" s="913"/>
      <c r="ED94" s="913"/>
      <c r="EE94" s="913"/>
      <c r="EF94" s="913"/>
      <c r="EG94" s="913"/>
      <c r="EH94" s="913"/>
      <c r="EI94" s="913"/>
      <c r="EJ94" s="913"/>
      <c r="EK94" s="913"/>
      <c r="EL94" s="913"/>
      <c r="EM94" s="913"/>
      <c r="EN94" s="913"/>
      <c r="EO94" s="913"/>
      <c r="EP94" s="913"/>
      <c r="EQ94" s="913"/>
      <c r="ER94" s="913"/>
      <c r="ES94" s="913"/>
      <c r="ET94" s="913"/>
      <c r="EU94" s="913"/>
      <c r="EV94" s="913"/>
      <c r="EW94" s="913"/>
      <c r="EX94" s="913"/>
      <c r="EY94" s="913"/>
      <c r="EZ94" s="913"/>
      <c r="FA94" s="913"/>
      <c r="FB94" s="913"/>
      <c r="FC94" s="913"/>
      <c r="FD94" s="913"/>
      <c r="FE94" s="913"/>
      <c r="FF94" s="913"/>
      <c r="FG94" s="913"/>
      <c r="FH94" s="913"/>
      <c r="FI94" s="913"/>
      <c r="FJ94" s="913"/>
      <c r="FK94" s="913"/>
      <c r="FL94" s="913"/>
      <c r="FM94" s="913"/>
      <c r="FN94" s="913"/>
      <c r="FO94" s="913"/>
      <c r="FP94" s="913"/>
      <c r="FQ94" s="913"/>
      <c r="FR94" s="913"/>
      <c r="FS94" s="913"/>
      <c r="FT94" s="913"/>
      <c r="FU94" s="913"/>
      <c r="FV94" s="913"/>
      <c r="FW94" s="913"/>
      <c r="FX94" s="913"/>
      <c r="FY94" s="913"/>
      <c r="FZ94" s="913"/>
      <c r="GA94" s="913"/>
      <c r="GB94" s="913"/>
      <c r="GC94" s="913"/>
      <c r="GD94" s="913"/>
      <c r="GE94" s="913"/>
      <c r="GF94" s="913"/>
      <c r="GG94" s="913"/>
      <c r="GH94" s="913"/>
      <c r="GI94" s="913"/>
      <c r="GJ94" s="913"/>
      <c r="GK94" s="913"/>
      <c r="GL94" s="913"/>
      <c r="GM94" s="913"/>
      <c r="GN94" s="913"/>
      <c r="GO94" s="913"/>
      <c r="GP94" s="913"/>
      <c r="GQ94" s="913"/>
      <c r="GR94" s="913"/>
      <c r="GS94" s="913"/>
      <c r="GT94" s="913"/>
      <c r="GU94" s="913"/>
      <c r="GV94" s="913"/>
      <c r="GW94" s="913"/>
      <c r="GX94" s="913"/>
      <c r="GY94" s="913"/>
      <c r="GZ94" s="913"/>
      <c r="HA94" s="913"/>
      <c r="HB94" s="913"/>
      <c r="HC94" s="913"/>
      <c r="HD94" s="913"/>
      <c r="HE94" s="913"/>
      <c r="HF94" s="913"/>
      <c r="HG94" s="913"/>
      <c r="HH94" s="913"/>
      <c r="HI94" s="913"/>
      <c r="HJ94" s="913"/>
      <c r="HK94" s="913"/>
      <c r="HL94" s="913"/>
      <c r="HM94" s="913"/>
      <c r="HN94" s="913"/>
      <c r="HO94" s="913"/>
      <c r="HP94" s="913"/>
      <c r="HQ94" s="913"/>
      <c r="HR94" s="913"/>
      <c r="HS94" s="913"/>
      <c r="HT94" s="913"/>
      <c r="HU94" s="913"/>
      <c r="HV94" s="913"/>
      <c r="HW94" s="913"/>
      <c r="HX94" s="913"/>
      <c r="HY94" s="913"/>
      <c r="HZ94" s="913"/>
      <c r="IA94" s="913"/>
      <c r="IB94" s="913"/>
      <c r="IC94" s="913"/>
      <c r="ID94" s="913"/>
      <c r="IE94" s="913"/>
      <c r="IF94" s="913"/>
      <c r="IG94" s="913"/>
      <c r="IH94" s="913"/>
      <c r="II94" s="913"/>
      <c r="IJ94" s="913"/>
      <c r="IK94" s="913"/>
      <c r="IL94" s="913"/>
      <c r="IM94" s="913"/>
      <c r="IN94" s="913"/>
      <c r="IO94" s="913"/>
      <c r="IP94" s="913"/>
      <c r="IQ94" s="913"/>
      <c r="IR94" s="913"/>
      <c r="IS94" s="913"/>
      <c r="IT94" s="913"/>
      <c r="IU94" s="913"/>
      <c r="IV94" s="913"/>
      <c r="IW94" s="913"/>
      <c r="IX94" s="913"/>
      <c r="IY94" s="913"/>
      <c r="IZ94" s="913"/>
      <c r="JA94" s="913"/>
      <c r="JB94" s="913"/>
      <c r="JC94" s="913"/>
      <c r="JD94" s="913"/>
      <c r="JE94" s="913"/>
      <c r="JF94" s="913"/>
      <c r="JG94" s="913"/>
      <c r="JH94" s="913"/>
      <c r="JI94" s="913"/>
      <c r="JJ94" s="913"/>
      <c r="JK94" s="913"/>
      <c r="JL94" s="913"/>
      <c r="JM94" s="874"/>
      <c r="JN94" s="874"/>
      <c r="JO94" s="874"/>
      <c r="JP94" s="874"/>
      <c r="JQ94" s="874"/>
      <c r="JR94" s="874"/>
      <c r="JS94" s="874"/>
      <c r="JT94" s="874"/>
      <c r="JU94" s="874"/>
      <c r="JV94" s="874"/>
      <c r="JW94" s="874"/>
      <c r="JX94" s="874"/>
      <c r="JY94" s="874"/>
      <c r="JZ94" s="874"/>
      <c r="KA94" s="874"/>
      <c r="KB94" s="874"/>
      <c r="KC94" s="874"/>
      <c r="KD94" s="874"/>
      <c r="KE94" s="874"/>
      <c r="KF94" s="874"/>
      <c r="KG94" s="874"/>
      <c r="KH94" s="865"/>
      <c r="KI94" s="865"/>
      <c r="KJ94" s="865"/>
      <c r="KK94" s="865"/>
      <c r="KL94" s="865"/>
      <c r="KM94" s="865"/>
      <c r="KN94" s="865"/>
      <c r="KO94" s="865"/>
      <c r="KP94" s="865"/>
      <c r="KQ94" s="865"/>
      <c r="KR94" s="865"/>
      <c r="KS94" s="865"/>
      <c r="KT94" s="865"/>
      <c r="KU94" s="865"/>
      <c r="KV94" s="865"/>
      <c r="KW94" s="865"/>
      <c r="KX94" s="865"/>
      <c r="KY94" s="865"/>
      <c r="KZ94" s="865"/>
      <c r="LA94" s="865"/>
      <c r="LB94" s="865"/>
      <c r="LC94" s="865"/>
      <c r="LD94" s="865"/>
      <c r="LE94" s="865"/>
      <c r="LF94" s="865"/>
    </row>
    <row r="95" spans="1:318" ht="20.399999999999999">
      <c r="A95" s="2484" t="s">
        <v>329</v>
      </c>
      <c r="B95" s="2485"/>
      <c r="C95" s="2485"/>
      <c r="D95" s="2485"/>
      <c r="E95" s="2486"/>
      <c r="F95" s="511"/>
      <c r="G95" s="2484" t="s">
        <v>330</v>
      </c>
      <c r="H95" s="2485"/>
      <c r="I95" s="2485"/>
      <c r="J95" s="2485"/>
      <c r="K95" s="2486"/>
      <c r="L95" s="511"/>
      <c r="M95" s="2484" t="s">
        <v>331</v>
      </c>
      <c r="N95" s="2485"/>
      <c r="O95" s="2485"/>
      <c r="P95" s="2485"/>
      <c r="Q95" s="2486"/>
      <c r="R95" s="511"/>
      <c r="S95" s="2484" t="s">
        <v>332</v>
      </c>
      <c r="T95" s="2485"/>
      <c r="U95" s="2485"/>
      <c r="V95" s="2485"/>
      <c r="W95" s="2486"/>
      <c r="X95" s="511"/>
      <c r="Y95" s="2484" t="s">
        <v>333</v>
      </c>
      <c r="Z95" s="2485"/>
      <c r="AA95" s="2485"/>
      <c r="AB95" s="2485"/>
      <c r="AC95" s="2486"/>
      <c r="AD95" s="510"/>
      <c r="AE95" s="2484" t="s">
        <v>334</v>
      </c>
      <c r="AF95" s="2485"/>
      <c r="AG95" s="2485"/>
      <c r="AH95" s="2485"/>
      <c r="AI95" s="2486"/>
      <c r="AJ95" s="510"/>
      <c r="AK95" s="2484" t="s">
        <v>937</v>
      </c>
      <c r="AL95" s="2485"/>
      <c r="AM95" s="2485"/>
      <c r="AN95" s="2485"/>
      <c r="AO95" s="2486"/>
      <c r="AP95" s="510"/>
      <c r="AQ95" s="2484" t="s">
        <v>938</v>
      </c>
      <c r="AR95" s="2485"/>
      <c r="AS95" s="2485"/>
      <c r="AT95" s="2485"/>
      <c r="AU95" s="2486"/>
      <c r="AV95" s="510"/>
      <c r="AW95" s="2484" t="s">
        <v>939</v>
      </c>
      <c r="AX95" s="2485"/>
      <c r="AY95" s="2485"/>
      <c r="AZ95" s="2485"/>
      <c r="BA95" s="2486"/>
      <c r="BB95" s="510"/>
      <c r="BC95" s="2484" t="s">
        <v>940</v>
      </c>
      <c r="BD95" s="2485"/>
      <c r="BE95" s="2485"/>
      <c r="BF95" s="2485"/>
      <c r="BG95" s="2486"/>
      <c r="BH95" s="865"/>
      <c r="BI95" s="865"/>
      <c r="BJ95" s="2531" t="s">
        <v>329</v>
      </c>
      <c r="BK95" s="2532"/>
      <c r="BL95" s="2532"/>
      <c r="BM95" s="2532"/>
      <c r="BN95" s="2532"/>
      <c r="BO95" s="2532"/>
      <c r="BP95" s="2533"/>
      <c r="BQ95" s="865"/>
      <c r="BR95" s="2531" t="s">
        <v>334</v>
      </c>
      <c r="BS95" s="2532"/>
      <c r="BT95" s="2532"/>
      <c r="BU95" s="2532"/>
      <c r="BV95" s="2532"/>
      <c r="BW95" s="2532"/>
      <c r="BX95" s="2533"/>
      <c r="BY95" s="874"/>
      <c r="BZ95" s="2468" t="s">
        <v>329</v>
      </c>
      <c r="CA95" s="2469"/>
      <c r="CB95" s="2469"/>
      <c r="CC95" s="2469"/>
      <c r="CD95" s="2469"/>
      <c r="CE95" s="2470"/>
      <c r="CF95" s="511"/>
      <c r="CG95" s="511"/>
      <c r="CH95" s="511"/>
      <c r="CI95" s="511"/>
      <c r="CJ95" s="511"/>
      <c r="CK95" s="511"/>
      <c r="CL95" s="511"/>
      <c r="CM95" s="511"/>
      <c r="CN95" s="511"/>
      <c r="CO95" s="511"/>
      <c r="CP95" s="511"/>
      <c r="CQ95" s="511"/>
      <c r="CR95" s="511"/>
      <c r="CS95" s="511"/>
      <c r="CT95" s="511"/>
      <c r="CU95" s="2468" t="s">
        <v>330</v>
      </c>
      <c r="CV95" s="2469"/>
      <c r="CW95" s="2469"/>
      <c r="CX95" s="2469"/>
      <c r="CY95" s="2469"/>
      <c r="CZ95" s="2470"/>
      <c r="DA95" s="511"/>
      <c r="DB95" s="511"/>
      <c r="DC95" s="511"/>
      <c r="DD95" s="511"/>
      <c r="DE95" s="511"/>
      <c r="DF95" s="511"/>
      <c r="DG95" s="511"/>
      <c r="DH95" s="511"/>
      <c r="DI95" s="511"/>
      <c r="DJ95" s="511"/>
      <c r="DK95" s="511"/>
      <c r="DL95" s="511"/>
      <c r="DM95" s="511"/>
      <c r="DN95" s="511"/>
      <c r="DO95" s="511"/>
      <c r="DP95" s="2468" t="s">
        <v>331</v>
      </c>
      <c r="DQ95" s="2469"/>
      <c r="DR95" s="2469"/>
      <c r="DS95" s="2469"/>
      <c r="DT95" s="2469"/>
      <c r="DU95" s="2470"/>
      <c r="DV95" s="511"/>
      <c r="DW95" s="511"/>
      <c r="DX95" s="511"/>
      <c r="DY95" s="511"/>
      <c r="DZ95" s="511"/>
      <c r="EA95" s="511"/>
      <c r="EB95" s="511"/>
      <c r="EC95" s="511"/>
      <c r="ED95" s="511"/>
      <c r="EE95" s="511"/>
      <c r="EF95" s="511"/>
      <c r="EG95" s="511"/>
      <c r="EH95" s="511"/>
      <c r="EI95" s="511"/>
      <c r="EJ95" s="511"/>
      <c r="EK95" s="2468" t="s">
        <v>332</v>
      </c>
      <c r="EL95" s="2469"/>
      <c r="EM95" s="2469"/>
      <c r="EN95" s="2469"/>
      <c r="EO95" s="2469"/>
      <c r="EP95" s="2470"/>
      <c r="EQ95" s="511"/>
      <c r="ER95" s="511"/>
      <c r="ES95" s="511"/>
      <c r="ET95" s="511"/>
      <c r="EU95" s="511"/>
      <c r="EV95" s="511"/>
      <c r="EW95" s="511"/>
      <c r="EX95" s="511"/>
      <c r="EY95" s="511"/>
      <c r="EZ95" s="511"/>
      <c r="FA95" s="511"/>
      <c r="FB95" s="511"/>
      <c r="FC95" s="511"/>
      <c r="FD95" s="511"/>
      <c r="FE95" s="511"/>
      <c r="FF95" s="2468" t="s">
        <v>333</v>
      </c>
      <c r="FG95" s="2469"/>
      <c r="FH95" s="2469"/>
      <c r="FI95" s="2469"/>
      <c r="FJ95" s="2469"/>
      <c r="FK95" s="2470"/>
      <c r="FL95" s="511"/>
      <c r="FM95" s="511"/>
      <c r="FN95" s="511"/>
      <c r="FO95" s="511"/>
      <c r="FP95" s="511"/>
      <c r="FQ95" s="511"/>
      <c r="FR95" s="511"/>
      <c r="FS95" s="511"/>
      <c r="FT95" s="510"/>
      <c r="FU95" s="510"/>
      <c r="FV95" s="510"/>
      <c r="FW95" s="510"/>
      <c r="FX95" s="510"/>
      <c r="FY95" s="510"/>
      <c r="FZ95" s="510"/>
      <c r="GA95" s="2468" t="s">
        <v>334</v>
      </c>
      <c r="GB95" s="2469"/>
      <c r="GC95" s="2469"/>
      <c r="GD95" s="2469"/>
      <c r="GE95" s="2469"/>
      <c r="GF95" s="2470"/>
      <c r="GG95" s="511"/>
      <c r="GH95" s="511"/>
      <c r="GI95" s="511"/>
      <c r="GJ95" s="511"/>
      <c r="GK95" s="511"/>
      <c r="GL95" s="511"/>
      <c r="GM95" s="511"/>
      <c r="GN95" s="511"/>
      <c r="GO95" s="510"/>
      <c r="GP95" s="510"/>
      <c r="GQ95" s="510"/>
      <c r="GR95" s="510"/>
      <c r="GS95" s="510"/>
      <c r="GT95" s="510"/>
      <c r="GU95" s="510"/>
      <c r="GV95" s="2468" t="s">
        <v>937</v>
      </c>
      <c r="GW95" s="2469"/>
      <c r="GX95" s="2469"/>
      <c r="GY95" s="2469"/>
      <c r="GZ95" s="2469"/>
      <c r="HA95" s="2470"/>
      <c r="HB95" s="511"/>
      <c r="HC95" s="511"/>
      <c r="HD95" s="511"/>
      <c r="HE95" s="511"/>
      <c r="HF95" s="511"/>
      <c r="HG95" s="511"/>
      <c r="HH95" s="511"/>
      <c r="HI95" s="511"/>
      <c r="HJ95" s="510"/>
      <c r="HK95" s="510"/>
      <c r="HL95" s="510"/>
      <c r="HM95" s="510"/>
      <c r="HN95" s="510"/>
      <c r="HO95" s="510"/>
      <c r="HP95" s="510"/>
      <c r="HQ95" s="2468" t="s">
        <v>938</v>
      </c>
      <c r="HR95" s="2469"/>
      <c r="HS95" s="2469"/>
      <c r="HT95" s="2469"/>
      <c r="HU95" s="2469"/>
      <c r="HV95" s="2470"/>
      <c r="HW95" s="511"/>
      <c r="HX95" s="511"/>
      <c r="HY95" s="511"/>
      <c r="HZ95" s="511"/>
      <c r="IA95" s="511"/>
      <c r="IB95" s="511"/>
      <c r="IC95" s="511"/>
      <c r="ID95" s="511"/>
      <c r="IE95" s="510"/>
      <c r="IF95" s="510"/>
      <c r="IG95" s="510"/>
      <c r="IH95" s="510"/>
      <c r="II95" s="510"/>
      <c r="IJ95" s="510"/>
      <c r="IK95" s="510"/>
      <c r="IL95" s="2468" t="s">
        <v>939</v>
      </c>
      <c r="IM95" s="2469"/>
      <c r="IN95" s="2469"/>
      <c r="IO95" s="2469"/>
      <c r="IP95" s="2469"/>
      <c r="IQ95" s="2470"/>
      <c r="IR95" s="511"/>
      <c r="IS95" s="511"/>
      <c r="IT95" s="511"/>
      <c r="IU95" s="511"/>
      <c r="IV95" s="511"/>
      <c r="IW95" s="511"/>
      <c r="IX95" s="511"/>
      <c r="IY95" s="511"/>
      <c r="IZ95" s="510"/>
      <c r="JA95" s="510"/>
      <c r="JB95" s="510"/>
      <c r="JC95" s="510"/>
      <c r="JD95" s="510"/>
      <c r="JE95" s="510"/>
      <c r="JF95" s="510"/>
      <c r="JG95" s="2468" t="s">
        <v>940</v>
      </c>
      <c r="JH95" s="2469"/>
      <c r="JI95" s="2469"/>
      <c r="JJ95" s="2469"/>
      <c r="JK95" s="2469"/>
      <c r="JL95" s="2470"/>
      <c r="JM95" s="874"/>
      <c r="JN95" s="874"/>
      <c r="JO95" s="874"/>
      <c r="JP95" s="874"/>
      <c r="JQ95" s="874"/>
      <c r="JR95" s="874"/>
      <c r="JS95" s="874"/>
      <c r="JT95" s="874"/>
      <c r="JU95" s="874"/>
      <c r="JV95" s="874"/>
      <c r="JW95" s="874"/>
      <c r="JX95" s="874"/>
      <c r="JY95" s="874"/>
      <c r="JZ95" s="874"/>
      <c r="KA95" s="874"/>
      <c r="KB95" s="874"/>
      <c r="KC95" s="874"/>
      <c r="KD95" s="874"/>
      <c r="KE95" s="874"/>
      <c r="KF95" s="874"/>
      <c r="KG95" s="874"/>
      <c r="KH95" s="865"/>
      <c r="KI95" s="865"/>
      <c r="KJ95" s="865"/>
      <c r="KK95" s="865"/>
      <c r="KL95" s="865"/>
      <c r="KM95" s="865"/>
      <c r="KN95" s="865"/>
      <c r="KO95" s="865"/>
      <c r="KP95" s="865"/>
      <c r="KQ95" s="865"/>
      <c r="KR95" s="865"/>
      <c r="KS95" s="865"/>
      <c r="KT95" s="865"/>
      <c r="KU95" s="865"/>
      <c r="KV95" s="865"/>
      <c r="KW95" s="865"/>
      <c r="KX95" s="865"/>
      <c r="KY95" s="865"/>
      <c r="KZ95" s="865"/>
      <c r="LA95" s="865"/>
      <c r="LB95" s="865"/>
      <c r="LC95" s="865"/>
      <c r="LD95" s="865"/>
      <c r="LE95" s="865"/>
      <c r="LF95" s="865"/>
    </row>
    <row r="96" spans="1:318" ht="18.45" customHeight="1">
      <c r="A96" s="499" t="s">
        <v>1222</v>
      </c>
      <c r="B96" s="2487" t="str">
        <f t="shared" ref="B96:B101" si="44">IF(B107="","",AVERAGE(B107:E107))</f>
        <v/>
      </c>
      <c r="C96" s="2487"/>
      <c r="D96" s="2487"/>
      <c r="E96" s="2488"/>
      <c r="F96" s="511"/>
      <c r="G96" s="499" t="s">
        <v>1222</v>
      </c>
      <c r="H96" s="2487" t="str">
        <f>IF(H107="","",AVERAGE(H107:K107))</f>
        <v/>
      </c>
      <c r="I96" s="2487"/>
      <c r="J96" s="2487"/>
      <c r="K96" s="2488"/>
      <c r="L96" s="511"/>
      <c r="M96" s="499" t="s">
        <v>1222</v>
      </c>
      <c r="N96" s="2487" t="str">
        <f>IF(N107="","",AVERAGE(N107:Q107))</f>
        <v/>
      </c>
      <c r="O96" s="2487"/>
      <c r="P96" s="2487"/>
      <c r="Q96" s="2488"/>
      <c r="R96" s="511"/>
      <c r="S96" s="499" t="s">
        <v>1222</v>
      </c>
      <c r="T96" s="2487" t="str">
        <f>IF(T107="","",AVERAGE(T107:W107))</f>
        <v/>
      </c>
      <c r="U96" s="2487"/>
      <c r="V96" s="2487"/>
      <c r="W96" s="2488"/>
      <c r="X96" s="511"/>
      <c r="Y96" s="499" t="s">
        <v>1222</v>
      </c>
      <c r="Z96" s="2487" t="str">
        <f>IF(Z107="","",AVERAGE(Z107:AC107))</f>
        <v/>
      </c>
      <c r="AA96" s="2487"/>
      <c r="AB96" s="2487"/>
      <c r="AC96" s="2488"/>
      <c r="AD96" s="510"/>
      <c r="AE96" s="499" t="s">
        <v>1222</v>
      </c>
      <c r="AF96" s="2487" t="str">
        <f>IF(AF107="","",AVERAGE(AF107:AI107))</f>
        <v/>
      </c>
      <c r="AG96" s="2487"/>
      <c r="AH96" s="2487"/>
      <c r="AI96" s="2488"/>
      <c r="AJ96" s="510"/>
      <c r="AK96" s="499" t="s">
        <v>1222</v>
      </c>
      <c r="AL96" s="2487" t="str">
        <f t="shared" ref="AL96:AL101" si="45">IF(AL107="","",AVERAGE(AL107:AO107))</f>
        <v/>
      </c>
      <c r="AM96" s="2487"/>
      <c r="AN96" s="2487"/>
      <c r="AO96" s="2488"/>
      <c r="AP96" s="510"/>
      <c r="AQ96" s="499" t="s">
        <v>1222</v>
      </c>
      <c r="AR96" s="2487" t="str">
        <f>IF(AR107="","",AVERAGE(AR107:AU107))</f>
        <v/>
      </c>
      <c r="AS96" s="2487"/>
      <c r="AT96" s="2487"/>
      <c r="AU96" s="2488"/>
      <c r="AV96" s="510"/>
      <c r="AW96" s="499" t="s">
        <v>1222</v>
      </c>
      <c r="AX96" s="2487" t="str">
        <f>IF(AX107="","",AVERAGE(AX107:BA107))</f>
        <v/>
      </c>
      <c r="AY96" s="2487"/>
      <c r="AZ96" s="2487"/>
      <c r="BA96" s="2488"/>
      <c r="BB96" s="510"/>
      <c r="BC96" s="499" t="s">
        <v>1222</v>
      </c>
      <c r="BD96" s="2487" t="str">
        <f>IF(BD107="","",AVERAGE(BD107:BG107))</f>
        <v/>
      </c>
      <c r="BE96" s="2487"/>
      <c r="BF96" s="2487"/>
      <c r="BG96" s="2488"/>
      <c r="BH96" s="865"/>
      <c r="BI96" s="865"/>
      <c r="BJ96" s="1143" t="s">
        <v>1468</v>
      </c>
      <c r="BK96" s="2481"/>
      <c r="BL96" s="2481"/>
      <c r="BM96" s="2481"/>
      <c r="BN96" s="1144"/>
      <c r="BO96" s="2534"/>
      <c r="BP96" s="2535"/>
      <c r="BQ96" s="865"/>
      <c r="BR96" s="1143" t="s">
        <v>1468</v>
      </c>
      <c r="BS96" s="2481"/>
      <c r="BT96" s="2481"/>
      <c r="BU96" s="2481"/>
      <c r="BV96" s="1144"/>
      <c r="BW96" s="2439"/>
      <c r="BX96" s="2439"/>
      <c r="BY96" s="874"/>
      <c r="BZ96" s="880"/>
      <c r="CA96" s="881"/>
      <c r="CB96" s="2440" t="s">
        <v>1468</v>
      </c>
      <c r="CC96" s="2440"/>
      <c r="CD96" s="2441" t="s">
        <v>1479</v>
      </c>
      <c r="CE96" s="2442"/>
      <c r="CF96" s="511"/>
      <c r="CG96" s="511"/>
      <c r="CH96" s="511"/>
      <c r="CI96" s="511"/>
      <c r="CJ96" s="511"/>
      <c r="CK96" s="511"/>
      <c r="CL96" s="511"/>
      <c r="CM96" s="511"/>
      <c r="CN96" s="511"/>
      <c r="CO96" s="511"/>
      <c r="CP96" s="511"/>
      <c r="CQ96" s="511"/>
      <c r="CR96" s="511"/>
      <c r="CS96" s="511"/>
      <c r="CT96" s="511"/>
      <c r="CU96" s="880"/>
      <c r="CV96" s="881"/>
      <c r="CW96" s="2440" t="s">
        <v>1468</v>
      </c>
      <c r="CX96" s="2440"/>
      <c r="CY96" s="2441" t="s">
        <v>1479</v>
      </c>
      <c r="CZ96" s="2442"/>
      <c r="DA96" s="511"/>
      <c r="DB96" s="511"/>
      <c r="DC96" s="511"/>
      <c r="DD96" s="511"/>
      <c r="DE96" s="511"/>
      <c r="DF96" s="511"/>
      <c r="DG96" s="511"/>
      <c r="DH96" s="511"/>
      <c r="DI96" s="511"/>
      <c r="DJ96" s="511"/>
      <c r="DK96" s="511"/>
      <c r="DL96" s="511"/>
      <c r="DM96" s="511"/>
      <c r="DN96" s="511"/>
      <c r="DO96" s="511"/>
      <c r="DP96" s="880"/>
      <c r="DQ96" s="881"/>
      <c r="DR96" s="2440" t="s">
        <v>1468</v>
      </c>
      <c r="DS96" s="2440"/>
      <c r="DT96" s="2441" t="s">
        <v>1479</v>
      </c>
      <c r="DU96" s="2442"/>
      <c r="DV96" s="511"/>
      <c r="DW96" s="511"/>
      <c r="DX96" s="511"/>
      <c r="DY96" s="511"/>
      <c r="DZ96" s="511"/>
      <c r="EA96" s="511"/>
      <c r="EB96" s="511"/>
      <c r="EC96" s="511"/>
      <c r="ED96" s="511"/>
      <c r="EE96" s="511"/>
      <c r="EF96" s="511"/>
      <c r="EG96" s="511"/>
      <c r="EH96" s="511"/>
      <c r="EI96" s="511"/>
      <c r="EJ96" s="511"/>
      <c r="EK96" s="880"/>
      <c r="EL96" s="881"/>
      <c r="EM96" s="2440" t="s">
        <v>1468</v>
      </c>
      <c r="EN96" s="2440"/>
      <c r="EO96" s="2441" t="s">
        <v>1479</v>
      </c>
      <c r="EP96" s="2442"/>
      <c r="EQ96" s="511"/>
      <c r="ER96" s="511"/>
      <c r="ES96" s="511"/>
      <c r="ET96" s="511"/>
      <c r="EU96" s="511"/>
      <c r="EV96" s="511"/>
      <c r="EW96" s="511"/>
      <c r="EX96" s="511"/>
      <c r="EY96" s="511"/>
      <c r="EZ96" s="511"/>
      <c r="FA96" s="511"/>
      <c r="FB96" s="511"/>
      <c r="FC96" s="511"/>
      <c r="FD96" s="511"/>
      <c r="FE96" s="511"/>
      <c r="FF96" s="880"/>
      <c r="FG96" s="881"/>
      <c r="FH96" s="2440" t="s">
        <v>1468</v>
      </c>
      <c r="FI96" s="2440"/>
      <c r="FJ96" s="2441" t="s">
        <v>1479</v>
      </c>
      <c r="FK96" s="2442"/>
      <c r="FL96" s="511"/>
      <c r="FM96" s="511"/>
      <c r="FN96" s="511"/>
      <c r="FO96" s="511"/>
      <c r="FP96" s="511"/>
      <c r="FQ96" s="511"/>
      <c r="FR96" s="511"/>
      <c r="FS96" s="511"/>
      <c r="FT96" s="510"/>
      <c r="FU96" s="510"/>
      <c r="FV96" s="510"/>
      <c r="FW96" s="510"/>
      <c r="FX96" s="510"/>
      <c r="FY96" s="510"/>
      <c r="FZ96" s="510"/>
      <c r="GA96" s="880"/>
      <c r="GB96" s="881"/>
      <c r="GC96" s="2440" t="s">
        <v>1468</v>
      </c>
      <c r="GD96" s="2440"/>
      <c r="GE96" s="2441" t="s">
        <v>1479</v>
      </c>
      <c r="GF96" s="2442"/>
      <c r="GG96" s="511"/>
      <c r="GH96" s="511"/>
      <c r="GI96" s="511"/>
      <c r="GJ96" s="511"/>
      <c r="GK96" s="511"/>
      <c r="GL96" s="511"/>
      <c r="GM96" s="511"/>
      <c r="GN96" s="511"/>
      <c r="GO96" s="510"/>
      <c r="GP96" s="510"/>
      <c r="GQ96" s="510"/>
      <c r="GR96" s="510"/>
      <c r="GS96" s="510"/>
      <c r="GT96" s="510"/>
      <c r="GU96" s="510"/>
      <c r="GV96" s="880"/>
      <c r="GW96" s="881"/>
      <c r="GX96" s="2440" t="s">
        <v>1468</v>
      </c>
      <c r="GY96" s="2440"/>
      <c r="GZ96" s="2441" t="s">
        <v>1479</v>
      </c>
      <c r="HA96" s="2442"/>
      <c r="HB96" s="511"/>
      <c r="HC96" s="511"/>
      <c r="HD96" s="511"/>
      <c r="HE96" s="511"/>
      <c r="HF96" s="511"/>
      <c r="HG96" s="511"/>
      <c r="HH96" s="511"/>
      <c r="HI96" s="511"/>
      <c r="HJ96" s="510"/>
      <c r="HK96" s="510"/>
      <c r="HL96" s="510"/>
      <c r="HM96" s="510"/>
      <c r="HN96" s="510"/>
      <c r="HO96" s="510"/>
      <c r="HP96" s="510"/>
      <c r="HQ96" s="880"/>
      <c r="HR96" s="881"/>
      <c r="HS96" s="2440" t="s">
        <v>1468</v>
      </c>
      <c r="HT96" s="2440"/>
      <c r="HU96" s="2441" t="s">
        <v>1479</v>
      </c>
      <c r="HV96" s="2442"/>
      <c r="HW96" s="511"/>
      <c r="HX96" s="511"/>
      <c r="HY96" s="511"/>
      <c r="HZ96" s="511"/>
      <c r="IA96" s="511"/>
      <c r="IB96" s="511"/>
      <c r="IC96" s="511"/>
      <c r="ID96" s="511"/>
      <c r="IE96" s="510"/>
      <c r="IF96" s="510"/>
      <c r="IG96" s="510"/>
      <c r="IH96" s="510"/>
      <c r="II96" s="510"/>
      <c r="IJ96" s="510"/>
      <c r="IK96" s="510"/>
      <c r="IL96" s="880"/>
      <c r="IM96" s="881"/>
      <c r="IN96" s="2440" t="s">
        <v>1468</v>
      </c>
      <c r="IO96" s="2440"/>
      <c r="IP96" s="2441" t="s">
        <v>1479</v>
      </c>
      <c r="IQ96" s="2442"/>
      <c r="IR96" s="511"/>
      <c r="IS96" s="511"/>
      <c r="IT96" s="511"/>
      <c r="IU96" s="511"/>
      <c r="IV96" s="511"/>
      <c r="IW96" s="511"/>
      <c r="IX96" s="511"/>
      <c r="IY96" s="511"/>
      <c r="IZ96" s="510"/>
      <c r="JA96" s="510"/>
      <c r="JB96" s="510"/>
      <c r="JC96" s="510"/>
      <c r="JD96" s="510"/>
      <c r="JE96" s="510"/>
      <c r="JF96" s="510"/>
      <c r="JG96" s="880"/>
      <c r="JH96" s="881"/>
      <c r="JI96" s="2440" t="s">
        <v>1468</v>
      </c>
      <c r="JJ96" s="2440"/>
      <c r="JK96" s="2441" t="s">
        <v>1479</v>
      </c>
      <c r="JL96" s="2442"/>
      <c r="JM96" s="874"/>
      <c r="JN96" s="874"/>
      <c r="JO96" s="874"/>
      <c r="JP96" s="874"/>
      <c r="JQ96" s="874"/>
      <c r="JR96" s="874"/>
      <c r="JS96" s="874"/>
      <c r="JT96" s="874"/>
      <c r="JU96" s="874"/>
      <c r="JV96" s="874"/>
      <c r="JW96" s="874"/>
      <c r="JX96" s="874"/>
      <c r="JY96" s="874"/>
      <c r="JZ96" s="874"/>
      <c r="KA96" s="874"/>
      <c r="KB96" s="874"/>
      <c r="KC96" s="874"/>
      <c r="KD96" s="874"/>
      <c r="KE96" s="874"/>
      <c r="KF96" s="874"/>
      <c r="KG96" s="874"/>
      <c r="KH96" s="865"/>
      <c r="KI96" s="865"/>
      <c r="KJ96" s="865"/>
      <c r="KK96" s="865"/>
      <c r="KL96" s="865"/>
      <c r="KM96" s="865"/>
      <c r="KN96" s="865"/>
      <c r="KO96" s="865"/>
      <c r="KP96" s="865"/>
      <c r="KQ96" s="865"/>
      <c r="KR96" s="865"/>
      <c r="KS96" s="865"/>
      <c r="KT96" s="865"/>
      <c r="KU96" s="865"/>
      <c r="KV96" s="865"/>
      <c r="KW96" s="865"/>
      <c r="KX96" s="865"/>
      <c r="KY96" s="865"/>
      <c r="KZ96" s="865"/>
      <c r="LA96" s="865"/>
      <c r="LB96" s="865"/>
      <c r="LC96" s="865"/>
      <c r="LD96" s="865"/>
      <c r="LE96" s="865"/>
      <c r="LF96" s="865"/>
    </row>
    <row r="97" spans="1:318" ht="18.45" customHeight="1">
      <c r="A97" s="499" t="s">
        <v>1223</v>
      </c>
      <c r="B97" s="2487" t="str">
        <f t="shared" si="44"/>
        <v/>
      </c>
      <c r="C97" s="2487"/>
      <c r="D97" s="2487"/>
      <c r="E97" s="2488"/>
      <c r="F97" s="511"/>
      <c r="G97" s="499" t="s">
        <v>1223</v>
      </c>
      <c r="H97" s="2487" t="str">
        <f>IF(H108="","",AVERAGE(H108:K108))</f>
        <v/>
      </c>
      <c r="I97" s="2487"/>
      <c r="J97" s="2487"/>
      <c r="K97" s="2488"/>
      <c r="L97" s="511"/>
      <c r="M97" s="499" t="s">
        <v>1223</v>
      </c>
      <c r="N97" s="2487" t="str">
        <f>IF(N108="","",AVERAGE(N108:Q108))</f>
        <v/>
      </c>
      <c r="O97" s="2487"/>
      <c r="P97" s="2487"/>
      <c r="Q97" s="2488"/>
      <c r="R97" s="511"/>
      <c r="S97" s="499" t="s">
        <v>1223</v>
      </c>
      <c r="T97" s="2487" t="str">
        <f>IF(T108="","",AVERAGE(T108:W108))</f>
        <v/>
      </c>
      <c r="U97" s="2487"/>
      <c r="V97" s="2487"/>
      <c r="W97" s="2488"/>
      <c r="X97" s="511"/>
      <c r="Y97" s="499" t="s">
        <v>1223</v>
      </c>
      <c r="Z97" s="2487" t="str">
        <f>IF(Z108="","",AVERAGE(Z108:AC108))</f>
        <v/>
      </c>
      <c r="AA97" s="2487"/>
      <c r="AB97" s="2487"/>
      <c r="AC97" s="2488"/>
      <c r="AD97" s="510"/>
      <c r="AE97" s="499" t="s">
        <v>1223</v>
      </c>
      <c r="AF97" s="2487" t="str">
        <f>IF(AF108="","",AVERAGE(AF108:AI108))</f>
        <v/>
      </c>
      <c r="AG97" s="2487"/>
      <c r="AH97" s="2487"/>
      <c r="AI97" s="2488"/>
      <c r="AJ97" s="510"/>
      <c r="AK97" s="499" t="s">
        <v>1223</v>
      </c>
      <c r="AL97" s="2487" t="str">
        <f t="shared" si="45"/>
        <v/>
      </c>
      <c r="AM97" s="2487"/>
      <c r="AN97" s="2487"/>
      <c r="AO97" s="2488"/>
      <c r="AP97" s="510"/>
      <c r="AQ97" s="499" t="s">
        <v>1223</v>
      </c>
      <c r="AR97" s="2487" t="str">
        <f>IF(AR108="","",AVERAGE(AR108:AU108))</f>
        <v/>
      </c>
      <c r="AS97" s="2487"/>
      <c r="AT97" s="2487"/>
      <c r="AU97" s="2488"/>
      <c r="AV97" s="510"/>
      <c r="AW97" s="499" t="s">
        <v>1223</v>
      </c>
      <c r="AX97" s="2487" t="str">
        <f>IF(AX108="","",AVERAGE(AX108:BA108))</f>
        <v/>
      </c>
      <c r="AY97" s="2487"/>
      <c r="AZ97" s="2487"/>
      <c r="BA97" s="2488"/>
      <c r="BB97" s="510"/>
      <c r="BC97" s="499" t="s">
        <v>1223</v>
      </c>
      <c r="BD97" s="2487" t="str">
        <f>IF(BD108="","",AVERAGE(BD108:BG108))</f>
        <v/>
      </c>
      <c r="BE97" s="2487"/>
      <c r="BF97" s="2487"/>
      <c r="BG97" s="2488"/>
      <c r="BH97" s="865"/>
      <c r="BI97" s="865"/>
      <c r="BJ97" s="2491" t="str">
        <f>IF(BF96="واقعي","نتايج عدم قطعيت بر اساس اطلاعات واقعي تركيب درصدهاي وارد شده:","")</f>
        <v/>
      </c>
      <c r="BK97" s="2492"/>
      <c r="BL97" s="2492"/>
      <c r="BM97" s="2492"/>
      <c r="BN97" s="2492"/>
      <c r="BO97" s="2492"/>
      <c r="BP97" s="2493"/>
      <c r="BQ97" s="865"/>
      <c r="BR97" s="2491" t="str">
        <f>IF(BN96="واقعي","نتايج عدم قطعيت بر اساس اطلاعات واقعي تركيب درصدهاي وارد شده:","")</f>
        <v/>
      </c>
      <c r="BS97" s="2492"/>
      <c r="BT97" s="2492"/>
      <c r="BU97" s="2492"/>
      <c r="BV97" s="2492"/>
      <c r="BW97" s="2492"/>
      <c r="BX97" s="2493"/>
      <c r="BY97" s="874"/>
      <c r="BZ97" s="882"/>
      <c r="CA97" s="883"/>
      <c r="CB97" s="2440"/>
      <c r="CC97" s="2440"/>
      <c r="CD97" s="2443"/>
      <c r="CE97" s="2444"/>
      <c r="CF97" s="511"/>
      <c r="CG97" s="511"/>
      <c r="CH97" s="511"/>
      <c r="CI97" s="511"/>
      <c r="CJ97" s="511"/>
      <c r="CK97" s="511"/>
      <c r="CL97" s="511"/>
      <c r="CM97" s="511"/>
      <c r="CN97" s="511"/>
      <c r="CO97" s="511"/>
      <c r="CP97" s="511"/>
      <c r="CQ97" s="511"/>
      <c r="CR97" s="511"/>
      <c r="CS97" s="511"/>
      <c r="CT97" s="511"/>
      <c r="CU97" s="882"/>
      <c r="CV97" s="883"/>
      <c r="CW97" s="2440"/>
      <c r="CX97" s="2440"/>
      <c r="CY97" s="2443"/>
      <c r="CZ97" s="2444"/>
      <c r="DA97" s="511"/>
      <c r="DB97" s="511"/>
      <c r="DC97" s="511"/>
      <c r="DD97" s="511"/>
      <c r="DE97" s="511"/>
      <c r="DF97" s="511"/>
      <c r="DG97" s="511"/>
      <c r="DH97" s="511"/>
      <c r="DI97" s="511"/>
      <c r="DJ97" s="511"/>
      <c r="DK97" s="511"/>
      <c r="DL97" s="511"/>
      <c r="DM97" s="511"/>
      <c r="DN97" s="511"/>
      <c r="DO97" s="511"/>
      <c r="DP97" s="882"/>
      <c r="DQ97" s="883"/>
      <c r="DR97" s="2440"/>
      <c r="DS97" s="2440"/>
      <c r="DT97" s="2443"/>
      <c r="DU97" s="2444"/>
      <c r="DV97" s="511"/>
      <c r="DW97" s="511"/>
      <c r="DX97" s="511"/>
      <c r="DY97" s="511"/>
      <c r="DZ97" s="511"/>
      <c r="EA97" s="511"/>
      <c r="EB97" s="511"/>
      <c r="EC97" s="511"/>
      <c r="ED97" s="511"/>
      <c r="EE97" s="511"/>
      <c r="EF97" s="511"/>
      <c r="EG97" s="511"/>
      <c r="EH97" s="511"/>
      <c r="EI97" s="511"/>
      <c r="EJ97" s="511"/>
      <c r="EK97" s="882"/>
      <c r="EL97" s="883"/>
      <c r="EM97" s="2440"/>
      <c r="EN97" s="2440"/>
      <c r="EO97" s="2443"/>
      <c r="EP97" s="2444"/>
      <c r="EQ97" s="511"/>
      <c r="ER97" s="511"/>
      <c r="ES97" s="511"/>
      <c r="ET97" s="511"/>
      <c r="EU97" s="511"/>
      <c r="EV97" s="511"/>
      <c r="EW97" s="511"/>
      <c r="EX97" s="511"/>
      <c r="EY97" s="511"/>
      <c r="EZ97" s="511"/>
      <c r="FA97" s="511"/>
      <c r="FB97" s="511"/>
      <c r="FC97" s="511"/>
      <c r="FD97" s="511"/>
      <c r="FE97" s="511"/>
      <c r="FF97" s="882"/>
      <c r="FG97" s="883"/>
      <c r="FH97" s="2440"/>
      <c r="FI97" s="2440"/>
      <c r="FJ97" s="2443"/>
      <c r="FK97" s="2444"/>
      <c r="FL97" s="511"/>
      <c r="FM97" s="511"/>
      <c r="FN97" s="511"/>
      <c r="FO97" s="511"/>
      <c r="FP97" s="511"/>
      <c r="FQ97" s="511"/>
      <c r="FR97" s="511"/>
      <c r="FS97" s="511"/>
      <c r="FT97" s="510"/>
      <c r="FU97" s="510"/>
      <c r="FV97" s="510"/>
      <c r="FW97" s="510"/>
      <c r="FX97" s="510"/>
      <c r="FY97" s="510"/>
      <c r="FZ97" s="510"/>
      <c r="GA97" s="882"/>
      <c r="GB97" s="883"/>
      <c r="GC97" s="2440"/>
      <c r="GD97" s="2440"/>
      <c r="GE97" s="2443"/>
      <c r="GF97" s="2444"/>
      <c r="GG97" s="511"/>
      <c r="GH97" s="511"/>
      <c r="GI97" s="511"/>
      <c r="GJ97" s="511"/>
      <c r="GK97" s="511"/>
      <c r="GL97" s="511"/>
      <c r="GM97" s="511"/>
      <c r="GN97" s="511"/>
      <c r="GO97" s="510"/>
      <c r="GP97" s="510"/>
      <c r="GQ97" s="510"/>
      <c r="GR97" s="510"/>
      <c r="GS97" s="510"/>
      <c r="GT97" s="510"/>
      <c r="GU97" s="510"/>
      <c r="GV97" s="882"/>
      <c r="GW97" s="883"/>
      <c r="GX97" s="2440"/>
      <c r="GY97" s="2440"/>
      <c r="GZ97" s="2443"/>
      <c r="HA97" s="2444"/>
      <c r="HB97" s="511"/>
      <c r="HC97" s="511"/>
      <c r="HD97" s="511"/>
      <c r="HE97" s="511"/>
      <c r="HF97" s="511"/>
      <c r="HG97" s="511"/>
      <c r="HH97" s="511"/>
      <c r="HI97" s="511"/>
      <c r="HJ97" s="510"/>
      <c r="HK97" s="510"/>
      <c r="HL97" s="510"/>
      <c r="HM97" s="510"/>
      <c r="HN97" s="510"/>
      <c r="HO97" s="510"/>
      <c r="HP97" s="510"/>
      <c r="HQ97" s="882"/>
      <c r="HR97" s="883"/>
      <c r="HS97" s="2440"/>
      <c r="HT97" s="2440"/>
      <c r="HU97" s="2443"/>
      <c r="HV97" s="2444"/>
      <c r="HW97" s="511"/>
      <c r="HX97" s="511"/>
      <c r="HY97" s="511"/>
      <c r="HZ97" s="511"/>
      <c r="IA97" s="511"/>
      <c r="IB97" s="511"/>
      <c r="IC97" s="511"/>
      <c r="ID97" s="511"/>
      <c r="IE97" s="510"/>
      <c r="IF97" s="510"/>
      <c r="IG97" s="510"/>
      <c r="IH97" s="510"/>
      <c r="II97" s="510"/>
      <c r="IJ97" s="510"/>
      <c r="IK97" s="510"/>
      <c r="IL97" s="882"/>
      <c r="IM97" s="883"/>
      <c r="IN97" s="2440"/>
      <c r="IO97" s="2440"/>
      <c r="IP97" s="2443"/>
      <c r="IQ97" s="2444"/>
      <c r="IR97" s="511"/>
      <c r="IS97" s="511"/>
      <c r="IT97" s="511"/>
      <c r="IU97" s="511"/>
      <c r="IV97" s="511"/>
      <c r="IW97" s="511"/>
      <c r="IX97" s="511"/>
      <c r="IY97" s="511"/>
      <c r="IZ97" s="510"/>
      <c r="JA97" s="510"/>
      <c r="JB97" s="510"/>
      <c r="JC97" s="510"/>
      <c r="JD97" s="510"/>
      <c r="JE97" s="510"/>
      <c r="JF97" s="510"/>
      <c r="JG97" s="882"/>
      <c r="JH97" s="883"/>
      <c r="JI97" s="2440"/>
      <c r="JJ97" s="2440"/>
      <c r="JK97" s="2443"/>
      <c r="JL97" s="2444"/>
      <c r="JM97" s="874"/>
      <c r="JN97" s="874"/>
      <c r="JO97" s="874"/>
      <c r="JP97" s="874"/>
      <c r="JQ97" s="874"/>
      <c r="JR97" s="874"/>
      <c r="JS97" s="874"/>
      <c r="JT97" s="874"/>
      <c r="JU97" s="874"/>
      <c r="JV97" s="874"/>
      <c r="JW97" s="874"/>
      <c r="JX97" s="874"/>
      <c r="JY97" s="874"/>
      <c r="JZ97" s="874"/>
      <c r="KA97" s="874"/>
      <c r="KB97" s="874"/>
      <c r="KC97" s="874"/>
      <c r="KD97" s="874"/>
      <c r="KE97" s="874"/>
      <c r="KF97" s="874"/>
      <c r="KG97" s="874"/>
      <c r="KH97" s="865"/>
      <c r="KI97" s="865"/>
      <c r="KJ97" s="865"/>
      <c r="KK97" s="865"/>
      <c r="KL97" s="865"/>
      <c r="KM97" s="865"/>
      <c r="KN97" s="865"/>
      <c r="KO97" s="865"/>
      <c r="KP97" s="865"/>
      <c r="KQ97" s="865"/>
      <c r="KR97" s="865"/>
      <c r="KS97" s="865"/>
      <c r="KT97" s="865"/>
      <c r="KU97" s="865"/>
      <c r="KV97" s="865"/>
      <c r="KW97" s="865"/>
      <c r="KX97" s="865"/>
      <c r="KY97" s="865"/>
      <c r="KZ97" s="865"/>
      <c r="LA97" s="865"/>
      <c r="LB97" s="865"/>
      <c r="LC97" s="865"/>
      <c r="LD97" s="865"/>
      <c r="LE97" s="865"/>
      <c r="LF97" s="865"/>
    </row>
    <row r="98" spans="1:318" ht="18.600000000000001">
      <c r="A98" s="499" t="s">
        <v>1233</v>
      </c>
      <c r="B98" s="2487" t="str">
        <f t="shared" si="44"/>
        <v/>
      </c>
      <c r="C98" s="2487"/>
      <c r="D98" s="2487"/>
      <c r="E98" s="2488"/>
      <c r="F98" s="511"/>
      <c r="G98" s="499" t="s">
        <v>1233</v>
      </c>
      <c r="H98" s="2487" t="str">
        <f t="shared" ref="H98:H102" si="46">IF(H109="","",AVERAGE(H109:K109))</f>
        <v/>
      </c>
      <c r="I98" s="2487"/>
      <c r="J98" s="2487"/>
      <c r="K98" s="2488"/>
      <c r="L98" s="511"/>
      <c r="M98" s="499" t="s">
        <v>1233</v>
      </c>
      <c r="N98" s="2487" t="str">
        <f t="shared" ref="N98:N102" si="47">IF(N109="","",AVERAGE(N109:Q109))</f>
        <v/>
      </c>
      <c r="O98" s="2487"/>
      <c r="P98" s="2487"/>
      <c r="Q98" s="2488"/>
      <c r="R98" s="511"/>
      <c r="S98" s="499" t="s">
        <v>1233</v>
      </c>
      <c r="T98" s="2487" t="str">
        <f t="shared" ref="T98:T102" si="48">IF(T109="","",AVERAGE(T109:W109))</f>
        <v/>
      </c>
      <c r="U98" s="2487"/>
      <c r="V98" s="2487"/>
      <c r="W98" s="2488"/>
      <c r="X98" s="511"/>
      <c r="Y98" s="499" t="s">
        <v>1233</v>
      </c>
      <c r="Z98" s="2487" t="str">
        <f t="shared" ref="Z98:Z102" si="49">IF(Z109="","",AVERAGE(Z109:AC109))</f>
        <v/>
      </c>
      <c r="AA98" s="2487"/>
      <c r="AB98" s="2487"/>
      <c r="AC98" s="2488"/>
      <c r="AD98" s="510"/>
      <c r="AE98" s="499" t="s">
        <v>1233</v>
      </c>
      <c r="AF98" s="2487" t="str">
        <f t="shared" ref="AF98:AF102" si="50">IF(AF109="","",AVERAGE(AF109:AI109))</f>
        <v/>
      </c>
      <c r="AG98" s="2487"/>
      <c r="AH98" s="2487"/>
      <c r="AI98" s="2488"/>
      <c r="AJ98" s="511"/>
      <c r="AK98" s="499" t="s">
        <v>1233</v>
      </c>
      <c r="AL98" s="2487" t="str">
        <f t="shared" si="45"/>
        <v/>
      </c>
      <c r="AM98" s="2487"/>
      <c r="AN98" s="2487"/>
      <c r="AO98" s="2488"/>
      <c r="AP98" s="511"/>
      <c r="AQ98" s="499" t="s">
        <v>1233</v>
      </c>
      <c r="AR98" s="2487" t="str">
        <f t="shared" ref="AR98:AR102" si="51">IF(AR109="","",AVERAGE(AR109:AU109))</f>
        <v/>
      </c>
      <c r="AS98" s="2487"/>
      <c r="AT98" s="2487"/>
      <c r="AU98" s="2488"/>
      <c r="AV98" s="511"/>
      <c r="AW98" s="499" t="s">
        <v>1233</v>
      </c>
      <c r="AX98" s="2487" t="str">
        <f t="shared" ref="AX98:AX102" si="52">IF(AX109="","",AVERAGE(AX109:BA109))</f>
        <v/>
      </c>
      <c r="AY98" s="2487"/>
      <c r="AZ98" s="2487"/>
      <c r="BA98" s="2488"/>
      <c r="BB98" s="511"/>
      <c r="BC98" s="499" t="s">
        <v>1233</v>
      </c>
      <c r="BD98" s="2487" t="str">
        <f t="shared" ref="BD98:BD102" si="53">IF(BD109="","",AVERAGE(BD109:BG109))</f>
        <v/>
      </c>
      <c r="BE98" s="2487"/>
      <c r="BF98" s="2487"/>
      <c r="BG98" s="2488"/>
      <c r="BH98" s="865"/>
      <c r="BI98" s="865"/>
      <c r="BJ98" s="1143" t="s">
        <v>1506</v>
      </c>
      <c r="BK98" s="2481"/>
      <c r="BL98" s="2481"/>
      <c r="BM98" s="2481"/>
      <c r="BN98" s="1144"/>
      <c r="BO98" s="2482" t="str">
        <f>IF(BO96="","",IF(BO96=1,CJ143,CL143))</f>
        <v/>
      </c>
      <c r="BP98" s="2483"/>
      <c r="BQ98" s="865"/>
      <c r="BR98" s="1143" t="s">
        <v>1506</v>
      </c>
      <c r="BS98" s="2481"/>
      <c r="BT98" s="2481"/>
      <c r="BU98" s="2481"/>
      <c r="BV98" s="1144"/>
      <c r="BW98" s="2482" t="str">
        <f>IF(BW96="","",IF(BW96=1,GK143,GM143))</f>
        <v/>
      </c>
      <c r="BX98" s="2483"/>
      <c r="BY98" s="874"/>
      <c r="BZ98" s="632"/>
      <c r="CA98" s="633"/>
      <c r="CB98" s="874"/>
      <c r="CC98" s="874"/>
      <c r="CD98" s="2445" t="e">
        <f>VLOOKUP(BO96,Sheet1!$A$2:$B$5,2,FALSE)</f>
        <v>#N/A</v>
      </c>
      <c r="CE98" s="2446"/>
      <c r="CF98" s="511"/>
      <c r="CG98" s="511"/>
      <c r="CH98" s="511"/>
      <c r="CI98" s="511"/>
      <c r="CJ98" s="511"/>
      <c r="CK98" s="511"/>
      <c r="CL98" s="511"/>
      <c r="CM98" s="511"/>
      <c r="CN98" s="511"/>
      <c r="CO98" s="511"/>
      <c r="CP98" s="511"/>
      <c r="CQ98" s="511"/>
      <c r="CR98" s="511"/>
      <c r="CS98" s="511"/>
      <c r="CT98" s="511"/>
      <c r="CU98" s="632"/>
      <c r="CV98" s="633"/>
      <c r="CW98" s="874"/>
      <c r="CX98" s="874"/>
      <c r="CY98" s="2445" t="e">
        <f>VLOOKUP(BO106,Sheet1!$A$2:$B$5,2,FALSE)</f>
        <v>#N/A</v>
      </c>
      <c r="CZ98" s="2446"/>
      <c r="DA98" s="511"/>
      <c r="DB98" s="511"/>
      <c r="DC98" s="511"/>
      <c r="DD98" s="511"/>
      <c r="DE98" s="511"/>
      <c r="DF98" s="511"/>
      <c r="DG98" s="511"/>
      <c r="DH98" s="511"/>
      <c r="DI98" s="511"/>
      <c r="DJ98" s="511"/>
      <c r="DK98" s="511"/>
      <c r="DL98" s="511"/>
      <c r="DM98" s="511"/>
      <c r="DN98" s="511"/>
      <c r="DO98" s="511"/>
      <c r="DP98" s="632"/>
      <c r="DQ98" s="633"/>
      <c r="DR98" s="874"/>
      <c r="DS98" s="874"/>
      <c r="DT98" s="2445" t="e">
        <f>VLOOKUP(BO116,Sheet1!$A$2:$B$5,2,FALSE)</f>
        <v>#N/A</v>
      </c>
      <c r="DU98" s="2446"/>
      <c r="DV98" s="511"/>
      <c r="DW98" s="511"/>
      <c r="DX98" s="511"/>
      <c r="DY98" s="511"/>
      <c r="DZ98" s="511"/>
      <c r="EA98" s="511"/>
      <c r="EB98" s="511"/>
      <c r="EC98" s="511"/>
      <c r="ED98" s="511"/>
      <c r="EE98" s="511"/>
      <c r="EF98" s="511"/>
      <c r="EG98" s="511"/>
      <c r="EH98" s="511"/>
      <c r="EI98" s="511"/>
      <c r="EJ98" s="511"/>
      <c r="EK98" s="632"/>
      <c r="EL98" s="633"/>
      <c r="EM98" s="874"/>
      <c r="EN98" s="874"/>
      <c r="EO98" s="2445" t="e">
        <f>VLOOKUP(BO126,Sheet1!$A$2:$B$5,2,FALSE)</f>
        <v>#N/A</v>
      </c>
      <c r="EP98" s="2446"/>
      <c r="EQ98" s="511"/>
      <c r="ER98" s="511"/>
      <c r="ES98" s="511"/>
      <c r="ET98" s="511"/>
      <c r="EU98" s="511"/>
      <c r="EV98" s="511"/>
      <c r="EW98" s="511"/>
      <c r="EX98" s="511"/>
      <c r="EY98" s="511"/>
      <c r="EZ98" s="511"/>
      <c r="FA98" s="511"/>
      <c r="FB98" s="511"/>
      <c r="FC98" s="511"/>
      <c r="FD98" s="511"/>
      <c r="FE98" s="511"/>
      <c r="FF98" s="632"/>
      <c r="FG98" s="633"/>
      <c r="FH98" s="874"/>
      <c r="FI98" s="874"/>
      <c r="FJ98" s="2445" t="e">
        <f>VLOOKUP(BO136,Sheet1!$A$2:$B$5,2,FALSE)</f>
        <v>#N/A</v>
      </c>
      <c r="FK98" s="2446"/>
      <c r="FL98" s="511"/>
      <c r="FM98" s="511"/>
      <c r="FN98" s="511"/>
      <c r="FO98" s="511"/>
      <c r="FP98" s="511"/>
      <c r="FQ98" s="511"/>
      <c r="FR98" s="511"/>
      <c r="FS98" s="511"/>
      <c r="FT98" s="510"/>
      <c r="FU98" s="510"/>
      <c r="FV98" s="510"/>
      <c r="FW98" s="510"/>
      <c r="FX98" s="510"/>
      <c r="FY98" s="510"/>
      <c r="FZ98" s="510"/>
      <c r="GA98" s="632"/>
      <c r="GB98" s="633"/>
      <c r="GC98" s="874"/>
      <c r="GD98" s="874"/>
      <c r="GE98" s="2445" t="e">
        <f>VLOOKUP(BW96,Sheet1!$A$2:$B$5,2,FALSE)</f>
        <v>#N/A</v>
      </c>
      <c r="GF98" s="2446"/>
      <c r="GG98" s="511"/>
      <c r="GH98" s="511"/>
      <c r="GI98" s="511"/>
      <c r="GJ98" s="511"/>
      <c r="GK98" s="511"/>
      <c r="GL98" s="511"/>
      <c r="GM98" s="511"/>
      <c r="GN98" s="511"/>
      <c r="GO98" s="511"/>
      <c r="GP98" s="511"/>
      <c r="GQ98" s="511"/>
      <c r="GR98" s="511"/>
      <c r="GS98" s="511"/>
      <c r="GT98" s="511"/>
      <c r="GU98" s="511"/>
      <c r="GV98" s="632"/>
      <c r="GW98" s="633"/>
      <c r="GX98" s="874"/>
      <c r="GY98" s="874"/>
      <c r="GZ98" s="2445" t="e">
        <f>VLOOKUP(BW106,Sheet1!$A$2:$B$5,2,FALSE)</f>
        <v>#N/A</v>
      </c>
      <c r="HA98" s="2446"/>
      <c r="HB98" s="511"/>
      <c r="HC98" s="511"/>
      <c r="HD98" s="511"/>
      <c r="HE98" s="511"/>
      <c r="HF98" s="511"/>
      <c r="HG98" s="511"/>
      <c r="HH98" s="511"/>
      <c r="HI98" s="511"/>
      <c r="HJ98" s="511"/>
      <c r="HK98" s="511"/>
      <c r="HL98" s="511"/>
      <c r="HM98" s="511"/>
      <c r="HN98" s="511"/>
      <c r="HO98" s="511"/>
      <c r="HP98" s="511"/>
      <c r="HQ98" s="632"/>
      <c r="HR98" s="633"/>
      <c r="HS98" s="874"/>
      <c r="HT98" s="874"/>
      <c r="HU98" s="2445" t="e">
        <f>VLOOKUP(BW116,Sheet1!$A$2:$B$5,2,FALSE)</f>
        <v>#N/A</v>
      </c>
      <c r="HV98" s="2446"/>
      <c r="HW98" s="511"/>
      <c r="HX98" s="511"/>
      <c r="HY98" s="511"/>
      <c r="HZ98" s="511"/>
      <c r="IA98" s="511"/>
      <c r="IB98" s="511"/>
      <c r="IC98" s="511"/>
      <c r="ID98" s="511"/>
      <c r="IE98" s="511"/>
      <c r="IF98" s="511"/>
      <c r="IG98" s="511"/>
      <c r="IH98" s="511"/>
      <c r="II98" s="511"/>
      <c r="IJ98" s="511"/>
      <c r="IK98" s="511"/>
      <c r="IL98" s="632"/>
      <c r="IM98" s="633"/>
      <c r="IN98" s="874"/>
      <c r="IO98" s="874"/>
      <c r="IP98" s="2445" t="e">
        <f>VLOOKUP(BW126,Sheet1!$A$2:$B$5,2,FALSE)</f>
        <v>#N/A</v>
      </c>
      <c r="IQ98" s="2446"/>
      <c r="IR98" s="511"/>
      <c r="IS98" s="511"/>
      <c r="IT98" s="511"/>
      <c r="IU98" s="511"/>
      <c r="IV98" s="511"/>
      <c r="IW98" s="511"/>
      <c r="IX98" s="511"/>
      <c r="IY98" s="511"/>
      <c r="IZ98" s="511"/>
      <c r="JA98" s="511"/>
      <c r="JB98" s="511"/>
      <c r="JC98" s="511"/>
      <c r="JD98" s="511"/>
      <c r="JE98" s="511"/>
      <c r="JF98" s="511"/>
      <c r="JG98" s="632"/>
      <c r="JH98" s="633"/>
      <c r="JI98" s="874"/>
      <c r="JJ98" s="874"/>
      <c r="JK98" s="2445" t="e">
        <f>VLOOKUP(BW136,Sheet1!$A$2:$B$5,2,FALSE)</f>
        <v>#N/A</v>
      </c>
      <c r="JL98" s="2446"/>
      <c r="JM98" s="874"/>
      <c r="JN98" s="874"/>
      <c r="JO98" s="874"/>
      <c r="JP98" s="874"/>
      <c r="JQ98" s="874"/>
      <c r="JR98" s="874"/>
      <c r="JS98" s="874"/>
      <c r="JT98" s="874"/>
      <c r="JU98" s="874"/>
      <c r="JV98" s="874"/>
      <c r="JW98" s="874"/>
      <c r="JX98" s="874"/>
      <c r="JY98" s="874"/>
      <c r="JZ98" s="874"/>
      <c r="KA98" s="874"/>
      <c r="KB98" s="874"/>
      <c r="KC98" s="874"/>
      <c r="KD98" s="874"/>
      <c r="KE98" s="874"/>
      <c r="KF98" s="874"/>
      <c r="KG98" s="874"/>
      <c r="KH98" s="865"/>
      <c r="KI98" s="865"/>
      <c r="KJ98" s="865"/>
      <c r="KK98" s="865"/>
      <c r="KL98" s="865"/>
      <c r="KM98" s="865"/>
      <c r="KN98" s="865"/>
      <c r="KO98" s="865"/>
      <c r="KP98" s="865"/>
      <c r="KQ98" s="865"/>
      <c r="KR98" s="865"/>
      <c r="KS98" s="865"/>
      <c r="KT98" s="865"/>
      <c r="KU98" s="865"/>
      <c r="KV98" s="865"/>
      <c r="KW98" s="865"/>
      <c r="KX98" s="865"/>
      <c r="KY98" s="865"/>
      <c r="KZ98" s="865"/>
      <c r="LA98" s="865"/>
      <c r="LB98" s="865"/>
      <c r="LC98" s="865"/>
      <c r="LD98" s="865"/>
      <c r="LE98" s="865"/>
      <c r="LF98" s="865"/>
    </row>
    <row r="99" spans="1:318" ht="18.600000000000001">
      <c r="A99" s="499" t="s">
        <v>1234</v>
      </c>
      <c r="B99" s="2487" t="str">
        <f t="shared" si="44"/>
        <v/>
      </c>
      <c r="C99" s="2487"/>
      <c r="D99" s="2487"/>
      <c r="E99" s="2488"/>
      <c r="F99" s="511"/>
      <c r="G99" s="499" t="s">
        <v>1234</v>
      </c>
      <c r="H99" s="2487" t="str">
        <f t="shared" si="46"/>
        <v/>
      </c>
      <c r="I99" s="2487"/>
      <c r="J99" s="2487"/>
      <c r="K99" s="2488"/>
      <c r="L99" s="511"/>
      <c r="M99" s="499" t="s">
        <v>1234</v>
      </c>
      <c r="N99" s="2487" t="str">
        <f t="shared" si="47"/>
        <v/>
      </c>
      <c r="O99" s="2487"/>
      <c r="P99" s="2487"/>
      <c r="Q99" s="2488"/>
      <c r="R99" s="511"/>
      <c r="S99" s="499" t="s">
        <v>1234</v>
      </c>
      <c r="T99" s="2487" t="str">
        <f t="shared" si="48"/>
        <v/>
      </c>
      <c r="U99" s="2487"/>
      <c r="V99" s="2487"/>
      <c r="W99" s="2488"/>
      <c r="X99" s="511"/>
      <c r="Y99" s="499" t="s">
        <v>1234</v>
      </c>
      <c r="Z99" s="2487" t="str">
        <f t="shared" si="49"/>
        <v/>
      </c>
      <c r="AA99" s="2487"/>
      <c r="AB99" s="2487"/>
      <c r="AC99" s="2488"/>
      <c r="AD99" s="511"/>
      <c r="AE99" s="499" t="s">
        <v>1234</v>
      </c>
      <c r="AF99" s="2487" t="str">
        <f t="shared" si="50"/>
        <v/>
      </c>
      <c r="AG99" s="2487"/>
      <c r="AH99" s="2487"/>
      <c r="AI99" s="2488"/>
      <c r="AJ99" s="511"/>
      <c r="AK99" s="499" t="s">
        <v>1234</v>
      </c>
      <c r="AL99" s="2487" t="str">
        <f t="shared" si="45"/>
        <v/>
      </c>
      <c r="AM99" s="2487"/>
      <c r="AN99" s="2487"/>
      <c r="AO99" s="2488"/>
      <c r="AP99" s="511"/>
      <c r="AQ99" s="499" t="s">
        <v>1234</v>
      </c>
      <c r="AR99" s="2487" t="str">
        <f t="shared" si="51"/>
        <v/>
      </c>
      <c r="AS99" s="2487"/>
      <c r="AT99" s="2487"/>
      <c r="AU99" s="2488"/>
      <c r="AV99" s="511"/>
      <c r="AW99" s="499" t="s">
        <v>1234</v>
      </c>
      <c r="AX99" s="2487" t="str">
        <f t="shared" si="52"/>
        <v/>
      </c>
      <c r="AY99" s="2487"/>
      <c r="AZ99" s="2487"/>
      <c r="BA99" s="2488"/>
      <c r="BB99" s="511"/>
      <c r="BC99" s="499" t="s">
        <v>1234</v>
      </c>
      <c r="BD99" s="2487" t="str">
        <f t="shared" si="53"/>
        <v/>
      </c>
      <c r="BE99" s="2487"/>
      <c r="BF99" s="2487"/>
      <c r="BG99" s="2488"/>
      <c r="BH99" s="865"/>
      <c r="BI99" s="865"/>
      <c r="BJ99" s="1143" t="s">
        <v>1507</v>
      </c>
      <c r="BK99" s="2481"/>
      <c r="BL99" s="2481"/>
      <c r="BM99" s="2481"/>
      <c r="BN99" s="1144"/>
      <c r="BO99" s="2482" t="str">
        <f>IF(BO96="","",IF(BO96=1,CK143,CM143))</f>
        <v/>
      </c>
      <c r="BP99" s="2483"/>
      <c r="BQ99" s="865"/>
      <c r="BR99" s="1143" t="s">
        <v>1507</v>
      </c>
      <c r="BS99" s="2481"/>
      <c r="BT99" s="2481"/>
      <c r="BU99" s="2481"/>
      <c r="BV99" s="1144"/>
      <c r="BW99" s="2482" t="str">
        <f>IF(BW96="","",IF(BW96=1,GL143,GN143))</f>
        <v/>
      </c>
      <c r="BX99" s="2483"/>
      <c r="BY99" s="874"/>
      <c r="BZ99" s="884"/>
      <c r="CA99" s="323"/>
      <c r="CB99" s="2463"/>
      <c r="CC99" s="2463"/>
      <c r="CD99" s="2463"/>
      <c r="CE99" s="2464"/>
      <c r="CF99" s="511"/>
      <c r="CG99" s="511"/>
      <c r="CH99" s="511"/>
      <c r="CI99" s="511"/>
      <c r="CJ99" s="511"/>
      <c r="CK99" s="511"/>
      <c r="CL99" s="511"/>
      <c r="CM99" s="511"/>
      <c r="CN99" s="511"/>
      <c r="CO99" s="511"/>
      <c r="CP99" s="511"/>
      <c r="CQ99" s="511"/>
      <c r="CR99" s="511"/>
      <c r="CS99" s="511"/>
      <c r="CT99" s="511"/>
      <c r="CU99" s="884"/>
      <c r="CV99" s="323"/>
      <c r="CW99" s="2463"/>
      <c r="CX99" s="2463"/>
      <c r="CY99" s="2463"/>
      <c r="CZ99" s="2464"/>
      <c r="DA99" s="511"/>
      <c r="DB99" s="511"/>
      <c r="DC99" s="511"/>
      <c r="DD99" s="511"/>
      <c r="DE99" s="511"/>
      <c r="DF99" s="511"/>
      <c r="DG99" s="511"/>
      <c r="DH99" s="511"/>
      <c r="DI99" s="511"/>
      <c r="DJ99" s="511"/>
      <c r="DK99" s="511"/>
      <c r="DL99" s="511"/>
      <c r="DM99" s="511"/>
      <c r="DN99" s="511"/>
      <c r="DO99" s="511"/>
      <c r="DP99" s="884"/>
      <c r="DQ99" s="899"/>
      <c r="DR99" s="2465"/>
      <c r="DS99" s="2466"/>
      <c r="DT99" s="2466"/>
      <c r="DU99" s="2467"/>
      <c r="DV99" s="511"/>
      <c r="DW99" s="511"/>
      <c r="DX99" s="511"/>
      <c r="DY99" s="511"/>
      <c r="DZ99" s="511"/>
      <c r="EA99" s="511"/>
      <c r="EB99" s="511"/>
      <c r="EC99" s="511"/>
      <c r="ED99" s="511"/>
      <c r="EE99" s="511"/>
      <c r="EF99" s="511"/>
      <c r="EG99" s="511"/>
      <c r="EH99" s="511"/>
      <c r="EI99" s="511"/>
      <c r="EJ99" s="511"/>
      <c r="EK99" s="884"/>
      <c r="EL99" s="323"/>
      <c r="EM99" s="2463"/>
      <c r="EN99" s="2463"/>
      <c r="EO99" s="2463"/>
      <c r="EP99" s="2464"/>
      <c r="EQ99" s="511"/>
      <c r="ER99" s="511"/>
      <c r="ES99" s="511"/>
      <c r="ET99" s="511"/>
      <c r="EU99" s="511"/>
      <c r="EV99" s="511"/>
      <c r="EW99" s="511"/>
      <c r="EX99" s="511"/>
      <c r="EY99" s="511"/>
      <c r="EZ99" s="511"/>
      <c r="FA99" s="511"/>
      <c r="FB99" s="511"/>
      <c r="FC99" s="511"/>
      <c r="FD99" s="511"/>
      <c r="FE99" s="511"/>
      <c r="FF99" s="884"/>
      <c r="FG99" s="899"/>
      <c r="FH99" s="2465"/>
      <c r="FI99" s="2466"/>
      <c r="FJ99" s="2466"/>
      <c r="FK99" s="2467"/>
      <c r="FL99" s="511"/>
      <c r="FM99" s="511"/>
      <c r="FN99" s="511"/>
      <c r="FO99" s="511"/>
      <c r="FP99" s="511"/>
      <c r="FQ99" s="511"/>
      <c r="FR99" s="511"/>
      <c r="FS99" s="511"/>
      <c r="FT99" s="511"/>
      <c r="FU99" s="511"/>
      <c r="FV99" s="511"/>
      <c r="FW99" s="511"/>
      <c r="FX99" s="511"/>
      <c r="FY99" s="511"/>
      <c r="FZ99" s="511"/>
      <c r="GA99" s="884"/>
      <c r="GB99" s="323"/>
      <c r="GC99" s="2463"/>
      <c r="GD99" s="2463"/>
      <c r="GE99" s="2463"/>
      <c r="GF99" s="2464"/>
      <c r="GG99" s="511"/>
      <c r="GH99" s="511"/>
      <c r="GI99" s="511"/>
      <c r="GJ99" s="511"/>
      <c r="GK99" s="511"/>
      <c r="GL99" s="511"/>
      <c r="GM99" s="511"/>
      <c r="GN99" s="511"/>
      <c r="GO99" s="511"/>
      <c r="GP99" s="511"/>
      <c r="GQ99" s="511"/>
      <c r="GR99" s="511"/>
      <c r="GS99" s="511"/>
      <c r="GT99" s="511"/>
      <c r="GU99" s="511"/>
      <c r="GV99" s="884"/>
      <c r="GW99" s="323"/>
      <c r="GX99" s="2463"/>
      <c r="GY99" s="2463"/>
      <c r="GZ99" s="2463"/>
      <c r="HA99" s="2464"/>
      <c r="HB99" s="511"/>
      <c r="HC99" s="511"/>
      <c r="HD99" s="511"/>
      <c r="HE99" s="511"/>
      <c r="HF99" s="511"/>
      <c r="HG99" s="511"/>
      <c r="HH99" s="511"/>
      <c r="HI99" s="511"/>
      <c r="HJ99" s="511"/>
      <c r="HK99" s="511"/>
      <c r="HL99" s="511"/>
      <c r="HM99" s="511"/>
      <c r="HN99" s="511"/>
      <c r="HO99" s="511"/>
      <c r="HP99" s="511"/>
      <c r="HQ99" s="884"/>
      <c r="HR99" s="323"/>
      <c r="HS99" s="2463"/>
      <c r="HT99" s="2463"/>
      <c r="HU99" s="2463"/>
      <c r="HV99" s="2464"/>
      <c r="HW99" s="511"/>
      <c r="HX99" s="511"/>
      <c r="HY99" s="511"/>
      <c r="HZ99" s="511"/>
      <c r="IA99" s="511"/>
      <c r="IB99" s="511"/>
      <c r="IC99" s="511"/>
      <c r="ID99" s="511"/>
      <c r="IE99" s="511"/>
      <c r="IF99" s="511"/>
      <c r="IG99" s="511"/>
      <c r="IH99" s="511"/>
      <c r="II99" s="511"/>
      <c r="IJ99" s="511"/>
      <c r="IK99" s="511"/>
      <c r="IL99" s="884"/>
      <c r="IM99" s="323"/>
      <c r="IN99" s="2463"/>
      <c r="IO99" s="2463"/>
      <c r="IP99" s="2463"/>
      <c r="IQ99" s="2464"/>
      <c r="IR99" s="511"/>
      <c r="IS99" s="511"/>
      <c r="IT99" s="511"/>
      <c r="IU99" s="511"/>
      <c r="IV99" s="511"/>
      <c r="IW99" s="511"/>
      <c r="IX99" s="511"/>
      <c r="IY99" s="511"/>
      <c r="IZ99" s="511"/>
      <c r="JA99" s="511"/>
      <c r="JB99" s="511"/>
      <c r="JC99" s="511"/>
      <c r="JD99" s="511"/>
      <c r="JE99" s="511"/>
      <c r="JF99" s="511"/>
      <c r="JG99" s="884"/>
      <c r="JH99" s="323"/>
      <c r="JI99" s="2463"/>
      <c r="JJ99" s="2463"/>
      <c r="JK99" s="2463"/>
      <c r="JL99" s="2464"/>
      <c r="JM99" s="874"/>
      <c r="JN99" s="874"/>
      <c r="JO99" s="874"/>
      <c r="JP99" s="874"/>
      <c r="JQ99" s="874"/>
      <c r="JR99" s="874"/>
      <c r="JS99" s="874"/>
      <c r="JT99" s="874"/>
      <c r="JU99" s="874"/>
      <c r="JV99" s="874"/>
      <c r="JW99" s="874"/>
      <c r="JX99" s="874"/>
      <c r="JY99" s="874"/>
      <c r="JZ99" s="874"/>
      <c r="KA99" s="874"/>
      <c r="KB99" s="874"/>
      <c r="KC99" s="874"/>
      <c r="KD99" s="874"/>
      <c r="KE99" s="874"/>
      <c r="KF99" s="874"/>
      <c r="KG99" s="874"/>
      <c r="KH99" s="865"/>
      <c r="KI99" s="865"/>
      <c r="KJ99" s="865"/>
      <c r="KK99" s="865"/>
      <c r="KL99" s="865"/>
      <c r="KM99" s="865"/>
      <c r="KN99" s="865"/>
      <c r="KO99" s="865"/>
      <c r="KP99" s="865"/>
      <c r="KQ99" s="865"/>
      <c r="KR99" s="865"/>
      <c r="KS99" s="865"/>
      <c r="KT99" s="865"/>
      <c r="KU99" s="865"/>
      <c r="KV99" s="865"/>
      <c r="KW99" s="865"/>
      <c r="KX99" s="865"/>
      <c r="KY99" s="865"/>
      <c r="KZ99" s="865"/>
      <c r="LA99" s="865"/>
      <c r="LB99" s="865"/>
      <c r="LC99" s="865"/>
      <c r="LD99" s="865"/>
      <c r="LE99" s="865"/>
      <c r="LF99" s="865"/>
    </row>
    <row r="100" spans="1:318" ht="19.8">
      <c r="A100" s="499" t="s">
        <v>1235</v>
      </c>
      <c r="B100" s="2487" t="str">
        <f t="shared" si="44"/>
        <v/>
      </c>
      <c r="C100" s="2487"/>
      <c r="D100" s="2487"/>
      <c r="E100" s="2488"/>
      <c r="F100" s="511"/>
      <c r="G100" s="499" t="s">
        <v>1235</v>
      </c>
      <c r="H100" s="2487" t="str">
        <f t="shared" si="46"/>
        <v/>
      </c>
      <c r="I100" s="2487"/>
      <c r="J100" s="2487"/>
      <c r="K100" s="2488"/>
      <c r="L100" s="511"/>
      <c r="M100" s="499" t="s">
        <v>1235</v>
      </c>
      <c r="N100" s="2487" t="str">
        <f t="shared" si="47"/>
        <v/>
      </c>
      <c r="O100" s="2487"/>
      <c r="P100" s="2487"/>
      <c r="Q100" s="2488"/>
      <c r="R100" s="511"/>
      <c r="S100" s="499" t="s">
        <v>1235</v>
      </c>
      <c r="T100" s="2487" t="str">
        <f t="shared" si="48"/>
        <v/>
      </c>
      <c r="U100" s="2487"/>
      <c r="V100" s="2487"/>
      <c r="W100" s="2488"/>
      <c r="X100" s="511"/>
      <c r="Y100" s="499" t="s">
        <v>1235</v>
      </c>
      <c r="Z100" s="2487" t="str">
        <f t="shared" si="49"/>
        <v/>
      </c>
      <c r="AA100" s="2487"/>
      <c r="AB100" s="2487"/>
      <c r="AC100" s="2488"/>
      <c r="AD100" s="511"/>
      <c r="AE100" s="499" t="s">
        <v>1235</v>
      </c>
      <c r="AF100" s="2487" t="str">
        <f t="shared" si="50"/>
        <v/>
      </c>
      <c r="AG100" s="2487"/>
      <c r="AH100" s="2487"/>
      <c r="AI100" s="2488"/>
      <c r="AJ100" s="511"/>
      <c r="AK100" s="499" t="s">
        <v>1235</v>
      </c>
      <c r="AL100" s="2487" t="str">
        <f t="shared" si="45"/>
        <v/>
      </c>
      <c r="AM100" s="2487"/>
      <c r="AN100" s="2487"/>
      <c r="AO100" s="2488"/>
      <c r="AP100" s="511"/>
      <c r="AQ100" s="499" t="s">
        <v>1235</v>
      </c>
      <c r="AR100" s="2487" t="str">
        <f t="shared" si="51"/>
        <v/>
      </c>
      <c r="AS100" s="2487"/>
      <c r="AT100" s="2487"/>
      <c r="AU100" s="2488"/>
      <c r="AV100" s="511"/>
      <c r="AW100" s="499" t="s">
        <v>1235</v>
      </c>
      <c r="AX100" s="2487" t="str">
        <f t="shared" si="52"/>
        <v/>
      </c>
      <c r="AY100" s="2487"/>
      <c r="AZ100" s="2487"/>
      <c r="BA100" s="2488"/>
      <c r="BB100" s="511"/>
      <c r="BC100" s="499" t="s">
        <v>1235</v>
      </c>
      <c r="BD100" s="2487" t="str">
        <f t="shared" si="53"/>
        <v/>
      </c>
      <c r="BE100" s="2487"/>
      <c r="BF100" s="2487"/>
      <c r="BG100" s="2488"/>
      <c r="BH100" s="865"/>
      <c r="BI100" s="865"/>
      <c r="BJ100" s="1143" t="s">
        <v>1508</v>
      </c>
      <c r="BK100" s="2481"/>
      <c r="BL100" s="2481"/>
      <c r="BM100" s="2481"/>
      <c r="BN100" s="1144"/>
      <c r="BO100" s="2482" t="str">
        <f>CO143</f>
        <v/>
      </c>
      <c r="BP100" s="2483"/>
      <c r="BQ100" s="865"/>
      <c r="BR100" s="1143" t="s">
        <v>1508</v>
      </c>
      <c r="BS100" s="2481"/>
      <c r="BT100" s="2481"/>
      <c r="BU100" s="2481"/>
      <c r="BV100" s="1144"/>
      <c r="BW100" s="2482" t="str">
        <f>GP143</f>
        <v/>
      </c>
      <c r="BX100" s="2483"/>
      <c r="BY100" s="874"/>
      <c r="BZ100" s="884"/>
      <c r="CA100" s="323"/>
      <c r="CB100" s="2463"/>
      <c r="CC100" s="2463"/>
      <c r="CD100" s="2463"/>
      <c r="CE100" s="2464"/>
      <c r="CF100" s="511"/>
      <c r="CG100" s="511"/>
      <c r="CH100" s="511"/>
      <c r="CI100" s="511"/>
      <c r="CJ100" s="511"/>
      <c r="CK100" s="511"/>
      <c r="CL100" s="511"/>
      <c r="CM100" s="511"/>
      <c r="CN100" s="511"/>
      <c r="CO100" s="511"/>
      <c r="CP100" s="511"/>
      <c r="CQ100" s="511"/>
      <c r="CR100" s="511"/>
      <c r="CS100" s="511"/>
      <c r="CT100" s="511"/>
      <c r="CU100" s="884"/>
      <c r="CV100" s="323"/>
      <c r="CW100" s="2463"/>
      <c r="CX100" s="2463"/>
      <c r="CY100" s="2463"/>
      <c r="CZ100" s="2464"/>
      <c r="DA100" s="511"/>
      <c r="DB100" s="511"/>
      <c r="DC100" s="511"/>
      <c r="DD100" s="511"/>
      <c r="DE100" s="511"/>
      <c r="DF100" s="511"/>
      <c r="DG100" s="511"/>
      <c r="DH100" s="511"/>
      <c r="DI100" s="511"/>
      <c r="DJ100" s="511"/>
      <c r="DK100" s="511"/>
      <c r="DL100" s="511"/>
      <c r="DM100" s="511"/>
      <c r="DN100" s="511"/>
      <c r="DO100" s="511"/>
      <c r="DP100" s="884"/>
      <c r="DQ100" s="899"/>
      <c r="DR100" s="2465"/>
      <c r="DS100" s="2466"/>
      <c r="DT100" s="2466"/>
      <c r="DU100" s="2467"/>
      <c r="DV100" s="511"/>
      <c r="DW100" s="511"/>
      <c r="DX100" s="511"/>
      <c r="DY100" s="511"/>
      <c r="DZ100" s="511"/>
      <c r="EA100" s="511"/>
      <c r="EB100" s="511"/>
      <c r="EC100" s="511"/>
      <c r="ED100" s="511"/>
      <c r="EE100" s="511"/>
      <c r="EF100" s="511"/>
      <c r="EG100" s="511"/>
      <c r="EH100" s="511"/>
      <c r="EI100" s="511"/>
      <c r="EJ100" s="511"/>
      <c r="EK100" s="884"/>
      <c r="EL100" s="323"/>
      <c r="EM100" s="2463"/>
      <c r="EN100" s="2463"/>
      <c r="EO100" s="2463"/>
      <c r="EP100" s="2464"/>
      <c r="EQ100" s="511"/>
      <c r="ER100" s="511"/>
      <c r="ES100" s="511"/>
      <c r="ET100" s="511"/>
      <c r="EU100" s="511"/>
      <c r="EV100" s="511"/>
      <c r="EW100" s="511"/>
      <c r="EX100" s="511"/>
      <c r="EY100" s="511"/>
      <c r="EZ100" s="511"/>
      <c r="FA100" s="511"/>
      <c r="FB100" s="511"/>
      <c r="FC100" s="511"/>
      <c r="FD100" s="511"/>
      <c r="FE100" s="511"/>
      <c r="FF100" s="884"/>
      <c r="FG100" s="899"/>
      <c r="FH100" s="2465"/>
      <c r="FI100" s="2466"/>
      <c r="FJ100" s="2466"/>
      <c r="FK100" s="2467"/>
      <c r="FL100" s="511"/>
      <c r="FM100" s="511"/>
      <c r="FN100" s="511"/>
      <c r="FO100" s="511"/>
      <c r="FP100" s="511"/>
      <c r="FQ100" s="511"/>
      <c r="FR100" s="511"/>
      <c r="FS100" s="511"/>
      <c r="FT100" s="511"/>
      <c r="FU100" s="511"/>
      <c r="FV100" s="511"/>
      <c r="FW100" s="511"/>
      <c r="FX100" s="511"/>
      <c r="FY100" s="511"/>
      <c r="FZ100" s="511"/>
      <c r="GA100" s="884"/>
      <c r="GB100" s="323"/>
      <c r="GC100" s="2463"/>
      <c r="GD100" s="2463"/>
      <c r="GE100" s="2463"/>
      <c r="GF100" s="2464"/>
      <c r="GG100" s="511"/>
      <c r="GH100" s="511"/>
      <c r="GI100" s="511"/>
      <c r="GJ100" s="511"/>
      <c r="GK100" s="511"/>
      <c r="GL100" s="511"/>
      <c r="GM100" s="511"/>
      <c r="GN100" s="511"/>
      <c r="GO100" s="511"/>
      <c r="GP100" s="511"/>
      <c r="GQ100" s="511"/>
      <c r="GR100" s="511"/>
      <c r="GS100" s="511"/>
      <c r="GT100" s="511"/>
      <c r="GU100" s="511"/>
      <c r="GV100" s="884"/>
      <c r="GW100" s="323"/>
      <c r="GX100" s="2463"/>
      <c r="GY100" s="2463"/>
      <c r="GZ100" s="2463"/>
      <c r="HA100" s="2464"/>
      <c r="HB100" s="511"/>
      <c r="HC100" s="511"/>
      <c r="HD100" s="511"/>
      <c r="HE100" s="511"/>
      <c r="HF100" s="511"/>
      <c r="HG100" s="511"/>
      <c r="HH100" s="511"/>
      <c r="HI100" s="511"/>
      <c r="HJ100" s="511"/>
      <c r="HK100" s="511"/>
      <c r="HL100" s="511"/>
      <c r="HM100" s="511"/>
      <c r="HN100" s="511"/>
      <c r="HO100" s="511"/>
      <c r="HP100" s="511"/>
      <c r="HQ100" s="884"/>
      <c r="HR100" s="323"/>
      <c r="HS100" s="2463"/>
      <c r="HT100" s="2463"/>
      <c r="HU100" s="2463"/>
      <c r="HV100" s="2464"/>
      <c r="HW100" s="511"/>
      <c r="HX100" s="511"/>
      <c r="HY100" s="511"/>
      <c r="HZ100" s="511"/>
      <c r="IA100" s="511"/>
      <c r="IB100" s="511"/>
      <c r="IC100" s="511"/>
      <c r="ID100" s="511"/>
      <c r="IE100" s="511"/>
      <c r="IF100" s="511"/>
      <c r="IG100" s="511"/>
      <c r="IH100" s="511"/>
      <c r="II100" s="511"/>
      <c r="IJ100" s="511"/>
      <c r="IK100" s="511"/>
      <c r="IL100" s="884"/>
      <c r="IM100" s="323"/>
      <c r="IN100" s="2463"/>
      <c r="IO100" s="2463"/>
      <c r="IP100" s="2463"/>
      <c r="IQ100" s="2464"/>
      <c r="IR100" s="511"/>
      <c r="IS100" s="511"/>
      <c r="IT100" s="511"/>
      <c r="IU100" s="511"/>
      <c r="IV100" s="511"/>
      <c r="IW100" s="511"/>
      <c r="IX100" s="511"/>
      <c r="IY100" s="511"/>
      <c r="IZ100" s="511"/>
      <c r="JA100" s="511"/>
      <c r="JB100" s="511"/>
      <c r="JC100" s="511"/>
      <c r="JD100" s="511"/>
      <c r="JE100" s="511"/>
      <c r="JF100" s="511"/>
      <c r="JG100" s="884"/>
      <c r="JH100" s="323"/>
      <c r="JI100" s="2463"/>
      <c r="JJ100" s="2463"/>
      <c r="JK100" s="2463"/>
      <c r="JL100" s="2464"/>
      <c r="JM100" s="874"/>
      <c r="JN100" s="874"/>
      <c r="JO100" s="874"/>
      <c r="JP100" s="874"/>
      <c r="JQ100" s="874"/>
      <c r="JR100" s="874"/>
      <c r="JS100" s="874"/>
      <c r="JT100" s="874"/>
      <c r="JU100" s="874"/>
      <c r="JV100" s="874"/>
      <c r="JW100" s="874"/>
      <c r="JX100" s="874"/>
      <c r="JY100" s="874"/>
      <c r="JZ100" s="874"/>
      <c r="KA100" s="874"/>
      <c r="KB100" s="874"/>
      <c r="KC100" s="874"/>
      <c r="KD100" s="874"/>
      <c r="KE100" s="874"/>
      <c r="KF100" s="874"/>
      <c r="KG100" s="874"/>
      <c r="KH100" s="865"/>
      <c r="KI100" s="865"/>
      <c r="KJ100" s="865"/>
      <c r="KK100" s="865"/>
      <c r="KL100" s="865"/>
      <c r="KM100" s="865"/>
      <c r="KN100" s="865"/>
      <c r="KO100" s="865"/>
      <c r="KP100" s="865"/>
      <c r="KQ100" s="865"/>
      <c r="KR100" s="865"/>
      <c r="KS100" s="865"/>
      <c r="KT100" s="865"/>
      <c r="KU100" s="865"/>
      <c r="KV100" s="865"/>
      <c r="KW100" s="865"/>
      <c r="KX100" s="865"/>
      <c r="KY100" s="865"/>
      <c r="KZ100" s="865"/>
      <c r="LA100" s="865"/>
      <c r="LB100" s="865"/>
      <c r="LC100" s="865"/>
      <c r="LD100" s="865"/>
      <c r="LE100" s="865"/>
      <c r="LF100" s="865"/>
    </row>
    <row r="101" spans="1:318" ht="19.8">
      <c r="A101" s="499" t="s">
        <v>1236</v>
      </c>
      <c r="B101" s="2487" t="str">
        <f t="shared" si="44"/>
        <v/>
      </c>
      <c r="C101" s="2487"/>
      <c r="D101" s="2487"/>
      <c r="E101" s="2488"/>
      <c r="F101" s="511"/>
      <c r="G101" s="499" t="s">
        <v>1236</v>
      </c>
      <c r="H101" s="2487" t="str">
        <f t="shared" si="46"/>
        <v/>
      </c>
      <c r="I101" s="2487"/>
      <c r="J101" s="2487"/>
      <c r="K101" s="2488"/>
      <c r="L101" s="511"/>
      <c r="M101" s="499" t="s">
        <v>1236</v>
      </c>
      <c r="N101" s="2487" t="str">
        <f t="shared" si="47"/>
        <v/>
      </c>
      <c r="O101" s="2487"/>
      <c r="P101" s="2487"/>
      <c r="Q101" s="2488"/>
      <c r="R101" s="511"/>
      <c r="S101" s="499" t="s">
        <v>1236</v>
      </c>
      <c r="T101" s="2487" t="str">
        <f t="shared" si="48"/>
        <v/>
      </c>
      <c r="U101" s="2487"/>
      <c r="V101" s="2487"/>
      <c r="W101" s="2488"/>
      <c r="X101" s="511"/>
      <c r="Y101" s="499" t="s">
        <v>1236</v>
      </c>
      <c r="Z101" s="2487" t="str">
        <f t="shared" si="49"/>
        <v/>
      </c>
      <c r="AA101" s="2487"/>
      <c r="AB101" s="2487"/>
      <c r="AC101" s="2488"/>
      <c r="AD101" s="511"/>
      <c r="AE101" s="499" t="s">
        <v>1236</v>
      </c>
      <c r="AF101" s="2487" t="str">
        <f t="shared" si="50"/>
        <v/>
      </c>
      <c r="AG101" s="2487"/>
      <c r="AH101" s="2487"/>
      <c r="AI101" s="2488"/>
      <c r="AJ101" s="511"/>
      <c r="AK101" s="499" t="s">
        <v>1236</v>
      </c>
      <c r="AL101" s="2487" t="str">
        <f t="shared" si="45"/>
        <v/>
      </c>
      <c r="AM101" s="2487"/>
      <c r="AN101" s="2487"/>
      <c r="AO101" s="2488"/>
      <c r="AP101" s="511"/>
      <c r="AQ101" s="499" t="s">
        <v>1236</v>
      </c>
      <c r="AR101" s="2487" t="str">
        <f t="shared" si="51"/>
        <v/>
      </c>
      <c r="AS101" s="2487"/>
      <c r="AT101" s="2487"/>
      <c r="AU101" s="2488"/>
      <c r="AV101" s="511"/>
      <c r="AW101" s="499" t="s">
        <v>1236</v>
      </c>
      <c r="AX101" s="2487" t="str">
        <f t="shared" si="52"/>
        <v/>
      </c>
      <c r="AY101" s="2487"/>
      <c r="AZ101" s="2487"/>
      <c r="BA101" s="2488"/>
      <c r="BB101" s="511"/>
      <c r="BC101" s="499" t="s">
        <v>1236</v>
      </c>
      <c r="BD101" s="2487" t="str">
        <f t="shared" si="53"/>
        <v/>
      </c>
      <c r="BE101" s="2487"/>
      <c r="BF101" s="2487"/>
      <c r="BG101" s="2488"/>
      <c r="BH101" s="865"/>
      <c r="BI101" s="865"/>
      <c r="BJ101" s="1143" t="s">
        <v>1509</v>
      </c>
      <c r="BK101" s="2481"/>
      <c r="BL101" s="2481"/>
      <c r="BM101" s="2481"/>
      <c r="BN101" s="1144"/>
      <c r="BO101" s="2477" t="str">
        <f>CQ143</f>
        <v/>
      </c>
      <c r="BP101" s="2477"/>
      <c r="BQ101" s="865"/>
      <c r="BR101" s="1143" t="s">
        <v>1509</v>
      </c>
      <c r="BS101" s="2481"/>
      <c r="BT101" s="2481"/>
      <c r="BU101" s="2481"/>
      <c r="BV101" s="1144"/>
      <c r="BW101" s="2477" t="str">
        <f>GR143</f>
        <v/>
      </c>
      <c r="BX101" s="2477"/>
      <c r="BY101" s="874"/>
      <c r="BZ101" s="884"/>
      <c r="CA101" s="323"/>
      <c r="CB101" s="2463"/>
      <c r="CC101" s="2463"/>
      <c r="CD101" s="2463"/>
      <c r="CE101" s="2464"/>
      <c r="CF101" s="511"/>
      <c r="CG101" s="511"/>
      <c r="CH101" s="511"/>
      <c r="CI101" s="511"/>
      <c r="CJ101" s="511"/>
      <c r="CK101" s="511"/>
      <c r="CL101" s="511"/>
      <c r="CM101" s="511"/>
      <c r="CN101" s="511"/>
      <c r="CO101" s="511"/>
      <c r="CP101" s="511"/>
      <c r="CQ101" s="511"/>
      <c r="CR101" s="511"/>
      <c r="CS101" s="511"/>
      <c r="CT101" s="511"/>
      <c r="CU101" s="884"/>
      <c r="CV101" s="323"/>
      <c r="CW101" s="2463"/>
      <c r="CX101" s="2463"/>
      <c r="CY101" s="2463"/>
      <c r="CZ101" s="2464"/>
      <c r="DA101" s="511"/>
      <c r="DB101" s="511"/>
      <c r="DC101" s="511"/>
      <c r="DD101" s="511"/>
      <c r="DE101" s="511"/>
      <c r="DF101" s="511"/>
      <c r="DG101" s="511"/>
      <c r="DH101" s="511"/>
      <c r="DI101" s="511"/>
      <c r="DJ101" s="511"/>
      <c r="DK101" s="511"/>
      <c r="DL101" s="511"/>
      <c r="DM101" s="511"/>
      <c r="DN101" s="511"/>
      <c r="DO101" s="511"/>
      <c r="DP101" s="884"/>
      <c r="DQ101" s="899"/>
      <c r="DR101" s="2465"/>
      <c r="DS101" s="2466"/>
      <c r="DT101" s="2466"/>
      <c r="DU101" s="2467"/>
      <c r="DV101" s="511"/>
      <c r="DW101" s="511"/>
      <c r="DX101" s="511"/>
      <c r="DY101" s="511"/>
      <c r="DZ101" s="511"/>
      <c r="EA101" s="511"/>
      <c r="EB101" s="511"/>
      <c r="EC101" s="511"/>
      <c r="ED101" s="511"/>
      <c r="EE101" s="511"/>
      <c r="EF101" s="511"/>
      <c r="EG101" s="511"/>
      <c r="EH101" s="511"/>
      <c r="EI101" s="511"/>
      <c r="EJ101" s="511"/>
      <c r="EK101" s="884"/>
      <c r="EL101" s="323"/>
      <c r="EM101" s="2463"/>
      <c r="EN101" s="2463"/>
      <c r="EO101" s="2463"/>
      <c r="EP101" s="2464"/>
      <c r="EQ101" s="511"/>
      <c r="ER101" s="511"/>
      <c r="ES101" s="511"/>
      <c r="ET101" s="511"/>
      <c r="EU101" s="511"/>
      <c r="EV101" s="511"/>
      <c r="EW101" s="511"/>
      <c r="EX101" s="511"/>
      <c r="EY101" s="511"/>
      <c r="EZ101" s="511"/>
      <c r="FA101" s="511"/>
      <c r="FB101" s="511"/>
      <c r="FC101" s="511"/>
      <c r="FD101" s="511"/>
      <c r="FE101" s="511"/>
      <c r="FF101" s="884"/>
      <c r="FG101" s="899"/>
      <c r="FH101" s="2465"/>
      <c r="FI101" s="2466"/>
      <c r="FJ101" s="2466"/>
      <c r="FK101" s="2467"/>
      <c r="FL101" s="511"/>
      <c r="FM101" s="511"/>
      <c r="FN101" s="511"/>
      <c r="FO101" s="511"/>
      <c r="FP101" s="511"/>
      <c r="FQ101" s="511"/>
      <c r="FR101" s="511"/>
      <c r="FS101" s="511"/>
      <c r="FT101" s="511"/>
      <c r="FU101" s="511"/>
      <c r="FV101" s="511"/>
      <c r="FW101" s="511"/>
      <c r="FX101" s="511"/>
      <c r="FY101" s="511"/>
      <c r="FZ101" s="511"/>
      <c r="GA101" s="884"/>
      <c r="GB101" s="323"/>
      <c r="GC101" s="2463"/>
      <c r="GD101" s="2463"/>
      <c r="GE101" s="2463"/>
      <c r="GF101" s="2464"/>
      <c r="GG101" s="511"/>
      <c r="GH101" s="511"/>
      <c r="GI101" s="511"/>
      <c r="GJ101" s="511"/>
      <c r="GK101" s="511"/>
      <c r="GL101" s="511"/>
      <c r="GM101" s="511"/>
      <c r="GN101" s="511"/>
      <c r="GO101" s="511"/>
      <c r="GP101" s="511"/>
      <c r="GQ101" s="511"/>
      <c r="GR101" s="511"/>
      <c r="GS101" s="511"/>
      <c r="GT101" s="511"/>
      <c r="GU101" s="511"/>
      <c r="GV101" s="884"/>
      <c r="GW101" s="323"/>
      <c r="GX101" s="2463"/>
      <c r="GY101" s="2463"/>
      <c r="GZ101" s="2463"/>
      <c r="HA101" s="2464"/>
      <c r="HB101" s="511"/>
      <c r="HC101" s="511"/>
      <c r="HD101" s="511"/>
      <c r="HE101" s="511"/>
      <c r="HF101" s="511"/>
      <c r="HG101" s="511"/>
      <c r="HH101" s="511"/>
      <c r="HI101" s="511"/>
      <c r="HJ101" s="511"/>
      <c r="HK101" s="511"/>
      <c r="HL101" s="511"/>
      <c r="HM101" s="511"/>
      <c r="HN101" s="511"/>
      <c r="HO101" s="511"/>
      <c r="HP101" s="511"/>
      <c r="HQ101" s="884"/>
      <c r="HR101" s="323"/>
      <c r="HS101" s="2463"/>
      <c r="HT101" s="2463"/>
      <c r="HU101" s="2463"/>
      <c r="HV101" s="2464"/>
      <c r="HW101" s="511"/>
      <c r="HX101" s="511"/>
      <c r="HY101" s="511"/>
      <c r="HZ101" s="511"/>
      <c r="IA101" s="511"/>
      <c r="IB101" s="511"/>
      <c r="IC101" s="511"/>
      <c r="ID101" s="511"/>
      <c r="IE101" s="511"/>
      <c r="IF101" s="511"/>
      <c r="IG101" s="511"/>
      <c r="IH101" s="511"/>
      <c r="II101" s="511"/>
      <c r="IJ101" s="511"/>
      <c r="IK101" s="511"/>
      <c r="IL101" s="884"/>
      <c r="IM101" s="323"/>
      <c r="IN101" s="2463"/>
      <c r="IO101" s="2463"/>
      <c r="IP101" s="2463"/>
      <c r="IQ101" s="2464"/>
      <c r="IR101" s="511"/>
      <c r="IS101" s="511"/>
      <c r="IT101" s="511"/>
      <c r="IU101" s="511"/>
      <c r="IV101" s="511"/>
      <c r="IW101" s="511"/>
      <c r="IX101" s="511"/>
      <c r="IY101" s="511"/>
      <c r="IZ101" s="511"/>
      <c r="JA101" s="511"/>
      <c r="JB101" s="511"/>
      <c r="JC101" s="511"/>
      <c r="JD101" s="511"/>
      <c r="JE101" s="511"/>
      <c r="JF101" s="511"/>
      <c r="JG101" s="884"/>
      <c r="JH101" s="323"/>
      <c r="JI101" s="2463"/>
      <c r="JJ101" s="2463"/>
      <c r="JK101" s="2463"/>
      <c r="JL101" s="2464"/>
      <c r="JM101" s="874"/>
      <c r="JN101" s="874"/>
      <c r="JO101" s="874"/>
      <c r="JP101" s="874"/>
      <c r="JQ101" s="874"/>
      <c r="JR101" s="874"/>
      <c r="JS101" s="874"/>
      <c r="JT101" s="874"/>
      <c r="JU101" s="874"/>
      <c r="JV101" s="874"/>
      <c r="JW101" s="874"/>
      <c r="JX101" s="874"/>
      <c r="JY101" s="874"/>
      <c r="JZ101" s="874"/>
      <c r="KA101" s="874"/>
      <c r="KB101" s="874"/>
      <c r="KC101" s="874"/>
      <c r="KD101" s="874"/>
      <c r="KE101" s="874"/>
      <c r="KF101" s="874"/>
      <c r="KG101" s="874"/>
      <c r="KH101" s="865"/>
      <c r="KI101" s="865"/>
      <c r="KJ101" s="865"/>
      <c r="KK101" s="865"/>
      <c r="KL101" s="865"/>
      <c r="KM101" s="865"/>
      <c r="KN101" s="865"/>
      <c r="KO101" s="865"/>
      <c r="KP101" s="865"/>
      <c r="KQ101" s="865"/>
      <c r="KR101" s="865"/>
      <c r="KS101" s="865"/>
      <c r="KT101" s="865"/>
      <c r="KU101" s="865"/>
      <c r="KV101" s="865"/>
      <c r="KW101" s="865"/>
      <c r="KX101" s="865"/>
      <c r="KY101" s="865"/>
      <c r="KZ101" s="865"/>
      <c r="LA101" s="865"/>
      <c r="LB101" s="865"/>
      <c r="LC101" s="865"/>
      <c r="LD101" s="865"/>
      <c r="LE101" s="865"/>
      <c r="LF101" s="865"/>
    </row>
    <row r="102" spans="1:318" ht="20.399999999999999">
      <c r="A102" s="499" t="s">
        <v>1237</v>
      </c>
      <c r="B102" s="2487" t="str">
        <f>IF(B113="","",AVERAGE(B113:E113))</f>
        <v/>
      </c>
      <c r="C102" s="2487"/>
      <c r="D102" s="2487"/>
      <c r="E102" s="2488"/>
      <c r="F102" s="511"/>
      <c r="G102" s="499" t="s">
        <v>1237</v>
      </c>
      <c r="H102" s="2487" t="str">
        <f t="shared" si="46"/>
        <v/>
      </c>
      <c r="I102" s="2487"/>
      <c r="J102" s="2487"/>
      <c r="K102" s="2488"/>
      <c r="L102" s="511"/>
      <c r="M102" s="499" t="s">
        <v>1237</v>
      </c>
      <c r="N102" s="2487" t="str">
        <f t="shared" si="47"/>
        <v/>
      </c>
      <c r="O102" s="2487"/>
      <c r="P102" s="2487"/>
      <c r="Q102" s="2488"/>
      <c r="R102" s="511"/>
      <c r="S102" s="499" t="s">
        <v>1237</v>
      </c>
      <c r="T102" s="2487" t="str">
        <f t="shared" si="48"/>
        <v/>
      </c>
      <c r="U102" s="2487"/>
      <c r="V102" s="2487"/>
      <c r="W102" s="2488"/>
      <c r="X102" s="511"/>
      <c r="Y102" s="499" t="s">
        <v>1237</v>
      </c>
      <c r="Z102" s="2487" t="str">
        <f t="shared" si="49"/>
        <v/>
      </c>
      <c r="AA102" s="2487"/>
      <c r="AB102" s="2487"/>
      <c r="AC102" s="2488"/>
      <c r="AD102" s="511"/>
      <c r="AE102" s="499" t="s">
        <v>1237</v>
      </c>
      <c r="AF102" s="2487" t="str">
        <f t="shared" si="50"/>
        <v/>
      </c>
      <c r="AG102" s="2487"/>
      <c r="AH102" s="2487"/>
      <c r="AI102" s="2488"/>
      <c r="AJ102" s="511"/>
      <c r="AK102" s="499" t="s">
        <v>1237</v>
      </c>
      <c r="AL102" s="2487" t="str">
        <f t="shared" ref="AL102" si="54">IF(AL113="","",AVERAGE(AL113:AO113))</f>
        <v/>
      </c>
      <c r="AM102" s="2487"/>
      <c r="AN102" s="2487"/>
      <c r="AO102" s="2488"/>
      <c r="AP102" s="511"/>
      <c r="AQ102" s="499" t="s">
        <v>1237</v>
      </c>
      <c r="AR102" s="2487" t="str">
        <f t="shared" si="51"/>
        <v/>
      </c>
      <c r="AS102" s="2487"/>
      <c r="AT102" s="2487"/>
      <c r="AU102" s="2488"/>
      <c r="AV102" s="511"/>
      <c r="AW102" s="499" t="s">
        <v>1237</v>
      </c>
      <c r="AX102" s="2487" t="str">
        <f t="shared" si="52"/>
        <v/>
      </c>
      <c r="AY102" s="2487"/>
      <c r="AZ102" s="2487"/>
      <c r="BA102" s="2488"/>
      <c r="BB102" s="511"/>
      <c r="BC102" s="499" t="s">
        <v>1237</v>
      </c>
      <c r="BD102" s="2487" t="str">
        <f t="shared" si="53"/>
        <v/>
      </c>
      <c r="BE102" s="2487"/>
      <c r="BF102" s="2487"/>
      <c r="BG102" s="2488"/>
      <c r="BH102" s="865"/>
      <c r="BI102" s="865"/>
      <c r="BJ102" s="1143" t="s">
        <v>1510</v>
      </c>
      <c r="BK102" s="2481"/>
      <c r="BL102" s="2481"/>
      <c r="BM102" s="2481"/>
      <c r="BN102" s="1144"/>
      <c r="BO102" s="2477" t="str">
        <f>CT143</f>
        <v/>
      </c>
      <c r="BP102" s="2477"/>
      <c r="BQ102" s="865"/>
      <c r="BR102" s="1143" t="s">
        <v>1510</v>
      </c>
      <c r="BS102" s="2481"/>
      <c r="BT102" s="2481"/>
      <c r="BU102" s="2481"/>
      <c r="BV102" s="1144"/>
      <c r="BW102" s="2477" t="str">
        <f>GU143</f>
        <v/>
      </c>
      <c r="BX102" s="2477"/>
      <c r="BY102" s="874"/>
      <c r="BZ102" s="884"/>
      <c r="CA102" s="323"/>
      <c r="CB102" s="2463"/>
      <c r="CC102" s="2463"/>
      <c r="CD102" s="2463"/>
      <c r="CE102" s="2464"/>
      <c r="CF102" s="511"/>
      <c r="CG102" s="511"/>
      <c r="CH102" s="511"/>
      <c r="CI102" s="511"/>
      <c r="CJ102" s="511"/>
      <c r="CK102" s="511"/>
      <c r="CL102" s="511"/>
      <c r="CM102" s="511"/>
      <c r="CN102" s="511"/>
      <c r="CO102" s="511"/>
      <c r="CP102" s="511"/>
      <c r="CQ102" s="511"/>
      <c r="CR102" s="511"/>
      <c r="CS102" s="511"/>
      <c r="CT102" s="511"/>
      <c r="CU102" s="884"/>
      <c r="CV102" s="323"/>
      <c r="CW102" s="2463"/>
      <c r="CX102" s="2463"/>
      <c r="CY102" s="2463"/>
      <c r="CZ102" s="2464"/>
      <c r="DA102" s="511"/>
      <c r="DB102" s="511"/>
      <c r="DC102" s="511"/>
      <c r="DD102" s="511"/>
      <c r="DE102" s="511"/>
      <c r="DF102" s="511"/>
      <c r="DG102" s="511"/>
      <c r="DH102" s="511"/>
      <c r="DI102" s="511"/>
      <c r="DJ102" s="511"/>
      <c r="DK102" s="511"/>
      <c r="DL102" s="511"/>
      <c r="DM102" s="511"/>
      <c r="DN102" s="511"/>
      <c r="DO102" s="511"/>
      <c r="DP102" s="884"/>
      <c r="DQ102" s="899"/>
      <c r="DR102" s="2465"/>
      <c r="DS102" s="2466"/>
      <c r="DT102" s="2466"/>
      <c r="DU102" s="2467"/>
      <c r="DV102" s="511"/>
      <c r="DW102" s="511"/>
      <c r="DX102" s="511"/>
      <c r="DY102" s="511"/>
      <c r="DZ102" s="511"/>
      <c r="EA102" s="511"/>
      <c r="EB102" s="511"/>
      <c r="EC102" s="511"/>
      <c r="ED102" s="511"/>
      <c r="EE102" s="511"/>
      <c r="EF102" s="511"/>
      <c r="EG102" s="511"/>
      <c r="EH102" s="511"/>
      <c r="EI102" s="511"/>
      <c r="EJ102" s="511"/>
      <c r="EK102" s="884"/>
      <c r="EL102" s="323"/>
      <c r="EM102" s="2463"/>
      <c r="EN102" s="2463"/>
      <c r="EO102" s="2463"/>
      <c r="EP102" s="2464"/>
      <c r="EQ102" s="511"/>
      <c r="ER102" s="511"/>
      <c r="ES102" s="511"/>
      <c r="ET102" s="511"/>
      <c r="EU102" s="511"/>
      <c r="EV102" s="511"/>
      <c r="EW102" s="511"/>
      <c r="EX102" s="511"/>
      <c r="EY102" s="511"/>
      <c r="EZ102" s="511"/>
      <c r="FA102" s="511"/>
      <c r="FB102" s="511"/>
      <c r="FC102" s="511"/>
      <c r="FD102" s="511"/>
      <c r="FE102" s="511"/>
      <c r="FF102" s="884"/>
      <c r="FG102" s="899"/>
      <c r="FH102" s="2465"/>
      <c r="FI102" s="2466"/>
      <c r="FJ102" s="2466"/>
      <c r="FK102" s="2467"/>
      <c r="FL102" s="511"/>
      <c r="FM102" s="511"/>
      <c r="FN102" s="511"/>
      <c r="FO102" s="511"/>
      <c r="FP102" s="511"/>
      <c r="FQ102" s="511"/>
      <c r="FR102" s="511"/>
      <c r="FS102" s="511"/>
      <c r="FT102" s="511"/>
      <c r="FU102" s="511"/>
      <c r="FV102" s="511"/>
      <c r="FW102" s="511"/>
      <c r="FX102" s="511"/>
      <c r="FY102" s="511"/>
      <c r="FZ102" s="511"/>
      <c r="GA102" s="884"/>
      <c r="GB102" s="323"/>
      <c r="GC102" s="2463"/>
      <c r="GD102" s="2463"/>
      <c r="GE102" s="2463"/>
      <c r="GF102" s="2464"/>
      <c r="GG102" s="511"/>
      <c r="GH102" s="511"/>
      <c r="GI102" s="511"/>
      <c r="GJ102" s="511"/>
      <c r="GK102" s="511"/>
      <c r="GL102" s="511"/>
      <c r="GM102" s="511"/>
      <c r="GN102" s="511"/>
      <c r="GO102" s="511"/>
      <c r="GP102" s="511"/>
      <c r="GQ102" s="511"/>
      <c r="GR102" s="511"/>
      <c r="GS102" s="511"/>
      <c r="GT102" s="511"/>
      <c r="GU102" s="511"/>
      <c r="GV102" s="884"/>
      <c r="GW102" s="323"/>
      <c r="GX102" s="2463"/>
      <c r="GY102" s="2463"/>
      <c r="GZ102" s="2463"/>
      <c r="HA102" s="2464"/>
      <c r="HB102" s="511"/>
      <c r="HC102" s="511"/>
      <c r="HD102" s="511"/>
      <c r="HE102" s="511"/>
      <c r="HF102" s="511"/>
      <c r="HG102" s="511"/>
      <c r="HH102" s="511"/>
      <c r="HI102" s="511"/>
      <c r="HJ102" s="511"/>
      <c r="HK102" s="511"/>
      <c r="HL102" s="511"/>
      <c r="HM102" s="511"/>
      <c r="HN102" s="511"/>
      <c r="HO102" s="511"/>
      <c r="HP102" s="511"/>
      <c r="HQ102" s="884"/>
      <c r="HR102" s="323"/>
      <c r="HS102" s="2463"/>
      <c r="HT102" s="2463"/>
      <c r="HU102" s="2463"/>
      <c r="HV102" s="2464"/>
      <c r="HW102" s="511"/>
      <c r="HX102" s="511"/>
      <c r="HY102" s="511"/>
      <c r="HZ102" s="511"/>
      <c r="IA102" s="511"/>
      <c r="IB102" s="511"/>
      <c r="IC102" s="511"/>
      <c r="ID102" s="511"/>
      <c r="IE102" s="511"/>
      <c r="IF102" s="511"/>
      <c r="IG102" s="511"/>
      <c r="IH102" s="511"/>
      <c r="II102" s="511"/>
      <c r="IJ102" s="511"/>
      <c r="IK102" s="511"/>
      <c r="IL102" s="884"/>
      <c r="IM102" s="323"/>
      <c r="IN102" s="2463"/>
      <c r="IO102" s="2463"/>
      <c r="IP102" s="2463"/>
      <c r="IQ102" s="2464"/>
      <c r="IR102" s="511"/>
      <c r="IS102" s="511"/>
      <c r="IT102" s="511"/>
      <c r="IU102" s="511"/>
      <c r="IV102" s="511"/>
      <c r="IW102" s="511"/>
      <c r="IX102" s="511"/>
      <c r="IY102" s="511"/>
      <c r="IZ102" s="511"/>
      <c r="JA102" s="511"/>
      <c r="JB102" s="511"/>
      <c r="JC102" s="511"/>
      <c r="JD102" s="511"/>
      <c r="JE102" s="511"/>
      <c r="JF102" s="511"/>
      <c r="JG102" s="884"/>
      <c r="JH102" s="323"/>
      <c r="JI102" s="2463"/>
      <c r="JJ102" s="2463"/>
      <c r="JK102" s="2463"/>
      <c r="JL102" s="2464"/>
      <c r="JM102" s="874"/>
      <c r="JN102" s="874"/>
      <c r="JO102" s="874"/>
      <c r="JP102" s="874"/>
      <c r="JQ102" s="874"/>
      <c r="JR102" s="874"/>
      <c r="JS102" s="874"/>
      <c r="JT102" s="874"/>
      <c r="JU102" s="874"/>
      <c r="JV102" s="874"/>
      <c r="JW102" s="874"/>
      <c r="JX102" s="874"/>
      <c r="JY102" s="874"/>
      <c r="JZ102" s="874"/>
      <c r="KA102" s="874"/>
      <c r="KB102" s="874"/>
      <c r="KC102" s="874"/>
      <c r="KD102" s="874"/>
      <c r="KE102" s="874"/>
      <c r="KF102" s="874"/>
      <c r="KG102" s="874"/>
      <c r="KH102" s="865"/>
      <c r="KI102" s="865"/>
      <c r="KJ102" s="865"/>
      <c r="KK102" s="865"/>
      <c r="KL102" s="865"/>
      <c r="KM102" s="865"/>
      <c r="KN102" s="865"/>
      <c r="KO102" s="865"/>
      <c r="KP102" s="865"/>
      <c r="KQ102" s="865"/>
      <c r="KR102" s="865"/>
      <c r="KS102" s="865"/>
      <c r="KT102" s="865"/>
      <c r="KU102" s="865"/>
      <c r="KV102" s="865"/>
      <c r="KW102" s="865"/>
      <c r="KX102" s="865"/>
      <c r="KY102" s="865"/>
      <c r="KZ102" s="865"/>
      <c r="LA102" s="865"/>
      <c r="LB102" s="865"/>
      <c r="LC102" s="865"/>
      <c r="LD102" s="865"/>
      <c r="LE102" s="865"/>
      <c r="LF102" s="865"/>
    </row>
    <row r="103" spans="1:318" ht="18.600000000000001">
      <c r="A103" s="499" t="s">
        <v>948</v>
      </c>
      <c r="B103" s="2487" t="str">
        <f>IF(B114="","",AVERAGE(B114:E114))</f>
        <v/>
      </c>
      <c r="C103" s="2487"/>
      <c r="D103" s="2487"/>
      <c r="E103" s="2488"/>
      <c r="F103" s="511"/>
      <c r="G103" s="499" t="s">
        <v>948</v>
      </c>
      <c r="H103" s="2487" t="str">
        <f>IF(H114="","",AVERAGE(H114:K114))</f>
        <v/>
      </c>
      <c r="I103" s="2487"/>
      <c r="J103" s="2487"/>
      <c r="K103" s="2488"/>
      <c r="L103" s="511"/>
      <c r="M103" s="499" t="s">
        <v>948</v>
      </c>
      <c r="N103" s="2487" t="str">
        <f>IF(N114="","",AVERAGE(N114:Q114))</f>
        <v/>
      </c>
      <c r="O103" s="2487"/>
      <c r="P103" s="2487"/>
      <c r="Q103" s="2488"/>
      <c r="R103" s="511"/>
      <c r="S103" s="499" t="s">
        <v>948</v>
      </c>
      <c r="T103" s="2487" t="str">
        <f>IF(T114="","",AVERAGE(T114:W114))</f>
        <v/>
      </c>
      <c r="U103" s="2487"/>
      <c r="V103" s="2487"/>
      <c r="W103" s="2488"/>
      <c r="X103" s="511"/>
      <c r="Y103" s="499" t="s">
        <v>948</v>
      </c>
      <c r="Z103" s="2487" t="str">
        <f>IF(Z114="","",AVERAGE(Z114:AC114))</f>
        <v/>
      </c>
      <c r="AA103" s="2487"/>
      <c r="AB103" s="2487"/>
      <c r="AC103" s="2488"/>
      <c r="AD103" s="511"/>
      <c r="AE103" s="499" t="s">
        <v>948</v>
      </c>
      <c r="AF103" s="2487" t="str">
        <f>IF(AF114="","",AVERAGE(AF114:AI114))</f>
        <v/>
      </c>
      <c r="AG103" s="2487"/>
      <c r="AH103" s="2487"/>
      <c r="AI103" s="2488"/>
      <c r="AJ103" s="511"/>
      <c r="AK103" s="499" t="s">
        <v>948</v>
      </c>
      <c r="AL103" s="2487" t="str">
        <f>IF(AL114="","",AVERAGE(AL114:AO114))</f>
        <v/>
      </c>
      <c r="AM103" s="2487"/>
      <c r="AN103" s="2487"/>
      <c r="AO103" s="2488"/>
      <c r="AP103" s="511"/>
      <c r="AQ103" s="499" t="s">
        <v>948</v>
      </c>
      <c r="AR103" s="2487" t="str">
        <f>IF(AR114="","",AVERAGE(AR114:AU114))</f>
        <v/>
      </c>
      <c r="AS103" s="2487"/>
      <c r="AT103" s="2487"/>
      <c r="AU103" s="2488"/>
      <c r="AV103" s="511"/>
      <c r="AW103" s="499" t="s">
        <v>948</v>
      </c>
      <c r="AX103" s="2487" t="str">
        <f>IF(AX114="","",AVERAGE(AX114:BA114))</f>
        <v/>
      </c>
      <c r="AY103" s="2487"/>
      <c r="AZ103" s="2487"/>
      <c r="BA103" s="2488"/>
      <c r="BB103" s="511"/>
      <c r="BC103" s="499" t="s">
        <v>948</v>
      </c>
      <c r="BD103" s="2487" t="str">
        <f>IF(BD114="","",AVERAGE(BD114:BG114))</f>
        <v/>
      </c>
      <c r="BE103" s="2487"/>
      <c r="BF103" s="2487"/>
      <c r="BG103" s="2488"/>
      <c r="BH103" s="865"/>
      <c r="BI103" s="865"/>
      <c r="BJ103" s="1143" t="s">
        <v>1511</v>
      </c>
      <c r="BK103" s="2481"/>
      <c r="BL103" s="2481"/>
      <c r="BM103" s="2481"/>
      <c r="BN103" s="1144"/>
      <c r="BO103" s="2477" t="str">
        <f>CS148</f>
        <v/>
      </c>
      <c r="BP103" s="2477"/>
      <c r="BQ103" s="865"/>
      <c r="BR103" s="1143" t="s">
        <v>1511</v>
      </c>
      <c r="BS103" s="2481"/>
      <c r="BT103" s="2481"/>
      <c r="BU103" s="2481"/>
      <c r="BV103" s="1144"/>
      <c r="BW103" s="2477" t="str">
        <f>GT148</f>
        <v/>
      </c>
      <c r="BX103" s="2477"/>
      <c r="BY103" s="874"/>
      <c r="BZ103" s="884"/>
      <c r="CA103" s="323"/>
      <c r="CB103" s="2463"/>
      <c r="CC103" s="2463"/>
      <c r="CD103" s="2463"/>
      <c r="CE103" s="2464"/>
      <c r="CF103" s="511"/>
      <c r="CG103" s="511"/>
      <c r="CH103" s="511"/>
      <c r="CI103" s="511"/>
      <c r="CJ103" s="511"/>
      <c r="CK103" s="511"/>
      <c r="CL103" s="511"/>
      <c r="CM103" s="511"/>
      <c r="CN103" s="511"/>
      <c r="CO103" s="511"/>
      <c r="CP103" s="511"/>
      <c r="CQ103" s="511"/>
      <c r="CR103" s="511"/>
      <c r="CS103" s="511"/>
      <c r="CT103" s="511"/>
      <c r="CU103" s="884"/>
      <c r="CV103" s="323"/>
      <c r="CW103" s="2463"/>
      <c r="CX103" s="2463"/>
      <c r="CY103" s="2463"/>
      <c r="CZ103" s="2464"/>
      <c r="DA103" s="511"/>
      <c r="DB103" s="511"/>
      <c r="DC103" s="511"/>
      <c r="DD103" s="511"/>
      <c r="DE103" s="511"/>
      <c r="DF103" s="511"/>
      <c r="DG103" s="511"/>
      <c r="DH103" s="511"/>
      <c r="DI103" s="511"/>
      <c r="DJ103" s="511"/>
      <c r="DK103" s="511"/>
      <c r="DL103" s="511"/>
      <c r="DM103" s="511"/>
      <c r="DN103" s="511"/>
      <c r="DO103" s="511"/>
      <c r="DP103" s="884"/>
      <c r="DQ103" s="899"/>
      <c r="DR103" s="2465"/>
      <c r="DS103" s="2466"/>
      <c r="DT103" s="2466"/>
      <c r="DU103" s="2467"/>
      <c r="DV103" s="511"/>
      <c r="DW103" s="511"/>
      <c r="DX103" s="511"/>
      <c r="DY103" s="511"/>
      <c r="DZ103" s="511"/>
      <c r="EA103" s="511"/>
      <c r="EB103" s="511"/>
      <c r="EC103" s="511"/>
      <c r="ED103" s="511"/>
      <c r="EE103" s="511"/>
      <c r="EF103" s="511"/>
      <c r="EG103" s="511"/>
      <c r="EH103" s="511"/>
      <c r="EI103" s="511"/>
      <c r="EJ103" s="511"/>
      <c r="EK103" s="884"/>
      <c r="EL103" s="323"/>
      <c r="EM103" s="2463"/>
      <c r="EN103" s="2463"/>
      <c r="EO103" s="2463"/>
      <c r="EP103" s="2464"/>
      <c r="EQ103" s="511"/>
      <c r="ER103" s="511"/>
      <c r="ES103" s="511"/>
      <c r="ET103" s="511"/>
      <c r="EU103" s="511"/>
      <c r="EV103" s="511"/>
      <c r="EW103" s="511"/>
      <c r="EX103" s="511"/>
      <c r="EY103" s="511"/>
      <c r="EZ103" s="511"/>
      <c r="FA103" s="511"/>
      <c r="FB103" s="511"/>
      <c r="FC103" s="511"/>
      <c r="FD103" s="511"/>
      <c r="FE103" s="511"/>
      <c r="FF103" s="884"/>
      <c r="FG103" s="899"/>
      <c r="FH103" s="2465"/>
      <c r="FI103" s="2466"/>
      <c r="FJ103" s="2466"/>
      <c r="FK103" s="2467"/>
      <c r="FL103" s="511"/>
      <c r="FM103" s="511"/>
      <c r="FN103" s="511"/>
      <c r="FO103" s="511"/>
      <c r="FP103" s="511"/>
      <c r="FQ103" s="511"/>
      <c r="FR103" s="511"/>
      <c r="FS103" s="511"/>
      <c r="FT103" s="511"/>
      <c r="FU103" s="511"/>
      <c r="FV103" s="511"/>
      <c r="FW103" s="511"/>
      <c r="FX103" s="511"/>
      <c r="FY103" s="511"/>
      <c r="FZ103" s="511"/>
      <c r="GA103" s="884"/>
      <c r="GB103" s="323"/>
      <c r="GC103" s="2463"/>
      <c r="GD103" s="2463"/>
      <c r="GE103" s="2463"/>
      <c r="GF103" s="2464"/>
      <c r="GG103" s="511"/>
      <c r="GH103" s="511"/>
      <c r="GI103" s="511"/>
      <c r="GJ103" s="511"/>
      <c r="GK103" s="511"/>
      <c r="GL103" s="511"/>
      <c r="GM103" s="511"/>
      <c r="GN103" s="511"/>
      <c r="GO103" s="511"/>
      <c r="GP103" s="511"/>
      <c r="GQ103" s="511"/>
      <c r="GR103" s="511"/>
      <c r="GS103" s="511"/>
      <c r="GT103" s="511"/>
      <c r="GU103" s="511"/>
      <c r="GV103" s="884"/>
      <c r="GW103" s="323"/>
      <c r="GX103" s="2463"/>
      <c r="GY103" s="2463"/>
      <c r="GZ103" s="2463"/>
      <c r="HA103" s="2464"/>
      <c r="HB103" s="511"/>
      <c r="HC103" s="511"/>
      <c r="HD103" s="511"/>
      <c r="HE103" s="511"/>
      <c r="HF103" s="511"/>
      <c r="HG103" s="511"/>
      <c r="HH103" s="511"/>
      <c r="HI103" s="511"/>
      <c r="HJ103" s="511"/>
      <c r="HK103" s="511"/>
      <c r="HL103" s="511"/>
      <c r="HM103" s="511"/>
      <c r="HN103" s="511"/>
      <c r="HO103" s="511"/>
      <c r="HP103" s="511"/>
      <c r="HQ103" s="884"/>
      <c r="HR103" s="323"/>
      <c r="HS103" s="2463"/>
      <c r="HT103" s="2463"/>
      <c r="HU103" s="2463"/>
      <c r="HV103" s="2464"/>
      <c r="HW103" s="511"/>
      <c r="HX103" s="511"/>
      <c r="HY103" s="511"/>
      <c r="HZ103" s="511"/>
      <c r="IA103" s="511"/>
      <c r="IB103" s="511"/>
      <c r="IC103" s="511"/>
      <c r="ID103" s="511"/>
      <c r="IE103" s="511"/>
      <c r="IF103" s="511"/>
      <c r="IG103" s="511"/>
      <c r="IH103" s="511"/>
      <c r="II103" s="511"/>
      <c r="IJ103" s="511"/>
      <c r="IK103" s="511"/>
      <c r="IL103" s="884"/>
      <c r="IM103" s="323"/>
      <c r="IN103" s="2463"/>
      <c r="IO103" s="2463"/>
      <c r="IP103" s="2463"/>
      <c r="IQ103" s="2464"/>
      <c r="IR103" s="511"/>
      <c r="IS103" s="511"/>
      <c r="IT103" s="511"/>
      <c r="IU103" s="511"/>
      <c r="IV103" s="511"/>
      <c r="IW103" s="511"/>
      <c r="IX103" s="511"/>
      <c r="IY103" s="511"/>
      <c r="IZ103" s="511"/>
      <c r="JA103" s="511"/>
      <c r="JB103" s="511"/>
      <c r="JC103" s="511"/>
      <c r="JD103" s="511"/>
      <c r="JE103" s="511"/>
      <c r="JF103" s="511"/>
      <c r="JG103" s="884"/>
      <c r="JH103" s="323"/>
      <c r="JI103" s="2463"/>
      <c r="JJ103" s="2463"/>
      <c r="JK103" s="2463"/>
      <c r="JL103" s="2464"/>
      <c r="JM103" s="874"/>
      <c r="JN103" s="874"/>
      <c r="JO103" s="874"/>
      <c r="JP103" s="874"/>
      <c r="JQ103" s="874"/>
      <c r="JR103" s="874"/>
      <c r="JS103" s="874"/>
      <c r="JT103" s="874"/>
      <c r="JU103" s="874"/>
      <c r="JV103" s="874"/>
      <c r="JW103" s="874"/>
      <c r="JX103" s="874"/>
      <c r="JY103" s="874"/>
      <c r="JZ103" s="874"/>
      <c r="KA103" s="874"/>
      <c r="KB103" s="874"/>
      <c r="KC103" s="874"/>
      <c r="KD103" s="874"/>
      <c r="KE103" s="874"/>
      <c r="KF103" s="874"/>
      <c r="KG103" s="874"/>
      <c r="KH103" s="865"/>
      <c r="KI103" s="865"/>
      <c r="KJ103" s="865"/>
      <c r="KK103" s="865"/>
      <c r="KL103" s="865"/>
      <c r="KM103" s="865"/>
      <c r="KN103" s="865"/>
      <c r="KO103" s="865"/>
      <c r="KP103" s="865"/>
      <c r="KQ103" s="865"/>
      <c r="KR103" s="865"/>
      <c r="KS103" s="865"/>
      <c r="KT103" s="865"/>
      <c r="KU103" s="865"/>
      <c r="KV103" s="865"/>
      <c r="KW103" s="865"/>
      <c r="KX103" s="865"/>
      <c r="KY103" s="865"/>
      <c r="KZ103" s="865"/>
      <c r="LA103" s="865"/>
      <c r="LB103" s="865"/>
      <c r="LC103" s="865"/>
      <c r="LD103" s="865"/>
      <c r="LE103" s="865"/>
      <c r="LF103" s="865"/>
    </row>
    <row r="104" spans="1:318" ht="18.600000000000001">
      <c r="A104" s="499" t="s">
        <v>949</v>
      </c>
      <c r="B104" s="2487" t="str">
        <f>IF(B115="","",AVERAGE(B115:E115))</f>
        <v/>
      </c>
      <c r="C104" s="2487"/>
      <c r="D104" s="2487"/>
      <c r="E104" s="2488"/>
      <c r="F104" s="511"/>
      <c r="G104" s="499" t="s">
        <v>949</v>
      </c>
      <c r="H104" s="2487" t="str">
        <f>IF(H115="","",AVERAGE(H115:K115))</f>
        <v/>
      </c>
      <c r="I104" s="2487"/>
      <c r="J104" s="2487"/>
      <c r="K104" s="2488"/>
      <c r="L104" s="511"/>
      <c r="M104" s="499" t="s">
        <v>949</v>
      </c>
      <c r="N104" s="2487" t="str">
        <f>IF(N115="","",AVERAGE(N115:Q115))</f>
        <v/>
      </c>
      <c r="O104" s="2487"/>
      <c r="P104" s="2487"/>
      <c r="Q104" s="2488"/>
      <c r="R104" s="511"/>
      <c r="S104" s="499" t="s">
        <v>949</v>
      </c>
      <c r="T104" s="2487" t="str">
        <f>IF(T115="","",AVERAGE(T115:W115))</f>
        <v/>
      </c>
      <c r="U104" s="2487"/>
      <c r="V104" s="2487"/>
      <c r="W104" s="2488"/>
      <c r="X104" s="511"/>
      <c r="Y104" s="499" t="s">
        <v>949</v>
      </c>
      <c r="Z104" s="2487" t="str">
        <f>IF(Z115="","",AVERAGE(Z115:AC115))</f>
        <v/>
      </c>
      <c r="AA104" s="2487"/>
      <c r="AB104" s="2487"/>
      <c r="AC104" s="2488"/>
      <c r="AD104" s="511"/>
      <c r="AE104" s="499" t="s">
        <v>949</v>
      </c>
      <c r="AF104" s="2487" t="str">
        <f>IF(AF115="","",AVERAGE(AF115:AI115))</f>
        <v/>
      </c>
      <c r="AG104" s="2487"/>
      <c r="AH104" s="2487"/>
      <c r="AI104" s="2488"/>
      <c r="AJ104" s="511"/>
      <c r="AK104" s="499" t="s">
        <v>949</v>
      </c>
      <c r="AL104" s="2487" t="str">
        <f>IF(AL115="","",AVERAGE(AL115:AO115))</f>
        <v/>
      </c>
      <c r="AM104" s="2487"/>
      <c r="AN104" s="2487"/>
      <c r="AO104" s="2488"/>
      <c r="AP104" s="511"/>
      <c r="AQ104" s="499" t="s">
        <v>949</v>
      </c>
      <c r="AR104" s="2487" t="str">
        <f>IF(AR115="","",AVERAGE(AR115:AU115))</f>
        <v/>
      </c>
      <c r="AS104" s="2487"/>
      <c r="AT104" s="2487"/>
      <c r="AU104" s="2488"/>
      <c r="AV104" s="511"/>
      <c r="AW104" s="499" t="s">
        <v>949</v>
      </c>
      <c r="AX104" s="2487" t="str">
        <f>IF(AX115="","",AVERAGE(AX115:BA115))</f>
        <v/>
      </c>
      <c r="AY104" s="2487"/>
      <c r="AZ104" s="2487"/>
      <c r="BA104" s="2488"/>
      <c r="BB104" s="511"/>
      <c r="BC104" s="499" t="s">
        <v>949</v>
      </c>
      <c r="BD104" s="2487" t="str">
        <f>IF(BD115="","",AVERAGE(BD115:BG115))</f>
        <v/>
      </c>
      <c r="BE104" s="2487"/>
      <c r="BF104" s="2487"/>
      <c r="BG104" s="2488"/>
      <c r="BH104" s="865"/>
      <c r="BI104" s="865"/>
      <c r="BQ104" s="865"/>
      <c r="BY104" s="874"/>
      <c r="BZ104" s="884"/>
      <c r="CA104" s="323"/>
      <c r="CB104" s="2463"/>
      <c r="CC104" s="2463"/>
      <c r="CD104" s="2463"/>
      <c r="CE104" s="2464"/>
      <c r="CF104" s="511"/>
      <c r="CG104" s="511"/>
      <c r="CH104" s="511"/>
      <c r="CI104" s="511"/>
      <c r="CJ104" s="511"/>
      <c r="CK104" s="511"/>
      <c r="CL104" s="511"/>
      <c r="CM104" s="511"/>
      <c r="CN104" s="511"/>
      <c r="CO104" s="511"/>
      <c r="CP104" s="511"/>
      <c r="CQ104" s="511"/>
      <c r="CR104" s="511"/>
      <c r="CS104" s="511"/>
      <c r="CT104" s="511"/>
      <c r="CU104" s="884"/>
      <c r="CV104" s="323"/>
      <c r="CW104" s="2463"/>
      <c r="CX104" s="2463"/>
      <c r="CY104" s="2463"/>
      <c r="CZ104" s="2464"/>
      <c r="DA104" s="511"/>
      <c r="DB104" s="511"/>
      <c r="DC104" s="511"/>
      <c r="DD104" s="511"/>
      <c r="DE104" s="511"/>
      <c r="DF104" s="511"/>
      <c r="DG104" s="511"/>
      <c r="DH104" s="511"/>
      <c r="DI104" s="511"/>
      <c r="DJ104" s="511"/>
      <c r="DK104" s="511"/>
      <c r="DL104" s="511"/>
      <c r="DM104" s="511"/>
      <c r="DN104" s="511"/>
      <c r="DO104" s="511"/>
      <c r="DP104" s="884"/>
      <c r="DQ104" s="899"/>
      <c r="DR104" s="2465"/>
      <c r="DS104" s="2466"/>
      <c r="DT104" s="2466"/>
      <c r="DU104" s="2467"/>
      <c r="DV104" s="511"/>
      <c r="DW104" s="511"/>
      <c r="DX104" s="511"/>
      <c r="DY104" s="511"/>
      <c r="DZ104" s="511"/>
      <c r="EA104" s="511"/>
      <c r="EB104" s="511"/>
      <c r="EC104" s="511"/>
      <c r="ED104" s="511"/>
      <c r="EE104" s="511"/>
      <c r="EF104" s="511"/>
      <c r="EG104" s="511"/>
      <c r="EH104" s="511"/>
      <c r="EI104" s="511"/>
      <c r="EJ104" s="511"/>
      <c r="EK104" s="884"/>
      <c r="EL104" s="323"/>
      <c r="EM104" s="2463"/>
      <c r="EN104" s="2463"/>
      <c r="EO104" s="2463"/>
      <c r="EP104" s="2464"/>
      <c r="EQ104" s="511"/>
      <c r="ER104" s="511"/>
      <c r="ES104" s="511"/>
      <c r="ET104" s="511"/>
      <c r="EU104" s="511"/>
      <c r="EV104" s="511"/>
      <c r="EW104" s="511"/>
      <c r="EX104" s="511"/>
      <c r="EY104" s="511"/>
      <c r="EZ104" s="511"/>
      <c r="FA104" s="511"/>
      <c r="FB104" s="511"/>
      <c r="FC104" s="511"/>
      <c r="FD104" s="511"/>
      <c r="FE104" s="511"/>
      <c r="FF104" s="884"/>
      <c r="FG104" s="899"/>
      <c r="FH104" s="2465"/>
      <c r="FI104" s="2466"/>
      <c r="FJ104" s="2466"/>
      <c r="FK104" s="2467"/>
      <c r="FL104" s="511"/>
      <c r="FM104" s="511"/>
      <c r="FN104" s="511"/>
      <c r="FO104" s="511"/>
      <c r="FP104" s="511"/>
      <c r="FQ104" s="511"/>
      <c r="FR104" s="511"/>
      <c r="FS104" s="511"/>
      <c r="FT104" s="511"/>
      <c r="FU104" s="511"/>
      <c r="FV104" s="511"/>
      <c r="FW104" s="511"/>
      <c r="FX104" s="511"/>
      <c r="FY104" s="511"/>
      <c r="FZ104" s="511"/>
      <c r="GA104" s="884"/>
      <c r="GB104" s="323"/>
      <c r="GC104" s="2463"/>
      <c r="GD104" s="2463"/>
      <c r="GE104" s="2463"/>
      <c r="GF104" s="2464"/>
      <c r="GG104" s="511"/>
      <c r="GH104" s="511"/>
      <c r="GI104" s="511"/>
      <c r="GJ104" s="511"/>
      <c r="GK104" s="511"/>
      <c r="GL104" s="511"/>
      <c r="GM104" s="511"/>
      <c r="GN104" s="511"/>
      <c r="GO104" s="511"/>
      <c r="GP104" s="511"/>
      <c r="GQ104" s="511"/>
      <c r="GR104" s="511"/>
      <c r="GS104" s="511"/>
      <c r="GT104" s="511"/>
      <c r="GU104" s="511"/>
      <c r="GV104" s="884"/>
      <c r="GW104" s="323"/>
      <c r="GX104" s="2463"/>
      <c r="GY104" s="2463"/>
      <c r="GZ104" s="2463"/>
      <c r="HA104" s="2464"/>
      <c r="HB104" s="511"/>
      <c r="HC104" s="511"/>
      <c r="HD104" s="511"/>
      <c r="HE104" s="511"/>
      <c r="HF104" s="511"/>
      <c r="HG104" s="511"/>
      <c r="HH104" s="511"/>
      <c r="HI104" s="511"/>
      <c r="HJ104" s="511"/>
      <c r="HK104" s="511"/>
      <c r="HL104" s="511"/>
      <c r="HM104" s="511"/>
      <c r="HN104" s="511"/>
      <c r="HO104" s="511"/>
      <c r="HP104" s="511"/>
      <c r="HQ104" s="884"/>
      <c r="HR104" s="323"/>
      <c r="HS104" s="2463"/>
      <c r="HT104" s="2463"/>
      <c r="HU104" s="2463"/>
      <c r="HV104" s="2464"/>
      <c r="HW104" s="511"/>
      <c r="HX104" s="511"/>
      <c r="HY104" s="511"/>
      <c r="HZ104" s="511"/>
      <c r="IA104" s="511"/>
      <c r="IB104" s="511"/>
      <c r="IC104" s="511"/>
      <c r="ID104" s="511"/>
      <c r="IE104" s="511"/>
      <c r="IF104" s="511"/>
      <c r="IG104" s="511"/>
      <c r="IH104" s="511"/>
      <c r="II104" s="511"/>
      <c r="IJ104" s="511"/>
      <c r="IK104" s="511"/>
      <c r="IL104" s="884"/>
      <c r="IM104" s="323"/>
      <c r="IN104" s="2463"/>
      <c r="IO104" s="2463"/>
      <c r="IP104" s="2463"/>
      <c r="IQ104" s="2464"/>
      <c r="IR104" s="511"/>
      <c r="IS104" s="511"/>
      <c r="IT104" s="511"/>
      <c r="IU104" s="511"/>
      <c r="IV104" s="511"/>
      <c r="IW104" s="511"/>
      <c r="IX104" s="511"/>
      <c r="IY104" s="511"/>
      <c r="IZ104" s="511"/>
      <c r="JA104" s="511"/>
      <c r="JB104" s="511"/>
      <c r="JC104" s="511"/>
      <c r="JD104" s="511"/>
      <c r="JE104" s="511"/>
      <c r="JF104" s="511"/>
      <c r="JG104" s="884"/>
      <c r="JH104" s="323"/>
      <c r="JI104" s="2463"/>
      <c r="JJ104" s="2463"/>
      <c r="JK104" s="2463"/>
      <c r="JL104" s="2464"/>
      <c r="JM104" s="874"/>
      <c r="JN104" s="874"/>
      <c r="JO104" s="874"/>
      <c r="JP104" s="874"/>
      <c r="JQ104" s="874"/>
      <c r="JR104" s="874"/>
      <c r="JS104" s="874"/>
      <c r="JT104" s="874"/>
      <c r="JU104" s="874"/>
      <c r="JV104" s="874"/>
      <c r="JW104" s="874"/>
      <c r="JX104" s="874"/>
      <c r="JY104" s="874"/>
      <c r="JZ104" s="874"/>
      <c r="KA104" s="874"/>
      <c r="KB104" s="874"/>
      <c r="KC104" s="874"/>
      <c r="KD104" s="874"/>
      <c r="KE104" s="874"/>
      <c r="KF104" s="874"/>
      <c r="KG104" s="874"/>
      <c r="KH104" s="865"/>
      <c r="KI104" s="865"/>
      <c r="KJ104" s="865"/>
      <c r="KK104" s="865"/>
      <c r="KL104" s="865"/>
      <c r="KM104" s="865"/>
      <c r="KN104" s="865"/>
      <c r="KO104" s="865"/>
      <c r="KP104" s="865"/>
      <c r="KQ104" s="865"/>
      <c r="KR104" s="865"/>
      <c r="KS104" s="865"/>
      <c r="KT104" s="865"/>
      <c r="KU104" s="865"/>
      <c r="KV104" s="865"/>
      <c r="KW104" s="865"/>
      <c r="KX104" s="865"/>
      <c r="KY104" s="865"/>
      <c r="KZ104" s="865"/>
      <c r="LA104" s="865"/>
      <c r="LB104" s="865"/>
      <c r="LC104" s="865"/>
      <c r="LD104" s="865"/>
      <c r="LE104" s="865"/>
      <c r="LF104" s="865"/>
    </row>
    <row r="105" spans="1:318" ht="20.399999999999999">
      <c r="A105" s="499" t="s">
        <v>956</v>
      </c>
      <c r="B105" s="2487" t="str">
        <f>IF(B116="","",AVERAGE(B116:E116))</f>
        <v/>
      </c>
      <c r="C105" s="2487"/>
      <c r="D105" s="2487"/>
      <c r="E105" s="2488"/>
      <c r="F105" s="511"/>
      <c r="G105" s="499" t="s">
        <v>956</v>
      </c>
      <c r="H105" s="2487" t="str">
        <f t="shared" ref="H105" si="55">IF(H116="","",AVERAGE(H116:K116))</f>
        <v/>
      </c>
      <c r="I105" s="2487"/>
      <c r="J105" s="2487"/>
      <c r="K105" s="2488"/>
      <c r="L105" s="511"/>
      <c r="M105" s="499" t="s">
        <v>956</v>
      </c>
      <c r="N105" s="2487" t="str">
        <f t="shared" ref="N105" si="56">IF(N116="","",AVERAGE(N116:Q116))</f>
        <v/>
      </c>
      <c r="O105" s="2487"/>
      <c r="P105" s="2487"/>
      <c r="Q105" s="2488"/>
      <c r="R105" s="511"/>
      <c r="S105" s="499" t="s">
        <v>956</v>
      </c>
      <c r="T105" s="2487" t="str">
        <f t="shared" ref="T105" si="57">IF(T116="","",AVERAGE(T116:W116))</f>
        <v/>
      </c>
      <c r="U105" s="2487"/>
      <c r="V105" s="2487"/>
      <c r="W105" s="2488"/>
      <c r="X105" s="511"/>
      <c r="Y105" s="499" t="s">
        <v>956</v>
      </c>
      <c r="Z105" s="2487" t="str">
        <f t="shared" ref="Z105" si="58">IF(Z116="","",AVERAGE(Z116:AC116))</f>
        <v/>
      </c>
      <c r="AA105" s="2487"/>
      <c r="AB105" s="2487"/>
      <c r="AC105" s="2488"/>
      <c r="AD105" s="511"/>
      <c r="AE105" s="499" t="s">
        <v>956</v>
      </c>
      <c r="AF105" s="2487" t="str">
        <f t="shared" ref="AF105" si="59">IF(AF116="","",AVERAGE(AF116:AI116))</f>
        <v/>
      </c>
      <c r="AG105" s="2487"/>
      <c r="AH105" s="2487"/>
      <c r="AI105" s="2488"/>
      <c r="AJ105" s="511"/>
      <c r="AK105" s="499" t="s">
        <v>956</v>
      </c>
      <c r="AL105" s="2487" t="str">
        <f t="shared" ref="AL105" si="60">IF(AL116="","",AVERAGE(AL116:AO116))</f>
        <v/>
      </c>
      <c r="AM105" s="2487"/>
      <c r="AN105" s="2487"/>
      <c r="AO105" s="2488"/>
      <c r="AP105" s="511"/>
      <c r="AQ105" s="499" t="s">
        <v>956</v>
      </c>
      <c r="AR105" s="2487" t="str">
        <f t="shared" ref="AR105" si="61">IF(AR116="","",AVERAGE(AR116:AU116))</f>
        <v/>
      </c>
      <c r="AS105" s="2487"/>
      <c r="AT105" s="2487"/>
      <c r="AU105" s="2488"/>
      <c r="AV105" s="511"/>
      <c r="AW105" s="499" t="s">
        <v>956</v>
      </c>
      <c r="AX105" s="2487" t="str">
        <f t="shared" ref="AX105" si="62">IF(AX116="","",AVERAGE(AX116:BA116))</f>
        <v/>
      </c>
      <c r="AY105" s="2487"/>
      <c r="AZ105" s="2487"/>
      <c r="BA105" s="2488"/>
      <c r="BB105" s="511"/>
      <c r="BC105" s="499" t="s">
        <v>956</v>
      </c>
      <c r="BD105" s="2487" t="str">
        <f t="shared" ref="BD105" si="63">IF(BD116="","",AVERAGE(BD116:BG116))</f>
        <v/>
      </c>
      <c r="BE105" s="2487"/>
      <c r="BF105" s="2487"/>
      <c r="BG105" s="2488"/>
      <c r="BH105" s="511"/>
      <c r="BI105" s="865"/>
      <c r="BJ105" s="2527" t="s">
        <v>330</v>
      </c>
      <c r="BK105" s="2528"/>
      <c r="BL105" s="2528"/>
      <c r="BM105" s="2528"/>
      <c r="BN105" s="2528"/>
      <c r="BO105" s="2528"/>
      <c r="BP105" s="2529"/>
      <c r="BQ105" s="865"/>
      <c r="BR105" s="2527" t="s">
        <v>937</v>
      </c>
      <c r="BS105" s="2528"/>
      <c r="BT105" s="2528"/>
      <c r="BU105" s="2528"/>
      <c r="BV105" s="2528"/>
      <c r="BW105" s="2528"/>
      <c r="BX105" s="2529"/>
      <c r="BY105" s="874"/>
      <c r="BZ105" s="884"/>
      <c r="CA105" s="323"/>
      <c r="CB105" s="2463"/>
      <c r="CC105" s="2463"/>
      <c r="CD105" s="2463"/>
      <c r="CE105" s="2464"/>
      <c r="CF105" s="511"/>
      <c r="CG105" s="511"/>
      <c r="CH105" s="511"/>
      <c r="CI105" s="511"/>
      <c r="CJ105" s="511"/>
      <c r="CK105" s="511"/>
      <c r="CL105" s="511"/>
      <c r="CM105" s="511"/>
      <c r="CN105" s="511"/>
      <c r="CO105" s="511"/>
      <c r="CP105" s="511"/>
      <c r="CQ105" s="511"/>
      <c r="CR105" s="511"/>
      <c r="CS105" s="511"/>
      <c r="CT105" s="511"/>
      <c r="CU105" s="884"/>
      <c r="CV105" s="323"/>
      <c r="CW105" s="2463"/>
      <c r="CX105" s="2463"/>
      <c r="CY105" s="2463"/>
      <c r="CZ105" s="2464"/>
      <c r="DA105" s="511"/>
      <c r="DB105" s="511"/>
      <c r="DC105" s="511"/>
      <c r="DD105" s="511"/>
      <c r="DE105" s="511"/>
      <c r="DF105" s="511"/>
      <c r="DG105" s="511"/>
      <c r="DH105" s="511"/>
      <c r="DI105" s="511"/>
      <c r="DJ105" s="511"/>
      <c r="DK105" s="511"/>
      <c r="DL105" s="511"/>
      <c r="DM105" s="511"/>
      <c r="DN105" s="511"/>
      <c r="DO105" s="511"/>
      <c r="DP105" s="884"/>
      <c r="DQ105" s="899"/>
      <c r="DR105" s="2465"/>
      <c r="DS105" s="2466"/>
      <c r="DT105" s="2466"/>
      <c r="DU105" s="2467"/>
      <c r="DV105" s="511"/>
      <c r="DW105" s="511"/>
      <c r="DX105" s="511"/>
      <c r="DY105" s="511"/>
      <c r="DZ105" s="511"/>
      <c r="EA105" s="511"/>
      <c r="EB105" s="511"/>
      <c r="EC105" s="511"/>
      <c r="ED105" s="511"/>
      <c r="EE105" s="511"/>
      <c r="EF105" s="511"/>
      <c r="EG105" s="511"/>
      <c r="EH105" s="511"/>
      <c r="EI105" s="511"/>
      <c r="EJ105" s="511"/>
      <c r="EK105" s="884"/>
      <c r="EL105" s="323"/>
      <c r="EM105" s="2463"/>
      <c r="EN105" s="2463"/>
      <c r="EO105" s="2463"/>
      <c r="EP105" s="2464"/>
      <c r="EQ105" s="511"/>
      <c r="ER105" s="511"/>
      <c r="ES105" s="511"/>
      <c r="ET105" s="511"/>
      <c r="EU105" s="511"/>
      <c r="EV105" s="511"/>
      <c r="EW105" s="511"/>
      <c r="EX105" s="511"/>
      <c r="EY105" s="511"/>
      <c r="EZ105" s="511"/>
      <c r="FA105" s="511"/>
      <c r="FB105" s="511"/>
      <c r="FC105" s="511"/>
      <c r="FD105" s="511"/>
      <c r="FE105" s="511"/>
      <c r="FF105" s="884"/>
      <c r="FG105" s="899"/>
      <c r="FH105" s="2465"/>
      <c r="FI105" s="2466"/>
      <c r="FJ105" s="2466"/>
      <c r="FK105" s="2467"/>
      <c r="FL105" s="511"/>
      <c r="FM105" s="511"/>
      <c r="FN105" s="511"/>
      <c r="FO105" s="511"/>
      <c r="FP105" s="511"/>
      <c r="FQ105" s="511"/>
      <c r="FR105" s="511"/>
      <c r="FS105" s="511"/>
      <c r="FT105" s="511"/>
      <c r="FU105" s="511"/>
      <c r="FV105" s="511"/>
      <c r="FW105" s="511"/>
      <c r="FX105" s="511"/>
      <c r="FY105" s="511"/>
      <c r="FZ105" s="511"/>
      <c r="GA105" s="884"/>
      <c r="GB105" s="323"/>
      <c r="GC105" s="2463"/>
      <c r="GD105" s="2463"/>
      <c r="GE105" s="2463"/>
      <c r="GF105" s="2464"/>
      <c r="GG105" s="511"/>
      <c r="GH105" s="511"/>
      <c r="GI105" s="511"/>
      <c r="GJ105" s="511"/>
      <c r="GK105" s="511"/>
      <c r="GL105" s="511"/>
      <c r="GM105" s="511"/>
      <c r="GN105" s="511"/>
      <c r="GO105" s="511"/>
      <c r="GP105" s="511"/>
      <c r="GQ105" s="511"/>
      <c r="GR105" s="511"/>
      <c r="GS105" s="511"/>
      <c r="GT105" s="511"/>
      <c r="GU105" s="511"/>
      <c r="GV105" s="884"/>
      <c r="GW105" s="323"/>
      <c r="GX105" s="2463"/>
      <c r="GY105" s="2463"/>
      <c r="GZ105" s="2463"/>
      <c r="HA105" s="2464"/>
      <c r="HB105" s="511"/>
      <c r="HC105" s="511"/>
      <c r="HD105" s="511"/>
      <c r="HE105" s="511"/>
      <c r="HF105" s="511"/>
      <c r="HG105" s="511"/>
      <c r="HH105" s="511"/>
      <c r="HI105" s="511"/>
      <c r="HJ105" s="511"/>
      <c r="HK105" s="511"/>
      <c r="HL105" s="511"/>
      <c r="HM105" s="511"/>
      <c r="HN105" s="511"/>
      <c r="HO105" s="511"/>
      <c r="HP105" s="511"/>
      <c r="HQ105" s="884"/>
      <c r="HR105" s="323"/>
      <c r="HS105" s="2463"/>
      <c r="HT105" s="2463"/>
      <c r="HU105" s="2463"/>
      <c r="HV105" s="2464"/>
      <c r="HW105" s="511"/>
      <c r="HX105" s="511"/>
      <c r="HY105" s="511"/>
      <c r="HZ105" s="511"/>
      <c r="IA105" s="511"/>
      <c r="IB105" s="511"/>
      <c r="IC105" s="511"/>
      <c r="ID105" s="511"/>
      <c r="IE105" s="511"/>
      <c r="IF105" s="511"/>
      <c r="IG105" s="511"/>
      <c r="IH105" s="511"/>
      <c r="II105" s="511"/>
      <c r="IJ105" s="511"/>
      <c r="IK105" s="511"/>
      <c r="IL105" s="884"/>
      <c r="IM105" s="323"/>
      <c r="IN105" s="2463"/>
      <c r="IO105" s="2463"/>
      <c r="IP105" s="2463"/>
      <c r="IQ105" s="2464"/>
      <c r="IR105" s="511"/>
      <c r="IS105" s="511"/>
      <c r="IT105" s="511"/>
      <c r="IU105" s="511"/>
      <c r="IV105" s="511"/>
      <c r="IW105" s="511"/>
      <c r="IX105" s="511"/>
      <c r="IY105" s="511"/>
      <c r="IZ105" s="511"/>
      <c r="JA105" s="511"/>
      <c r="JB105" s="511"/>
      <c r="JC105" s="511"/>
      <c r="JD105" s="511"/>
      <c r="JE105" s="511"/>
      <c r="JF105" s="511"/>
      <c r="JG105" s="884"/>
      <c r="JH105" s="323"/>
      <c r="JI105" s="2463"/>
      <c r="JJ105" s="2463"/>
      <c r="JK105" s="2463"/>
      <c r="JL105" s="2464"/>
      <c r="JM105" s="874"/>
      <c r="JN105" s="874"/>
      <c r="JO105" s="874"/>
      <c r="JP105" s="874"/>
      <c r="JQ105" s="874"/>
      <c r="JR105" s="874"/>
      <c r="JS105" s="874"/>
      <c r="JT105" s="874"/>
      <c r="JU105" s="874"/>
      <c r="JV105" s="874"/>
      <c r="JW105" s="874"/>
      <c r="JX105" s="874"/>
      <c r="JY105" s="874"/>
      <c r="JZ105" s="874"/>
      <c r="KA105" s="874"/>
      <c r="KB105" s="874"/>
      <c r="KC105" s="874"/>
      <c r="KD105" s="874"/>
      <c r="KE105" s="874"/>
      <c r="KF105" s="874"/>
      <c r="KG105" s="874"/>
      <c r="KH105" s="865"/>
      <c r="KI105" s="865"/>
      <c r="KJ105" s="865"/>
      <c r="KK105" s="865"/>
      <c r="KL105" s="865"/>
      <c r="KM105" s="865"/>
      <c r="KN105" s="865"/>
      <c r="KO105" s="865"/>
      <c r="KP105" s="865"/>
      <c r="KQ105" s="865"/>
      <c r="KR105" s="865"/>
      <c r="KS105" s="865"/>
      <c r="KT105" s="865"/>
      <c r="KU105" s="865"/>
      <c r="KV105" s="865"/>
      <c r="KW105" s="865"/>
      <c r="KX105" s="865"/>
      <c r="KY105" s="865"/>
      <c r="KZ105" s="865"/>
      <c r="LA105" s="865"/>
      <c r="LB105" s="865"/>
      <c r="LC105" s="865"/>
      <c r="LD105" s="865"/>
      <c r="LE105" s="865"/>
      <c r="LF105" s="865"/>
    </row>
    <row r="106" spans="1:318" ht="20.399999999999999">
      <c r="A106" s="867" t="s">
        <v>236</v>
      </c>
      <c r="B106" s="866" t="s">
        <v>237</v>
      </c>
      <c r="C106" s="866" t="s">
        <v>238</v>
      </c>
      <c r="D106" s="866" t="s">
        <v>239</v>
      </c>
      <c r="E106" s="868" t="s">
        <v>240</v>
      </c>
      <c r="F106" s="511"/>
      <c r="G106" s="867" t="s">
        <v>236</v>
      </c>
      <c r="H106" s="866" t="s">
        <v>237</v>
      </c>
      <c r="I106" s="866" t="s">
        <v>238</v>
      </c>
      <c r="J106" s="866" t="s">
        <v>239</v>
      </c>
      <c r="K106" s="868" t="s">
        <v>240</v>
      </c>
      <c r="L106" s="511"/>
      <c r="M106" s="867" t="s">
        <v>236</v>
      </c>
      <c r="N106" s="866" t="s">
        <v>237</v>
      </c>
      <c r="O106" s="866" t="s">
        <v>238</v>
      </c>
      <c r="P106" s="866" t="s">
        <v>239</v>
      </c>
      <c r="Q106" s="868" t="s">
        <v>240</v>
      </c>
      <c r="R106" s="511"/>
      <c r="S106" s="867" t="s">
        <v>236</v>
      </c>
      <c r="T106" s="866" t="s">
        <v>237</v>
      </c>
      <c r="U106" s="866" t="s">
        <v>238</v>
      </c>
      <c r="V106" s="866" t="s">
        <v>239</v>
      </c>
      <c r="W106" s="868" t="s">
        <v>240</v>
      </c>
      <c r="X106" s="511"/>
      <c r="Y106" s="867" t="s">
        <v>236</v>
      </c>
      <c r="Z106" s="866" t="s">
        <v>237</v>
      </c>
      <c r="AA106" s="866" t="s">
        <v>238</v>
      </c>
      <c r="AB106" s="866" t="s">
        <v>239</v>
      </c>
      <c r="AC106" s="868" t="s">
        <v>240</v>
      </c>
      <c r="AD106" s="510"/>
      <c r="AE106" s="867" t="s">
        <v>236</v>
      </c>
      <c r="AF106" s="866" t="s">
        <v>237</v>
      </c>
      <c r="AG106" s="866" t="s">
        <v>238</v>
      </c>
      <c r="AH106" s="866" t="s">
        <v>239</v>
      </c>
      <c r="AI106" s="868" t="s">
        <v>240</v>
      </c>
      <c r="AJ106" s="510"/>
      <c r="AK106" s="867" t="s">
        <v>236</v>
      </c>
      <c r="AL106" s="866" t="s">
        <v>237</v>
      </c>
      <c r="AM106" s="866" t="s">
        <v>238</v>
      </c>
      <c r="AN106" s="866" t="s">
        <v>239</v>
      </c>
      <c r="AO106" s="868" t="s">
        <v>240</v>
      </c>
      <c r="AP106" s="510"/>
      <c r="AQ106" s="867" t="s">
        <v>236</v>
      </c>
      <c r="AR106" s="866" t="s">
        <v>237</v>
      </c>
      <c r="AS106" s="866" t="s">
        <v>238</v>
      </c>
      <c r="AT106" s="866" t="s">
        <v>239</v>
      </c>
      <c r="AU106" s="868" t="s">
        <v>240</v>
      </c>
      <c r="AV106" s="510"/>
      <c r="AW106" s="867" t="s">
        <v>236</v>
      </c>
      <c r="AX106" s="866" t="s">
        <v>237</v>
      </c>
      <c r="AY106" s="866" t="s">
        <v>238</v>
      </c>
      <c r="AZ106" s="866" t="s">
        <v>239</v>
      </c>
      <c r="BA106" s="868" t="s">
        <v>240</v>
      </c>
      <c r="BB106" s="510"/>
      <c r="BC106" s="867" t="s">
        <v>236</v>
      </c>
      <c r="BD106" s="866" t="s">
        <v>237</v>
      </c>
      <c r="BE106" s="866" t="s">
        <v>238</v>
      </c>
      <c r="BF106" s="866" t="s">
        <v>239</v>
      </c>
      <c r="BG106" s="868" t="s">
        <v>240</v>
      </c>
      <c r="BH106" s="865"/>
      <c r="BI106" s="865"/>
      <c r="BJ106" s="1143" t="s">
        <v>1468</v>
      </c>
      <c r="BK106" s="2481"/>
      <c r="BL106" s="2481"/>
      <c r="BM106" s="2481"/>
      <c r="BN106" s="1144"/>
      <c r="BO106" s="2439"/>
      <c r="BP106" s="2439"/>
      <c r="BQ106" s="865"/>
      <c r="BR106" s="1143" t="s">
        <v>1468</v>
      </c>
      <c r="BS106" s="2481"/>
      <c r="BT106" s="2481"/>
      <c r="BU106" s="2481"/>
      <c r="BV106" s="1144"/>
      <c r="BW106" s="2439"/>
      <c r="BX106" s="2439"/>
      <c r="BY106" s="874"/>
      <c r="BZ106" s="893" t="s">
        <v>236</v>
      </c>
      <c r="CA106" s="894"/>
      <c r="CB106" s="918" t="s">
        <v>237</v>
      </c>
      <c r="CC106" s="918" t="s">
        <v>238</v>
      </c>
      <c r="CD106" s="918" t="s">
        <v>239</v>
      </c>
      <c r="CE106" s="919" t="s">
        <v>240</v>
      </c>
      <c r="CF106" s="511"/>
      <c r="CG106" s="511"/>
      <c r="CH106" s="511"/>
      <c r="CI106" s="511"/>
      <c r="CJ106" s="511"/>
      <c r="CK106" s="511"/>
      <c r="CL106" s="511"/>
      <c r="CM106" s="511"/>
      <c r="CN106" s="511"/>
      <c r="CO106" s="511"/>
      <c r="CP106" s="511"/>
      <c r="CQ106" s="511"/>
      <c r="CR106" s="511"/>
      <c r="CS106" s="511"/>
      <c r="CT106" s="511"/>
      <c r="CU106" s="893" t="s">
        <v>236</v>
      </c>
      <c r="CV106" s="894"/>
      <c r="CW106" s="918" t="s">
        <v>237</v>
      </c>
      <c r="CX106" s="918" t="s">
        <v>238</v>
      </c>
      <c r="CY106" s="918" t="s">
        <v>239</v>
      </c>
      <c r="CZ106" s="919" t="s">
        <v>240</v>
      </c>
      <c r="DA106" s="511"/>
      <c r="DB106" s="511"/>
      <c r="DC106" s="511"/>
      <c r="DD106" s="511"/>
      <c r="DE106" s="511"/>
      <c r="DF106" s="511"/>
      <c r="DG106" s="511"/>
      <c r="DH106" s="511"/>
      <c r="DI106" s="511"/>
      <c r="DJ106" s="511"/>
      <c r="DK106" s="511"/>
      <c r="DL106" s="511"/>
      <c r="DM106" s="511"/>
      <c r="DN106" s="511"/>
      <c r="DO106" s="511"/>
      <c r="DP106" s="893" t="s">
        <v>236</v>
      </c>
      <c r="DQ106" s="894"/>
      <c r="DR106" s="918" t="s">
        <v>237</v>
      </c>
      <c r="DS106" s="918" t="s">
        <v>238</v>
      </c>
      <c r="DT106" s="918" t="s">
        <v>239</v>
      </c>
      <c r="DU106" s="919" t="s">
        <v>240</v>
      </c>
      <c r="DV106" s="511"/>
      <c r="DW106" s="511"/>
      <c r="DX106" s="511"/>
      <c r="DY106" s="511"/>
      <c r="DZ106" s="511"/>
      <c r="EA106" s="511"/>
      <c r="EB106" s="511"/>
      <c r="EC106" s="511"/>
      <c r="ED106" s="511"/>
      <c r="EE106" s="511"/>
      <c r="EF106" s="511"/>
      <c r="EG106" s="511"/>
      <c r="EH106" s="511"/>
      <c r="EI106" s="511"/>
      <c r="EJ106" s="511"/>
      <c r="EK106" s="893" t="s">
        <v>236</v>
      </c>
      <c r="EL106" s="894"/>
      <c r="EM106" s="918" t="s">
        <v>237</v>
      </c>
      <c r="EN106" s="918" t="s">
        <v>238</v>
      </c>
      <c r="EO106" s="918" t="s">
        <v>239</v>
      </c>
      <c r="EP106" s="919" t="s">
        <v>240</v>
      </c>
      <c r="EQ106" s="511"/>
      <c r="ER106" s="511"/>
      <c r="ES106" s="511"/>
      <c r="ET106" s="511"/>
      <c r="EU106" s="511"/>
      <c r="EV106" s="511"/>
      <c r="EW106" s="511"/>
      <c r="EX106" s="511"/>
      <c r="EY106" s="511"/>
      <c r="EZ106" s="511"/>
      <c r="FA106" s="511"/>
      <c r="FB106" s="511"/>
      <c r="FC106" s="511"/>
      <c r="FD106" s="511"/>
      <c r="FE106" s="511"/>
      <c r="FF106" s="893" t="s">
        <v>236</v>
      </c>
      <c r="FG106" s="894"/>
      <c r="FH106" s="918" t="s">
        <v>237</v>
      </c>
      <c r="FI106" s="918" t="s">
        <v>238</v>
      </c>
      <c r="FJ106" s="918" t="s">
        <v>239</v>
      </c>
      <c r="FK106" s="919" t="s">
        <v>240</v>
      </c>
      <c r="FL106" s="511"/>
      <c r="FM106" s="511"/>
      <c r="FN106" s="511"/>
      <c r="FO106" s="511"/>
      <c r="FP106" s="511"/>
      <c r="FQ106" s="511"/>
      <c r="FR106" s="511"/>
      <c r="FS106" s="511"/>
      <c r="FT106" s="510"/>
      <c r="FU106" s="510"/>
      <c r="FV106" s="510"/>
      <c r="FW106" s="510"/>
      <c r="FX106" s="510"/>
      <c r="FY106" s="510"/>
      <c r="FZ106" s="510"/>
      <c r="GA106" s="893" t="s">
        <v>236</v>
      </c>
      <c r="GB106" s="894"/>
      <c r="GC106" s="918" t="s">
        <v>237</v>
      </c>
      <c r="GD106" s="918" t="s">
        <v>238</v>
      </c>
      <c r="GE106" s="918" t="s">
        <v>239</v>
      </c>
      <c r="GF106" s="919" t="s">
        <v>240</v>
      </c>
      <c r="GG106" s="511"/>
      <c r="GH106" s="511"/>
      <c r="GI106" s="511"/>
      <c r="GJ106" s="511"/>
      <c r="GK106" s="511"/>
      <c r="GL106" s="511"/>
      <c r="GM106" s="511"/>
      <c r="GN106" s="511"/>
      <c r="GO106" s="510"/>
      <c r="GP106" s="510"/>
      <c r="GQ106" s="510"/>
      <c r="GR106" s="510"/>
      <c r="GS106" s="510"/>
      <c r="GT106" s="510"/>
      <c r="GU106" s="510"/>
      <c r="GV106" s="893" t="s">
        <v>236</v>
      </c>
      <c r="GW106" s="894"/>
      <c r="GX106" s="918" t="s">
        <v>237</v>
      </c>
      <c r="GY106" s="918" t="s">
        <v>238</v>
      </c>
      <c r="GZ106" s="918" t="s">
        <v>239</v>
      </c>
      <c r="HA106" s="919" t="s">
        <v>240</v>
      </c>
      <c r="HB106" s="511"/>
      <c r="HC106" s="511"/>
      <c r="HD106" s="511"/>
      <c r="HE106" s="511"/>
      <c r="HF106" s="511"/>
      <c r="HG106" s="511"/>
      <c r="HH106" s="511"/>
      <c r="HI106" s="511"/>
      <c r="HJ106" s="510"/>
      <c r="HK106" s="510"/>
      <c r="HL106" s="510"/>
      <c r="HM106" s="510"/>
      <c r="HN106" s="510"/>
      <c r="HO106" s="510"/>
      <c r="HP106" s="510"/>
      <c r="HQ106" s="893" t="s">
        <v>236</v>
      </c>
      <c r="HR106" s="894"/>
      <c r="HS106" s="918" t="s">
        <v>237</v>
      </c>
      <c r="HT106" s="918" t="s">
        <v>238</v>
      </c>
      <c r="HU106" s="918" t="s">
        <v>239</v>
      </c>
      <c r="HV106" s="919" t="s">
        <v>240</v>
      </c>
      <c r="HW106" s="511"/>
      <c r="HX106" s="511"/>
      <c r="HY106" s="511"/>
      <c r="HZ106" s="511"/>
      <c r="IA106" s="511"/>
      <c r="IB106" s="511"/>
      <c r="IC106" s="511"/>
      <c r="ID106" s="511"/>
      <c r="IE106" s="510"/>
      <c r="IF106" s="510"/>
      <c r="IG106" s="510"/>
      <c r="IH106" s="510"/>
      <c r="II106" s="510"/>
      <c r="IJ106" s="510"/>
      <c r="IK106" s="510"/>
      <c r="IL106" s="893" t="s">
        <v>236</v>
      </c>
      <c r="IM106" s="894"/>
      <c r="IN106" s="918" t="s">
        <v>237</v>
      </c>
      <c r="IO106" s="918" t="s">
        <v>238</v>
      </c>
      <c r="IP106" s="918" t="s">
        <v>239</v>
      </c>
      <c r="IQ106" s="919" t="s">
        <v>240</v>
      </c>
      <c r="IR106" s="511"/>
      <c r="IS106" s="511"/>
      <c r="IT106" s="511"/>
      <c r="IU106" s="511"/>
      <c r="IV106" s="511"/>
      <c r="IW106" s="511"/>
      <c r="IX106" s="511"/>
      <c r="IY106" s="511"/>
      <c r="IZ106" s="510"/>
      <c r="JA106" s="510"/>
      <c r="JB106" s="510"/>
      <c r="JC106" s="510"/>
      <c r="JD106" s="510"/>
      <c r="JE106" s="510"/>
      <c r="JF106" s="510"/>
      <c r="JG106" s="893" t="s">
        <v>236</v>
      </c>
      <c r="JH106" s="894"/>
      <c r="JI106" s="918" t="s">
        <v>237</v>
      </c>
      <c r="JJ106" s="918" t="s">
        <v>238</v>
      </c>
      <c r="JK106" s="918" t="s">
        <v>239</v>
      </c>
      <c r="JL106" s="919" t="s">
        <v>240</v>
      </c>
      <c r="JM106" s="874"/>
      <c r="JN106" s="874"/>
      <c r="JO106" s="874"/>
      <c r="JP106" s="874"/>
      <c r="JQ106" s="874"/>
      <c r="JR106" s="874"/>
      <c r="JS106" s="874"/>
      <c r="JT106" s="874"/>
      <c r="JU106" s="874"/>
      <c r="JV106" s="874"/>
      <c r="JW106" s="874"/>
      <c r="JX106" s="874"/>
      <c r="JY106" s="874"/>
      <c r="JZ106" s="874"/>
      <c r="KA106" s="874"/>
      <c r="KB106" s="874"/>
      <c r="KC106" s="874"/>
      <c r="KD106" s="874"/>
      <c r="KE106" s="874"/>
      <c r="KF106" s="874"/>
      <c r="KG106" s="874"/>
      <c r="KH106" s="865"/>
      <c r="KI106" s="865"/>
      <c r="KJ106" s="865"/>
      <c r="KK106" s="865"/>
      <c r="KL106" s="865"/>
      <c r="KM106" s="865"/>
      <c r="KN106" s="865"/>
      <c r="KO106" s="865"/>
      <c r="KP106" s="865"/>
      <c r="KQ106" s="865"/>
      <c r="KR106" s="865"/>
      <c r="KS106" s="865"/>
      <c r="KT106" s="865"/>
      <c r="KU106" s="865"/>
      <c r="KV106" s="865"/>
      <c r="KW106" s="865"/>
      <c r="KX106" s="865"/>
      <c r="KY106" s="865"/>
      <c r="KZ106" s="865"/>
      <c r="LA106" s="865"/>
      <c r="LB106" s="865"/>
      <c r="LC106" s="865"/>
      <c r="LD106" s="865"/>
      <c r="LE106" s="865"/>
      <c r="LF106" s="865"/>
    </row>
    <row r="107" spans="1:318" ht="20.399999999999999">
      <c r="A107" s="499" t="s">
        <v>1225</v>
      </c>
      <c r="B107" s="500" t="str">
        <f>'HHV-LHV-MW'!O78</f>
        <v/>
      </c>
      <c r="C107" s="500" t="str">
        <f>'HHV-LHV-MW'!AA78</f>
        <v/>
      </c>
      <c r="D107" s="500" t="str">
        <f>'HHV-LHV-MW'!AM78</f>
        <v/>
      </c>
      <c r="E107" s="501" t="str">
        <f>'HHV-LHV-MW'!AY78</f>
        <v/>
      </c>
      <c r="F107" s="511"/>
      <c r="G107" s="499" t="s">
        <v>1225</v>
      </c>
      <c r="H107" s="500" t="str">
        <f>'HHV-LHV-MW'!BL78</f>
        <v/>
      </c>
      <c r="I107" s="500" t="str">
        <f>'HHV-LHV-MW'!BX78</f>
        <v/>
      </c>
      <c r="J107" s="500" t="str">
        <f>'HHV-LHV-MW'!CJ78</f>
        <v/>
      </c>
      <c r="K107" s="501" t="str">
        <f>'HHV-LHV-MW'!CV78</f>
        <v/>
      </c>
      <c r="L107" s="511"/>
      <c r="M107" s="499" t="s">
        <v>1225</v>
      </c>
      <c r="N107" s="500" t="str">
        <f>'HHV-LHV-MW'!DI78</f>
        <v/>
      </c>
      <c r="O107" s="500" t="str">
        <f>'HHV-LHV-MW'!DU78</f>
        <v/>
      </c>
      <c r="P107" s="500" t="str">
        <f>'HHV-LHV-MW'!EG78</f>
        <v/>
      </c>
      <c r="Q107" s="501" t="str">
        <f>'HHV-LHV-MW'!ES78</f>
        <v/>
      </c>
      <c r="R107" s="511"/>
      <c r="S107" s="499" t="s">
        <v>1225</v>
      </c>
      <c r="T107" s="500" t="str">
        <f>'HHV-LHV-MW'!FF78</f>
        <v/>
      </c>
      <c r="U107" s="500" t="str">
        <f>'HHV-LHV-MW'!FR78</f>
        <v/>
      </c>
      <c r="V107" s="500" t="str">
        <f>'HHV-LHV-MW'!GD78</f>
        <v/>
      </c>
      <c r="W107" s="501" t="str">
        <f>'HHV-LHV-MW'!GP78</f>
        <v/>
      </c>
      <c r="X107" s="511"/>
      <c r="Y107" s="499" t="s">
        <v>1225</v>
      </c>
      <c r="Z107" s="500" t="str">
        <f>'HHV-LHV-MW'!HC78</f>
        <v/>
      </c>
      <c r="AA107" s="500" t="str">
        <f>'HHV-LHV-MW'!HO78</f>
        <v/>
      </c>
      <c r="AB107" s="500" t="str">
        <f>'HHV-LHV-MW'!IA78</f>
        <v/>
      </c>
      <c r="AC107" s="501" t="str">
        <f>'HHV-LHV-MW'!IM78</f>
        <v/>
      </c>
      <c r="AD107" s="510"/>
      <c r="AE107" s="499" t="s">
        <v>1225</v>
      </c>
      <c r="AF107" s="500" t="str">
        <f>'HHV-LHV-MW'!IZ78</f>
        <v/>
      </c>
      <c r="AG107" s="500" t="str">
        <f>'HHV-LHV-MW'!JL78</f>
        <v/>
      </c>
      <c r="AH107" s="500" t="str">
        <f>'HHV-LHV-MW'!JX78</f>
        <v/>
      </c>
      <c r="AI107" s="501" t="str">
        <f>'HHV-LHV-MW'!KJ78</f>
        <v/>
      </c>
      <c r="AJ107" s="510"/>
      <c r="AK107" s="499" t="s">
        <v>1225</v>
      </c>
      <c r="AL107" s="500" t="str">
        <f>'HHV-LHV-MW'!KW78</f>
        <v/>
      </c>
      <c r="AM107" s="500" t="str">
        <f>'HHV-LHV-MW'!LI78</f>
        <v/>
      </c>
      <c r="AN107" s="500" t="str">
        <f>'HHV-LHV-MW'!LU78</f>
        <v/>
      </c>
      <c r="AO107" s="501" t="str">
        <f>'HHV-LHV-MW'!MG78</f>
        <v/>
      </c>
      <c r="AP107" s="510"/>
      <c r="AQ107" s="499" t="s">
        <v>1225</v>
      </c>
      <c r="AR107" s="500" t="str">
        <f>'HHV-LHV-MW'!MT78</f>
        <v/>
      </c>
      <c r="AS107" s="500" t="str">
        <f>'HHV-LHV-MW'!NF78</f>
        <v/>
      </c>
      <c r="AT107" s="500" t="str">
        <f>'HHV-LHV-MW'!NR78</f>
        <v/>
      </c>
      <c r="AU107" s="501" t="str">
        <f>'HHV-LHV-MW'!OD78</f>
        <v/>
      </c>
      <c r="AV107" s="510"/>
      <c r="AW107" s="499" t="s">
        <v>1225</v>
      </c>
      <c r="AX107" s="500" t="str">
        <f>'HHV-LHV-MW'!OR78</f>
        <v/>
      </c>
      <c r="AY107" s="500" t="str">
        <f>'HHV-LHV-MW'!PD78</f>
        <v/>
      </c>
      <c r="AZ107" s="500" t="str">
        <f>'HHV-LHV-MW'!PP78</f>
        <v/>
      </c>
      <c r="BA107" s="501" t="str">
        <f>'HHV-LHV-MW'!QB78</f>
        <v/>
      </c>
      <c r="BB107" s="510"/>
      <c r="BC107" s="499" t="s">
        <v>1225</v>
      </c>
      <c r="BD107" s="500" t="str">
        <f>'HHV-LHV-MW'!QO78</f>
        <v/>
      </c>
      <c r="BE107" s="500" t="str">
        <f>'HHV-LHV-MW'!RA78</f>
        <v/>
      </c>
      <c r="BF107" s="500" t="str">
        <f>'HHV-LHV-MW'!RM78</f>
        <v/>
      </c>
      <c r="BG107" s="501" t="str">
        <f>'HHV-LHV-MW'!RY78</f>
        <v/>
      </c>
      <c r="BH107" s="865"/>
      <c r="BI107" s="865"/>
      <c r="BJ107" s="2491" t="str">
        <f>IF(BF106="واقعي","نتايج عدم قطعيت بر اساس اطلاعات واقعي تركيب درصدهاي وارد شده:","")</f>
        <v/>
      </c>
      <c r="BK107" s="2492"/>
      <c r="BL107" s="2492"/>
      <c r="BM107" s="2492"/>
      <c r="BN107" s="2492"/>
      <c r="BO107" s="2492"/>
      <c r="BP107" s="2493"/>
      <c r="BQ107" s="865"/>
      <c r="BR107" s="2491" t="str">
        <f>IF(BN106="واقعي","نتايج عدم قطعيت بر اساس اطلاعات واقعي تركيب درصدهاي وارد شده:","")</f>
        <v/>
      </c>
      <c r="BS107" s="2492"/>
      <c r="BT107" s="2492"/>
      <c r="BU107" s="2492"/>
      <c r="BV107" s="2492"/>
      <c r="BW107" s="2492"/>
      <c r="BX107" s="2493"/>
      <c r="BY107" s="874"/>
      <c r="BZ107" s="884"/>
      <c r="CA107" s="323"/>
      <c r="CB107" s="885"/>
      <c r="CC107" s="885"/>
      <c r="CD107" s="885"/>
      <c r="CE107" s="886"/>
      <c r="CF107" s="511"/>
      <c r="CG107" s="511"/>
      <c r="CH107" s="511"/>
      <c r="CI107" s="511"/>
      <c r="CJ107" s="511"/>
      <c r="CK107" s="511"/>
      <c r="CL107" s="511"/>
      <c r="CM107" s="511"/>
      <c r="CN107" s="511"/>
      <c r="CO107" s="511"/>
      <c r="CP107" s="511"/>
      <c r="CQ107" s="511"/>
      <c r="CR107" s="511"/>
      <c r="CS107" s="511"/>
      <c r="CT107" s="511"/>
      <c r="CU107" s="884"/>
      <c r="CV107" s="323"/>
      <c r="CW107" s="885"/>
      <c r="CX107" s="885"/>
      <c r="CY107" s="885"/>
      <c r="CZ107" s="886"/>
      <c r="DA107" s="511"/>
      <c r="DB107" s="511"/>
      <c r="DC107" s="511"/>
      <c r="DD107" s="511"/>
      <c r="DE107" s="511"/>
      <c r="DF107" s="511"/>
      <c r="DG107" s="511"/>
      <c r="DH107" s="511"/>
      <c r="DI107" s="511"/>
      <c r="DJ107" s="511"/>
      <c r="DK107" s="511"/>
      <c r="DL107" s="511"/>
      <c r="DM107" s="511"/>
      <c r="DN107" s="511"/>
      <c r="DO107" s="511"/>
      <c r="DP107" s="884"/>
      <c r="DQ107" s="323"/>
      <c r="DR107" s="885"/>
      <c r="DS107" s="885"/>
      <c r="DT107" s="885"/>
      <c r="DU107" s="886"/>
      <c r="DV107" s="511"/>
      <c r="DW107" s="511"/>
      <c r="DX107" s="511"/>
      <c r="DY107" s="511"/>
      <c r="DZ107" s="511"/>
      <c r="EA107" s="511"/>
      <c r="EB107" s="511"/>
      <c r="EC107" s="511"/>
      <c r="ED107" s="511"/>
      <c r="EE107" s="511"/>
      <c r="EF107" s="511"/>
      <c r="EG107" s="511"/>
      <c r="EH107" s="511"/>
      <c r="EI107" s="511"/>
      <c r="EJ107" s="511"/>
      <c r="EK107" s="884"/>
      <c r="EL107" s="323"/>
      <c r="EM107" s="885"/>
      <c r="EN107" s="885"/>
      <c r="EO107" s="885"/>
      <c r="EP107" s="886"/>
      <c r="EQ107" s="511"/>
      <c r="ER107" s="511"/>
      <c r="ES107" s="511"/>
      <c r="ET107" s="511"/>
      <c r="EU107" s="511"/>
      <c r="EV107" s="511"/>
      <c r="EW107" s="511"/>
      <c r="EX107" s="511"/>
      <c r="EY107" s="511"/>
      <c r="EZ107" s="511"/>
      <c r="FA107" s="511"/>
      <c r="FB107" s="511"/>
      <c r="FC107" s="511"/>
      <c r="FD107" s="511"/>
      <c r="FE107" s="511"/>
      <c r="FF107" s="884"/>
      <c r="FG107" s="323"/>
      <c r="FH107" s="885"/>
      <c r="FI107" s="885"/>
      <c r="FJ107" s="885"/>
      <c r="FK107" s="886"/>
      <c r="FL107" s="511"/>
      <c r="FM107" s="511"/>
      <c r="FN107" s="511"/>
      <c r="FO107" s="511"/>
      <c r="FP107" s="511"/>
      <c r="FQ107" s="511"/>
      <c r="FR107" s="511"/>
      <c r="FS107" s="511"/>
      <c r="FT107" s="510"/>
      <c r="FU107" s="510"/>
      <c r="FV107" s="510"/>
      <c r="FW107" s="510"/>
      <c r="FX107" s="510"/>
      <c r="FY107" s="510"/>
      <c r="FZ107" s="510"/>
      <c r="GA107" s="884"/>
      <c r="GB107" s="323"/>
      <c r="GC107" s="885"/>
      <c r="GD107" s="885"/>
      <c r="GE107" s="885"/>
      <c r="GF107" s="886"/>
      <c r="GG107" s="511"/>
      <c r="GH107" s="511"/>
      <c r="GI107" s="511"/>
      <c r="GJ107" s="511"/>
      <c r="GK107" s="511"/>
      <c r="GL107" s="511"/>
      <c r="GM107" s="511"/>
      <c r="GN107" s="511"/>
      <c r="GO107" s="510"/>
      <c r="GP107" s="510"/>
      <c r="GQ107" s="510"/>
      <c r="GR107" s="510"/>
      <c r="GS107" s="510"/>
      <c r="GT107" s="510"/>
      <c r="GU107" s="510"/>
      <c r="GV107" s="884"/>
      <c r="GW107" s="323"/>
      <c r="GX107" s="885"/>
      <c r="GY107" s="885"/>
      <c r="GZ107" s="885"/>
      <c r="HA107" s="886"/>
      <c r="HB107" s="511"/>
      <c r="HC107" s="511"/>
      <c r="HD107" s="511"/>
      <c r="HE107" s="511"/>
      <c r="HF107" s="511"/>
      <c r="HG107" s="511"/>
      <c r="HH107" s="511"/>
      <c r="HI107" s="511"/>
      <c r="HJ107" s="510"/>
      <c r="HK107" s="510"/>
      <c r="HL107" s="510"/>
      <c r="HM107" s="510"/>
      <c r="HN107" s="510"/>
      <c r="HO107" s="510"/>
      <c r="HP107" s="510"/>
      <c r="HQ107" s="884"/>
      <c r="HR107" s="323"/>
      <c r="HS107" s="885"/>
      <c r="HT107" s="885"/>
      <c r="HU107" s="885"/>
      <c r="HV107" s="886"/>
      <c r="HW107" s="511"/>
      <c r="HX107" s="511"/>
      <c r="HY107" s="511"/>
      <c r="HZ107" s="511"/>
      <c r="IA107" s="511"/>
      <c r="IB107" s="511"/>
      <c r="IC107" s="511"/>
      <c r="ID107" s="511"/>
      <c r="IE107" s="510"/>
      <c r="IF107" s="510"/>
      <c r="IG107" s="510"/>
      <c r="IH107" s="510"/>
      <c r="II107" s="510"/>
      <c r="IJ107" s="510"/>
      <c r="IK107" s="510"/>
      <c r="IL107" s="884"/>
      <c r="IM107" s="323"/>
      <c r="IN107" s="885"/>
      <c r="IO107" s="885"/>
      <c r="IP107" s="885"/>
      <c r="IQ107" s="886"/>
      <c r="IR107" s="511"/>
      <c r="IS107" s="511"/>
      <c r="IT107" s="511"/>
      <c r="IU107" s="511"/>
      <c r="IV107" s="511"/>
      <c r="IW107" s="511"/>
      <c r="IX107" s="511"/>
      <c r="IY107" s="511"/>
      <c r="IZ107" s="510"/>
      <c r="JA107" s="510"/>
      <c r="JB107" s="510"/>
      <c r="JC107" s="510"/>
      <c r="JD107" s="510"/>
      <c r="JE107" s="510"/>
      <c r="JF107" s="510"/>
      <c r="JG107" s="884"/>
      <c r="JH107" s="323"/>
      <c r="JI107" s="885"/>
      <c r="JJ107" s="885"/>
      <c r="JK107" s="885"/>
      <c r="JL107" s="886"/>
      <c r="JM107" s="874"/>
      <c r="JN107" s="874"/>
      <c r="JO107" s="874"/>
      <c r="JP107" s="874"/>
      <c r="JQ107" s="874"/>
      <c r="JR107" s="874"/>
      <c r="JS107" s="874"/>
      <c r="JT107" s="874"/>
      <c r="JU107" s="874"/>
      <c r="JV107" s="874"/>
      <c r="JW107" s="874"/>
      <c r="JX107" s="874"/>
      <c r="JY107" s="874"/>
      <c r="JZ107" s="874"/>
      <c r="KA107" s="874"/>
      <c r="KB107" s="874"/>
      <c r="KC107" s="874"/>
      <c r="KD107" s="874"/>
      <c r="KE107" s="874"/>
      <c r="KF107" s="874"/>
      <c r="KG107" s="874"/>
      <c r="KH107" s="865"/>
      <c r="KI107" s="865"/>
      <c r="KJ107" s="865"/>
      <c r="KK107" s="865"/>
      <c r="KL107" s="865"/>
      <c r="KM107" s="865"/>
      <c r="KN107" s="865"/>
      <c r="KO107" s="865"/>
      <c r="KP107" s="865"/>
      <c r="KQ107" s="865"/>
      <c r="KR107" s="865"/>
      <c r="KS107" s="865"/>
      <c r="KT107" s="865"/>
      <c r="KU107" s="865"/>
      <c r="KV107" s="865"/>
      <c r="KW107" s="865"/>
      <c r="KX107" s="865"/>
      <c r="KY107" s="865"/>
      <c r="KZ107" s="865"/>
      <c r="LA107" s="865"/>
      <c r="LB107" s="865"/>
      <c r="LC107" s="865"/>
      <c r="LD107" s="865"/>
      <c r="LE107" s="865"/>
      <c r="LF107" s="865"/>
    </row>
    <row r="108" spans="1:318" ht="18.600000000000001">
      <c r="A108" s="499" t="s">
        <v>1226</v>
      </c>
      <c r="B108" s="500" t="str">
        <f>'HHV-LHV-MW'!N78</f>
        <v/>
      </c>
      <c r="C108" s="500" t="str">
        <f>'HHV-LHV-MW'!Z78</f>
        <v/>
      </c>
      <c r="D108" s="500" t="str">
        <f>'HHV-LHV-MW'!AL78</f>
        <v/>
      </c>
      <c r="E108" s="501" t="str">
        <f>'HHV-LHV-MW'!AX78</f>
        <v/>
      </c>
      <c r="F108" s="511"/>
      <c r="G108" s="499" t="s">
        <v>1226</v>
      </c>
      <c r="H108" s="500" t="str">
        <f>'HHV-LHV-MW'!BK78</f>
        <v/>
      </c>
      <c r="I108" s="500" t="str">
        <f>'HHV-LHV-MW'!BW78</f>
        <v/>
      </c>
      <c r="J108" s="500" t="str">
        <f>'HHV-LHV-MW'!CI78</f>
        <v/>
      </c>
      <c r="K108" s="501" t="str">
        <f>'HHV-LHV-MW'!CU78</f>
        <v/>
      </c>
      <c r="L108" s="511"/>
      <c r="M108" s="499" t="s">
        <v>1226</v>
      </c>
      <c r="N108" s="500" t="str">
        <f>'HHV-LHV-MW'!DH78</f>
        <v/>
      </c>
      <c r="O108" s="500" t="str">
        <f>'HHV-LHV-MW'!DT78</f>
        <v/>
      </c>
      <c r="P108" s="500" t="str">
        <f>'HHV-LHV-MW'!EF78</f>
        <v/>
      </c>
      <c r="Q108" s="501" t="str">
        <f>'HHV-LHV-MW'!ER78</f>
        <v/>
      </c>
      <c r="R108" s="511"/>
      <c r="S108" s="499" t="s">
        <v>1226</v>
      </c>
      <c r="T108" s="500" t="str">
        <f>'HHV-LHV-MW'!FE78</f>
        <v/>
      </c>
      <c r="U108" s="500" t="str">
        <f>'HHV-LHV-MW'!FQ78</f>
        <v/>
      </c>
      <c r="V108" s="500" t="str">
        <f>'HHV-LHV-MW'!GC78</f>
        <v/>
      </c>
      <c r="W108" s="501" t="str">
        <f>'HHV-LHV-MW'!GO78</f>
        <v/>
      </c>
      <c r="X108" s="511"/>
      <c r="Y108" s="499" t="s">
        <v>1226</v>
      </c>
      <c r="Z108" s="500" t="str">
        <f>'HHV-LHV-MW'!HB78</f>
        <v/>
      </c>
      <c r="AA108" s="500" t="str">
        <f>'HHV-LHV-MW'!HN78</f>
        <v/>
      </c>
      <c r="AB108" s="500" t="str">
        <f>'HHV-LHV-MW'!HZ78</f>
        <v/>
      </c>
      <c r="AC108" s="501" t="str">
        <f>'HHV-LHV-MW'!IL78</f>
        <v/>
      </c>
      <c r="AD108" s="510"/>
      <c r="AE108" s="499" t="s">
        <v>1226</v>
      </c>
      <c r="AF108" s="500" t="str">
        <f>'HHV-LHV-MW'!IY78</f>
        <v/>
      </c>
      <c r="AG108" s="500" t="str">
        <f>'HHV-LHV-MW'!JK78</f>
        <v/>
      </c>
      <c r="AH108" s="500" t="str">
        <f>'HHV-LHV-MW'!JW78</f>
        <v/>
      </c>
      <c r="AI108" s="501" t="str">
        <f>'HHV-LHV-MW'!KI78</f>
        <v/>
      </c>
      <c r="AJ108" s="510"/>
      <c r="AK108" s="499" t="s">
        <v>1226</v>
      </c>
      <c r="AL108" s="500" t="str">
        <f>'HHV-LHV-MW'!KV78</f>
        <v/>
      </c>
      <c r="AM108" s="500" t="str">
        <f>'HHV-LHV-MW'!LH78</f>
        <v/>
      </c>
      <c r="AN108" s="500" t="str">
        <f>'HHV-LHV-MW'!LT78</f>
        <v/>
      </c>
      <c r="AO108" s="501" t="str">
        <f>'HHV-LHV-MW'!MF78</f>
        <v/>
      </c>
      <c r="AP108" s="510"/>
      <c r="AQ108" s="499" t="s">
        <v>1226</v>
      </c>
      <c r="AR108" s="500" t="str">
        <f>'HHV-LHV-MW'!MS78</f>
        <v/>
      </c>
      <c r="AS108" s="500" t="str">
        <f>'HHV-LHV-MW'!NE78</f>
        <v/>
      </c>
      <c r="AT108" s="500" t="str">
        <f>'HHV-LHV-MW'!NQ78</f>
        <v/>
      </c>
      <c r="AU108" s="501" t="str">
        <f>'HHV-LHV-MW'!OC78</f>
        <v/>
      </c>
      <c r="AV108" s="510"/>
      <c r="AW108" s="499" t="s">
        <v>1226</v>
      </c>
      <c r="AX108" s="500" t="str">
        <f>'HHV-LHV-MW'!OQ78</f>
        <v/>
      </c>
      <c r="AY108" s="500" t="str">
        <f>'HHV-LHV-MW'!PC78</f>
        <v/>
      </c>
      <c r="AZ108" s="500" t="str">
        <f>'HHV-LHV-MW'!PO78</f>
        <v/>
      </c>
      <c r="BA108" s="501" t="str">
        <f>'HHV-LHV-MW'!QA78</f>
        <v/>
      </c>
      <c r="BB108" s="510"/>
      <c r="BC108" s="499" t="s">
        <v>1226</v>
      </c>
      <c r="BD108" s="500" t="str">
        <f>'HHV-LHV-MW'!QN78</f>
        <v/>
      </c>
      <c r="BE108" s="500" t="str">
        <f>'HHV-LHV-MW'!QZ78</f>
        <v/>
      </c>
      <c r="BF108" s="500" t="str">
        <f>'HHV-LHV-MW'!RL78</f>
        <v/>
      </c>
      <c r="BG108" s="501" t="str">
        <f>'HHV-LHV-MW'!RX78</f>
        <v/>
      </c>
      <c r="BH108" s="865"/>
      <c r="BI108" s="865"/>
      <c r="BJ108" s="1143" t="s">
        <v>1506</v>
      </c>
      <c r="BK108" s="2481"/>
      <c r="BL108" s="2481"/>
      <c r="BM108" s="2481"/>
      <c r="BN108" s="1144"/>
      <c r="BO108" s="2482" t="str">
        <f>IF(BO106="","",IF(BO106=1,DE143,DG143))</f>
        <v/>
      </c>
      <c r="BP108" s="2483"/>
      <c r="BQ108" s="865"/>
      <c r="BR108" s="1143" t="s">
        <v>1506</v>
      </c>
      <c r="BS108" s="2481"/>
      <c r="BT108" s="2481"/>
      <c r="BU108" s="2481"/>
      <c r="BV108" s="1144"/>
      <c r="BW108" s="2482" t="str">
        <f>IF(BW106="","",IF(BW106=1,HF143,HH143))</f>
        <v/>
      </c>
      <c r="BX108" s="2483"/>
      <c r="BY108" s="874"/>
      <c r="BZ108" s="884"/>
      <c r="CA108" s="323"/>
      <c r="CB108" s="885"/>
      <c r="CC108" s="885"/>
      <c r="CD108" s="885"/>
      <c r="CE108" s="886"/>
      <c r="CF108" s="511"/>
      <c r="CG108" s="511"/>
      <c r="CH108" s="511"/>
      <c r="CI108" s="511"/>
      <c r="CJ108" s="511"/>
      <c r="CK108" s="511"/>
      <c r="CL108" s="511"/>
      <c r="CM108" s="511"/>
      <c r="CN108" s="511"/>
      <c r="CO108" s="511"/>
      <c r="CP108" s="511"/>
      <c r="CQ108" s="511"/>
      <c r="CR108" s="511"/>
      <c r="CS108" s="511"/>
      <c r="CT108" s="511"/>
      <c r="CU108" s="884"/>
      <c r="CV108" s="323"/>
      <c r="CW108" s="885"/>
      <c r="CX108" s="885"/>
      <c r="CY108" s="885"/>
      <c r="CZ108" s="886"/>
      <c r="DA108" s="511"/>
      <c r="DB108" s="511"/>
      <c r="DC108" s="511"/>
      <c r="DD108" s="511"/>
      <c r="DE108" s="511"/>
      <c r="DF108" s="511"/>
      <c r="DG108" s="511"/>
      <c r="DH108" s="511"/>
      <c r="DI108" s="511"/>
      <c r="DJ108" s="511"/>
      <c r="DK108" s="511"/>
      <c r="DL108" s="511"/>
      <c r="DM108" s="511"/>
      <c r="DN108" s="511"/>
      <c r="DO108" s="511"/>
      <c r="DP108" s="884"/>
      <c r="DQ108" s="323"/>
      <c r="DR108" s="885"/>
      <c r="DS108" s="885"/>
      <c r="DT108" s="885"/>
      <c r="DU108" s="886"/>
      <c r="DV108" s="511"/>
      <c r="DW108" s="511"/>
      <c r="DX108" s="511"/>
      <c r="DY108" s="511"/>
      <c r="DZ108" s="511"/>
      <c r="EA108" s="511"/>
      <c r="EB108" s="511"/>
      <c r="EC108" s="511"/>
      <c r="ED108" s="511"/>
      <c r="EE108" s="511"/>
      <c r="EF108" s="511"/>
      <c r="EG108" s="511"/>
      <c r="EH108" s="511"/>
      <c r="EI108" s="511"/>
      <c r="EJ108" s="511"/>
      <c r="EK108" s="884"/>
      <c r="EL108" s="323"/>
      <c r="EM108" s="885"/>
      <c r="EN108" s="885"/>
      <c r="EO108" s="885"/>
      <c r="EP108" s="886"/>
      <c r="EQ108" s="511"/>
      <c r="ER108" s="511"/>
      <c r="ES108" s="511"/>
      <c r="ET108" s="511"/>
      <c r="EU108" s="511"/>
      <c r="EV108" s="511"/>
      <c r="EW108" s="511"/>
      <c r="EX108" s="511"/>
      <c r="EY108" s="511"/>
      <c r="EZ108" s="511"/>
      <c r="FA108" s="511"/>
      <c r="FB108" s="511"/>
      <c r="FC108" s="511"/>
      <c r="FD108" s="511"/>
      <c r="FE108" s="511"/>
      <c r="FF108" s="884"/>
      <c r="FG108" s="323"/>
      <c r="FH108" s="885"/>
      <c r="FI108" s="885"/>
      <c r="FJ108" s="885"/>
      <c r="FK108" s="886"/>
      <c r="FL108" s="511"/>
      <c r="FM108" s="511"/>
      <c r="FN108" s="511"/>
      <c r="FO108" s="511"/>
      <c r="FP108" s="511"/>
      <c r="FQ108" s="511"/>
      <c r="FR108" s="511"/>
      <c r="FS108" s="511"/>
      <c r="FT108" s="510"/>
      <c r="FU108" s="510"/>
      <c r="FV108" s="510"/>
      <c r="FW108" s="510"/>
      <c r="FX108" s="510"/>
      <c r="FY108" s="510"/>
      <c r="FZ108" s="510"/>
      <c r="GA108" s="884"/>
      <c r="GB108" s="323"/>
      <c r="GC108" s="885"/>
      <c r="GD108" s="885"/>
      <c r="GE108" s="885"/>
      <c r="GF108" s="886"/>
      <c r="GG108" s="511"/>
      <c r="GH108" s="511"/>
      <c r="GI108" s="511"/>
      <c r="GJ108" s="511"/>
      <c r="GK108" s="511"/>
      <c r="GL108" s="511"/>
      <c r="GM108" s="511"/>
      <c r="GN108" s="511"/>
      <c r="GO108" s="510"/>
      <c r="GP108" s="510"/>
      <c r="GQ108" s="510"/>
      <c r="GR108" s="510"/>
      <c r="GS108" s="510"/>
      <c r="GT108" s="510"/>
      <c r="GU108" s="510"/>
      <c r="GV108" s="884"/>
      <c r="GW108" s="323"/>
      <c r="GX108" s="885"/>
      <c r="GY108" s="885"/>
      <c r="GZ108" s="885"/>
      <c r="HA108" s="886"/>
      <c r="HB108" s="511"/>
      <c r="HC108" s="511"/>
      <c r="HD108" s="511"/>
      <c r="HE108" s="511"/>
      <c r="HF108" s="511"/>
      <c r="HG108" s="511"/>
      <c r="HH108" s="511"/>
      <c r="HI108" s="511"/>
      <c r="HJ108" s="510"/>
      <c r="HK108" s="510"/>
      <c r="HL108" s="510"/>
      <c r="HM108" s="510"/>
      <c r="HN108" s="510"/>
      <c r="HO108" s="510"/>
      <c r="HP108" s="510"/>
      <c r="HQ108" s="884"/>
      <c r="HR108" s="323"/>
      <c r="HS108" s="885"/>
      <c r="HT108" s="885"/>
      <c r="HU108" s="885"/>
      <c r="HV108" s="886"/>
      <c r="HW108" s="511"/>
      <c r="HX108" s="511"/>
      <c r="HY108" s="511"/>
      <c r="HZ108" s="511"/>
      <c r="IA108" s="511"/>
      <c r="IB108" s="511"/>
      <c r="IC108" s="511"/>
      <c r="ID108" s="511"/>
      <c r="IE108" s="510"/>
      <c r="IF108" s="510"/>
      <c r="IG108" s="510"/>
      <c r="IH108" s="510"/>
      <c r="II108" s="510"/>
      <c r="IJ108" s="510"/>
      <c r="IK108" s="510"/>
      <c r="IL108" s="884"/>
      <c r="IM108" s="323"/>
      <c r="IN108" s="885"/>
      <c r="IO108" s="885"/>
      <c r="IP108" s="885"/>
      <c r="IQ108" s="886"/>
      <c r="IR108" s="511"/>
      <c r="IS108" s="511"/>
      <c r="IT108" s="511"/>
      <c r="IU108" s="511"/>
      <c r="IV108" s="511"/>
      <c r="IW108" s="511"/>
      <c r="IX108" s="511"/>
      <c r="IY108" s="511"/>
      <c r="IZ108" s="510"/>
      <c r="JA108" s="510"/>
      <c r="JB108" s="510"/>
      <c r="JC108" s="510"/>
      <c r="JD108" s="510"/>
      <c r="JE108" s="510"/>
      <c r="JF108" s="510"/>
      <c r="JG108" s="884"/>
      <c r="JH108" s="323"/>
      <c r="JI108" s="885"/>
      <c r="JJ108" s="885"/>
      <c r="JK108" s="885"/>
      <c r="JL108" s="886"/>
      <c r="JM108" s="874"/>
      <c r="JN108" s="874"/>
      <c r="JO108" s="874"/>
      <c r="JP108" s="874"/>
      <c r="JQ108" s="874"/>
      <c r="JR108" s="874"/>
      <c r="JS108" s="874"/>
      <c r="JT108" s="874"/>
      <c r="JU108" s="874"/>
      <c r="JV108" s="874"/>
      <c r="JW108" s="874"/>
      <c r="JX108" s="874"/>
      <c r="JY108" s="874"/>
      <c r="JZ108" s="874"/>
      <c r="KA108" s="874"/>
      <c r="KB108" s="874"/>
      <c r="KC108" s="874"/>
      <c r="KD108" s="874"/>
      <c r="KE108" s="874"/>
      <c r="KF108" s="874"/>
      <c r="KG108" s="874"/>
      <c r="KH108" s="865"/>
      <c r="KI108" s="865"/>
      <c r="KJ108" s="865"/>
      <c r="KK108" s="865"/>
      <c r="KL108" s="865"/>
      <c r="KM108" s="865"/>
      <c r="KN108" s="865"/>
      <c r="KO108" s="865"/>
      <c r="KP108" s="865"/>
      <c r="KQ108" s="865"/>
      <c r="KR108" s="865"/>
      <c r="KS108" s="865"/>
      <c r="KT108" s="865"/>
      <c r="KU108" s="865"/>
      <c r="KV108" s="865"/>
      <c r="KW108" s="865"/>
      <c r="KX108" s="865"/>
      <c r="KY108" s="865"/>
      <c r="KZ108" s="865"/>
      <c r="LA108" s="865"/>
      <c r="LB108" s="865"/>
      <c r="LC108" s="865"/>
      <c r="LD108" s="865"/>
      <c r="LE108" s="865"/>
      <c r="LF108" s="865"/>
    </row>
    <row r="109" spans="1:318" ht="18.600000000000001">
      <c r="A109" s="499" t="s">
        <v>1238</v>
      </c>
      <c r="B109" s="500" t="str">
        <f>IF(B111="","",B107/B111)</f>
        <v/>
      </c>
      <c r="C109" s="500" t="str">
        <f t="shared" ref="C109:E109" si="64">IF(C111="","",C107/C111)</f>
        <v/>
      </c>
      <c r="D109" s="500" t="str">
        <f t="shared" si="64"/>
        <v/>
      </c>
      <c r="E109" s="501" t="str">
        <f t="shared" si="64"/>
        <v/>
      </c>
      <c r="F109" s="511"/>
      <c r="G109" s="499" t="s">
        <v>1238</v>
      </c>
      <c r="H109" s="500" t="str">
        <f t="shared" ref="H109:K109" si="65">IF(H111="","",H107/H111)</f>
        <v/>
      </c>
      <c r="I109" s="500" t="str">
        <f t="shared" si="65"/>
        <v/>
      </c>
      <c r="J109" s="500" t="str">
        <f t="shared" si="65"/>
        <v/>
      </c>
      <c r="K109" s="501" t="str">
        <f t="shared" si="65"/>
        <v/>
      </c>
      <c r="L109" s="511"/>
      <c r="M109" s="499" t="s">
        <v>1238</v>
      </c>
      <c r="N109" s="500" t="str">
        <f t="shared" ref="N109:Q109" si="66">IF(N111="","",N107/N111)</f>
        <v/>
      </c>
      <c r="O109" s="500" t="str">
        <f t="shared" si="66"/>
        <v/>
      </c>
      <c r="P109" s="500" t="str">
        <f t="shared" si="66"/>
        <v/>
      </c>
      <c r="Q109" s="501" t="str">
        <f t="shared" si="66"/>
        <v/>
      </c>
      <c r="R109" s="511"/>
      <c r="S109" s="499" t="s">
        <v>1238</v>
      </c>
      <c r="T109" s="500" t="str">
        <f t="shared" ref="T109:W109" si="67">IF(T111="","",T107/T111)</f>
        <v/>
      </c>
      <c r="U109" s="500" t="str">
        <f t="shared" si="67"/>
        <v/>
      </c>
      <c r="V109" s="500" t="str">
        <f t="shared" si="67"/>
        <v/>
      </c>
      <c r="W109" s="501" t="str">
        <f t="shared" si="67"/>
        <v/>
      </c>
      <c r="X109" s="511"/>
      <c r="Y109" s="499" t="s">
        <v>1238</v>
      </c>
      <c r="Z109" s="500" t="str">
        <f t="shared" ref="Z109:AC109" si="68">IF(Z111="","",Z107/Z111)</f>
        <v/>
      </c>
      <c r="AA109" s="500" t="str">
        <f t="shared" si="68"/>
        <v/>
      </c>
      <c r="AB109" s="500" t="str">
        <f t="shared" si="68"/>
        <v/>
      </c>
      <c r="AC109" s="501" t="str">
        <f t="shared" si="68"/>
        <v/>
      </c>
      <c r="AD109" s="511"/>
      <c r="AE109" s="499" t="s">
        <v>1238</v>
      </c>
      <c r="AF109" s="500" t="str">
        <f>IF(AF111="","",AF107/AF111)</f>
        <v/>
      </c>
      <c r="AG109" s="500" t="str">
        <f t="shared" ref="AG109:AH109" si="69">IF(AG111="","",AG107/AG111)</f>
        <v/>
      </c>
      <c r="AH109" s="500" t="str">
        <f t="shared" si="69"/>
        <v/>
      </c>
      <c r="AI109" s="501" t="str">
        <f>IF(AI111="","",AI107/AI111)</f>
        <v/>
      </c>
      <c r="AJ109" s="511"/>
      <c r="AK109" s="499" t="s">
        <v>1238</v>
      </c>
      <c r="AL109" s="500" t="str">
        <f>IF(AL111="","",AL107/AL111)</f>
        <v/>
      </c>
      <c r="AM109" s="500" t="str">
        <f t="shared" ref="AM109:AN109" si="70">IF(AM111="","",AM107/AM111)</f>
        <v/>
      </c>
      <c r="AN109" s="500" t="str">
        <f t="shared" si="70"/>
        <v/>
      </c>
      <c r="AO109" s="501" t="str">
        <f>IF(AO111="","",AO107/AO111)</f>
        <v/>
      </c>
      <c r="AP109" s="511"/>
      <c r="AQ109" s="499" t="s">
        <v>1238</v>
      </c>
      <c r="AR109" s="500" t="str">
        <f>IF(AR111="","",AR107/AR111)</f>
        <v/>
      </c>
      <c r="AS109" s="500" t="str">
        <f t="shared" ref="AS109:AT109" si="71">IF(AS111="","",AS107/AS111)</f>
        <v/>
      </c>
      <c r="AT109" s="500" t="str">
        <f t="shared" si="71"/>
        <v/>
      </c>
      <c r="AU109" s="501" t="str">
        <f>IF(AU111="","",AU107/AU111)</f>
        <v/>
      </c>
      <c r="AV109" s="511"/>
      <c r="AW109" s="499" t="s">
        <v>1238</v>
      </c>
      <c r="AX109" s="500" t="str">
        <f>IF(AX111="","",AX107/AX111)</f>
        <v/>
      </c>
      <c r="AY109" s="500" t="str">
        <f t="shared" ref="AY109:AZ109" si="72">IF(AY111="","",AY107/AY111)</f>
        <v/>
      </c>
      <c r="AZ109" s="500" t="str">
        <f t="shared" si="72"/>
        <v/>
      </c>
      <c r="BA109" s="501" t="str">
        <f>IF(BA111="","",BA107/BA111)</f>
        <v/>
      </c>
      <c r="BB109" s="511"/>
      <c r="BC109" s="499" t="s">
        <v>1238</v>
      </c>
      <c r="BD109" s="500" t="str">
        <f>IF(BD111="","",BD107/BD111)</f>
        <v/>
      </c>
      <c r="BE109" s="500" t="str">
        <f t="shared" ref="BE109:BF109" si="73">IF(BE111="","",BE107/BE111)</f>
        <v/>
      </c>
      <c r="BF109" s="500" t="str">
        <f t="shared" si="73"/>
        <v/>
      </c>
      <c r="BG109" s="501" t="str">
        <f>IF(BG111="","",BG107/BG111)</f>
        <v/>
      </c>
      <c r="BH109" s="865"/>
      <c r="BI109" s="865"/>
      <c r="BJ109" s="1143" t="s">
        <v>1507</v>
      </c>
      <c r="BK109" s="2481"/>
      <c r="BL109" s="2481"/>
      <c r="BM109" s="2481"/>
      <c r="BN109" s="1144"/>
      <c r="BO109" s="2482" t="str">
        <f>IF(BO106="","",IF(BO106=1,DF143,DH143))</f>
        <v/>
      </c>
      <c r="BP109" s="2483"/>
      <c r="BQ109" s="865"/>
      <c r="BR109" s="1143" t="s">
        <v>1507</v>
      </c>
      <c r="BS109" s="2481"/>
      <c r="BT109" s="2481"/>
      <c r="BU109" s="2481"/>
      <c r="BV109" s="1144"/>
      <c r="BW109" s="2482" t="str">
        <f>IF(BW106="","",IF(BW106=1,HG143,HI143))</f>
        <v/>
      </c>
      <c r="BX109" s="2483"/>
      <c r="BY109" s="874"/>
      <c r="BZ109" s="884"/>
      <c r="CA109" s="323"/>
      <c r="CB109" s="885"/>
      <c r="CC109" s="885"/>
      <c r="CD109" s="885"/>
      <c r="CE109" s="886"/>
      <c r="CF109" s="511"/>
      <c r="CG109" s="511"/>
      <c r="CH109" s="511"/>
      <c r="CI109" s="511"/>
      <c r="CJ109" s="511"/>
      <c r="CK109" s="511"/>
      <c r="CL109" s="511"/>
      <c r="CM109" s="511"/>
      <c r="CN109" s="511"/>
      <c r="CO109" s="511"/>
      <c r="CP109" s="511"/>
      <c r="CQ109" s="511"/>
      <c r="CR109" s="511"/>
      <c r="CS109" s="511"/>
      <c r="CT109" s="511"/>
      <c r="CU109" s="884"/>
      <c r="CV109" s="323"/>
      <c r="CW109" s="885"/>
      <c r="CX109" s="885"/>
      <c r="CY109" s="885"/>
      <c r="CZ109" s="886"/>
      <c r="DA109" s="511"/>
      <c r="DB109" s="511"/>
      <c r="DC109" s="511"/>
      <c r="DD109" s="511"/>
      <c r="DE109" s="511"/>
      <c r="DF109" s="511"/>
      <c r="DG109" s="511"/>
      <c r="DH109" s="511"/>
      <c r="DI109" s="511"/>
      <c r="DJ109" s="511"/>
      <c r="DK109" s="511"/>
      <c r="DL109" s="511"/>
      <c r="DM109" s="511"/>
      <c r="DN109" s="511"/>
      <c r="DO109" s="511"/>
      <c r="DP109" s="884"/>
      <c r="DQ109" s="323"/>
      <c r="DR109" s="885"/>
      <c r="DS109" s="885"/>
      <c r="DT109" s="885"/>
      <c r="DU109" s="886"/>
      <c r="DV109" s="511"/>
      <c r="DW109" s="511"/>
      <c r="DX109" s="511"/>
      <c r="DY109" s="511"/>
      <c r="DZ109" s="511"/>
      <c r="EA109" s="511"/>
      <c r="EB109" s="511"/>
      <c r="EC109" s="511"/>
      <c r="ED109" s="511"/>
      <c r="EE109" s="511"/>
      <c r="EF109" s="511"/>
      <c r="EG109" s="511"/>
      <c r="EH109" s="511"/>
      <c r="EI109" s="511"/>
      <c r="EJ109" s="511"/>
      <c r="EK109" s="884"/>
      <c r="EL109" s="323"/>
      <c r="EM109" s="885"/>
      <c r="EN109" s="885"/>
      <c r="EO109" s="885"/>
      <c r="EP109" s="886"/>
      <c r="EQ109" s="511"/>
      <c r="ER109" s="511"/>
      <c r="ES109" s="511"/>
      <c r="ET109" s="511"/>
      <c r="EU109" s="511"/>
      <c r="EV109" s="511"/>
      <c r="EW109" s="511"/>
      <c r="EX109" s="511"/>
      <c r="EY109" s="511"/>
      <c r="EZ109" s="511"/>
      <c r="FA109" s="511"/>
      <c r="FB109" s="511"/>
      <c r="FC109" s="511"/>
      <c r="FD109" s="511"/>
      <c r="FE109" s="511"/>
      <c r="FF109" s="884"/>
      <c r="FG109" s="323"/>
      <c r="FH109" s="885"/>
      <c r="FI109" s="885"/>
      <c r="FJ109" s="885"/>
      <c r="FK109" s="886"/>
      <c r="FL109" s="511"/>
      <c r="FM109" s="511"/>
      <c r="FN109" s="511"/>
      <c r="FO109" s="511"/>
      <c r="FP109" s="511"/>
      <c r="FQ109" s="511"/>
      <c r="FR109" s="511"/>
      <c r="FS109" s="511"/>
      <c r="FT109" s="511"/>
      <c r="FU109" s="511"/>
      <c r="FV109" s="511"/>
      <c r="FW109" s="511"/>
      <c r="FX109" s="511"/>
      <c r="FY109" s="511"/>
      <c r="FZ109" s="511"/>
      <c r="GA109" s="884"/>
      <c r="GB109" s="323"/>
      <c r="GC109" s="885"/>
      <c r="GD109" s="885"/>
      <c r="GE109" s="885"/>
      <c r="GF109" s="886"/>
      <c r="GG109" s="511"/>
      <c r="GH109" s="511"/>
      <c r="GI109" s="511"/>
      <c r="GJ109" s="511"/>
      <c r="GK109" s="511"/>
      <c r="GL109" s="511"/>
      <c r="GM109" s="511"/>
      <c r="GN109" s="511"/>
      <c r="GO109" s="511"/>
      <c r="GP109" s="511"/>
      <c r="GQ109" s="511"/>
      <c r="GR109" s="511"/>
      <c r="GS109" s="511"/>
      <c r="GT109" s="511"/>
      <c r="GU109" s="511"/>
      <c r="GV109" s="884"/>
      <c r="GW109" s="323"/>
      <c r="GX109" s="885"/>
      <c r="GY109" s="885"/>
      <c r="GZ109" s="885"/>
      <c r="HA109" s="886"/>
      <c r="HB109" s="511"/>
      <c r="HC109" s="511"/>
      <c r="HD109" s="511"/>
      <c r="HE109" s="511"/>
      <c r="HF109" s="511"/>
      <c r="HG109" s="511"/>
      <c r="HH109" s="511"/>
      <c r="HI109" s="511"/>
      <c r="HJ109" s="511"/>
      <c r="HK109" s="511"/>
      <c r="HL109" s="511"/>
      <c r="HM109" s="511"/>
      <c r="HN109" s="511"/>
      <c r="HO109" s="511"/>
      <c r="HP109" s="511"/>
      <c r="HQ109" s="884"/>
      <c r="HR109" s="323"/>
      <c r="HS109" s="885"/>
      <c r="HT109" s="885"/>
      <c r="HU109" s="885"/>
      <c r="HV109" s="886"/>
      <c r="HW109" s="511"/>
      <c r="HX109" s="511"/>
      <c r="HY109" s="511"/>
      <c r="HZ109" s="511"/>
      <c r="IA109" s="511"/>
      <c r="IB109" s="511"/>
      <c r="IC109" s="511"/>
      <c r="ID109" s="511"/>
      <c r="IE109" s="511"/>
      <c r="IF109" s="511"/>
      <c r="IG109" s="511"/>
      <c r="IH109" s="511"/>
      <c r="II109" s="511"/>
      <c r="IJ109" s="511"/>
      <c r="IK109" s="511"/>
      <c r="IL109" s="884"/>
      <c r="IM109" s="323"/>
      <c r="IN109" s="885"/>
      <c r="IO109" s="885"/>
      <c r="IP109" s="885"/>
      <c r="IQ109" s="886"/>
      <c r="IR109" s="511"/>
      <c r="IS109" s="511"/>
      <c r="IT109" s="511"/>
      <c r="IU109" s="511"/>
      <c r="IV109" s="511"/>
      <c r="IW109" s="511"/>
      <c r="IX109" s="511"/>
      <c r="IY109" s="511"/>
      <c r="IZ109" s="511"/>
      <c r="JA109" s="511"/>
      <c r="JB109" s="511"/>
      <c r="JC109" s="511"/>
      <c r="JD109" s="511"/>
      <c r="JE109" s="511"/>
      <c r="JF109" s="511"/>
      <c r="JG109" s="884"/>
      <c r="JH109" s="323"/>
      <c r="JI109" s="885"/>
      <c r="JJ109" s="885"/>
      <c r="JK109" s="885"/>
      <c r="JL109" s="886"/>
      <c r="JM109" s="874"/>
      <c r="JN109" s="874"/>
      <c r="JO109" s="874"/>
      <c r="JP109" s="874"/>
      <c r="JQ109" s="874"/>
      <c r="JR109" s="874"/>
      <c r="JS109" s="874"/>
      <c r="JT109" s="874"/>
      <c r="JU109" s="874"/>
      <c r="JV109" s="874"/>
      <c r="JW109" s="874"/>
      <c r="JX109" s="874"/>
      <c r="JY109" s="874"/>
      <c r="JZ109" s="874"/>
      <c r="KA109" s="874"/>
      <c r="KB109" s="874"/>
      <c r="KC109" s="874"/>
      <c r="KD109" s="874"/>
      <c r="KE109" s="874"/>
      <c r="KF109" s="874"/>
      <c r="KG109" s="874"/>
      <c r="KH109" s="865"/>
      <c r="KI109" s="865"/>
      <c r="KJ109" s="865"/>
      <c r="KK109" s="865"/>
      <c r="KL109" s="865"/>
      <c r="KM109" s="865"/>
      <c r="KN109" s="865"/>
      <c r="KO109" s="865"/>
      <c r="KP109" s="865"/>
      <c r="KQ109" s="865"/>
      <c r="KR109" s="865"/>
      <c r="KS109" s="865"/>
      <c r="KT109" s="865"/>
      <c r="KU109" s="865"/>
      <c r="KV109" s="865"/>
      <c r="KW109" s="865"/>
      <c r="KX109" s="865"/>
      <c r="KY109" s="865"/>
      <c r="KZ109" s="865"/>
      <c r="LA109" s="865"/>
      <c r="LB109" s="865"/>
      <c r="LC109" s="865"/>
      <c r="LD109" s="865"/>
      <c r="LE109" s="865"/>
      <c r="LF109" s="865"/>
    </row>
    <row r="110" spans="1:318" ht="18.600000000000001">
      <c r="A110" s="499" t="s">
        <v>1239</v>
      </c>
      <c r="B110" s="500" t="str">
        <f t="shared" ref="B110:E110" si="74">IF(B111="","",B108/B111)</f>
        <v/>
      </c>
      <c r="C110" s="500" t="str">
        <f t="shared" si="74"/>
        <v/>
      </c>
      <c r="D110" s="500" t="str">
        <f t="shared" si="74"/>
        <v/>
      </c>
      <c r="E110" s="501" t="str">
        <f t="shared" si="74"/>
        <v/>
      </c>
      <c r="F110" s="511"/>
      <c r="G110" s="499" t="s">
        <v>1239</v>
      </c>
      <c r="H110" s="500" t="str">
        <f t="shared" ref="H110" si="75">IF(H111="","",H108/H111)</f>
        <v/>
      </c>
      <c r="I110" s="500" t="str">
        <f t="shared" ref="I110" si="76">IF(I111="","",I108/I111)</f>
        <v/>
      </c>
      <c r="J110" s="500" t="str">
        <f t="shared" ref="J110" si="77">IF(J111="","",J108/J111)</f>
        <v/>
      </c>
      <c r="K110" s="501" t="str">
        <f t="shared" ref="K110" si="78">IF(K111="","",K108/K111)</f>
        <v/>
      </c>
      <c r="L110" s="511"/>
      <c r="M110" s="499" t="s">
        <v>1239</v>
      </c>
      <c r="N110" s="500" t="str">
        <f t="shared" ref="N110" si="79">IF(N111="","",N108/N111)</f>
        <v/>
      </c>
      <c r="O110" s="500" t="str">
        <f t="shared" ref="O110" si="80">IF(O111="","",O108/O111)</f>
        <v/>
      </c>
      <c r="P110" s="500" t="str">
        <f t="shared" ref="P110" si="81">IF(P111="","",P108/P111)</f>
        <v/>
      </c>
      <c r="Q110" s="501" t="str">
        <f t="shared" ref="Q110" si="82">IF(Q111="","",Q108/Q111)</f>
        <v/>
      </c>
      <c r="R110" s="511"/>
      <c r="S110" s="499" t="s">
        <v>1239</v>
      </c>
      <c r="T110" s="500" t="str">
        <f t="shared" ref="T110" si="83">IF(T111="","",T108/T111)</f>
        <v/>
      </c>
      <c r="U110" s="500" t="str">
        <f t="shared" ref="U110" si="84">IF(U111="","",U108/U111)</f>
        <v/>
      </c>
      <c r="V110" s="500" t="str">
        <f t="shared" ref="V110" si="85">IF(V111="","",V108/V111)</f>
        <v/>
      </c>
      <c r="W110" s="501" t="str">
        <f t="shared" ref="W110" si="86">IF(W111="","",W108/W111)</f>
        <v/>
      </c>
      <c r="X110" s="511"/>
      <c r="Y110" s="499" t="s">
        <v>1239</v>
      </c>
      <c r="Z110" s="500" t="str">
        <f t="shared" ref="Z110" si="87">IF(Z111="","",Z108/Z111)</f>
        <v/>
      </c>
      <c r="AA110" s="500" t="str">
        <f t="shared" ref="AA110" si="88">IF(AA111="","",AA108/AA111)</f>
        <v/>
      </c>
      <c r="AB110" s="500" t="str">
        <f t="shared" ref="AB110" si="89">IF(AB111="","",AB108/AB111)</f>
        <v/>
      </c>
      <c r="AC110" s="501" t="str">
        <f t="shared" ref="AC110" si="90">IF(AC111="","",AC108/AC111)</f>
        <v/>
      </c>
      <c r="AD110" s="511"/>
      <c r="AE110" s="499" t="s">
        <v>1239</v>
      </c>
      <c r="AF110" s="500" t="str">
        <f>IF(AF111="","",AF108/AF111)</f>
        <v/>
      </c>
      <c r="AG110" s="500" t="str">
        <f t="shared" ref="AG110" si="91">IF(AG111="","",AG108/AG111)</f>
        <v/>
      </c>
      <c r="AH110" s="500" t="str">
        <f t="shared" ref="AH110" si="92">IF(AH111="","",AH108/AH111)</f>
        <v/>
      </c>
      <c r="AI110" s="501" t="str">
        <f>IF(AI111="","",AI108/AI111)</f>
        <v/>
      </c>
      <c r="AJ110" s="511"/>
      <c r="AK110" s="499" t="s">
        <v>1239</v>
      </c>
      <c r="AL110" s="500" t="str">
        <f>IF(AL111="","",AL108/AL111)</f>
        <v/>
      </c>
      <c r="AM110" s="500" t="str">
        <f t="shared" ref="AM110:AN110" si="93">IF(AM111="","",AM108/AM111)</f>
        <v/>
      </c>
      <c r="AN110" s="500" t="str">
        <f t="shared" si="93"/>
        <v/>
      </c>
      <c r="AO110" s="501" t="str">
        <f>IF(AO111="","",AO108/AO111)</f>
        <v/>
      </c>
      <c r="AP110" s="511"/>
      <c r="AQ110" s="499" t="s">
        <v>1239</v>
      </c>
      <c r="AR110" s="500" t="str">
        <f>IF(AR111="","",AR108/AR111)</f>
        <v/>
      </c>
      <c r="AS110" s="500" t="str">
        <f t="shared" ref="AS110:AT110" si="94">IF(AS111="","",AS108/AS111)</f>
        <v/>
      </c>
      <c r="AT110" s="500" t="str">
        <f t="shared" si="94"/>
        <v/>
      </c>
      <c r="AU110" s="501" t="str">
        <f>IF(AU111="","",AU108/AU111)</f>
        <v/>
      </c>
      <c r="AV110" s="511"/>
      <c r="AW110" s="499" t="s">
        <v>1239</v>
      </c>
      <c r="AX110" s="500" t="str">
        <f>IF(AX111="","",AX108/AX111)</f>
        <v/>
      </c>
      <c r="AY110" s="500" t="str">
        <f t="shared" ref="AY110:AZ110" si="95">IF(AY111="","",AY108/AY111)</f>
        <v/>
      </c>
      <c r="AZ110" s="500" t="str">
        <f t="shared" si="95"/>
        <v/>
      </c>
      <c r="BA110" s="501" t="str">
        <f>IF(BA111="","",BA108/BA111)</f>
        <v/>
      </c>
      <c r="BB110" s="511"/>
      <c r="BC110" s="499" t="s">
        <v>1239</v>
      </c>
      <c r="BD110" s="500" t="str">
        <f>IF(BD111="","",BD108/BD111)</f>
        <v/>
      </c>
      <c r="BE110" s="500" t="str">
        <f t="shared" ref="BE110:BF110" si="96">IF(BE111="","",BE108/BE111)</f>
        <v/>
      </c>
      <c r="BF110" s="500" t="str">
        <f t="shared" si="96"/>
        <v/>
      </c>
      <c r="BG110" s="501" t="str">
        <f>IF(BG111="","",BG108/BG111)</f>
        <v/>
      </c>
      <c r="BH110" s="865"/>
      <c r="BI110" s="865"/>
      <c r="BJ110" s="1143" t="s">
        <v>1508</v>
      </c>
      <c r="BK110" s="2481"/>
      <c r="BL110" s="2481"/>
      <c r="BM110" s="2481"/>
      <c r="BN110" s="1144"/>
      <c r="BO110" s="2482" t="str">
        <f>DJ143</f>
        <v/>
      </c>
      <c r="BP110" s="2483"/>
      <c r="BQ110" s="865"/>
      <c r="BR110" s="1143" t="s">
        <v>1508</v>
      </c>
      <c r="BS110" s="2481"/>
      <c r="BT110" s="2481"/>
      <c r="BU110" s="2481"/>
      <c r="BV110" s="1144"/>
      <c r="BW110" s="2482" t="str">
        <f>HK143</f>
        <v/>
      </c>
      <c r="BX110" s="2483"/>
      <c r="BY110" s="874"/>
      <c r="BZ110" s="884"/>
      <c r="CA110" s="323"/>
      <c r="CB110" s="885"/>
      <c r="CC110" s="885"/>
      <c r="CD110" s="885"/>
      <c r="CE110" s="886"/>
      <c r="CF110" s="511"/>
      <c r="CG110" s="511"/>
      <c r="CH110" s="511"/>
      <c r="CI110" s="511"/>
      <c r="CJ110" s="511"/>
      <c r="CK110" s="511"/>
      <c r="CL110" s="511"/>
      <c r="CM110" s="511"/>
      <c r="CN110" s="511"/>
      <c r="CO110" s="511"/>
      <c r="CP110" s="511"/>
      <c r="CQ110" s="511"/>
      <c r="CR110" s="511"/>
      <c r="CS110" s="511"/>
      <c r="CT110" s="511"/>
      <c r="CU110" s="884"/>
      <c r="CV110" s="323"/>
      <c r="CW110" s="885"/>
      <c r="CX110" s="885"/>
      <c r="CY110" s="885"/>
      <c r="CZ110" s="886"/>
      <c r="DA110" s="511"/>
      <c r="DB110" s="511"/>
      <c r="DC110" s="511"/>
      <c r="DD110" s="511"/>
      <c r="DE110" s="511"/>
      <c r="DF110" s="511"/>
      <c r="DG110" s="511"/>
      <c r="DH110" s="511"/>
      <c r="DI110" s="511"/>
      <c r="DJ110" s="511"/>
      <c r="DK110" s="511"/>
      <c r="DL110" s="511"/>
      <c r="DM110" s="511"/>
      <c r="DN110" s="511"/>
      <c r="DO110" s="511"/>
      <c r="DP110" s="884"/>
      <c r="DQ110" s="323"/>
      <c r="DR110" s="885"/>
      <c r="DS110" s="885"/>
      <c r="DT110" s="885"/>
      <c r="DU110" s="886"/>
      <c r="DV110" s="511"/>
      <c r="DW110" s="511"/>
      <c r="DX110" s="511"/>
      <c r="DY110" s="511"/>
      <c r="DZ110" s="511"/>
      <c r="EA110" s="511"/>
      <c r="EB110" s="511"/>
      <c r="EC110" s="511"/>
      <c r="ED110" s="511"/>
      <c r="EE110" s="511"/>
      <c r="EF110" s="511"/>
      <c r="EG110" s="511"/>
      <c r="EH110" s="511"/>
      <c r="EI110" s="511"/>
      <c r="EJ110" s="511"/>
      <c r="EK110" s="884"/>
      <c r="EL110" s="323"/>
      <c r="EM110" s="885"/>
      <c r="EN110" s="885"/>
      <c r="EO110" s="885"/>
      <c r="EP110" s="886"/>
      <c r="EQ110" s="511"/>
      <c r="ER110" s="511"/>
      <c r="ES110" s="511"/>
      <c r="ET110" s="511"/>
      <c r="EU110" s="511"/>
      <c r="EV110" s="511"/>
      <c r="EW110" s="511"/>
      <c r="EX110" s="511"/>
      <c r="EY110" s="511"/>
      <c r="EZ110" s="511"/>
      <c r="FA110" s="511"/>
      <c r="FB110" s="511"/>
      <c r="FC110" s="511"/>
      <c r="FD110" s="511"/>
      <c r="FE110" s="511"/>
      <c r="FF110" s="884"/>
      <c r="FG110" s="323"/>
      <c r="FH110" s="885"/>
      <c r="FI110" s="885"/>
      <c r="FJ110" s="885"/>
      <c r="FK110" s="886"/>
      <c r="FL110" s="511"/>
      <c r="FM110" s="511"/>
      <c r="FN110" s="511"/>
      <c r="FO110" s="511"/>
      <c r="FP110" s="511"/>
      <c r="FQ110" s="511"/>
      <c r="FR110" s="511"/>
      <c r="FS110" s="511"/>
      <c r="FT110" s="511"/>
      <c r="FU110" s="511"/>
      <c r="FV110" s="511"/>
      <c r="FW110" s="511"/>
      <c r="FX110" s="511"/>
      <c r="FY110" s="511"/>
      <c r="FZ110" s="511"/>
      <c r="GA110" s="884"/>
      <c r="GB110" s="323"/>
      <c r="GC110" s="885"/>
      <c r="GD110" s="885"/>
      <c r="GE110" s="885"/>
      <c r="GF110" s="886"/>
      <c r="GG110" s="511"/>
      <c r="GH110" s="511"/>
      <c r="GI110" s="511"/>
      <c r="GJ110" s="511"/>
      <c r="GK110" s="511"/>
      <c r="GL110" s="511"/>
      <c r="GM110" s="511"/>
      <c r="GN110" s="511"/>
      <c r="GO110" s="511"/>
      <c r="GP110" s="511"/>
      <c r="GQ110" s="511"/>
      <c r="GR110" s="511"/>
      <c r="GS110" s="511"/>
      <c r="GT110" s="511"/>
      <c r="GU110" s="511"/>
      <c r="GV110" s="884"/>
      <c r="GW110" s="323"/>
      <c r="GX110" s="885"/>
      <c r="GY110" s="885"/>
      <c r="GZ110" s="885"/>
      <c r="HA110" s="886"/>
      <c r="HB110" s="511"/>
      <c r="HC110" s="511"/>
      <c r="HD110" s="511"/>
      <c r="HE110" s="511"/>
      <c r="HF110" s="511"/>
      <c r="HG110" s="511"/>
      <c r="HH110" s="511"/>
      <c r="HI110" s="511"/>
      <c r="HJ110" s="511"/>
      <c r="HK110" s="511"/>
      <c r="HL110" s="511"/>
      <c r="HM110" s="511"/>
      <c r="HN110" s="511"/>
      <c r="HO110" s="511"/>
      <c r="HP110" s="511"/>
      <c r="HQ110" s="884"/>
      <c r="HR110" s="323"/>
      <c r="HS110" s="885"/>
      <c r="HT110" s="885"/>
      <c r="HU110" s="885"/>
      <c r="HV110" s="886"/>
      <c r="HW110" s="511"/>
      <c r="HX110" s="511"/>
      <c r="HY110" s="511"/>
      <c r="HZ110" s="511"/>
      <c r="IA110" s="511"/>
      <c r="IB110" s="511"/>
      <c r="IC110" s="511"/>
      <c r="ID110" s="511"/>
      <c r="IE110" s="511"/>
      <c r="IF110" s="511"/>
      <c r="IG110" s="511"/>
      <c r="IH110" s="511"/>
      <c r="II110" s="511"/>
      <c r="IJ110" s="511"/>
      <c r="IK110" s="511"/>
      <c r="IL110" s="884"/>
      <c r="IM110" s="323"/>
      <c r="IN110" s="885"/>
      <c r="IO110" s="885"/>
      <c r="IP110" s="885"/>
      <c r="IQ110" s="886"/>
      <c r="IR110" s="511"/>
      <c r="IS110" s="511"/>
      <c r="IT110" s="511"/>
      <c r="IU110" s="511"/>
      <c r="IV110" s="511"/>
      <c r="IW110" s="511"/>
      <c r="IX110" s="511"/>
      <c r="IY110" s="511"/>
      <c r="IZ110" s="511"/>
      <c r="JA110" s="511"/>
      <c r="JB110" s="511"/>
      <c r="JC110" s="511"/>
      <c r="JD110" s="511"/>
      <c r="JE110" s="511"/>
      <c r="JF110" s="511"/>
      <c r="JG110" s="884"/>
      <c r="JH110" s="323"/>
      <c r="JI110" s="885"/>
      <c r="JJ110" s="885"/>
      <c r="JK110" s="885"/>
      <c r="JL110" s="886"/>
      <c r="JM110" s="874"/>
      <c r="JN110" s="874"/>
      <c r="JO110" s="874"/>
      <c r="JP110" s="874"/>
      <c r="JQ110" s="874"/>
      <c r="JR110" s="874"/>
      <c r="JS110" s="874"/>
      <c r="JT110" s="874"/>
      <c r="JU110" s="874"/>
      <c r="JV110" s="874"/>
      <c r="JW110" s="874"/>
      <c r="JX110" s="874"/>
      <c r="JY110" s="874"/>
      <c r="JZ110" s="874"/>
      <c r="KA110" s="874"/>
      <c r="KB110" s="874"/>
      <c r="KC110" s="874"/>
      <c r="KD110" s="874"/>
      <c r="KE110" s="874"/>
      <c r="KF110" s="874"/>
      <c r="KG110" s="874"/>
      <c r="KH110" s="865"/>
      <c r="KI110" s="865"/>
      <c r="KJ110" s="865"/>
      <c r="KK110" s="865"/>
      <c r="KL110" s="865"/>
      <c r="KM110" s="865"/>
      <c r="KN110" s="865"/>
      <c r="KO110" s="865"/>
      <c r="KP110" s="865"/>
      <c r="KQ110" s="865"/>
      <c r="KR110" s="865"/>
      <c r="KS110" s="865"/>
      <c r="KT110" s="865"/>
      <c r="KU110" s="865"/>
      <c r="KV110" s="865"/>
      <c r="KW110" s="865"/>
      <c r="KX110" s="865"/>
      <c r="KY110" s="865"/>
      <c r="KZ110" s="865"/>
      <c r="LA110" s="865"/>
      <c r="LB110" s="865"/>
      <c r="LC110" s="865"/>
      <c r="LD110" s="865"/>
      <c r="LE110" s="865"/>
      <c r="LF110" s="865"/>
    </row>
    <row r="111" spans="1:318" ht="19.8">
      <c r="A111" s="499" t="s">
        <v>1240</v>
      </c>
      <c r="B111" s="500" t="str">
        <f>'HHV-LHV-MW'!L52</f>
        <v/>
      </c>
      <c r="C111" s="500" t="str">
        <f>'HHV-LHV-MW'!X52</f>
        <v/>
      </c>
      <c r="D111" s="500" t="str">
        <f>'HHV-LHV-MW'!AJ52</f>
        <v/>
      </c>
      <c r="E111" s="501" t="str">
        <f>'HHV-LHV-MW'!AV52</f>
        <v/>
      </c>
      <c r="F111" s="511"/>
      <c r="G111" s="499" t="s">
        <v>1240</v>
      </c>
      <c r="H111" s="500" t="str">
        <f>'HHV-LHV-MW'!BI52</f>
        <v/>
      </c>
      <c r="I111" s="500" t="str">
        <f>'HHV-LHV-MW'!BU52</f>
        <v/>
      </c>
      <c r="J111" s="500" t="str">
        <f>'HHV-LHV-MW'!CG52</f>
        <v/>
      </c>
      <c r="K111" s="501" t="str">
        <f>'HHV-LHV-MW'!CS52</f>
        <v/>
      </c>
      <c r="L111" s="511"/>
      <c r="M111" s="499" t="s">
        <v>1240</v>
      </c>
      <c r="N111" s="500" t="str">
        <f>'HHV-LHV-MW'!DF52</f>
        <v/>
      </c>
      <c r="O111" s="500" t="str">
        <f>'HHV-LHV-MW'!DR52</f>
        <v/>
      </c>
      <c r="P111" s="500" t="str">
        <f>'HHV-LHV-MW'!ED52</f>
        <v/>
      </c>
      <c r="Q111" s="501" t="str">
        <f>'HHV-LHV-MW'!EP52</f>
        <v/>
      </c>
      <c r="R111" s="511"/>
      <c r="S111" s="499" t="s">
        <v>1240</v>
      </c>
      <c r="T111" s="500" t="str">
        <f>'HHV-LHV-MW'!FC52</f>
        <v/>
      </c>
      <c r="U111" s="500" t="str">
        <f>'HHV-LHV-MW'!FO52</f>
        <v/>
      </c>
      <c r="V111" s="500" t="str">
        <f>'HHV-LHV-MW'!GA52</f>
        <v/>
      </c>
      <c r="W111" s="501" t="str">
        <f>'HHV-LHV-MW'!GM52</f>
        <v/>
      </c>
      <c r="X111" s="511"/>
      <c r="Y111" s="499" t="s">
        <v>1240</v>
      </c>
      <c r="Z111" s="500" t="str">
        <f>'HHV-LHV-MW'!GZ52</f>
        <v/>
      </c>
      <c r="AA111" s="500" t="str">
        <f>'HHV-LHV-MW'!HL52</f>
        <v/>
      </c>
      <c r="AB111" s="500" t="str">
        <f>'HHV-LHV-MW'!HX52</f>
        <v/>
      </c>
      <c r="AC111" s="501" t="str">
        <f>'HHV-LHV-MW'!IJ52</f>
        <v/>
      </c>
      <c r="AD111" s="510"/>
      <c r="AE111" s="499" t="s">
        <v>1240</v>
      </c>
      <c r="AF111" s="500" t="str">
        <f>'HHV-LHV-MW'!IW52</f>
        <v/>
      </c>
      <c r="AG111" s="500" t="str">
        <f>'HHV-LHV-MW'!JI52</f>
        <v/>
      </c>
      <c r="AH111" s="500" t="str">
        <f>'HHV-LHV-MW'!JU52</f>
        <v/>
      </c>
      <c r="AI111" s="501" t="str">
        <f>'HHV-LHV-MW'!KG52</f>
        <v/>
      </c>
      <c r="AJ111" s="510"/>
      <c r="AK111" s="499" t="s">
        <v>1240</v>
      </c>
      <c r="AL111" s="500" t="str">
        <f>'HHV-LHV-MW'!KT52</f>
        <v/>
      </c>
      <c r="AM111" s="500" t="str">
        <f>'HHV-LHV-MW'!LF52</f>
        <v/>
      </c>
      <c r="AN111" s="500" t="str">
        <f>'HHV-LHV-MW'!LR52</f>
        <v/>
      </c>
      <c r="AO111" s="501" t="str">
        <f>'HHV-LHV-MW'!MD52</f>
        <v/>
      </c>
      <c r="AP111" s="510"/>
      <c r="AQ111" s="499" t="s">
        <v>1240</v>
      </c>
      <c r="AR111" s="500" t="str">
        <f>'HHV-LHV-MW'!MQ52</f>
        <v/>
      </c>
      <c r="AS111" s="500" t="str">
        <f>'HHV-LHV-MW'!NC52</f>
        <v/>
      </c>
      <c r="AT111" s="500" t="str">
        <f>'HHV-LHV-MW'!NO52</f>
        <v/>
      </c>
      <c r="AU111" s="501" t="str">
        <f>'HHV-LHV-MW'!OA52</f>
        <v/>
      </c>
      <c r="AV111" s="510"/>
      <c r="AW111" s="499" t="s">
        <v>1240</v>
      </c>
      <c r="AX111" s="500" t="str">
        <f>'HHV-LHV-MW'!OO52</f>
        <v/>
      </c>
      <c r="AY111" s="500" t="str">
        <f>'HHV-LHV-MW'!PA52</f>
        <v/>
      </c>
      <c r="AZ111" s="500" t="str">
        <f>'HHV-LHV-MW'!PM52</f>
        <v/>
      </c>
      <c r="BA111" s="501" t="str">
        <f>'HHV-LHV-MW'!PY52</f>
        <v/>
      </c>
      <c r="BB111" s="510"/>
      <c r="BC111" s="499" t="s">
        <v>1240</v>
      </c>
      <c r="BD111" s="500" t="str">
        <f>'HHV-LHV-MW'!QL52</f>
        <v/>
      </c>
      <c r="BE111" s="500" t="str">
        <f>'HHV-LHV-MW'!QX52</f>
        <v/>
      </c>
      <c r="BF111" s="500" t="str">
        <f>'HHV-LHV-MW'!RJ52</f>
        <v/>
      </c>
      <c r="BG111" s="501" t="str">
        <f>'HHV-LHV-MW'!RV52</f>
        <v/>
      </c>
      <c r="BH111" s="865"/>
      <c r="BI111" s="865"/>
      <c r="BJ111" s="1143" t="s">
        <v>1509</v>
      </c>
      <c r="BK111" s="2481"/>
      <c r="BL111" s="2481"/>
      <c r="BM111" s="2481"/>
      <c r="BN111" s="1144"/>
      <c r="BO111" s="2477" t="str">
        <f>DL143</f>
        <v/>
      </c>
      <c r="BP111" s="2477"/>
      <c r="BQ111" s="865"/>
      <c r="BR111" s="1143" t="s">
        <v>1509</v>
      </c>
      <c r="BS111" s="2481"/>
      <c r="BT111" s="2481"/>
      <c r="BU111" s="2481"/>
      <c r="BV111" s="1144"/>
      <c r="BW111" s="2477" t="str">
        <f>HM143</f>
        <v/>
      </c>
      <c r="BX111" s="2477"/>
      <c r="BY111" s="874"/>
      <c r="BZ111" s="884"/>
      <c r="CA111" s="323"/>
      <c r="CB111" s="885"/>
      <c r="CC111" s="885"/>
      <c r="CD111" s="885"/>
      <c r="CE111" s="886"/>
      <c r="CF111" s="511"/>
      <c r="CG111" s="511"/>
      <c r="CH111" s="511"/>
      <c r="CI111" s="511"/>
      <c r="CJ111" s="511"/>
      <c r="CK111" s="511"/>
      <c r="CL111" s="511"/>
      <c r="CM111" s="511"/>
      <c r="CN111" s="511"/>
      <c r="CO111" s="511"/>
      <c r="CP111" s="511"/>
      <c r="CQ111" s="511"/>
      <c r="CR111" s="511"/>
      <c r="CS111" s="511"/>
      <c r="CT111" s="511"/>
      <c r="CU111" s="884"/>
      <c r="CV111" s="323"/>
      <c r="CW111" s="885"/>
      <c r="CX111" s="885"/>
      <c r="CY111" s="885"/>
      <c r="CZ111" s="886"/>
      <c r="DA111" s="511"/>
      <c r="DB111" s="511"/>
      <c r="DC111" s="511"/>
      <c r="DD111" s="511"/>
      <c r="DE111" s="511"/>
      <c r="DF111" s="511"/>
      <c r="DG111" s="511"/>
      <c r="DH111" s="511"/>
      <c r="DI111" s="511"/>
      <c r="DJ111" s="511"/>
      <c r="DK111" s="511"/>
      <c r="DL111" s="511"/>
      <c r="DM111" s="511"/>
      <c r="DN111" s="511"/>
      <c r="DO111" s="511"/>
      <c r="DP111" s="884"/>
      <c r="DQ111" s="323"/>
      <c r="DR111" s="885"/>
      <c r="DS111" s="885"/>
      <c r="DT111" s="885"/>
      <c r="DU111" s="886"/>
      <c r="DV111" s="511"/>
      <c r="DW111" s="511"/>
      <c r="DX111" s="511"/>
      <c r="DY111" s="511"/>
      <c r="DZ111" s="511"/>
      <c r="EA111" s="511"/>
      <c r="EB111" s="511"/>
      <c r="EC111" s="511"/>
      <c r="ED111" s="511"/>
      <c r="EE111" s="511"/>
      <c r="EF111" s="511"/>
      <c r="EG111" s="511"/>
      <c r="EH111" s="511"/>
      <c r="EI111" s="511"/>
      <c r="EJ111" s="511"/>
      <c r="EK111" s="884"/>
      <c r="EL111" s="323"/>
      <c r="EM111" s="885"/>
      <c r="EN111" s="885"/>
      <c r="EO111" s="885"/>
      <c r="EP111" s="886"/>
      <c r="EQ111" s="511"/>
      <c r="ER111" s="511"/>
      <c r="ES111" s="511"/>
      <c r="ET111" s="511"/>
      <c r="EU111" s="511"/>
      <c r="EV111" s="511"/>
      <c r="EW111" s="511"/>
      <c r="EX111" s="511"/>
      <c r="EY111" s="511"/>
      <c r="EZ111" s="511"/>
      <c r="FA111" s="511"/>
      <c r="FB111" s="511"/>
      <c r="FC111" s="511"/>
      <c r="FD111" s="511"/>
      <c r="FE111" s="511"/>
      <c r="FF111" s="884"/>
      <c r="FG111" s="323"/>
      <c r="FH111" s="885"/>
      <c r="FI111" s="885"/>
      <c r="FJ111" s="885"/>
      <c r="FK111" s="886"/>
      <c r="FL111" s="511"/>
      <c r="FM111" s="511"/>
      <c r="FN111" s="511"/>
      <c r="FO111" s="511"/>
      <c r="FP111" s="511"/>
      <c r="FQ111" s="511"/>
      <c r="FR111" s="511"/>
      <c r="FS111" s="511"/>
      <c r="FT111" s="510"/>
      <c r="FU111" s="510"/>
      <c r="FV111" s="510"/>
      <c r="FW111" s="510"/>
      <c r="FX111" s="510"/>
      <c r="FY111" s="510"/>
      <c r="FZ111" s="510"/>
      <c r="GA111" s="884"/>
      <c r="GB111" s="323"/>
      <c r="GC111" s="885"/>
      <c r="GD111" s="885"/>
      <c r="GE111" s="885"/>
      <c r="GF111" s="886"/>
      <c r="GG111" s="511"/>
      <c r="GH111" s="511"/>
      <c r="GI111" s="511"/>
      <c r="GJ111" s="511"/>
      <c r="GK111" s="511"/>
      <c r="GL111" s="511"/>
      <c r="GM111" s="511"/>
      <c r="GN111" s="511"/>
      <c r="GO111" s="510"/>
      <c r="GP111" s="510"/>
      <c r="GQ111" s="510"/>
      <c r="GR111" s="510"/>
      <c r="GS111" s="510"/>
      <c r="GT111" s="510"/>
      <c r="GU111" s="510"/>
      <c r="GV111" s="884"/>
      <c r="GW111" s="323"/>
      <c r="GX111" s="885"/>
      <c r="GY111" s="885"/>
      <c r="GZ111" s="885"/>
      <c r="HA111" s="886"/>
      <c r="HB111" s="511"/>
      <c r="HC111" s="511"/>
      <c r="HD111" s="511"/>
      <c r="HE111" s="511"/>
      <c r="HF111" s="511"/>
      <c r="HG111" s="511"/>
      <c r="HH111" s="511"/>
      <c r="HI111" s="511"/>
      <c r="HJ111" s="510"/>
      <c r="HK111" s="510"/>
      <c r="HL111" s="510"/>
      <c r="HM111" s="510"/>
      <c r="HN111" s="510"/>
      <c r="HO111" s="510"/>
      <c r="HP111" s="510"/>
      <c r="HQ111" s="884"/>
      <c r="HR111" s="323"/>
      <c r="HS111" s="885"/>
      <c r="HT111" s="885"/>
      <c r="HU111" s="885"/>
      <c r="HV111" s="886"/>
      <c r="HW111" s="511"/>
      <c r="HX111" s="511"/>
      <c r="HY111" s="511"/>
      <c r="HZ111" s="511"/>
      <c r="IA111" s="511"/>
      <c r="IB111" s="511"/>
      <c r="IC111" s="511"/>
      <c r="ID111" s="511"/>
      <c r="IE111" s="510"/>
      <c r="IF111" s="510"/>
      <c r="IG111" s="510"/>
      <c r="IH111" s="510"/>
      <c r="II111" s="510"/>
      <c r="IJ111" s="510"/>
      <c r="IK111" s="510"/>
      <c r="IL111" s="884"/>
      <c r="IM111" s="323"/>
      <c r="IN111" s="885"/>
      <c r="IO111" s="885"/>
      <c r="IP111" s="885"/>
      <c r="IQ111" s="886"/>
      <c r="IR111" s="511"/>
      <c r="IS111" s="511"/>
      <c r="IT111" s="511"/>
      <c r="IU111" s="511"/>
      <c r="IV111" s="511"/>
      <c r="IW111" s="511"/>
      <c r="IX111" s="511"/>
      <c r="IY111" s="511"/>
      <c r="IZ111" s="510"/>
      <c r="JA111" s="510"/>
      <c r="JB111" s="510"/>
      <c r="JC111" s="510"/>
      <c r="JD111" s="510"/>
      <c r="JE111" s="510"/>
      <c r="JF111" s="510"/>
      <c r="JG111" s="884"/>
      <c r="JH111" s="323"/>
      <c r="JI111" s="885"/>
      <c r="JJ111" s="885"/>
      <c r="JK111" s="885"/>
      <c r="JL111" s="886"/>
      <c r="JM111" s="874"/>
      <c r="JN111" s="874"/>
      <c r="JO111" s="874"/>
      <c r="JP111" s="874"/>
      <c r="JQ111" s="874"/>
      <c r="JR111" s="874"/>
      <c r="JS111" s="874"/>
      <c r="JT111" s="874"/>
      <c r="JU111" s="874"/>
      <c r="JV111" s="874"/>
      <c r="JW111" s="874"/>
      <c r="JX111" s="874"/>
      <c r="JY111" s="874"/>
      <c r="JZ111" s="874"/>
      <c r="KA111" s="874"/>
      <c r="KB111" s="874"/>
      <c r="KC111" s="874"/>
      <c r="KD111" s="874"/>
      <c r="KE111" s="874"/>
      <c r="KF111" s="874"/>
      <c r="KG111" s="874"/>
      <c r="KH111" s="865"/>
      <c r="KI111" s="865"/>
      <c r="KJ111" s="865"/>
      <c r="KK111" s="865"/>
      <c r="KL111" s="865"/>
      <c r="KM111" s="865"/>
      <c r="KN111" s="865"/>
      <c r="KO111" s="865"/>
      <c r="KP111" s="865"/>
      <c r="KQ111" s="865"/>
      <c r="KR111" s="865"/>
      <c r="KS111" s="865"/>
      <c r="KT111" s="865"/>
      <c r="KU111" s="865"/>
      <c r="KV111" s="865"/>
      <c r="KW111" s="865"/>
      <c r="KX111" s="865"/>
      <c r="KY111" s="865"/>
      <c r="KZ111" s="865"/>
      <c r="LA111" s="865"/>
      <c r="LB111" s="865"/>
      <c r="LC111" s="865"/>
      <c r="LD111" s="865"/>
      <c r="LE111" s="865"/>
      <c r="LF111" s="865"/>
    </row>
    <row r="112" spans="1:318" ht="19.8">
      <c r="A112" s="499" t="s">
        <v>1241</v>
      </c>
      <c r="B112" s="500" t="str">
        <f>'HHV-LHV-MW'!S78</f>
        <v/>
      </c>
      <c r="C112" s="500" t="str">
        <f>'HHV-LHV-MW'!AE78</f>
        <v/>
      </c>
      <c r="D112" s="500" t="str">
        <f>'HHV-LHV-MW'!AQ78</f>
        <v/>
      </c>
      <c r="E112" s="501" t="str">
        <f>'HHV-LHV-MW'!BC78</f>
        <v/>
      </c>
      <c r="F112" s="511"/>
      <c r="G112" s="499" t="s">
        <v>1241</v>
      </c>
      <c r="H112" s="500" t="str">
        <f>'HHV-LHV-MW'!BP78</f>
        <v/>
      </c>
      <c r="I112" s="500" t="str">
        <f>'HHV-LHV-MW'!CB78</f>
        <v/>
      </c>
      <c r="J112" s="500" t="str">
        <f>'HHV-LHV-MW'!CN78</f>
        <v/>
      </c>
      <c r="K112" s="501" t="str">
        <f>'HHV-LHV-MW'!CZ78</f>
        <v/>
      </c>
      <c r="L112" s="511"/>
      <c r="M112" s="499" t="s">
        <v>1241</v>
      </c>
      <c r="N112" s="500" t="str">
        <f>'HHV-LHV-MW'!DM78</f>
        <v/>
      </c>
      <c r="O112" s="500" t="str">
        <f>'HHV-LHV-MW'!DY78</f>
        <v/>
      </c>
      <c r="P112" s="500" t="str">
        <f>'HHV-LHV-MW'!EK78</f>
        <v/>
      </c>
      <c r="Q112" s="501" t="str">
        <f>'HHV-LHV-MW'!EW78</f>
        <v/>
      </c>
      <c r="R112" s="511"/>
      <c r="S112" s="499" t="s">
        <v>1241</v>
      </c>
      <c r="T112" s="500" t="str">
        <f>'HHV-LHV-MW'!FJ78</f>
        <v/>
      </c>
      <c r="U112" s="500" t="str">
        <f>'HHV-LHV-MW'!FV78</f>
        <v/>
      </c>
      <c r="V112" s="500" t="str">
        <f>'HHV-LHV-MW'!GH78</f>
        <v/>
      </c>
      <c r="W112" s="501" t="str">
        <f>'HHV-LHV-MW'!GT78</f>
        <v/>
      </c>
      <c r="X112" s="511"/>
      <c r="Y112" s="499" t="s">
        <v>1241</v>
      </c>
      <c r="Z112" s="500" t="str">
        <f>'HHV-LHV-MW'!HG78</f>
        <v/>
      </c>
      <c r="AA112" s="500" t="str">
        <f>'HHV-LHV-MW'!HS78</f>
        <v/>
      </c>
      <c r="AB112" s="500" t="str">
        <f>'HHV-LHV-MW'!IE78</f>
        <v/>
      </c>
      <c r="AC112" s="501" t="str">
        <f>'HHV-LHV-MW'!IQ78</f>
        <v/>
      </c>
      <c r="AD112" s="511"/>
      <c r="AE112" s="499" t="s">
        <v>1241</v>
      </c>
      <c r="AF112" s="500" t="str">
        <f>'HHV-LHV-MW'!JD78</f>
        <v/>
      </c>
      <c r="AG112" s="500" t="str">
        <f>'HHV-LHV-MW'!JP78</f>
        <v/>
      </c>
      <c r="AH112" s="500" t="str">
        <f>'HHV-LHV-MW'!KB78</f>
        <v/>
      </c>
      <c r="AI112" s="501" t="str">
        <f>'HHV-LHV-MW'!KN78</f>
        <v/>
      </c>
      <c r="AJ112" s="511"/>
      <c r="AK112" s="499" t="s">
        <v>1241</v>
      </c>
      <c r="AL112" s="500" t="str">
        <f>'HHV-LHV-MW'!LA78</f>
        <v/>
      </c>
      <c r="AM112" s="500" t="str">
        <f>'HHV-LHV-MW'!LM78</f>
        <v/>
      </c>
      <c r="AN112" s="500" t="str">
        <f>'HHV-LHV-MW'!LY78</f>
        <v/>
      </c>
      <c r="AO112" s="501" t="str">
        <f>'HHV-LHV-MW'!MK78</f>
        <v/>
      </c>
      <c r="AP112" s="511"/>
      <c r="AQ112" s="499" t="s">
        <v>1241</v>
      </c>
      <c r="AR112" s="500" t="str">
        <f>'HHV-LHV-MW'!MX78</f>
        <v/>
      </c>
      <c r="AS112" s="500" t="str">
        <f>'HHV-LHV-MW'!NJ78</f>
        <v/>
      </c>
      <c r="AT112" s="500" t="str">
        <f>'HHV-LHV-MW'!NV78</f>
        <v/>
      </c>
      <c r="AU112" s="501" t="str">
        <f>'HHV-LHV-MW'!OH78</f>
        <v/>
      </c>
      <c r="AV112" s="511"/>
      <c r="AW112" s="499" t="s">
        <v>1241</v>
      </c>
      <c r="AX112" s="500" t="str">
        <f>'HHV-LHV-MW'!OV78</f>
        <v/>
      </c>
      <c r="AY112" s="500" t="str">
        <f>'HHV-LHV-MW'!PH78</f>
        <v/>
      </c>
      <c r="AZ112" s="500" t="str">
        <f>'HHV-LHV-MW'!PT78</f>
        <v/>
      </c>
      <c r="BA112" s="501" t="str">
        <f>'HHV-LHV-MW'!QF78</f>
        <v/>
      </c>
      <c r="BB112" s="511"/>
      <c r="BC112" s="499" t="s">
        <v>1241</v>
      </c>
      <c r="BD112" s="500" t="str">
        <f>'HHV-LHV-MW'!QS78</f>
        <v/>
      </c>
      <c r="BE112" s="500" t="str">
        <f>'HHV-LHV-MW'!RE78</f>
        <v/>
      </c>
      <c r="BF112" s="500" t="str">
        <f>'HHV-LHV-MW'!RQ78</f>
        <v/>
      </c>
      <c r="BG112" s="501" t="str">
        <f>'HHV-LHV-MW'!SC78</f>
        <v/>
      </c>
      <c r="BH112" s="865"/>
      <c r="BI112" s="865"/>
      <c r="BJ112" s="1143" t="s">
        <v>1510</v>
      </c>
      <c r="BK112" s="2481"/>
      <c r="BL112" s="2481"/>
      <c r="BM112" s="2481"/>
      <c r="BN112" s="1144"/>
      <c r="BO112" s="2477" t="str">
        <f>DO143</f>
        <v/>
      </c>
      <c r="BP112" s="2477"/>
      <c r="BQ112" s="865"/>
      <c r="BR112" s="1143" t="s">
        <v>1510</v>
      </c>
      <c r="BS112" s="2481"/>
      <c r="BT112" s="2481"/>
      <c r="BU112" s="2481"/>
      <c r="BV112" s="1144"/>
      <c r="BW112" s="2477" t="str">
        <f>HP143</f>
        <v/>
      </c>
      <c r="BX112" s="2477"/>
      <c r="BY112" s="874"/>
      <c r="BZ112" s="884"/>
      <c r="CA112" s="323"/>
      <c r="CB112" s="885"/>
      <c r="CC112" s="885"/>
      <c r="CD112" s="885"/>
      <c r="CE112" s="886"/>
      <c r="CF112" s="511"/>
      <c r="CG112" s="511"/>
      <c r="CH112" s="511"/>
      <c r="CI112" s="511"/>
      <c r="CJ112" s="511"/>
      <c r="CK112" s="511"/>
      <c r="CL112" s="511"/>
      <c r="CM112" s="511"/>
      <c r="CN112" s="511"/>
      <c r="CO112" s="511"/>
      <c r="CP112" s="511"/>
      <c r="CQ112" s="511"/>
      <c r="CR112" s="511"/>
      <c r="CS112" s="511"/>
      <c r="CT112" s="511"/>
      <c r="CU112" s="884"/>
      <c r="CV112" s="323"/>
      <c r="CW112" s="885"/>
      <c r="CX112" s="885"/>
      <c r="CY112" s="885"/>
      <c r="CZ112" s="886"/>
      <c r="DA112" s="511"/>
      <c r="DB112" s="511"/>
      <c r="DC112" s="511"/>
      <c r="DD112" s="511"/>
      <c r="DE112" s="511"/>
      <c r="DF112" s="511"/>
      <c r="DG112" s="511"/>
      <c r="DH112" s="511"/>
      <c r="DI112" s="511"/>
      <c r="DJ112" s="511"/>
      <c r="DK112" s="511"/>
      <c r="DL112" s="511"/>
      <c r="DM112" s="511"/>
      <c r="DN112" s="511"/>
      <c r="DO112" s="511"/>
      <c r="DP112" s="884"/>
      <c r="DQ112" s="323"/>
      <c r="DR112" s="885"/>
      <c r="DS112" s="885"/>
      <c r="DT112" s="885"/>
      <c r="DU112" s="886"/>
      <c r="DV112" s="511"/>
      <c r="DW112" s="511"/>
      <c r="DX112" s="511"/>
      <c r="DY112" s="511"/>
      <c r="DZ112" s="511"/>
      <c r="EA112" s="511"/>
      <c r="EB112" s="511"/>
      <c r="EC112" s="511"/>
      <c r="ED112" s="511"/>
      <c r="EE112" s="511"/>
      <c r="EF112" s="511"/>
      <c r="EG112" s="511"/>
      <c r="EH112" s="511"/>
      <c r="EI112" s="511"/>
      <c r="EJ112" s="511"/>
      <c r="EK112" s="884"/>
      <c r="EL112" s="323"/>
      <c r="EM112" s="885"/>
      <c r="EN112" s="885"/>
      <c r="EO112" s="885"/>
      <c r="EP112" s="886"/>
      <c r="EQ112" s="511"/>
      <c r="ER112" s="511"/>
      <c r="ES112" s="511"/>
      <c r="ET112" s="511"/>
      <c r="EU112" s="511"/>
      <c r="EV112" s="511"/>
      <c r="EW112" s="511"/>
      <c r="EX112" s="511"/>
      <c r="EY112" s="511"/>
      <c r="EZ112" s="511"/>
      <c r="FA112" s="511"/>
      <c r="FB112" s="511"/>
      <c r="FC112" s="511"/>
      <c r="FD112" s="511"/>
      <c r="FE112" s="511"/>
      <c r="FF112" s="884"/>
      <c r="FG112" s="323"/>
      <c r="FH112" s="885"/>
      <c r="FI112" s="885"/>
      <c r="FJ112" s="885"/>
      <c r="FK112" s="886"/>
      <c r="FL112" s="511"/>
      <c r="FM112" s="511"/>
      <c r="FN112" s="511"/>
      <c r="FO112" s="511"/>
      <c r="FP112" s="511"/>
      <c r="FQ112" s="511"/>
      <c r="FR112" s="511"/>
      <c r="FS112" s="511"/>
      <c r="FT112" s="511"/>
      <c r="FU112" s="511"/>
      <c r="FV112" s="511"/>
      <c r="FW112" s="511"/>
      <c r="FX112" s="511"/>
      <c r="FY112" s="511"/>
      <c r="FZ112" s="511"/>
      <c r="GA112" s="884"/>
      <c r="GB112" s="323"/>
      <c r="GC112" s="885"/>
      <c r="GD112" s="885"/>
      <c r="GE112" s="885"/>
      <c r="GF112" s="886"/>
      <c r="GG112" s="511"/>
      <c r="GH112" s="511"/>
      <c r="GI112" s="511"/>
      <c r="GJ112" s="511"/>
      <c r="GK112" s="511"/>
      <c r="GL112" s="511"/>
      <c r="GM112" s="511"/>
      <c r="GN112" s="511"/>
      <c r="GO112" s="511"/>
      <c r="GP112" s="511"/>
      <c r="GQ112" s="511"/>
      <c r="GR112" s="511"/>
      <c r="GS112" s="511"/>
      <c r="GT112" s="511"/>
      <c r="GU112" s="511"/>
      <c r="GV112" s="884"/>
      <c r="GW112" s="323"/>
      <c r="GX112" s="885"/>
      <c r="GY112" s="885"/>
      <c r="GZ112" s="885"/>
      <c r="HA112" s="886"/>
      <c r="HB112" s="511"/>
      <c r="HC112" s="511"/>
      <c r="HD112" s="511"/>
      <c r="HE112" s="511"/>
      <c r="HF112" s="511"/>
      <c r="HG112" s="511"/>
      <c r="HH112" s="511"/>
      <c r="HI112" s="511"/>
      <c r="HJ112" s="511"/>
      <c r="HK112" s="511"/>
      <c r="HL112" s="511"/>
      <c r="HM112" s="511"/>
      <c r="HN112" s="511"/>
      <c r="HO112" s="511"/>
      <c r="HP112" s="511"/>
      <c r="HQ112" s="884"/>
      <c r="HR112" s="323"/>
      <c r="HS112" s="885"/>
      <c r="HT112" s="885"/>
      <c r="HU112" s="885"/>
      <c r="HV112" s="886"/>
      <c r="HW112" s="511"/>
      <c r="HX112" s="511"/>
      <c r="HY112" s="511"/>
      <c r="HZ112" s="511"/>
      <c r="IA112" s="511"/>
      <c r="IB112" s="511"/>
      <c r="IC112" s="511"/>
      <c r="ID112" s="511"/>
      <c r="IE112" s="511"/>
      <c r="IF112" s="511"/>
      <c r="IG112" s="511"/>
      <c r="IH112" s="511"/>
      <c r="II112" s="511"/>
      <c r="IJ112" s="511"/>
      <c r="IK112" s="511"/>
      <c r="IL112" s="884"/>
      <c r="IM112" s="323"/>
      <c r="IN112" s="885"/>
      <c r="IO112" s="885"/>
      <c r="IP112" s="885"/>
      <c r="IQ112" s="886"/>
      <c r="IR112" s="511"/>
      <c r="IS112" s="511"/>
      <c r="IT112" s="511"/>
      <c r="IU112" s="511"/>
      <c r="IV112" s="511"/>
      <c r="IW112" s="511"/>
      <c r="IX112" s="511"/>
      <c r="IY112" s="511"/>
      <c r="IZ112" s="511"/>
      <c r="JA112" s="511"/>
      <c r="JB112" s="511"/>
      <c r="JC112" s="511"/>
      <c r="JD112" s="511"/>
      <c r="JE112" s="511"/>
      <c r="JF112" s="511"/>
      <c r="JG112" s="884"/>
      <c r="JH112" s="323"/>
      <c r="JI112" s="885"/>
      <c r="JJ112" s="885"/>
      <c r="JK112" s="885"/>
      <c r="JL112" s="886"/>
      <c r="JM112" s="874"/>
      <c r="JN112" s="874"/>
      <c r="JO112" s="874"/>
      <c r="JP112" s="874"/>
      <c r="JQ112" s="874"/>
      <c r="JR112" s="874"/>
      <c r="JS112" s="874"/>
      <c r="JT112" s="874"/>
      <c r="JU112" s="874"/>
      <c r="JV112" s="874"/>
      <c r="JW112" s="874"/>
      <c r="JX112" s="874"/>
      <c r="JY112" s="874"/>
      <c r="JZ112" s="874"/>
      <c r="KA112" s="874"/>
      <c r="KB112" s="874"/>
      <c r="KC112" s="874"/>
      <c r="KD112" s="874"/>
      <c r="KE112" s="874"/>
      <c r="KF112" s="874"/>
      <c r="KG112" s="874"/>
      <c r="KH112" s="865"/>
      <c r="KI112" s="865"/>
      <c r="KJ112" s="865"/>
      <c r="KK112" s="865"/>
      <c r="KL112" s="865"/>
      <c r="KM112" s="865"/>
      <c r="KN112" s="865"/>
      <c r="KO112" s="865"/>
      <c r="KP112" s="865"/>
      <c r="KQ112" s="865"/>
      <c r="KR112" s="865"/>
      <c r="KS112" s="865"/>
      <c r="KT112" s="865"/>
      <c r="KU112" s="865"/>
      <c r="KV112" s="865"/>
      <c r="KW112" s="865"/>
      <c r="KX112" s="865"/>
      <c r="KY112" s="865"/>
      <c r="KZ112" s="865"/>
      <c r="LA112" s="865"/>
      <c r="LB112" s="865"/>
      <c r="LC112" s="865"/>
      <c r="LD112" s="865"/>
      <c r="LE112" s="865"/>
      <c r="LF112" s="865"/>
    </row>
    <row r="113" spans="1:318" ht="18.600000000000001">
      <c r="A113" s="499" t="s">
        <v>946</v>
      </c>
      <c r="B113" s="500" t="str">
        <f>'HHV-LHV-MW'!T78</f>
        <v/>
      </c>
      <c r="C113" s="500" t="str">
        <f>'HHV-LHV-MW'!AF78</f>
        <v/>
      </c>
      <c r="D113" s="500" t="str">
        <f>'HHV-LHV-MW'!AR78</f>
        <v/>
      </c>
      <c r="E113" s="501" t="str">
        <f>'HHV-LHV-MW'!BD78</f>
        <v/>
      </c>
      <c r="F113" s="511"/>
      <c r="G113" s="499" t="s">
        <v>946</v>
      </c>
      <c r="H113" s="500" t="str">
        <f>'HHV-LHV-MW'!BQ78</f>
        <v/>
      </c>
      <c r="I113" s="500" t="str">
        <f>'HHV-LHV-MW'!CC78</f>
        <v/>
      </c>
      <c r="J113" s="500" t="str">
        <f>'HHV-LHV-MW'!CO78</f>
        <v/>
      </c>
      <c r="K113" s="501" t="str">
        <f>'HHV-LHV-MW'!DA78</f>
        <v/>
      </c>
      <c r="L113" s="511"/>
      <c r="M113" s="499" t="s">
        <v>946</v>
      </c>
      <c r="N113" s="500" t="str">
        <f>'HHV-LHV-MW'!DN78</f>
        <v/>
      </c>
      <c r="O113" s="500" t="str">
        <f>'HHV-LHV-MW'!DZ78</f>
        <v/>
      </c>
      <c r="P113" s="500" t="str">
        <f>'HHV-LHV-MW'!EL78</f>
        <v/>
      </c>
      <c r="Q113" s="501" t="str">
        <f>'HHV-LHV-MW'!EX78</f>
        <v/>
      </c>
      <c r="R113" s="511"/>
      <c r="S113" s="499" t="s">
        <v>946</v>
      </c>
      <c r="T113" s="500" t="str">
        <f>'HHV-LHV-MW'!FK78</f>
        <v/>
      </c>
      <c r="U113" s="500" t="str">
        <f>'HHV-LHV-MW'!FW78</f>
        <v/>
      </c>
      <c r="V113" s="500" t="str">
        <f>'HHV-LHV-MW'!GI78</f>
        <v/>
      </c>
      <c r="W113" s="501" t="str">
        <f>'HHV-LHV-MW'!GU78</f>
        <v/>
      </c>
      <c r="X113" s="511"/>
      <c r="Y113" s="499" t="s">
        <v>946</v>
      </c>
      <c r="Z113" s="500" t="str">
        <f>'HHV-LHV-MW'!HH78</f>
        <v/>
      </c>
      <c r="AA113" s="500" t="str">
        <f>'HHV-LHV-MW'!HT78</f>
        <v/>
      </c>
      <c r="AB113" s="500" t="str">
        <f>'HHV-LHV-MW'!IF78</f>
        <v/>
      </c>
      <c r="AC113" s="501" t="str">
        <f>'HHV-LHV-MW'!IR78</f>
        <v/>
      </c>
      <c r="AD113" s="511"/>
      <c r="AE113" s="499" t="s">
        <v>946</v>
      </c>
      <c r="AF113" s="500" t="str">
        <f>'HHV-LHV-MW'!JE78</f>
        <v/>
      </c>
      <c r="AG113" s="500" t="str">
        <f>'HHV-LHV-MW'!JQ78</f>
        <v/>
      </c>
      <c r="AH113" s="500" t="str">
        <f>'HHV-LHV-MW'!KC78</f>
        <v/>
      </c>
      <c r="AI113" s="501" t="str">
        <f>'HHV-LHV-MW'!KO78</f>
        <v/>
      </c>
      <c r="AJ113" s="511"/>
      <c r="AK113" s="499" t="s">
        <v>946</v>
      </c>
      <c r="AL113" s="500" t="str">
        <f>'HHV-LHV-MW'!LB78</f>
        <v/>
      </c>
      <c r="AM113" s="500" t="str">
        <f>'HHV-LHV-MW'!LN78</f>
        <v/>
      </c>
      <c r="AN113" s="500" t="str">
        <f>'HHV-LHV-MW'!LZ78</f>
        <v/>
      </c>
      <c r="AO113" s="501" t="str">
        <f>'HHV-LHV-MW'!ML78</f>
        <v/>
      </c>
      <c r="AP113" s="511"/>
      <c r="AQ113" s="499" t="s">
        <v>946</v>
      </c>
      <c r="AR113" s="500" t="str">
        <f>'HHV-LHV-MW'!MY78</f>
        <v/>
      </c>
      <c r="AS113" s="500" t="str">
        <f>'HHV-LHV-MW'!NK78</f>
        <v/>
      </c>
      <c r="AT113" s="500" t="str">
        <f>'HHV-LHV-MW'!NW78</f>
        <v/>
      </c>
      <c r="AU113" s="501" t="str">
        <f>'HHV-LHV-MW'!OI78</f>
        <v/>
      </c>
      <c r="AV113" s="511"/>
      <c r="AW113" s="499" t="s">
        <v>946</v>
      </c>
      <c r="AX113" s="500" t="str">
        <f>'HHV-LHV-MW'!OW78</f>
        <v/>
      </c>
      <c r="AY113" s="500" t="str">
        <f>'HHV-LHV-MW'!PI78</f>
        <v/>
      </c>
      <c r="AZ113" s="500" t="str">
        <f>'HHV-LHV-MW'!PU78</f>
        <v/>
      </c>
      <c r="BA113" s="501" t="str">
        <f>'HHV-LHV-MW'!QG78</f>
        <v/>
      </c>
      <c r="BB113" s="511"/>
      <c r="BC113" s="499" t="s">
        <v>946</v>
      </c>
      <c r="BD113" s="500" t="str">
        <f>'HHV-LHV-MW'!QT78</f>
        <v/>
      </c>
      <c r="BE113" s="500" t="str">
        <f>'HHV-LHV-MW'!RF78</f>
        <v/>
      </c>
      <c r="BF113" s="500" t="str">
        <f>'HHV-LHV-MW'!RR78</f>
        <v/>
      </c>
      <c r="BG113" s="501" t="str">
        <f>'HHV-LHV-MW'!SD78</f>
        <v/>
      </c>
      <c r="BH113" s="865"/>
      <c r="BI113" s="865"/>
      <c r="BJ113" s="1143" t="s">
        <v>1511</v>
      </c>
      <c r="BK113" s="2481"/>
      <c r="BL113" s="2481"/>
      <c r="BM113" s="2481"/>
      <c r="BN113" s="1144"/>
      <c r="BO113" s="2477" t="str">
        <f>DN148</f>
        <v/>
      </c>
      <c r="BP113" s="2477"/>
      <c r="BQ113" s="865"/>
      <c r="BR113" s="1143" t="s">
        <v>1511</v>
      </c>
      <c r="BS113" s="2481"/>
      <c r="BT113" s="2481"/>
      <c r="BU113" s="2481"/>
      <c r="BV113" s="1144"/>
      <c r="BW113" s="2477" t="str">
        <f>HO148</f>
        <v/>
      </c>
      <c r="BX113" s="2477"/>
      <c r="BY113" s="874"/>
      <c r="BZ113" s="884"/>
      <c r="CA113" s="323"/>
      <c r="CB113" s="885"/>
      <c r="CC113" s="885"/>
      <c r="CD113" s="885"/>
      <c r="CE113" s="886"/>
      <c r="CF113" s="511"/>
      <c r="CG113" s="511"/>
      <c r="CH113" s="511"/>
      <c r="CI113" s="511"/>
      <c r="CJ113" s="511"/>
      <c r="CK113" s="511"/>
      <c r="CL113" s="511"/>
      <c r="CM113" s="511"/>
      <c r="CN113" s="511"/>
      <c r="CO113" s="511"/>
      <c r="CP113" s="511"/>
      <c r="CQ113" s="511"/>
      <c r="CR113" s="511"/>
      <c r="CS113" s="511"/>
      <c r="CT113" s="511"/>
      <c r="CU113" s="884"/>
      <c r="CV113" s="323"/>
      <c r="CW113" s="885"/>
      <c r="CX113" s="885"/>
      <c r="CY113" s="885"/>
      <c r="CZ113" s="886"/>
      <c r="DA113" s="511"/>
      <c r="DB113" s="511"/>
      <c r="DC113" s="511"/>
      <c r="DD113" s="511"/>
      <c r="DE113" s="511"/>
      <c r="DF113" s="511"/>
      <c r="DG113" s="511"/>
      <c r="DH113" s="511"/>
      <c r="DI113" s="511"/>
      <c r="DJ113" s="511"/>
      <c r="DK113" s="511"/>
      <c r="DL113" s="511"/>
      <c r="DM113" s="511"/>
      <c r="DN113" s="511"/>
      <c r="DO113" s="511"/>
      <c r="DP113" s="884"/>
      <c r="DQ113" s="323"/>
      <c r="DR113" s="885"/>
      <c r="DS113" s="885"/>
      <c r="DT113" s="885"/>
      <c r="DU113" s="886"/>
      <c r="DV113" s="511"/>
      <c r="DW113" s="511"/>
      <c r="DX113" s="511"/>
      <c r="DY113" s="511"/>
      <c r="DZ113" s="511"/>
      <c r="EA113" s="511"/>
      <c r="EB113" s="511"/>
      <c r="EC113" s="511"/>
      <c r="ED113" s="511"/>
      <c r="EE113" s="511"/>
      <c r="EF113" s="511"/>
      <c r="EG113" s="511"/>
      <c r="EH113" s="511"/>
      <c r="EI113" s="511"/>
      <c r="EJ113" s="511"/>
      <c r="EK113" s="884"/>
      <c r="EL113" s="323"/>
      <c r="EM113" s="885"/>
      <c r="EN113" s="885"/>
      <c r="EO113" s="885"/>
      <c r="EP113" s="886"/>
      <c r="EQ113" s="511"/>
      <c r="ER113" s="511"/>
      <c r="ES113" s="511"/>
      <c r="ET113" s="511"/>
      <c r="EU113" s="511"/>
      <c r="EV113" s="511"/>
      <c r="EW113" s="511"/>
      <c r="EX113" s="511"/>
      <c r="EY113" s="511"/>
      <c r="EZ113" s="511"/>
      <c r="FA113" s="511"/>
      <c r="FB113" s="511"/>
      <c r="FC113" s="511"/>
      <c r="FD113" s="511"/>
      <c r="FE113" s="511"/>
      <c r="FF113" s="884"/>
      <c r="FG113" s="323"/>
      <c r="FH113" s="885"/>
      <c r="FI113" s="885"/>
      <c r="FJ113" s="885"/>
      <c r="FK113" s="886"/>
      <c r="FL113" s="511"/>
      <c r="FM113" s="511"/>
      <c r="FN113" s="511"/>
      <c r="FO113" s="511"/>
      <c r="FP113" s="511"/>
      <c r="FQ113" s="511"/>
      <c r="FR113" s="511"/>
      <c r="FS113" s="511"/>
      <c r="FT113" s="511"/>
      <c r="FU113" s="511"/>
      <c r="FV113" s="511"/>
      <c r="FW113" s="511"/>
      <c r="FX113" s="511"/>
      <c r="FY113" s="511"/>
      <c r="FZ113" s="511"/>
      <c r="GA113" s="884"/>
      <c r="GB113" s="323"/>
      <c r="GC113" s="885"/>
      <c r="GD113" s="885"/>
      <c r="GE113" s="885"/>
      <c r="GF113" s="886"/>
      <c r="GG113" s="511"/>
      <c r="GH113" s="511"/>
      <c r="GI113" s="511"/>
      <c r="GJ113" s="511"/>
      <c r="GK113" s="511"/>
      <c r="GL113" s="511"/>
      <c r="GM113" s="511"/>
      <c r="GN113" s="511"/>
      <c r="GO113" s="511"/>
      <c r="GP113" s="511"/>
      <c r="GQ113" s="511"/>
      <c r="GR113" s="511"/>
      <c r="GS113" s="511"/>
      <c r="GT113" s="511"/>
      <c r="GU113" s="511"/>
      <c r="GV113" s="884"/>
      <c r="GW113" s="323"/>
      <c r="GX113" s="885"/>
      <c r="GY113" s="885"/>
      <c r="GZ113" s="885"/>
      <c r="HA113" s="886"/>
      <c r="HB113" s="511"/>
      <c r="HC113" s="511"/>
      <c r="HD113" s="511"/>
      <c r="HE113" s="511"/>
      <c r="HF113" s="511"/>
      <c r="HG113" s="511"/>
      <c r="HH113" s="511"/>
      <c r="HI113" s="511"/>
      <c r="HJ113" s="511"/>
      <c r="HK113" s="511"/>
      <c r="HL113" s="511"/>
      <c r="HM113" s="511"/>
      <c r="HN113" s="511"/>
      <c r="HO113" s="511"/>
      <c r="HP113" s="511"/>
      <c r="HQ113" s="884"/>
      <c r="HR113" s="323"/>
      <c r="HS113" s="885"/>
      <c r="HT113" s="885"/>
      <c r="HU113" s="885"/>
      <c r="HV113" s="886"/>
      <c r="HW113" s="511"/>
      <c r="HX113" s="511"/>
      <c r="HY113" s="511"/>
      <c r="HZ113" s="511"/>
      <c r="IA113" s="511"/>
      <c r="IB113" s="511"/>
      <c r="IC113" s="511"/>
      <c r="ID113" s="511"/>
      <c r="IE113" s="511"/>
      <c r="IF113" s="511"/>
      <c r="IG113" s="511"/>
      <c r="IH113" s="511"/>
      <c r="II113" s="511"/>
      <c r="IJ113" s="511"/>
      <c r="IK113" s="511"/>
      <c r="IL113" s="884"/>
      <c r="IM113" s="323"/>
      <c r="IN113" s="885"/>
      <c r="IO113" s="885"/>
      <c r="IP113" s="885"/>
      <c r="IQ113" s="886"/>
      <c r="IR113" s="511"/>
      <c r="IS113" s="511"/>
      <c r="IT113" s="511"/>
      <c r="IU113" s="511"/>
      <c r="IV113" s="511"/>
      <c r="IW113" s="511"/>
      <c r="IX113" s="511"/>
      <c r="IY113" s="511"/>
      <c r="IZ113" s="511"/>
      <c r="JA113" s="511"/>
      <c r="JB113" s="511"/>
      <c r="JC113" s="511"/>
      <c r="JD113" s="511"/>
      <c r="JE113" s="511"/>
      <c r="JF113" s="511"/>
      <c r="JG113" s="884"/>
      <c r="JH113" s="323"/>
      <c r="JI113" s="885"/>
      <c r="JJ113" s="885"/>
      <c r="JK113" s="885"/>
      <c r="JL113" s="886"/>
      <c r="JM113" s="874"/>
      <c r="JN113" s="874"/>
      <c r="JO113" s="874"/>
      <c r="JP113" s="874"/>
      <c r="JQ113" s="874"/>
      <c r="JR113" s="874"/>
      <c r="JS113" s="874"/>
      <c r="JT113" s="874"/>
      <c r="JU113" s="874"/>
      <c r="JV113" s="874"/>
      <c r="JW113" s="874"/>
      <c r="JX113" s="874"/>
      <c r="JY113" s="874"/>
      <c r="JZ113" s="874"/>
      <c r="KA113" s="874"/>
      <c r="KB113" s="874"/>
      <c r="KC113" s="874"/>
      <c r="KD113" s="874"/>
      <c r="KE113" s="874"/>
      <c r="KF113" s="874"/>
      <c r="KG113" s="874"/>
      <c r="KH113" s="865"/>
      <c r="KI113" s="865"/>
      <c r="KJ113" s="865"/>
      <c r="KK113" s="865"/>
      <c r="KL113" s="865"/>
      <c r="KM113" s="865"/>
      <c r="KN113" s="865"/>
      <c r="KO113" s="865"/>
      <c r="KP113" s="865"/>
      <c r="KQ113" s="865"/>
      <c r="KR113" s="865"/>
      <c r="KS113" s="865"/>
      <c r="KT113" s="865"/>
      <c r="KU113" s="865"/>
      <c r="KV113" s="865"/>
      <c r="KW113" s="865"/>
      <c r="KX113" s="865"/>
      <c r="KY113" s="865"/>
      <c r="KZ113" s="865"/>
      <c r="LA113" s="865"/>
      <c r="LB113" s="865"/>
      <c r="LC113" s="865"/>
      <c r="LD113" s="865"/>
      <c r="LE113" s="865"/>
      <c r="LF113" s="865"/>
    </row>
    <row r="114" spans="1:318" ht="18.600000000000001">
      <c r="A114" s="499" t="s">
        <v>947</v>
      </c>
      <c r="B114" s="500" t="str">
        <f>'HHV-LHV-MW'!U78</f>
        <v/>
      </c>
      <c r="C114" s="500" t="str">
        <f>'HHV-LHV-MW'!AG78</f>
        <v/>
      </c>
      <c r="D114" s="500" t="str">
        <f>'HHV-LHV-MW'!AS78</f>
        <v/>
      </c>
      <c r="E114" s="501" t="str">
        <f>'HHV-LHV-MW'!BE78</f>
        <v/>
      </c>
      <c r="F114" s="511"/>
      <c r="G114" s="499" t="s">
        <v>947</v>
      </c>
      <c r="H114" s="500" t="str">
        <f>'HHV-LHV-MW'!BR78</f>
        <v/>
      </c>
      <c r="I114" s="500" t="str">
        <f>'HHV-LHV-MW'!CD78</f>
        <v/>
      </c>
      <c r="J114" s="500" t="str">
        <f>'HHV-LHV-MW'!CP78</f>
        <v/>
      </c>
      <c r="K114" s="501" t="str">
        <f>'HHV-LHV-MW'!DB78</f>
        <v/>
      </c>
      <c r="L114" s="511"/>
      <c r="M114" s="499" t="s">
        <v>947</v>
      </c>
      <c r="N114" s="500" t="str">
        <f>'HHV-LHV-MW'!DO78</f>
        <v/>
      </c>
      <c r="O114" s="500" t="str">
        <f>'HHV-LHV-MW'!EA78</f>
        <v/>
      </c>
      <c r="P114" s="500" t="str">
        <f>'HHV-LHV-MW'!EM78</f>
        <v/>
      </c>
      <c r="Q114" s="501" t="str">
        <f>'HHV-LHV-MW'!EY78</f>
        <v/>
      </c>
      <c r="R114" s="511"/>
      <c r="S114" s="499" t="s">
        <v>947</v>
      </c>
      <c r="T114" s="500" t="str">
        <f>'HHV-LHV-MW'!FL78</f>
        <v/>
      </c>
      <c r="U114" s="500" t="str">
        <f>'HHV-LHV-MW'!FX78</f>
        <v/>
      </c>
      <c r="V114" s="500" t="str">
        <f>'HHV-LHV-MW'!GJ78</f>
        <v/>
      </c>
      <c r="W114" s="501" t="str">
        <f>'HHV-LHV-MW'!GV78</f>
        <v/>
      </c>
      <c r="X114" s="511"/>
      <c r="Y114" s="499" t="s">
        <v>947</v>
      </c>
      <c r="Z114" s="500" t="str">
        <f>'HHV-LHV-MW'!HI78</f>
        <v/>
      </c>
      <c r="AA114" s="500" t="str">
        <f>'HHV-LHV-MW'!HU78</f>
        <v/>
      </c>
      <c r="AB114" s="500" t="str">
        <f>'HHV-LHV-MW'!IG78</f>
        <v/>
      </c>
      <c r="AC114" s="501" t="str">
        <f>'HHV-LHV-MW'!IS78</f>
        <v/>
      </c>
      <c r="AD114" s="511"/>
      <c r="AE114" s="499" t="s">
        <v>947</v>
      </c>
      <c r="AF114" s="500" t="str">
        <f>'HHV-LHV-MW'!JF78</f>
        <v/>
      </c>
      <c r="AG114" s="500" t="str">
        <f>'HHV-LHV-MW'!JR78</f>
        <v/>
      </c>
      <c r="AH114" s="500" t="str">
        <f>'HHV-LHV-MW'!KD78</f>
        <v/>
      </c>
      <c r="AI114" s="501" t="str">
        <f>'HHV-LHV-MW'!KP78</f>
        <v/>
      </c>
      <c r="AJ114" s="511"/>
      <c r="AK114" s="499" t="s">
        <v>947</v>
      </c>
      <c r="AL114" s="500" t="str">
        <f>'HHV-LHV-MW'!LC78</f>
        <v/>
      </c>
      <c r="AM114" s="500" t="str">
        <f>'HHV-LHV-MW'!LO78</f>
        <v/>
      </c>
      <c r="AN114" s="500" t="str">
        <f>'HHV-LHV-MW'!MA78</f>
        <v/>
      </c>
      <c r="AO114" s="501" t="str">
        <f>'HHV-LHV-MW'!MM78</f>
        <v/>
      </c>
      <c r="AP114" s="511"/>
      <c r="AQ114" s="499" t="s">
        <v>947</v>
      </c>
      <c r="AR114" s="500" t="str">
        <f>'HHV-LHV-MW'!MZ78</f>
        <v/>
      </c>
      <c r="AS114" s="500" t="str">
        <f>'HHV-LHV-MW'!NL78</f>
        <v/>
      </c>
      <c r="AT114" s="500" t="str">
        <f>'HHV-LHV-MW'!NX78</f>
        <v/>
      </c>
      <c r="AU114" s="501" t="str">
        <f>'HHV-LHV-MW'!OJ78</f>
        <v/>
      </c>
      <c r="AV114" s="511"/>
      <c r="AW114" s="499" t="s">
        <v>947</v>
      </c>
      <c r="AX114" s="500" t="str">
        <f>'HHV-LHV-MW'!OX78</f>
        <v/>
      </c>
      <c r="AY114" s="500" t="str">
        <f>'HHV-LHV-MW'!PJ78</f>
        <v/>
      </c>
      <c r="AZ114" s="500" t="str">
        <f>'HHV-LHV-MW'!PV78</f>
        <v/>
      </c>
      <c r="BA114" s="501" t="str">
        <f>'HHV-LHV-MW'!QH78</f>
        <v/>
      </c>
      <c r="BB114" s="511"/>
      <c r="BC114" s="499" t="s">
        <v>947</v>
      </c>
      <c r="BD114" s="500" t="str">
        <f>'HHV-LHV-MW'!QU78</f>
        <v/>
      </c>
      <c r="BE114" s="500" t="str">
        <f>'HHV-LHV-MW'!RG78</f>
        <v/>
      </c>
      <c r="BF114" s="500" t="str">
        <f>'HHV-LHV-MW'!RS78</f>
        <v/>
      </c>
      <c r="BG114" s="501" t="str">
        <f>'HHV-LHV-MW'!SE78</f>
        <v/>
      </c>
      <c r="BH114" s="865"/>
      <c r="BI114" s="865"/>
      <c r="BQ114" s="865"/>
      <c r="BY114" s="874"/>
      <c r="BZ114" s="884"/>
      <c r="CA114" s="323"/>
      <c r="CB114" s="885"/>
      <c r="CC114" s="885"/>
      <c r="CD114" s="885"/>
      <c r="CE114" s="886"/>
      <c r="CF114" s="511"/>
      <c r="CG114" s="511"/>
      <c r="CH114" s="511"/>
      <c r="CI114" s="511"/>
      <c r="CJ114" s="511"/>
      <c r="CK114" s="511"/>
      <c r="CL114" s="511"/>
      <c r="CM114" s="511"/>
      <c r="CN114" s="511"/>
      <c r="CO114" s="511"/>
      <c r="CP114" s="511"/>
      <c r="CQ114" s="511"/>
      <c r="CR114" s="511"/>
      <c r="CS114" s="511"/>
      <c r="CT114" s="511"/>
      <c r="CU114" s="884"/>
      <c r="CV114" s="323"/>
      <c r="CW114" s="885"/>
      <c r="CX114" s="885"/>
      <c r="CY114" s="885"/>
      <c r="CZ114" s="886"/>
      <c r="DA114" s="511"/>
      <c r="DB114" s="511"/>
      <c r="DC114" s="511"/>
      <c r="DD114" s="511"/>
      <c r="DE114" s="511"/>
      <c r="DF114" s="511"/>
      <c r="DG114" s="511"/>
      <c r="DH114" s="511"/>
      <c r="DI114" s="511"/>
      <c r="DJ114" s="511"/>
      <c r="DK114" s="511"/>
      <c r="DL114" s="511"/>
      <c r="DM114" s="511"/>
      <c r="DN114" s="511"/>
      <c r="DO114" s="511"/>
      <c r="DP114" s="884"/>
      <c r="DQ114" s="323"/>
      <c r="DR114" s="885"/>
      <c r="DS114" s="885"/>
      <c r="DT114" s="885"/>
      <c r="DU114" s="886"/>
      <c r="DV114" s="511"/>
      <c r="DW114" s="511"/>
      <c r="DX114" s="511"/>
      <c r="DY114" s="511"/>
      <c r="DZ114" s="511"/>
      <c r="EA114" s="511"/>
      <c r="EB114" s="511"/>
      <c r="EC114" s="511"/>
      <c r="ED114" s="511"/>
      <c r="EE114" s="511"/>
      <c r="EF114" s="511"/>
      <c r="EG114" s="511"/>
      <c r="EH114" s="511"/>
      <c r="EI114" s="511"/>
      <c r="EJ114" s="511"/>
      <c r="EK114" s="884"/>
      <c r="EL114" s="323"/>
      <c r="EM114" s="885"/>
      <c r="EN114" s="885"/>
      <c r="EO114" s="885"/>
      <c r="EP114" s="886"/>
      <c r="EQ114" s="511"/>
      <c r="ER114" s="511"/>
      <c r="ES114" s="511"/>
      <c r="ET114" s="511"/>
      <c r="EU114" s="511"/>
      <c r="EV114" s="511"/>
      <c r="EW114" s="511"/>
      <c r="EX114" s="511"/>
      <c r="EY114" s="511"/>
      <c r="EZ114" s="511"/>
      <c r="FA114" s="511"/>
      <c r="FB114" s="511"/>
      <c r="FC114" s="511"/>
      <c r="FD114" s="511"/>
      <c r="FE114" s="511"/>
      <c r="FF114" s="884"/>
      <c r="FG114" s="323"/>
      <c r="FH114" s="885"/>
      <c r="FI114" s="885"/>
      <c r="FJ114" s="885"/>
      <c r="FK114" s="886"/>
      <c r="FL114" s="511"/>
      <c r="FM114" s="511"/>
      <c r="FN114" s="511"/>
      <c r="FO114" s="511"/>
      <c r="FP114" s="511"/>
      <c r="FQ114" s="511"/>
      <c r="FR114" s="511"/>
      <c r="FS114" s="511"/>
      <c r="FT114" s="511"/>
      <c r="FU114" s="511"/>
      <c r="FV114" s="511"/>
      <c r="FW114" s="511"/>
      <c r="FX114" s="511"/>
      <c r="FY114" s="511"/>
      <c r="FZ114" s="511"/>
      <c r="GA114" s="884"/>
      <c r="GB114" s="323"/>
      <c r="GC114" s="885"/>
      <c r="GD114" s="885"/>
      <c r="GE114" s="885"/>
      <c r="GF114" s="886"/>
      <c r="GG114" s="511"/>
      <c r="GH114" s="511"/>
      <c r="GI114" s="511"/>
      <c r="GJ114" s="511"/>
      <c r="GK114" s="511"/>
      <c r="GL114" s="511"/>
      <c r="GM114" s="511"/>
      <c r="GN114" s="511"/>
      <c r="GO114" s="511"/>
      <c r="GP114" s="511"/>
      <c r="GQ114" s="511"/>
      <c r="GR114" s="511"/>
      <c r="GS114" s="511"/>
      <c r="GT114" s="511"/>
      <c r="GU114" s="511"/>
      <c r="GV114" s="884"/>
      <c r="GW114" s="323"/>
      <c r="GX114" s="885"/>
      <c r="GY114" s="885"/>
      <c r="GZ114" s="885"/>
      <c r="HA114" s="886"/>
      <c r="HB114" s="511"/>
      <c r="HC114" s="511"/>
      <c r="HD114" s="511"/>
      <c r="HE114" s="511"/>
      <c r="HF114" s="511"/>
      <c r="HG114" s="511"/>
      <c r="HH114" s="511"/>
      <c r="HI114" s="511"/>
      <c r="HJ114" s="511"/>
      <c r="HK114" s="511"/>
      <c r="HL114" s="511"/>
      <c r="HM114" s="511"/>
      <c r="HN114" s="511"/>
      <c r="HO114" s="511"/>
      <c r="HP114" s="511"/>
      <c r="HQ114" s="884"/>
      <c r="HR114" s="323"/>
      <c r="HS114" s="885"/>
      <c r="HT114" s="885"/>
      <c r="HU114" s="885"/>
      <c r="HV114" s="886"/>
      <c r="HW114" s="511"/>
      <c r="HX114" s="511"/>
      <c r="HY114" s="511"/>
      <c r="HZ114" s="511"/>
      <c r="IA114" s="511"/>
      <c r="IB114" s="511"/>
      <c r="IC114" s="511"/>
      <c r="ID114" s="511"/>
      <c r="IE114" s="511"/>
      <c r="IF114" s="511"/>
      <c r="IG114" s="511"/>
      <c r="IH114" s="511"/>
      <c r="II114" s="511"/>
      <c r="IJ114" s="511"/>
      <c r="IK114" s="511"/>
      <c r="IL114" s="884"/>
      <c r="IM114" s="323"/>
      <c r="IN114" s="885"/>
      <c r="IO114" s="885"/>
      <c r="IP114" s="885"/>
      <c r="IQ114" s="886"/>
      <c r="IR114" s="511"/>
      <c r="IS114" s="511"/>
      <c r="IT114" s="511"/>
      <c r="IU114" s="511"/>
      <c r="IV114" s="511"/>
      <c r="IW114" s="511"/>
      <c r="IX114" s="511"/>
      <c r="IY114" s="511"/>
      <c r="IZ114" s="511"/>
      <c r="JA114" s="511"/>
      <c r="JB114" s="511"/>
      <c r="JC114" s="511"/>
      <c r="JD114" s="511"/>
      <c r="JE114" s="511"/>
      <c r="JF114" s="511"/>
      <c r="JG114" s="884"/>
      <c r="JH114" s="323"/>
      <c r="JI114" s="885"/>
      <c r="JJ114" s="885"/>
      <c r="JK114" s="885"/>
      <c r="JL114" s="886"/>
      <c r="JM114" s="874"/>
      <c r="JN114" s="900"/>
      <c r="JO114" s="874"/>
      <c r="JP114" s="874"/>
      <c r="JQ114" s="874"/>
      <c r="JR114" s="874"/>
      <c r="JS114" s="874"/>
      <c r="JT114" s="874"/>
      <c r="JU114" s="874"/>
      <c r="JV114" s="874"/>
      <c r="JW114" s="874"/>
      <c r="JX114" s="874"/>
      <c r="JY114" s="874"/>
      <c r="JZ114" s="874"/>
      <c r="KA114" s="874"/>
      <c r="KB114" s="874"/>
      <c r="KC114" s="874"/>
      <c r="KD114" s="874"/>
      <c r="KE114" s="874"/>
      <c r="KF114" s="874"/>
      <c r="KG114" s="874"/>
      <c r="KH114" s="865"/>
      <c r="KI114" s="865"/>
      <c r="KJ114" s="865"/>
      <c r="KK114" s="865"/>
      <c r="KL114" s="865"/>
      <c r="KM114" s="865"/>
      <c r="KN114" s="865"/>
      <c r="KO114" s="865"/>
      <c r="KP114" s="865"/>
      <c r="KQ114" s="865"/>
      <c r="KR114" s="865"/>
      <c r="KS114" s="865"/>
      <c r="KT114" s="865"/>
      <c r="KU114" s="865"/>
      <c r="KV114" s="865"/>
      <c r="KW114" s="865"/>
      <c r="KX114" s="865"/>
      <c r="KY114" s="865"/>
      <c r="KZ114" s="865"/>
      <c r="LA114" s="865"/>
      <c r="LB114" s="865"/>
      <c r="LC114" s="865"/>
      <c r="LD114" s="865"/>
      <c r="LE114" s="865"/>
      <c r="LF114" s="865"/>
    </row>
    <row r="115" spans="1:318" ht="20.399999999999999">
      <c r="A115" s="499" t="s">
        <v>950</v>
      </c>
      <c r="B115" s="500" t="str">
        <f>'HHV-LHV-MW'!V78</f>
        <v/>
      </c>
      <c r="C115" s="500" t="str">
        <f>'HHV-LHV-MW'!AH78</f>
        <v/>
      </c>
      <c r="D115" s="500" t="str">
        <f>'HHV-LHV-MW'!AT78</f>
        <v/>
      </c>
      <c r="E115" s="501" t="str">
        <f>'HHV-LHV-MW'!BF78</f>
        <v/>
      </c>
      <c r="F115" s="511"/>
      <c r="G115" s="499" t="s">
        <v>950</v>
      </c>
      <c r="H115" s="500" t="str">
        <f>'HHV-LHV-MW'!BS78</f>
        <v/>
      </c>
      <c r="I115" s="500" t="str">
        <f>'HHV-LHV-MW'!CE78</f>
        <v/>
      </c>
      <c r="J115" s="500" t="str">
        <f>'HHV-LHV-MW'!CQ78</f>
        <v/>
      </c>
      <c r="K115" s="501" t="str">
        <f>'HHV-LHV-MW'!DC78</f>
        <v/>
      </c>
      <c r="L115" s="511"/>
      <c r="M115" s="499" t="s">
        <v>950</v>
      </c>
      <c r="N115" s="500" t="str">
        <f>'HHV-LHV-MW'!DP78</f>
        <v/>
      </c>
      <c r="O115" s="500" t="str">
        <f>'HHV-LHV-MW'!EB78</f>
        <v/>
      </c>
      <c r="P115" s="500" t="str">
        <f>'HHV-LHV-MW'!EN78</f>
        <v/>
      </c>
      <c r="Q115" s="501" t="str">
        <f>'HHV-LHV-MW'!EZ78</f>
        <v/>
      </c>
      <c r="R115" s="511"/>
      <c r="S115" s="499" t="s">
        <v>950</v>
      </c>
      <c r="T115" s="500" t="str">
        <f>'HHV-LHV-MW'!FM78</f>
        <v/>
      </c>
      <c r="U115" s="500" t="str">
        <f>'HHV-LHV-MW'!FY78</f>
        <v/>
      </c>
      <c r="V115" s="500" t="str">
        <f>'HHV-LHV-MW'!GK78</f>
        <v/>
      </c>
      <c r="W115" s="501" t="str">
        <f>'HHV-LHV-MW'!GW78</f>
        <v/>
      </c>
      <c r="X115" s="511"/>
      <c r="Y115" s="499" t="s">
        <v>950</v>
      </c>
      <c r="Z115" s="500" t="str">
        <f>'HHV-LHV-MW'!HJ78</f>
        <v/>
      </c>
      <c r="AA115" s="500" t="str">
        <f>'HHV-LHV-MW'!HV78</f>
        <v/>
      </c>
      <c r="AB115" s="500" t="str">
        <f>'HHV-LHV-MW'!IH78</f>
        <v/>
      </c>
      <c r="AC115" s="501" t="str">
        <f>'HHV-LHV-MW'!IT78</f>
        <v/>
      </c>
      <c r="AD115" s="511"/>
      <c r="AE115" s="499" t="s">
        <v>950</v>
      </c>
      <c r="AF115" s="500" t="str">
        <f>'HHV-LHV-MW'!JG78</f>
        <v/>
      </c>
      <c r="AG115" s="500" t="str">
        <f>'HHV-LHV-MW'!JS78</f>
        <v/>
      </c>
      <c r="AH115" s="500" t="str">
        <f>'HHV-LHV-MW'!KE78</f>
        <v/>
      </c>
      <c r="AI115" s="501" t="str">
        <f>'HHV-LHV-MW'!KQ78</f>
        <v/>
      </c>
      <c r="AJ115" s="511"/>
      <c r="AK115" s="499" t="s">
        <v>950</v>
      </c>
      <c r="AL115" s="500" t="str">
        <f>'HHV-LHV-MW'!LD78</f>
        <v/>
      </c>
      <c r="AM115" s="500" t="str">
        <f>'HHV-LHV-MW'!LP78</f>
        <v/>
      </c>
      <c r="AN115" s="500" t="str">
        <f>'HHV-LHV-MW'!MB78</f>
        <v/>
      </c>
      <c r="AO115" s="501" t="str">
        <f>'HHV-LHV-MW'!MN78</f>
        <v/>
      </c>
      <c r="AP115" s="511"/>
      <c r="AQ115" s="499" t="s">
        <v>950</v>
      </c>
      <c r="AR115" s="500" t="str">
        <f>'HHV-LHV-MW'!NA78</f>
        <v/>
      </c>
      <c r="AS115" s="500" t="str">
        <f>'HHV-LHV-MW'!NM78</f>
        <v/>
      </c>
      <c r="AT115" s="500" t="str">
        <f>'HHV-LHV-MW'!NY78</f>
        <v/>
      </c>
      <c r="AU115" s="501" t="str">
        <f>'HHV-LHV-MW'!OK78</f>
        <v/>
      </c>
      <c r="AV115" s="511"/>
      <c r="AW115" s="499" t="s">
        <v>950</v>
      </c>
      <c r="AX115" s="500" t="str">
        <f>'HHV-LHV-MW'!OY78</f>
        <v/>
      </c>
      <c r="AY115" s="500" t="str">
        <f>'HHV-LHV-MW'!PK78</f>
        <v/>
      </c>
      <c r="AZ115" s="500" t="str">
        <f>'HHV-LHV-MW'!PW78</f>
        <v/>
      </c>
      <c r="BA115" s="501" t="str">
        <f>'HHV-LHV-MW'!QI78</f>
        <v/>
      </c>
      <c r="BB115" s="511"/>
      <c r="BC115" s="499" t="s">
        <v>950</v>
      </c>
      <c r="BD115" s="500" t="str">
        <f>'HHV-LHV-MW'!QV78</f>
        <v/>
      </c>
      <c r="BE115" s="500" t="str">
        <f>'HHV-LHV-MW'!RH78</f>
        <v/>
      </c>
      <c r="BF115" s="500" t="str">
        <f>'HHV-LHV-MW'!RT78</f>
        <v/>
      </c>
      <c r="BG115" s="501" t="str">
        <f>'HHV-LHV-MW'!SF78</f>
        <v/>
      </c>
      <c r="BH115" s="865"/>
      <c r="BI115" s="865"/>
      <c r="BJ115" s="2527" t="s">
        <v>331</v>
      </c>
      <c r="BK115" s="2528"/>
      <c r="BL115" s="2528"/>
      <c r="BM115" s="2528"/>
      <c r="BN115" s="2528"/>
      <c r="BO115" s="2528"/>
      <c r="BP115" s="2529"/>
      <c r="BQ115" s="865"/>
      <c r="BR115" s="2527" t="s">
        <v>938</v>
      </c>
      <c r="BS115" s="2528"/>
      <c r="BT115" s="2528"/>
      <c r="BU115" s="2528"/>
      <c r="BV115" s="2528"/>
      <c r="BW115" s="2528"/>
      <c r="BX115" s="2529"/>
      <c r="BY115" s="874"/>
      <c r="BZ115" s="884"/>
      <c r="CA115" s="323"/>
      <c r="CB115" s="885"/>
      <c r="CC115" s="885"/>
      <c r="CD115" s="885"/>
      <c r="CE115" s="886"/>
      <c r="CF115" s="511"/>
      <c r="CG115" s="511"/>
      <c r="CH115" s="511"/>
      <c r="CI115" s="511"/>
      <c r="CJ115" s="511"/>
      <c r="CK115" s="511"/>
      <c r="CL115" s="511"/>
      <c r="CM115" s="511"/>
      <c r="CN115" s="511"/>
      <c r="CO115" s="511"/>
      <c r="CP115" s="511"/>
      <c r="CQ115" s="511"/>
      <c r="CR115" s="511"/>
      <c r="CS115" s="511"/>
      <c r="CT115" s="511"/>
      <c r="CU115" s="884"/>
      <c r="CV115" s="323"/>
      <c r="CW115" s="885"/>
      <c r="CX115" s="885"/>
      <c r="CY115" s="885"/>
      <c r="CZ115" s="886"/>
      <c r="DA115" s="511"/>
      <c r="DB115" s="511"/>
      <c r="DC115" s="511"/>
      <c r="DD115" s="511"/>
      <c r="DE115" s="511"/>
      <c r="DF115" s="511"/>
      <c r="DG115" s="511"/>
      <c r="DH115" s="511"/>
      <c r="DI115" s="511"/>
      <c r="DJ115" s="511"/>
      <c r="DK115" s="511"/>
      <c r="DL115" s="511"/>
      <c r="DM115" s="511"/>
      <c r="DN115" s="511"/>
      <c r="DO115" s="511"/>
      <c r="DP115" s="884"/>
      <c r="DQ115" s="323"/>
      <c r="DR115" s="885"/>
      <c r="DS115" s="885"/>
      <c r="DT115" s="885"/>
      <c r="DU115" s="886"/>
      <c r="DV115" s="511"/>
      <c r="DW115" s="511"/>
      <c r="DX115" s="511"/>
      <c r="DY115" s="511"/>
      <c r="DZ115" s="511"/>
      <c r="EA115" s="511"/>
      <c r="EB115" s="511"/>
      <c r="EC115" s="511"/>
      <c r="ED115" s="511"/>
      <c r="EE115" s="511"/>
      <c r="EF115" s="511"/>
      <c r="EG115" s="511"/>
      <c r="EH115" s="511"/>
      <c r="EI115" s="511"/>
      <c r="EJ115" s="511"/>
      <c r="EK115" s="884"/>
      <c r="EL115" s="323"/>
      <c r="EM115" s="885"/>
      <c r="EN115" s="885"/>
      <c r="EO115" s="885"/>
      <c r="EP115" s="886"/>
      <c r="EQ115" s="511"/>
      <c r="ER115" s="511"/>
      <c r="ES115" s="511"/>
      <c r="ET115" s="511"/>
      <c r="EU115" s="511"/>
      <c r="EV115" s="511"/>
      <c r="EW115" s="511"/>
      <c r="EX115" s="511"/>
      <c r="EY115" s="511"/>
      <c r="EZ115" s="511"/>
      <c r="FA115" s="511"/>
      <c r="FB115" s="511"/>
      <c r="FC115" s="511"/>
      <c r="FD115" s="511"/>
      <c r="FE115" s="511"/>
      <c r="FF115" s="884"/>
      <c r="FG115" s="323"/>
      <c r="FH115" s="885"/>
      <c r="FI115" s="885"/>
      <c r="FJ115" s="885"/>
      <c r="FK115" s="886"/>
      <c r="FL115" s="511"/>
      <c r="FM115" s="511"/>
      <c r="FN115" s="511"/>
      <c r="FO115" s="511"/>
      <c r="FP115" s="511"/>
      <c r="FQ115" s="511"/>
      <c r="FR115" s="511"/>
      <c r="FS115" s="511"/>
      <c r="FT115" s="511"/>
      <c r="FU115" s="511"/>
      <c r="FV115" s="511"/>
      <c r="FW115" s="511"/>
      <c r="FX115" s="511"/>
      <c r="FY115" s="511"/>
      <c r="FZ115" s="511"/>
      <c r="GA115" s="884"/>
      <c r="GB115" s="323"/>
      <c r="GC115" s="885"/>
      <c r="GD115" s="885"/>
      <c r="GE115" s="885"/>
      <c r="GF115" s="886"/>
      <c r="GG115" s="511"/>
      <c r="GH115" s="511"/>
      <c r="GI115" s="511"/>
      <c r="GJ115" s="511"/>
      <c r="GK115" s="511"/>
      <c r="GL115" s="511"/>
      <c r="GM115" s="511"/>
      <c r="GN115" s="511"/>
      <c r="GO115" s="511"/>
      <c r="GP115" s="511"/>
      <c r="GQ115" s="511"/>
      <c r="GR115" s="511"/>
      <c r="GS115" s="511"/>
      <c r="GT115" s="511"/>
      <c r="GU115" s="511"/>
      <c r="GV115" s="884"/>
      <c r="GW115" s="323"/>
      <c r="GX115" s="885"/>
      <c r="GY115" s="885"/>
      <c r="GZ115" s="885"/>
      <c r="HA115" s="886"/>
      <c r="HB115" s="511"/>
      <c r="HC115" s="511"/>
      <c r="HD115" s="511"/>
      <c r="HE115" s="511"/>
      <c r="HF115" s="511"/>
      <c r="HG115" s="511"/>
      <c r="HH115" s="511"/>
      <c r="HI115" s="511"/>
      <c r="HJ115" s="511"/>
      <c r="HK115" s="511"/>
      <c r="HL115" s="511"/>
      <c r="HM115" s="511"/>
      <c r="HN115" s="511"/>
      <c r="HO115" s="511"/>
      <c r="HP115" s="511"/>
      <c r="HQ115" s="884"/>
      <c r="HR115" s="323"/>
      <c r="HS115" s="885"/>
      <c r="HT115" s="885"/>
      <c r="HU115" s="885"/>
      <c r="HV115" s="886"/>
      <c r="HW115" s="511"/>
      <c r="HX115" s="511"/>
      <c r="HY115" s="511"/>
      <c r="HZ115" s="511"/>
      <c r="IA115" s="511"/>
      <c r="IB115" s="511"/>
      <c r="IC115" s="511"/>
      <c r="ID115" s="511"/>
      <c r="IE115" s="511"/>
      <c r="IF115" s="511"/>
      <c r="IG115" s="511"/>
      <c r="IH115" s="511"/>
      <c r="II115" s="511"/>
      <c r="IJ115" s="511"/>
      <c r="IK115" s="511"/>
      <c r="IL115" s="884"/>
      <c r="IM115" s="323"/>
      <c r="IN115" s="885"/>
      <c r="IO115" s="885"/>
      <c r="IP115" s="885"/>
      <c r="IQ115" s="886"/>
      <c r="IR115" s="511"/>
      <c r="IS115" s="511"/>
      <c r="IT115" s="511"/>
      <c r="IU115" s="511"/>
      <c r="IV115" s="511"/>
      <c r="IW115" s="511"/>
      <c r="IX115" s="511"/>
      <c r="IY115" s="511"/>
      <c r="IZ115" s="511"/>
      <c r="JA115" s="511"/>
      <c r="JB115" s="511"/>
      <c r="JC115" s="511"/>
      <c r="JD115" s="511"/>
      <c r="JE115" s="511"/>
      <c r="JF115" s="511"/>
      <c r="JG115" s="884"/>
      <c r="JH115" s="323"/>
      <c r="JI115" s="885"/>
      <c r="JJ115" s="885"/>
      <c r="JK115" s="885"/>
      <c r="JL115" s="886"/>
      <c r="JM115" s="874"/>
      <c r="JN115" s="874"/>
      <c r="JO115" s="874"/>
      <c r="JP115" s="874"/>
      <c r="JQ115" s="874"/>
      <c r="JR115" s="874"/>
      <c r="JS115" s="874"/>
      <c r="JT115" s="874"/>
      <c r="JU115" s="874"/>
      <c r="JV115" s="874"/>
      <c r="JW115" s="874"/>
      <c r="JX115" s="874"/>
      <c r="JY115" s="874"/>
      <c r="JZ115" s="874"/>
      <c r="KA115" s="874"/>
      <c r="KB115" s="874"/>
      <c r="KC115" s="874"/>
      <c r="KD115" s="874"/>
      <c r="KE115" s="874"/>
      <c r="KF115" s="874"/>
      <c r="KG115" s="874"/>
      <c r="KH115" s="865"/>
      <c r="KI115" s="865"/>
      <c r="KJ115" s="865"/>
      <c r="KK115" s="865"/>
      <c r="KL115" s="865"/>
      <c r="KM115" s="865"/>
      <c r="KN115" s="865"/>
      <c r="KO115" s="865"/>
      <c r="KP115" s="865"/>
      <c r="KQ115" s="865"/>
      <c r="KR115" s="865"/>
      <c r="KS115" s="865"/>
      <c r="KT115" s="865"/>
      <c r="KU115" s="865"/>
      <c r="KV115" s="865"/>
      <c r="KW115" s="865"/>
      <c r="KX115" s="865"/>
      <c r="KY115" s="865"/>
      <c r="KZ115" s="865"/>
      <c r="LA115" s="865"/>
      <c r="LB115" s="865"/>
      <c r="LC115" s="865"/>
      <c r="LD115" s="865"/>
      <c r="LE115" s="865"/>
      <c r="LF115" s="865"/>
    </row>
    <row r="116" spans="1:318" ht="19.2" thickBot="1">
      <c r="A116" s="499" t="s">
        <v>955</v>
      </c>
      <c r="B116" s="500" t="str">
        <f>'HHV-LHV-MW'!P78</f>
        <v/>
      </c>
      <c r="C116" s="500" t="str">
        <f>'HHV-LHV-MW'!AB78</f>
        <v/>
      </c>
      <c r="D116" s="500" t="str">
        <f>'HHV-LHV-MW'!AN78</f>
        <v/>
      </c>
      <c r="E116" s="501" t="str">
        <f>'HHV-LHV-MW'!AZ78</f>
        <v/>
      </c>
      <c r="F116" s="511"/>
      <c r="G116" s="499" t="s">
        <v>955</v>
      </c>
      <c r="H116" s="500" t="str">
        <f>'HHV-LHV-MW'!BM78</f>
        <v/>
      </c>
      <c r="I116" s="500" t="str">
        <f>'HHV-LHV-MW'!BY78</f>
        <v/>
      </c>
      <c r="J116" s="500" t="str">
        <f>'HHV-LHV-MW'!CK78</f>
        <v/>
      </c>
      <c r="K116" s="501" t="str">
        <f>'HHV-LHV-MW'!CW78</f>
        <v/>
      </c>
      <c r="L116" s="511"/>
      <c r="M116" s="499" t="s">
        <v>955</v>
      </c>
      <c r="N116" s="500" t="str">
        <f>'HHV-LHV-MW'!DJ78</f>
        <v/>
      </c>
      <c r="O116" s="500" t="str">
        <f>'HHV-LHV-MW'!DV78</f>
        <v/>
      </c>
      <c r="P116" s="500" t="str">
        <f>'HHV-LHV-MW'!EH78</f>
        <v/>
      </c>
      <c r="Q116" s="501" t="str">
        <f>'HHV-LHV-MW'!ET78</f>
        <v/>
      </c>
      <c r="R116" s="511"/>
      <c r="S116" s="499" t="s">
        <v>955</v>
      </c>
      <c r="T116" s="500" t="str">
        <f>'HHV-LHV-MW'!FG78</f>
        <v/>
      </c>
      <c r="U116" s="500" t="str">
        <f>'HHV-LHV-MW'!FS78</f>
        <v/>
      </c>
      <c r="V116" s="500" t="str">
        <f>'HHV-LHV-MW'!GE78</f>
        <v/>
      </c>
      <c r="W116" s="501" t="str">
        <f>'HHV-LHV-MW'!GQ78</f>
        <v/>
      </c>
      <c r="X116" s="511"/>
      <c r="Y116" s="499" t="s">
        <v>955</v>
      </c>
      <c r="Z116" s="500" t="str">
        <f>'HHV-LHV-MW'!HD78</f>
        <v/>
      </c>
      <c r="AA116" s="500" t="str">
        <f>'HHV-LHV-MW'!HP78</f>
        <v/>
      </c>
      <c r="AB116" s="500" t="str">
        <f>'HHV-LHV-MW'!IB78</f>
        <v/>
      </c>
      <c r="AC116" s="501" t="str">
        <f>'HHV-LHV-MW'!IN78</f>
        <v/>
      </c>
      <c r="AD116" s="511"/>
      <c r="AE116" s="499" t="s">
        <v>955</v>
      </c>
      <c r="AF116" s="500" t="str">
        <f>'HHV-LHV-MW'!JA78</f>
        <v/>
      </c>
      <c r="AG116" s="500" t="str">
        <f>'HHV-LHV-MW'!JM78</f>
        <v/>
      </c>
      <c r="AH116" s="500" t="str">
        <f>'HHV-LHV-MW'!JY78</f>
        <v/>
      </c>
      <c r="AI116" s="501" t="str">
        <f>'HHV-LHV-MW'!KK78</f>
        <v/>
      </c>
      <c r="AJ116" s="511"/>
      <c r="AK116" s="499" t="s">
        <v>955</v>
      </c>
      <c r="AL116" s="500" t="str">
        <f>'HHV-LHV-MW'!KX78</f>
        <v/>
      </c>
      <c r="AM116" s="500" t="str">
        <f>'HHV-LHV-MW'!LJ78</f>
        <v/>
      </c>
      <c r="AN116" s="500" t="str">
        <f>'HHV-LHV-MW'!LV78</f>
        <v/>
      </c>
      <c r="AO116" s="501" t="str">
        <f>'HHV-LHV-MW'!MH78</f>
        <v/>
      </c>
      <c r="AP116" s="511"/>
      <c r="AQ116" s="499" t="s">
        <v>955</v>
      </c>
      <c r="AR116" s="500" t="str">
        <f>'HHV-LHV-MW'!MU78</f>
        <v/>
      </c>
      <c r="AS116" s="500" t="str">
        <f>'HHV-LHV-MW'!NG78</f>
        <v/>
      </c>
      <c r="AT116" s="500" t="str">
        <f>'HHV-LHV-MW'!NS78</f>
        <v/>
      </c>
      <c r="AU116" s="501" t="str">
        <f>'HHV-LHV-MW'!OE78</f>
        <v/>
      </c>
      <c r="AV116" s="511"/>
      <c r="AW116" s="499" t="s">
        <v>955</v>
      </c>
      <c r="AX116" s="500" t="str">
        <f>'HHV-LHV-MW'!OS78</f>
        <v/>
      </c>
      <c r="AY116" s="500" t="str">
        <f>'HHV-LHV-MW'!PE78</f>
        <v/>
      </c>
      <c r="AZ116" s="500" t="str">
        <f>'HHV-LHV-MW'!PQ78</f>
        <v/>
      </c>
      <c r="BA116" s="501" t="str">
        <f>'HHV-LHV-MW'!QC78</f>
        <v/>
      </c>
      <c r="BB116" s="511"/>
      <c r="BC116" s="499" t="s">
        <v>955</v>
      </c>
      <c r="BD116" s="500" t="str">
        <f>'HHV-LHV-MW'!QP78</f>
        <v/>
      </c>
      <c r="BE116" s="500" t="str">
        <f>'HHV-LHV-MW'!RB78</f>
        <v/>
      </c>
      <c r="BF116" s="500" t="str">
        <f>'HHV-LHV-MW'!RN78</f>
        <v/>
      </c>
      <c r="BG116" s="501" t="str">
        <f>'HHV-LHV-MW'!RZ78</f>
        <v/>
      </c>
      <c r="BH116" s="511"/>
      <c r="BI116" s="865"/>
      <c r="BJ116" s="1143" t="s">
        <v>1468</v>
      </c>
      <c r="BK116" s="2481"/>
      <c r="BL116" s="2481"/>
      <c r="BM116" s="2481"/>
      <c r="BN116" s="1144"/>
      <c r="BO116" s="2439"/>
      <c r="BP116" s="2439"/>
      <c r="BQ116" s="865"/>
      <c r="BR116" s="1143" t="s">
        <v>1468</v>
      </c>
      <c r="BS116" s="2481"/>
      <c r="BT116" s="2481"/>
      <c r="BU116" s="2481"/>
      <c r="BV116" s="1144"/>
      <c r="BW116" s="2439"/>
      <c r="BX116" s="2439"/>
      <c r="BY116" s="874"/>
      <c r="BZ116" s="884"/>
      <c r="CA116" s="323"/>
      <c r="CB116" s="885"/>
      <c r="CC116" s="885"/>
      <c r="CD116" s="885"/>
      <c r="CE116" s="886"/>
      <c r="CF116" s="511"/>
      <c r="CG116" s="511"/>
      <c r="CH116" s="511"/>
      <c r="CI116" s="511"/>
      <c r="CJ116" s="511"/>
      <c r="CK116" s="511"/>
      <c r="CL116" s="511"/>
      <c r="CM116" s="511"/>
      <c r="CN116" s="511"/>
      <c r="CO116" s="511"/>
      <c r="CP116" s="511"/>
      <c r="CQ116" s="511"/>
      <c r="CR116" s="511"/>
      <c r="CS116" s="511"/>
      <c r="CT116" s="511"/>
      <c r="CU116" s="884"/>
      <c r="CV116" s="323"/>
      <c r="CW116" s="885"/>
      <c r="CX116" s="885"/>
      <c r="CY116" s="885"/>
      <c r="CZ116" s="886"/>
      <c r="DA116" s="511"/>
      <c r="DB116" s="511"/>
      <c r="DC116" s="511"/>
      <c r="DD116" s="511"/>
      <c r="DE116" s="511"/>
      <c r="DF116" s="511"/>
      <c r="DG116" s="511"/>
      <c r="DH116" s="511"/>
      <c r="DI116" s="511"/>
      <c r="DJ116" s="511"/>
      <c r="DK116" s="511"/>
      <c r="DL116" s="511"/>
      <c r="DM116" s="511"/>
      <c r="DN116" s="511"/>
      <c r="DO116" s="511"/>
      <c r="DP116" s="884"/>
      <c r="DQ116" s="323"/>
      <c r="DR116" s="885"/>
      <c r="DS116" s="885"/>
      <c r="DT116" s="885"/>
      <c r="DU116" s="886"/>
      <c r="DV116" s="511"/>
      <c r="DW116" s="511"/>
      <c r="DX116" s="511"/>
      <c r="DY116" s="511"/>
      <c r="DZ116" s="511"/>
      <c r="EA116" s="511"/>
      <c r="EB116" s="511"/>
      <c r="EC116" s="511"/>
      <c r="ED116" s="511"/>
      <c r="EE116" s="511"/>
      <c r="EF116" s="511"/>
      <c r="EG116" s="511"/>
      <c r="EH116" s="511"/>
      <c r="EI116" s="511"/>
      <c r="EJ116" s="511"/>
      <c r="EK116" s="884"/>
      <c r="EL116" s="323"/>
      <c r="EM116" s="885"/>
      <c r="EN116" s="885"/>
      <c r="EO116" s="885"/>
      <c r="EP116" s="886"/>
      <c r="EQ116" s="511"/>
      <c r="ER116" s="511"/>
      <c r="ES116" s="511"/>
      <c r="ET116" s="511"/>
      <c r="EU116" s="511"/>
      <c r="EV116" s="511"/>
      <c r="EW116" s="511"/>
      <c r="EX116" s="511"/>
      <c r="EY116" s="511"/>
      <c r="EZ116" s="511"/>
      <c r="FA116" s="511"/>
      <c r="FB116" s="511"/>
      <c r="FC116" s="511"/>
      <c r="FD116" s="511"/>
      <c r="FE116" s="511"/>
      <c r="FF116" s="884"/>
      <c r="FG116" s="323"/>
      <c r="FH116" s="885"/>
      <c r="FI116" s="885"/>
      <c r="FJ116" s="885"/>
      <c r="FK116" s="886"/>
      <c r="FL116" s="511"/>
      <c r="FM116" s="511"/>
      <c r="FN116" s="511"/>
      <c r="FO116" s="511"/>
      <c r="FP116" s="511"/>
      <c r="FQ116" s="511"/>
      <c r="FR116" s="511"/>
      <c r="FS116" s="511"/>
      <c r="FT116" s="511"/>
      <c r="FU116" s="511"/>
      <c r="FV116" s="511"/>
      <c r="FW116" s="511"/>
      <c r="FX116" s="511"/>
      <c r="FY116" s="511"/>
      <c r="FZ116" s="511"/>
      <c r="GA116" s="884"/>
      <c r="GB116" s="323"/>
      <c r="GC116" s="885"/>
      <c r="GD116" s="885"/>
      <c r="GE116" s="885"/>
      <c r="GF116" s="886"/>
      <c r="GG116" s="511"/>
      <c r="GH116" s="511"/>
      <c r="GI116" s="511"/>
      <c r="GJ116" s="511"/>
      <c r="GK116" s="511"/>
      <c r="GL116" s="511"/>
      <c r="GM116" s="511"/>
      <c r="GN116" s="511"/>
      <c r="GO116" s="511"/>
      <c r="GP116" s="511"/>
      <c r="GQ116" s="511"/>
      <c r="GR116" s="511"/>
      <c r="GS116" s="511"/>
      <c r="GT116" s="511"/>
      <c r="GU116" s="511"/>
      <c r="GV116" s="884"/>
      <c r="GW116" s="323"/>
      <c r="GX116" s="885"/>
      <c r="GY116" s="885"/>
      <c r="GZ116" s="885"/>
      <c r="HA116" s="886"/>
      <c r="HB116" s="511"/>
      <c r="HC116" s="511"/>
      <c r="HD116" s="511"/>
      <c r="HE116" s="511"/>
      <c r="HF116" s="511"/>
      <c r="HG116" s="511"/>
      <c r="HH116" s="511"/>
      <c r="HI116" s="511"/>
      <c r="HJ116" s="511"/>
      <c r="HK116" s="511"/>
      <c r="HL116" s="511"/>
      <c r="HM116" s="511"/>
      <c r="HN116" s="511"/>
      <c r="HO116" s="511"/>
      <c r="HP116" s="511"/>
      <c r="HQ116" s="884"/>
      <c r="HR116" s="323"/>
      <c r="HS116" s="885"/>
      <c r="HT116" s="885"/>
      <c r="HU116" s="885"/>
      <c r="HV116" s="886"/>
      <c r="HW116" s="511"/>
      <c r="HX116" s="511"/>
      <c r="HY116" s="511"/>
      <c r="HZ116" s="511"/>
      <c r="IA116" s="511"/>
      <c r="IB116" s="511"/>
      <c r="IC116" s="511"/>
      <c r="ID116" s="511"/>
      <c r="IE116" s="511"/>
      <c r="IF116" s="511"/>
      <c r="IG116" s="511"/>
      <c r="IH116" s="511"/>
      <c r="II116" s="511"/>
      <c r="IJ116" s="511"/>
      <c r="IK116" s="511"/>
      <c r="IL116" s="884"/>
      <c r="IM116" s="323"/>
      <c r="IN116" s="885"/>
      <c r="IO116" s="885"/>
      <c r="IP116" s="885"/>
      <c r="IQ116" s="886"/>
      <c r="IR116" s="511"/>
      <c r="IS116" s="511"/>
      <c r="IT116" s="511"/>
      <c r="IU116" s="511"/>
      <c r="IV116" s="511"/>
      <c r="IW116" s="511"/>
      <c r="IX116" s="511"/>
      <c r="IY116" s="511"/>
      <c r="IZ116" s="511"/>
      <c r="JA116" s="511"/>
      <c r="JB116" s="511"/>
      <c r="JC116" s="511"/>
      <c r="JD116" s="511"/>
      <c r="JE116" s="511"/>
      <c r="JF116" s="511"/>
      <c r="JG116" s="884"/>
      <c r="JH116" s="323"/>
      <c r="JI116" s="885"/>
      <c r="JJ116" s="885"/>
      <c r="JK116" s="885"/>
      <c r="JL116" s="886"/>
      <c r="JM116" s="874"/>
      <c r="JN116" s="874"/>
      <c r="JO116" s="874"/>
      <c r="JP116" s="874"/>
      <c r="JQ116" s="874"/>
      <c r="JR116" s="874"/>
      <c r="JS116" s="874"/>
      <c r="JT116" s="874"/>
      <c r="JU116" s="874"/>
      <c r="JV116" s="874"/>
      <c r="JW116" s="874"/>
      <c r="JX116" s="874"/>
      <c r="JY116" s="874"/>
      <c r="JZ116" s="874"/>
      <c r="KA116" s="874"/>
      <c r="KB116" s="874"/>
      <c r="KC116" s="874"/>
      <c r="KD116" s="874"/>
      <c r="KE116" s="874"/>
      <c r="KF116" s="874"/>
      <c r="KG116" s="874"/>
      <c r="KH116" s="865"/>
      <c r="KI116" s="865"/>
      <c r="KJ116" s="865"/>
      <c r="KK116" s="865"/>
      <c r="KL116" s="865"/>
      <c r="KM116" s="865"/>
      <c r="KN116" s="865"/>
      <c r="KO116" s="865"/>
      <c r="KP116" s="865"/>
      <c r="KQ116" s="865"/>
      <c r="KR116" s="865"/>
      <c r="KS116" s="865"/>
      <c r="KT116" s="865"/>
      <c r="KU116" s="865"/>
      <c r="KV116" s="865"/>
      <c r="KW116" s="865"/>
      <c r="KX116" s="865"/>
      <c r="KY116" s="865"/>
      <c r="KZ116" s="865"/>
      <c r="LA116" s="865"/>
      <c r="LB116" s="865"/>
      <c r="LC116" s="865"/>
      <c r="LD116" s="865"/>
      <c r="LE116" s="865"/>
      <c r="LF116" s="865"/>
    </row>
    <row r="117" spans="1:318" ht="21" thickBot="1">
      <c r="A117" s="2500" t="s">
        <v>834</v>
      </c>
      <c r="B117" s="2501" t="s">
        <v>242</v>
      </c>
      <c r="C117" s="2501"/>
      <c r="D117" s="2501"/>
      <c r="E117" s="2502"/>
      <c r="F117" s="511"/>
      <c r="G117" s="2500" t="s">
        <v>834</v>
      </c>
      <c r="H117" s="2501" t="s">
        <v>242</v>
      </c>
      <c r="I117" s="2501"/>
      <c r="J117" s="2501"/>
      <c r="K117" s="2502"/>
      <c r="L117" s="511"/>
      <c r="M117" s="2500" t="s">
        <v>834</v>
      </c>
      <c r="N117" s="2501" t="s">
        <v>242</v>
      </c>
      <c r="O117" s="2501"/>
      <c r="P117" s="2501"/>
      <c r="Q117" s="2502"/>
      <c r="R117" s="511"/>
      <c r="S117" s="2500" t="s">
        <v>834</v>
      </c>
      <c r="T117" s="2501" t="s">
        <v>242</v>
      </c>
      <c r="U117" s="2501"/>
      <c r="V117" s="2501"/>
      <c r="W117" s="2502"/>
      <c r="X117" s="511"/>
      <c r="Y117" s="2500" t="s">
        <v>834</v>
      </c>
      <c r="Z117" s="2501" t="s">
        <v>242</v>
      </c>
      <c r="AA117" s="2501"/>
      <c r="AB117" s="2501"/>
      <c r="AC117" s="2502"/>
      <c r="AD117" s="510"/>
      <c r="AE117" s="2500" t="s">
        <v>834</v>
      </c>
      <c r="AF117" s="2501" t="s">
        <v>242</v>
      </c>
      <c r="AG117" s="2501"/>
      <c r="AH117" s="2501"/>
      <c r="AI117" s="2502"/>
      <c r="AJ117" s="510"/>
      <c r="AK117" s="2500" t="s">
        <v>834</v>
      </c>
      <c r="AL117" s="2501" t="s">
        <v>242</v>
      </c>
      <c r="AM117" s="2501"/>
      <c r="AN117" s="2501"/>
      <c r="AO117" s="2502"/>
      <c r="AP117" s="510"/>
      <c r="AQ117" s="2500" t="s">
        <v>834</v>
      </c>
      <c r="AR117" s="2501" t="s">
        <v>242</v>
      </c>
      <c r="AS117" s="2501"/>
      <c r="AT117" s="2501"/>
      <c r="AU117" s="2502"/>
      <c r="AV117" s="510"/>
      <c r="AW117" s="2500" t="s">
        <v>834</v>
      </c>
      <c r="AX117" s="2501" t="s">
        <v>242</v>
      </c>
      <c r="AY117" s="2501"/>
      <c r="AZ117" s="2501"/>
      <c r="BA117" s="2502"/>
      <c r="BB117" s="510"/>
      <c r="BC117" s="2500" t="s">
        <v>834</v>
      </c>
      <c r="BD117" s="2501" t="s">
        <v>242</v>
      </c>
      <c r="BE117" s="2501"/>
      <c r="BF117" s="2501"/>
      <c r="BG117" s="2502"/>
      <c r="BH117" s="865"/>
      <c r="BI117" s="865"/>
      <c r="BJ117" s="2491" t="str">
        <f>IF(BF116="واقعي","نتايج عدم قطعيت بر اساس اطلاعات واقعي تركيب درصدهاي وارد شده:","")</f>
        <v/>
      </c>
      <c r="BK117" s="2492"/>
      <c r="BL117" s="2492"/>
      <c r="BM117" s="2492"/>
      <c r="BN117" s="2492"/>
      <c r="BO117" s="2492"/>
      <c r="BP117" s="2493"/>
      <c r="BQ117" s="865"/>
      <c r="BR117" s="2491" t="str">
        <f>IF(BN116="واقعي","نتايج عدم قطعيت بر اساس اطلاعات واقعي تركيب درصدهاي وارد شده:","")</f>
        <v/>
      </c>
      <c r="BS117" s="2492"/>
      <c r="BT117" s="2492"/>
      <c r="BU117" s="2492"/>
      <c r="BV117" s="2492"/>
      <c r="BW117" s="2492"/>
      <c r="BX117" s="2493"/>
      <c r="BY117" s="874"/>
      <c r="BZ117" s="2430" t="s">
        <v>229</v>
      </c>
      <c r="CA117" s="2430" t="s">
        <v>230</v>
      </c>
      <c r="CB117" s="2428" t="s">
        <v>1482</v>
      </c>
      <c r="CC117" s="2428"/>
      <c r="CD117" s="2428"/>
      <c r="CE117" s="2431"/>
      <c r="CF117" s="2415" t="s">
        <v>1480</v>
      </c>
      <c r="CG117" s="2416"/>
      <c r="CH117" s="2416"/>
      <c r="CI117" s="2416"/>
      <c r="CJ117" s="2416"/>
      <c r="CK117" s="2416"/>
      <c r="CL117" s="2415" t="s">
        <v>1482</v>
      </c>
      <c r="CM117" s="2417"/>
      <c r="CN117" s="2415" t="s">
        <v>1502</v>
      </c>
      <c r="CO117" s="2416"/>
      <c r="CP117" s="2416"/>
      <c r="CQ117" s="2416"/>
      <c r="CR117" s="2416"/>
      <c r="CS117" s="2416"/>
      <c r="CT117" s="2417"/>
      <c r="CU117" s="2448" t="s">
        <v>229</v>
      </c>
      <c r="CV117" s="2430" t="s">
        <v>230</v>
      </c>
      <c r="CW117" s="2428" t="s">
        <v>1482</v>
      </c>
      <c r="CX117" s="2428"/>
      <c r="CY117" s="2428"/>
      <c r="CZ117" s="2431"/>
      <c r="DA117" s="2415" t="s">
        <v>1480</v>
      </c>
      <c r="DB117" s="2416"/>
      <c r="DC117" s="2416"/>
      <c r="DD117" s="2416"/>
      <c r="DE117" s="2416"/>
      <c r="DF117" s="2416"/>
      <c r="DG117" s="2415" t="s">
        <v>1482</v>
      </c>
      <c r="DH117" s="2417"/>
      <c r="DI117" s="2415" t="s">
        <v>1502</v>
      </c>
      <c r="DJ117" s="2416"/>
      <c r="DK117" s="2416"/>
      <c r="DL117" s="2416"/>
      <c r="DM117" s="2416"/>
      <c r="DN117" s="2416"/>
      <c r="DO117" s="2417"/>
      <c r="DP117" s="2430" t="s">
        <v>229</v>
      </c>
      <c r="DQ117" s="2430" t="s">
        <v>230</v>
      </c>
      <c r="DR117" s="2428" t="s">
        <v>1482</v>
      </c>
      <c r="DS117" s="2428"/>
      <c r="DT117" s="2428"/>
      <c r="DU117" s="2431"/>
      <c r="DV117" s="2415" t="s">
        <v>1480</v>
      </c>
      <c r="DW117" s="2416"/>
      <c r="DX117" s="2416"/>
      <c r="DY117" s="2416"/>
      <c r="DZ117" s="2416"/>
      <c r="EA117" s="2416"/>
      <c r="EB117" s="2415" t="s">
        <v>1482</v>
      </c>
      <c r="EC117" s="2417"/>
      <c r="ED117" s="2415" t="s">
        <v>1502</v>
      </c>
      <c r="EE117" s="2416"/>
      <c r="EF117" s="2416"/>
      <c r="EG117" s="2416"/>
      <c r="EH117" s="2416"/>
      <c r="EI117" s="2416"/>
      <c r="EJ117" s="2417"/>
      <c r="EK117" s="2430" t="s">
        <v>229</v>
      </c>
      <c r="EL117" s="2430" t="s">
        <v>230</v>
      </c>
      <c r="EM117" s="2428" t="s">
        <v>1482</v>
      </c>
      <c r="EN117" s="2428"/>
      <c r="EO117" s="2428"/>
      <c r="EP117" s="2431"/>
      <c r="EQ117" s="2415" t="s">
        <v>1480</v>
      </c>
      <c r="ER117" s="2416"/>
      <c r="ES117" s="2416"/>
      <c r="ET117" s="2416"/>
      <c r="EU117" s="2416"/>
      <c r="EV117" s="2416"/>
      <c r="EW117" s="2415" t="s">
        <v>1482</v>
      </c>
      <c r="EX117" s="2417"/>
      <c r="EY117" s="2415" t="s">
        <v>1502</v>
      </c>
      <c r="EZ117" s="2416"/>
      <c r="FA117" s="2416"/>
      <c r="FB117" s="2416"/>
      <c r="FC117" s="2416"/>
      <c r="FD117" s="2416"/>
      <c r="FE117" s="2417"/>
      <c r="FF117" s="2430" t="s">
        <v>229</v>
      </c>
      <c r="FG117" s="2430" t="s">
        <v>230</v>
      </c>
      <c r="FH117" s="2428" t="s">
        <v>1482</v>
      </c>
      <c r="FI117" s="2428"/>
      <c r="FJ117" s="2428"/>
      <c r="FK117" s="2429"/>
      <c r="FL117" s="2415" t="s">
        <v>1480</v>
      </c>
      <c r="FM117" s="2416"/>
      <c r="FN117" s="2416"/>
      <c r="FO117" s="2416"/>
      <c r="FP117" s="2416"/>
      <c r="FQ117" s="2417"/>
      <c r="FR117" s="2415" t="s">
        <v>1482</v>
      </c>
      <c r="FS117" s="2417"/>
      <c r="FT117" s="2415" t="s">
        <v>1502</v>
      </c>
      <c r="FU117" s="2416"/>
      <c r="FV117" s="2416"/>
      <c r="FW117" s="2416"/>
      <c r="FX117" s="2416"/>
      <c r="FY117" s="2416"/>
      <c r="FZ117" s="2417"/>
      <c r="GA117" s="2430" t="s">
        <v>229</v>
      </c>
      <c r="GB117" s="2430" t="s">
        <v>230</v>
      </c>
      <c r="GC117" s="2428" t="s">
        <v>1482</v>
      </c>
      <c r="GD117" s="2428"/>
      <c r="GE117" s="2428"/>
      <c r="GF117" s="2429"/>
      <c r="GG117" s="2415" t="s">
        <v>1480</v>
      </c>
      <c r="GH117" s="2416"/>
      <c r="GI117" s="2416"/>
      <c r="GJ117" s="2416"/>
      <c r="GK117" s="2416"/>
      <c r="GL117" s="2417"/>
      <c r="GM117" s="2415" t="s">
        <v>1482</v>
      </c>
      <c r="GN117" s="2417"/>
      <c r="GO117" s="2415" t="s">
        <v>1502</v>
      </c>
      <c r="GP117" s="2416"/>
      <c r="GQ117" s="2416"/>
      <c r="GR117" s="2416"/>
      <c r="GS117" s="2416"/>
      <c r="GT117" s="2416"/>
      <c r="GU117" s="2417"/>
      <c r="GV117" s="2430" t="s">
        <v>229</v>
      </c>
      <c r="GW117" s="2430" t="s">
        <v>230</v>
      </c>
      <c r="GX117" s="2428" t="s">
        <v>242</v>
      </c>
      <c r="GY117" s="2428"/>
      <c r="GZ117" s="2428"/>
      <c r="HA117" s="2429"/>
      <c r="HB117" s="2415" t="s">
        <v>1480</v>
      </c>
      <c r="HC117" s="2416"/>
      <c r="HD117" s="2416"/>
      <c r="HE117" s="2416"/>
      <c r="HF117" s="2416"/>
      <c r="HG117" s="2417"/>
      <c r="HH117" s="2415" t="s">
        <v>1482</v>
      </c>
      <c r="HI117" s="2417"/>
      <c r="HJ117" s="2415" t="s">
        <v>1502</v>
      </c>
      <c r="HK117" s="2416"/>
      <c r="HL117" s="2416"/>
      <c r="HM117" s="2416"/>
      <c r="HN117" s="2416"/>
      <c r="HO117" s="2416"/>
      <c r="HP117" s="2417"/>
      <c r="HQ117" s="2430" t="s">
        <v>229</v>
      </c>
      <c r="HR117" s="2430" t="s">
        <v>230</v>
      </c>
      <c r="HS117" s="2428" t="s">
        <v>242</v>
      </c>
      <c r="HT117" s="2428"/>
      <c r="HU117" s="2428"/>
      <c r="HV117" s="2429"/>
      <c r="HW117" s="2415" t="s">
        <v>1480</v>
      </c>
      <c r="HX117" s="2416"/>
      <c r="HY117" s="2416"/>
      <c r="HZ117" s="2416"/>
      <c r="IA117" s="2416"/>
      <c r="IB117" s="2417"/>
      <c r="IC117" s="2415" t="s">
        <v>1482</v>
      </c>
      <c r="ID117" s="2417"/>
      <c r="IE117" s="2415" t="s">
        <v>1502</v>
      </c>
      <c r="IF117" s="2416"/>
      <c r="IG117" s="2416"/>
      <c r="IH117" s="2416"/>
      <c r="II117" s="2416"/>
      <c r="IJ117" s="2416"/>
      <c r="IK117" s="2417"/>
      <c r="IL117" s="2430" t="s">
        <v>229</v>
      </c>
      <c r="IM117" s="2430" t="s">
        <v>230</v>
      </c>
      <c r="IN117" s="2428" t="s">
        <v>242</v>
      </c>
      <c r="IO117" s="2428"/>
      <c r="IP117" s="2428"/>
      <c r="IQ117" s="2429"/>
      <c r="IR117" s="2415" t="s">
        <v>1480</v>
      </c>
      <c r="IS117" s="2416"/>
      <c r="IT117" s="2416"/>
      <c r="IU117" s="2416"/>
      <c r="IV117" s="2416"/>
      <c r="IW117" s="2417"/>
      <c r="IX117" s="2415" t="s">
        <v>1482</v>
      </c>
      <c r="IY117" s="2417"/>
      <c r="IZ117" s="2415" t="s">
        <v>1502</v>
      </c>
      <c r="JA117" s="2416"/>
      <c r="JB117" s="2416"/>
      <c r="JC117" s="2416"/>
      <c r="JD117" s="2416"/>
      <c r="JE117" s="2416"/>
      <c r="JF117" s="2417"/>
      <c r="JG117" s="2430" t="s">
        <v>229</v>
      </c>
      <c r="JH117" s="2430" t="s">
        <v>230</v>
      </c>
      <c r="JI117" s="2428" t="s">
        <v>242</v>
      </c>
      <c r="JJ117" s="2428"/>
      <c r="JK117" s="2428"/>
      <c r="JL117" s="2429"/>
      <c r="JM117" s="2415" t="s">
        <v>1480</v>
      </c>
      <c r="JN117" s="2416"/>
      <c r="JO117" s="2416"/>
      <c r="JP117" s="2416"/>
      <c r="JQ117" s="2416"/>
      <c r="JR117" s="2417"/>
      <c r="JS117" s="2415" t="s">
        <v>1482</v>
      </c>
      <c r="JT117" s="2417"/>
      <c r="JU117" s="2415" t="s">
        <v>1502</v>
      </c>
      <c r="JV117" s="2416"/>
      <c r="JW117" s="2416"/>
      <c r="JX117" s="2416"/>
      <c r="JY117" s="2416"/>
      <c r="JZ117" s="2416"/>
      <c r="KA117" s="2417"/>
      <c r="KB117" s="874"/>
      <c r="KC117" s="874"/>
      <c r="KD117" s="874"/>
      <c r="KE117" s="874"/>
      <c r="KF117" s="874"/>
      <c r="KG117" s="874"/>
      <c r="KH117" s="865"/>
      <c r="KI117" s="865"/>
      <c r="KJ117" s="865"/>
      <c r="KK117" s="865"/>
      <c r="KL117" s="865"/>
      <c r="KM117" s="865"/>
      <c r="KN117" s="865"/>
      <c r="KO117" s="865"/>
      <c r="KP117" s="865"/>
      <c r="KQ117" s="865"/>
      <c r="KR117" s="865"/>
      <c r="KS117" s="865"/>
      <c r="KT117" s="865"/>
      <c r="KU117" s="865"/>
      <c r="KV117" s="865"/>
      <c r="KW117" s="865"/>
      <c r="KX117" s="865"/>
      <c r="KY117" s="865"/>
      <c r="KZ117" s="865"/>
      <c r="LA117" s="865"/>
      <c r="LB117" s="865"/>
      <c r="LC117" s="865"/>
      <c r="LD117" s="865"/>
      <c r="LE117" s="865"/>
      <c r="LF117" s="865"/>
    </row>
    <row r="118" spans="1:318" ht="16.95" customHeight="1">
      <c r="A118" s="2500"/>
      <c r="B118" s="2498" t="s">
        <v>225</v>
      </c>
      <c r="C118" s="2498" t="s">
        <v>225</v>
      </c>
      <c r="D118" s="2498" t="s">
        <v>225</v>
      </c>
      <c r="E118" s="2499" t="s">
        <v>225</v>
      </c>
      <c r="F118" s="511"/>
      <c r="G118" s="2500"/>
      <c r="H118" s="2498"/>
      <c r="I118" s="2498"/>
      <c r="J118" s="2498"/>
      <c r="K118" s="2499"/>
      <c r="L118" s="511"/>
      <c r="M118" s="2500"/>
      <c r="N118" s="2498"/>
      <c r="O118" s="2498"/>
      <c r="P118" s="2498"/>
      <c r="Q118" s="2499"/>
      <c r="R118" s="511"/>
      <c r="S118" s="2500"/>
      <c r="T118" s="2498"/>
      <c r="U118" s="2498"/>
      <c r="V118" s="2498"/>
      <c r="W118" s="2499"/>
      <c r="X118" s="511"/>
      <c r="Y118" s="2500"/>
      <c r="Z118" s="2498"/>
      <c r="AA118" s="2498"/>
      <c r="AB118" s="2498"/>
      <c r="AC118" s="2499"/>
      <c r="AD118" s="510"/>
      <c r="AE118" s="2500"/>
      <c r="AF118" s="2498"/>
      <c r="AG118" s="2498"/>
      <c r="AH118" s="2498"/>
      <c r="AI118" s="2499"/>
      <c r="AJ118" s="510"/>
      <c r="AK118" s="2500"/>
      <c r="AL118" s="2498"/>
      <c r="AM118" s="2498"/>
      <c r="AN118" s="2498"/>
      <c r="AO118" s="2499"/>
      <c r="AP118" s="510"/>
      <c r="AQ118" s="2500"/>
      <c r="AR118" s="2498"/>
      <c r="AS118" s="2498"/>
      <c r="AT118" s="2498"/>
      <c r="AU118" s="2499"/>
      <c r="AV118" s="510"/>
      <c r="AW118" s="2500"/>
      <c r="AX118" s="2498"/>
      <c r="AY118" s="2498"/>
      <c r="AZ118" s="2498"/>
      <c r="BA118" s="2499"/>
      <c r="BB118" s="510"/>
      <c r="BC118" s="2500"/>
      <c r="BD118" s="2498"/>
      <c r="BE118" s="2498"/>
      <c r="BF118" s="2498"/>
      <c r="BG118" s="2499"/>
      <c r="BH118" s="865"/>
      <c r="BI118" s="865"/>
      <c r="BJ118" s="1143" t="s">
        <v>1506</v>
      </c>
      <c r="BK118" s="2481"/>
      <c r="BL118" s="2481"/>
      <c r="BM118" s="2481"/>
      <c r="BN118" s="1144"/>
      <c r="BO118" s="2482" t="str">
        <f>IF(BO116="","",IF(BO116=1,DZ143,EB143))</f>
        <v/>
      </c>
      <c r="BP118" s="2483"/>
      <c r="BQ118" s="865"/>
      <c r="BR118" s="1143" t="s">
        <v>1506</v>
      </c>
      <c r="BS118" s="2481"/>
      <c r="BT118" s="2481"/>
      <c r="BU118" s="2481"/>
      <c r="BV118" s="1144"/>
      <c r="BW118" s="2482" t="str">
        <f>IF(BW116="","",IF(BW116=1,IA143,IC143))</f>
        <v/>
      </c>
      <c r="BX118" s="2483"/>
      <c r="BY118" s="874"/>
      <c r="BZ118" s="2430"/>
      <c r="CA118" s="2430"/>
      <c r="CB118" s="2423" t="s">
        <v>1562</v>
      </c>
      <c r="CC118" s="2425" t="s">
        <v>1481</v>
      </c>
      <c r="CD118" s="920" t="s">
        <v>1563</v>
      </c>
      <c r="CE118" s="2421" t="s">
        <v>1473</v>
      </c>
      <c r="CF118" s="2418" t="s">
        <v>1470</v>
      </c>
      <c r="CG118" s="2407" t="s">
        <v>1471</v>
      </c>
      <c r="CH118" s="2407" t="s">
        <v>1472</v>
      </c>
      <c r="CI118" s="2407" t="s">
        <v>1473</v>
      </c>
      <c r="CJ118" s="2407" t="s">
        <v>1474</v>
      </c>
      <c r="CK118" s="2413" t="s">
        <v>1475</v>
      </c>
      <c r="CL118" s="2418" t="s">
        <v>1474</v>
      </c>
      <c r="CM118" s="2413" t="s">
        <v>1475</v>
      </c>
      <c r="CN118" s="2401" t="s">
        <v>1255</v>
      </c>
      <c r="CO118" s="2413" t="s">
        <v>1489</v>
      </c>
      <c r="CP118" s="2411" t="s">
        <v>1491</v>
      </c>
      <c r="CQ118" s="2403" t="s">
        <v>1492</v>
      </c>
      <c r="CR118" s="2405" t="s">
        <v>1493</v>
      </c>
      <c r="CS118" s="2407" t="s">
        <v>1494</v>
      </c>
      <c r="CT118" s="2409" t="s">
        <v>1501</v>
      </c>
      <c r="CU118" s="2430"/>
      <c r="CV118" s="2430"/>
      <c r="CW118" s="2423" t="s">
        <v>1562</v>
      </c>
      <c r="CX118" s="2425" t="s">
        <v>1481</v>
      </c>
      <c r="CY118" s="920" t="s">
        <v>1563</v>
      </c>
      <c r="CZ118" s="2421" t="s">
        <v>1473</v>
      </c>
      <c r="DA118" s="2418" t="s">
        <v>1470</v>
      </c>
      <c r="DB118" s="2407" t="s">
        <v>1471</v>
      </c>
      <c r="DC118" s="2407" t="s">
        <v>1472</v>
      </c>
      <c r="DD118" s="2407" t="s">
        <v>1473</v>
      </c>
      <c r="DE118" s="2407" t="s">
        <v>1474</v>
      </c>
      <c r="DF118" s="2413" t="s">
        <v>1475</v>
      </c>
      <c r="DG118" s="2418" t="s">
        <v>1474</v>
      </c>
      <c r="DH118" s="2413" t="s">
        <v>1475</v>
      </c>
      <c r="DI118" s="2401" t="s">
        <v>1255</v>
      </c>
      <c r="DJ118" s="2413" t="s">
        <v>1489</v>
      </c>
      <c r="DK118" s="2411" t="s">
        <v>1491</v>
      </c>
      <c r="DL118" s="2403" t="s">
        <v>1492</v>
      </c>
      <c r="DM118" s="2405" t="s">
        <v>1493</v>
      </c>
      <c r="DN118" s="2407" t="s">
        <v>1494</v>
      </c>
      <c r="DO118" s="2409" t="s">
        <v>1501</v>
      </c>
      <c r="DP118" s="2430"/>
      <c r="DQ118" s="2430"/>
      <c r="DR118" s="2423" t="s">
        <v>1562</v>
      </c>
      <c r="DS118" s="2425" t="s">
        <v>1481</v>
      </c>
      <c r="DT118" s="920" t="s">
        <v>1563</v>
      </c>
      <c r="DU118" s="2421" t="s">
        <v>1473</v>
      </c>
      <c r="DV118" s="2418" t="s">
        <v>1470</v>
      </c>
      <c r="DW118" s="2407" t="s">
        <v>1471</v>
      </c>
      <c r="DX118" s="2407" t="s">
        <v>1472</v>
      </c>
      <c r="DY118" s="2407" t="s">
        <v>1473</v>
      </c>
      <c r="DZ118" s="2407" t="s">
        <v>1474</v>
      </c>
      <c r="EA118" s="2413" t="s">
        <v>1475</v>
      </c>
      <c r="EB118" s="2418" t="s">
        <v>1474</v>
      </c>
      <c r="EC118" s="2413" t="s">
        <v>1475</v>
      </c>
      <c r="ED118" s="2401" t="s">
        <v>1255</v>
      </c>
      <c r="EE118" s="2413" t="s">
        <v>1489</v>
      </c>
      <c r="EF118" s="2411" t="s">
        <v>1491</v>
      </c>
      <c r="EG118" s="2403" t="s">
        <v>1492</v>
      </c>
      <c r="EH118" s="2405" t="s">
        <v>1493</v>
      </c>
      <c r="EI118" s="2407" t="s">
        <v>1494</v>
      </c>
      <c r="EJ118" s="2409" t="s">
        <v>1501</v>
      </c>
      <c r="EK118" s="2430"/>
      <c r="EL118" s="2430"/>
      <c r="EM118" s="2423" t="s">
        <v>1562</v>
      </c>
      <c r="EN118" s="2425" t="s">
        <v>1481</v>
      </c>
      <c r="EO118" s="920" t="s">
        <v>1563</v>
      </c>
      <c r="EP118" s="2421" t="s">
        <v>1473</v>
      </c>
      <c r="EQ118" s="2418" t="s">
        <v>1470</v>
      </c>
      <c r="ER118" s="2407" t="s">
        <v>1471</v>
      </c>
      <c r="ES118" s="2407" t="s">
        <v>1472</v>
      </c>
      <c r="ET118" s="2407" t="s">
        <v>1473</v>
      </c>
      <c r="EU118" s="2407" t="s">
        <v>1474</v>
      </c>
      <c r="EV118" s="2413" t="s">
        <v>1475</v>
      </c>
      <c r="EW118" s="2418" t="s">
        <v>1474</v>
      </c>
      <c r="EX118" s="2413" t="s">
        <v>1475</v>
      </c>
      <c r="EY118" s="2401" t="s">
        <v>1255</v>
      </c>
      <c r="EZ118" s="2413" t="s">
        <v>1489</v>
      </c>
      <c r="FA118" s="2411" t="s">
        <v>1491</v>
      </c>
      <c r="FB118" s="2403" t="s">
        <v>1492</v>
      </c>
      <c r="FC118" s="2405" t="s">
        <v>1493</v>
      </c>
      <c r="FD118" s="2407" t="s">
        <v>1494</v>
      </c>
      <c r="FE118" s="2409" t="s">
        <v>1501</v>
      </c>
      <c r="FF118" s="2430"/>
      <c r="FG118" s="2430"/>
      <c r="FH118" s="2423" t="s">
        <v>1562</v>
      </c>
      <c r="FI118" s="2425" t="s">
        <v>1481</v>
      </c>
      <c r="FJ118" s="920" t="s">
        <v>1563</v>
      </c>
      <c r="FK118" s="2421" t="s">
        <v>1473</v>
      </c>
      <c r="FL118" s="2427" t="s">
        <v>1470</v>
      </c>
      <c r="FM118" s="2438" t="s">
        <v>1471</v>
      </c>
      <c r="FN118" s="2438" t="s">
        <v>1472</v>
      </c>
      <c r="FO118" s="2438" t="s">
        <v>1473</v>
      </c>
      <c r="FP118" s="2438" t="s">
        <v>1474</v>
      </c>
      <c r="FQ118" s="2526" t="s">
        <v>1475</v>
      </c>
      <c r="FR118" s="2418" t="s">
        <v>1474</v>
      </c>
      <c r="FS118" s="2413" t="s">
        <v>1475</v>
      </c>
      <c r="FT118" s="2401" t="s">
        <v>1255</v>
      </c>
      <c r="FU118" s="2413" t="s">
        <v>1489</v>
      </c>
      <c r="FV118" s="2411" t="s">
        <v>1491</v>
      </c>
      <c r="FW118" s="2403" t="s">
        <v>1492</v>
      </c>
      <c r="FX118" s="2405" t="s">
        <v>1493</v>
      </c>
      <c r="FY118" s="2407" t="s">
        <v>1494</v>
      </c>
      <c r="FZ118" s="2409" t="s">
        <v>1501</v>
      </c>
      <c r="GA118" s="2430"/>
      <c r="GB118" s="2430"/>
      <c r="GC118" s="2423" t="s">
        <v>1562</v>
      </c>
      <c r="GD118" s="2425" t="s">
        <v>1481</v>
      </c>
      <c r="GE118" s="920" t="s">
        <v>1563</v>
      </c>
      <c r="GF118" s="2421" t="s">
        <v>1473</v>
      </c>
      <c r="GG118" s="2427" t="s">
        <v>1470</v>
      </c>
      <c r="GH118" s="2438" t="s">
        <v>1471</v>
      </c>
      <c r="GI118" s="2438" t="s">
        <v>1472</v>
      </c>
      <c r="GJ118" s="2438" t="s">
        <v>1473</v>
      </c>
      <c r="GK118" s="2438" t="s">
        <v>1474</v>
      </c>
      <c r="GL118" s="2526" t="s">
        <v>1475</v>
      </c>
      <c r="GM118" s="2418" t="s">
        <v>1474</v>
      </c>
      <c r="GN118" s="2413" t="s">
        <v>1475</v>
      </c>
      <c r="GO118" s="2401" t="s">
        <v>1255</v>
      </c>
      <c r="GP118" s="2413" t="s">
        <v>1489</v>
      </c>
      <c r="GQ118" s="2411" t="s">
        <v>1491</v>
      </c>
      <c r="GR118" s="2403" t="s">
        <v>1492</v>
      </c>
      <c r="GS118" s="2405" t="s">
        <v>1493</v>
      </c>
      <c r="GT118" s="2407" t="s">
        <v>1494</v>
      </c>
      <c r="GU118" s="2409" t="s">
        <v>1501</v>
      </c>
      <c r="GV118" s="2430"/>
      <c r="GW118" s="2430"/>
      <c r="GX118" s="2423" t="s">
        <v>1562</v>
      </c>
      <c r="GY118" s="2425" t="s">
        <v>1481</v>
      </c>
      <c r="GZ118" s="920" t="s">
        <v>1563</v>
      </c>
      <c r="HA118" s="2421" t="s">
        <v>1473</v>
      </c>
      <c r="HB118" s="2427" t="s">
        <v>1470</v>
      </c>
      <c r="HC118" s="2438" t="s">
        <v>1471</v>
      </c>
      <c r="HD118" s="2438" t="s">
        <v>1472</v>
      </c>
      <c r="HE118" s="2438" t="s">
        <v>1473</v>
      </c>
      <c r="HF118" s="2438" t="s">
        <v>1474</v>
      </c>
      <c r="HG118" s="2526" t="s">
        <v>1475</v>
      </c>
      <c r="HH118" s="2418" t="s">
        <v>1474</v>
      </c>
      <c r="HI118" s="2413" t="s">
        <v>1475</v>
      </c>
      <c r="HJ118" s="2401" t="s">
        <v>1255</v>
      </c>
      <c r="HK118" s="2413" t="s">
        <v>1489</v>
      </c>
      <c r="HL118" s="2411" t="s">
        <v>1491</v>
      </c>
      <c r="HM118" s="2403" t="s">
        <v>1492</v>
      </c>
      <c r="HN118" s="2405" t="s">
        <v>1493</v>
      </c>
      <c r="HO118" s="2407" t="s">
        <v>1494</v>
      </c>
      <c r="HP118" s="2409" t="s">
        <v>1501</v>
      </c>
      <c r="HQ118" s="2430"/>
      <c r="HR118" s="2430"/>
      <c r="HS118" s="2423" t="s">
        <v>1562</v>
      </c>
      <c r="HT118" s="2425" t="s">
        <v>1481</v>
      </c>
      <c r="HU118" s="920" t="s">
        <v>1563</v>
      </c>
      <c r="HV118" s="2421" t="s">
        <v>1473</v>
      </c>
      <c r="HW118" s="2427" t="s">
        <v>1470</v>
      </c>
      <c r="HX118" s="2438" t="s">
        <v>1471</v>
      </c>
      <c r="HY118" s="2438" t="s">
        <v>1472</v>
      </c>
      <c r="HZ118" s="2438" t="s">
        <v>1473</v>
      </c>
      <c r="IA118" s="2438" t="s">
        <v>1474</v>
      </c>
      <c r="IB118" s="2526" t="s">
        <v>1475</v>
      </c>
      <c r="IC118" s="2418" t="s">
        <v>1474</v>
      </c>
      <c r="ID118" s="2413" t="s">
        <v>1475</v>
      </c>
      <c r="IE118" s="2401" t="s">
        <v>1255</v>
      </c>
      <c r="IF118" s="2413" t="s">
        <v>1489</v>
      </c>
      <c r="IG118" s="2411" t="s">
        <v>1491</v>
      </c>
      <c r="IH118" s="2403" t="s">
        <v>1492</v>
      </c>
      <c r="II118" s="2405" t="s">
        <v>1493</v>
      </c>
      <c r="IJ118" s="2407" t="s">
        <v>1494</v>
      </c>
      <c r="IK118" s="2409" t="s">
        <v>1501</v>
      </c>
      <c r="IL118" s="2430"/>
      <c r="IM118" s="2430"/>
      <c r="IN118" s="2423" t="s">
        <v>1562</v>
      </c>
      <c r="IO118" s="2425" t="s">
        <v>1481</v>
      </c>
      <c r="IP118" s="920" t="s">
        <v>1563</v>
      </c>
      <c r="IQ118" s="2421" t="s">
        <v>1473</v>
      </c>
      <c r="IR118" s="2427" t="s">
        <v>1470</v>
      </c>
      <c r="IS118" s="2438" t="s">
        <v>1471</v>
      </c>
      <c r="IT118" s="2438" t="s">
        <v>1472</v>
      </c>
      <c r="IU118" s="2438" t="s">
        <v>1473</v>
      </c>
      <c r="IV118" s="2438" t="s">
        <v>1474</v>
      </c>
      <c r="IW118" s="2526" t="s">
        <v>1475</v>
      </c>
      <c r="IX118" s="2418" t="s">
        <v>1474</v>
      </c>
      <c r="IY118" s="2413" t="s">
        <v>1475</v>
      </c>
      <c r="IZ118" s="2401" t="s">
        <v>1255</v>
      </c>
      <c r="JA118" s="2413" t="s">
        <v>1489</v>
      </c>
      <c r="JB118" s="2411" t="s">
        <v>1491</v>
      </c>
      <c r="JC118" s="2403" t="s">
        <v>1492</v>
      </c>
      <c r="JD118" s="2405" t="s">
        <v>1493</v>
      </c>
      <c r="JE118" s="2407" t="s">
        <v>1494</v>
      </c>
      <c r="JF118" s="2409" t="s">
        <v>1501</v>
      </c>
      <c r="JG118" s="2430"/>
      <c r="JH118" s="2430"/>
      <c r="JI118" s="2423" t="s">
        <v>1562</v>
      </c>
      <c r="JJ118" s="2425" t="s">
        <v>1481</v>
      </c>
      <c r="JK118" s="920" t="s">
        <v>1563</v>
      </c>
      <c r="JL118" s="2421" t="s">
        <v>1473</v>
      </c>
      <c r="JM118" s="2427" t="s">
        <v>1470</v>
      </c>
      <c r="JN118" s="2438" t="s">
        <v>1471</v>
      </c>
      <c r="JO118" s="2438" t="s">
        <v>1472</v>
      </c>
      <c r="JP118" s="2438" t="s">
        <v>1473</v>
      </c>
      <c r="JQ118" s="2438" t="s">
        <v>1474</v>
      </c>
      <c r="JR118" s="2526" t="s">
        <v>1475</v>
      </c>
      <c r="JS118" s="2418" t="s">
        <v>1474</v>
      </c>
      <c r="JT118" s="2413" t="s">
        <v>1475</v>
      </c>
      <c r="JU118" s="2401" t="s">
        <v>1255</v>
      </c>
      <c r="JV118" s="2413" t="s">
        <v>1489</v>
      </c>
      <c r="JW118" s="2411" t="s">
        <v>1491</v>
      </c>
      <c r="JX118" s="2403" t="s">
        <v>1492</v>
      </c>
      <c r="JY118" s="2405" t="s">
        <v>1493</v>
      </c>
      <c r="JZ118" s="2407" t="s">
        <v>1494</v>
      </c>
      <c r="KA118" s="2409" t="s">
        <v>1501</v>
      </c>
      <c r="KB118" s="874"/>
      <c r="KC118" s="874"/>
      <c r="KD118" s="874"/>
      <c r="KE118" s="874"/>
      <c r="KF118" s="874"/>
      <c r="KG118" s="874"/>
      <c r="KH118" s="865"/>
      <c r="KI118" s="865"/>
      <c r="KJ118" s="865"/>
      <c r="KK118" s="865"/>
      <c r="KL118" s="865"/>
      <c r="KM118" s="865"/>
      <c r="KN118" s="865"/>
      <c r="KO118" s="865"/>
      <c r="KP118" s="865"/>
      <c r="KQ118" s="865"/>
      <c r="KR118" s="865"/>
      <c r="KS118" s="865"/>
      <c r="KT118" s="865"/>
      <c r="KU118" s="865"/>
      <c r="KV118" s="865"/>
      <c r="KW118" s="865"/>
      <c r="KX118" s="865"/>
      <c r="KY118" s="865"/>
      <c r="KZ118" s="865"/>
      <c r="LA118" s="865"/>
      <c r="LB118" s="865"/>
      <c r="LC118" s="865"/>
      <c r="LD118" s="865"/>
      <c r="LE118" s="865"/>
      <c r="LF118" s="865"/>
    </row>
    <row r="119" spans="1:318" ht="20.55" customHeight="1" thickBot="1">
      <c r="A119" s="2500"/>
      <c r="B119" s="2498"/>
      <c r="C119" s="2498"/>
      <c r="D119" s="2498"/>
      <c r="E119" s="2499"/>
      <c r="F119" s="511"/>
      <c r="G119" s="2500"/>
      <c r="H119" s="2498"/>
      <c r="I119" s="2498"/>
      <c r="J119" s="2498"/>
      <c r="K119" s="2499"/>
      <c r="L119" s="511"/>
      <c r="M119" s="2500"/>
      <c r="N119" s="2498"/>
      <c r="O119" s="2498"/>
      <c r="P119" s="2498"/>
      <c r="Q119" s="2499"/>
      <c r="R119" s="511"/>
      <c r="S119" s="2500"/>
      <c r="T119" s="2498"/>
      <c r="U119" s="2498"/>
      <c r="V119" s="2498"/>
      <c r="W119" s="2499"/>
      <c r="X119" s="511"/>
      <c r="Y119" s="2500"/>
      <c r="Z119" s="2498"/>
      <c r="AA119" s="2498"/>
      <c r="AB119" s="2498"/>
      <c r="AC119" s="2499"/>
      <c r="AD119" s="510"/>
      <c r="AE119" s="2500"/>
      <c r="AF119" s="2498"/>
      <c r="AG119" s="2498"/>
      <c r="AH119" s="2498"/>
      <c r="AI119" s="2499"/>
      <c r="AJ119" s="510"/>
      <c r="AK119" s="2500"/>
      <c r="AL119" s="2498"/>
      <c r="AM119" s="2498"/>
      <c r="AN119" s="2498"/>
      <c r="AO119" s="2499"/>
      <c r="AP119" s="510"/>
      <c r="AQ119" s="2500"/>
      <c r="AR119" s="2498"/>
      <c r="AS119" s="2498"/>
      <c r="AT119" s="2498"/>
      <c r="AU119" s="2499"/>
      <c r="AV119" s="510"/>
      <c r="AW119" s="2500"/>
      <c r="AX119" s="2498"/>
      <c r="AY119" s="2498"/>
      <c r="AZ119" s="2498"/>
      <c r="BA119" s="2499"/>
      <c r="BB119" s="510"/>
      <c r="BC119" s="2500"/>
      <c r="BD119" s="2498"/>
      <c r="BE119" s="2498"/>
      <c r="BF119" s="2498"/>
      <c r="BG119" s="2499"/>
      <c r="BH119" s="865"/>
      <c r="BI119" s="865"/>
      <c r="BJ119" s="1143" t="s">
        <v>1507</v>
      </c>
      <c r="BK119" s="2481"/>
      <c r="BL119" s="2481"/>
      <c r="BM119" s="2481"/>
      <c r="BN119" s="1144"/>
      <c r="BO119" s="2482" t="str">
        <f>IF(BO116="","",IF(BO116=1,EA143,EC143))</f>
        <v/>
      </c>
      <c r="BP119" s="2483"/>
      <c r="BQ119" s="865"/>
      <c r="BR119" s="1143" t="s">
        <v>1507</v>
      </c>
      <c r="BS119" s="2481"/>
      <c r="BT119" s="2481"/>
      <c r="BU119" s="2481"/>
      <c r="BV119" s="1144"/>
      <c r="BW119" s="2482" t="str">
        <f>IF(BW116="","",IF(BW116=1,IB143,ID143))</f>
        <v/>
      </c>
      <c r="BX119" s="2483"/>
      <c r="BY119" s="874"/>
      <c r="BZ119" s="2430"/>
      <c r="CA119" s="2430"/>
      <c r="CB119" s="2424"/>
      <c r="CC119" s="2426"/>
      <c r="CD119" s="921" t="s">
        <v>1472</v>
      </c>
      <c r="CE119" s="2422"/>
      <c r="CF119" s="2419"/>
      <c r="CG119" s="2432"/>
      <c r="CH119" s="2432"/>
      <c r="CI119" s="2432"/>
      <c r="CJ119" s="2432"/>
      <c r="CK119" s="2420"/>
      <c r="CL119" s="2419"/>
      <c r="CM119" s="2420"/>
      <c r="CN119" s="2462"/>
      <c r="CO119" s="2420"/>
      <c r="CP119" s="2449"/>
      <c r="CQ119" s="2450"/>
      <c r="CR119" s="2451"/>
      <c r="CS119" s="2432"/>
      <c r="CT119" s="2452"/>
      <c r="CU119" s="2430"/>
      <c r="CV119" s="2430"/>
      <c r="CW119" s="2424"/>
      <c r="CX119" s="2426"/>
      <c r="CY119" s="921" t="s">
        <v>1472</v>
      </c>
      <c r="CZ119" s="2422"/>
      <c r="DA119" s="2419"/>
      <c r="DB119" s="2432"/>
      <c r="DC119" s="2432"/>
      <c r="DD119" s="2432"/>
      <c r="DE119" s="2408"/>
      <c r="DF119" s="2420"/>
      <c r="DG119" s="2419"/>
      <c r="DH119" s="2420"/>
      <c r="DI119" s="2462"/>
      <c r="DJ119" s="2420"/>
      <c r="DK119" s="2449"/>
      <c r="DL119" s="2450"/>
      <c r="DM119" s="2451"/>
      <c r="DN119" s="2432"/>
      <c r="DO119" s="2452"/>
      <c r="DP119" s="2430"/>
      <c r="DQ119" s="2430"/>
      <c r="DR119" s="2424"/>
      <c r="DS119" s="2426"/>
      <c r="DT119" s="921" t="s">
        <v>1472</v>
      </c>
      <c r="DU119" s="2422"/>
      <c r="DV119" s="2419"/>
      <c r="DW119" s="2432"/>
      <c r="DX119" s="2432"/>
      <c r="DY119" s="2432"/>
      <c r="DZ119" s="2432"/>
      <c r="EA119" s="2420"/>
      <c r="EB119" s="2419"/>
      <c r="EC119" s="2420"/>
      <c r="ED119" s="2402"/>
      <c r="EE119" s="2414"/>
      <c r="EF119" s="2412"/>
      <c r="EG119" s="2404"/>
      <c r="EH119" s="2406"/>
      <c r="EI119" s="2408"/>
      <c r="EJ119" s="2410"/>
      <c r="EK119" s="2430"/>
      <c r="EL119" s="2430"/>
      <c r="EM119" s="2424"/>
      <c r="EN119" s="2426"/>
      <c r="EO119" s="921" t="s">
        <v>1472</v>
      </c>
      <c r="EP119" s="2422"/>
      <c r="EQ119" s="2419"/>
      <c r="ER119" s="2432"/>
      <c r="ES119" s="2432"/>
      <c r="ET119" s="2432"/>
      <c r="EU119" s="2432"/>
      <c r="EV119" s="2420"/>
      <c r="EW119" s="2419"/>
      <c r="EX119" s="2420"/>
      <c r="EY119" s="2402"/>
      <c r="EZ119" s="2414"/>
      <c r="FA119" s="2412"/>
      <c r="FB119" s="2404"/>
      <c r="FC119" s="2406"/>
      <c r="FD119" s="2408"/>
      <c r="FE119" s="2410"/>
      <c r="FF119" s="2430"/>
      <c r="FG119" s="2430"/>
      <c r="FH119" s="2424"/>
      <c r="FI119" s="2426"/>
      <c r="FJ119" s="921" t="s">
        <v>1472</v>
      </c>
      <c r="FK119" s="2422"/>
      <c r="FL119" s="2419"/>
      <c r="FM119" s="2432"/>
      <c r="FN119" s="2432"/>
      <c r="FO119" s="2432"/>
      <c r="FP119" s="2432"/>
      <c r="FQ119" s="2420"/>
      <c r="FR119" s="2419"/>
      <c r="FS119" s="2420"/>
      <c r="FT119" s="2402"/>
      <c r="FU119" s="2414"/>
      <c r="FV119" s="2412"/>
      <c r="FW119" s="2404"/>
      <c r="FX119" s="2406"/>
      <c r="FY119" s="2408"/>
      <c r="FZ119" s="2410"/>
      <c r="GA119" s="2430"/>
      <c r="GB119" s="2430"/>
      <c r="GC119" s="2424"/>
      <c r="GD119" s="2426"/>
      <c r="GE119" s="921" t="s">
        <v>1472</v>
      </c>
      <c r="GF119" s="2422"/>
      <c r="GG119" s="2419"/>
      <c r="GH119" s="2432"/>
      <c r="GI119" s="2432"/>
      <c r="GJ119" s="2432"/>
      <c r="GK119" s="2432"/>
      <c r="GL119" s="2420"/>
      <c r="GM119" s="2419"/>
      <c r="GN119" s="2420"/>
      <c r="GO119" s="2402"/>
      <c r="GP119" s="2414"/>
      <c r="GQ119" s="2412"/>
      <c r="GR119" s="2404"/>
      <c r="GS119" s="2406"/>
      <c r="GT119" s="2408"/>
      <c r="GU119" s="2410"/>
      <c r="GV119" s="2430"/>
      <c r="GW119" s="2430"/>
      <c r="GX119" s="2424"/>
      <c r="GY119" s="2426"/>
      <c r="GZ119" s="921" t="s">
        <v>1472</v>
      </c>
      <c r="HA119" s="2422"/>
      <c r="HB119" s="2419"/>
      <c r="HC119" s="2432"/>
      <c r="HD119" s="2432"/>
      <c r="HE119" s="2432"/>
      <c r="HF119" s="2432"/>
      <c r="HG119" s="2420"/>
      <c r="HH119" s="2419"/>
      <c r="HI119" s="2420"/>
      <c r="HJ119" s="2402"/>
      <c r="HK119" s="2414"/>
      <c r="HL119" s="2412"/>
      <c r="HM119" s="2404"/>
      <c r="HN119" s="2406"/>
      <c r="HO119" s="2408"/>
      <c r="HP119" s="2410"/>
      <c r="HQ119" s="2430"/>
      <c r="HR119" s="2430"/>
      <c r="HS119" s="2424"/>
      <c r="HT119" s="2426"/>
      <c r="HU119" s="921" t="s">
        <v>1472</v>
      </c>
      <c r="HV119" s="2422"/>
      <c r="HW119" s="2419"/>
      <c r="HX119" s="2432"/>
      <c r="HY119" s="2432"/>
      <c r="HZ119" s="2432"/>
      <c r="IA119" s="2432"/>
      <c r="IB119" s="2420"/>
      <c r="IC119" s="2419"/>
      <c r="ID119" s="2420"/>
      <c r="IE119" s="2402"/>
      <c r="IF119" s="2414"/>
      <c r="IG119" s="2412"/>
      <c r="IH119" s="2404"/>
      <c r="II119" s="2406"/>
      <c r="IJ119" s="2408"/>
      <c r="IK119" s="2410"/>
      <c r="IL119" s="2430"/>
      <c r="IM119" s="2430"/>
      <c r="IN119" s="2424"/>
      <c r="IO119" s="2426"/>
      <c r="IP119" s="921" t="s">
        <v>1472</v>
      </c>
      <c r="IQ119" s="2422"/>
      <c r="IR119" s="2419"/>
      <c r="IS119" s="2432"/>
      <c r="IT119" s="2432"/>
      <c r="IU119" s="2432"/>
      <c r="IV119" s="2432"/>
      <c r="IW119" s="2420"/>
      <c r="IX119" s="2419"/>
      <c r="IY119" s="2420"/>
      <c r="IZ119" s="2402"/>
      <c r="JA119" s="2414"/>
      <c r="JB119" s="2412"/>
      <c r="JC119" s="2404"/>
      <c r="JD119" s="2406"/>
      <c r="JE119" s="2408"/>
      <c r="JF119" s="2410"/>
      <c r="JG119" s="2430"/>
      <c r="JH119" s="2430"/>
      <c r="JI119" s="2424"/>
      <c r="JJ119" s="2426"/>
      <c r="JK119" s="921" t="s">
        <v>1472</v>
      </c>
      <c r="JL119" s="2422"/>
      <c r="JM119" s="2419"/>
      <c r="JN119" s="2432"/>
      <c r="JO119" s="2432"/>
      <c r="JP119" s="2432"/>
      <c r="JQ119" s="2432"/>
      <c r="JR119" s="2420"/>
      <c r="JS119" s="2419"/>
      <c r="JT119" s="2420"/>
      <c r="JU119" s="2402"/>
      <c r="JV119" s="2414"/>
      <c r="JW119" s="2412"/>
      <c r="JX119" s="2404"/>
      <c r="JY119" s="2406"/>
      <c r="JZ119" s="2408"/>
      <c r="KA119" s="2410"/>
      <c r="KB119" s="874"/>
      <c r="KC119" s="874"/>
      <c r="KD119" s="874"/>
      <c r="KE119" s="874"/>
      <c r="KF119" s="874"/>
      <c r="KG119" s="874"/>
      <c r="KH119" s="865"/>
      <c r="KI119" s="865"/>
      <c r="KJ119" s="865"/>
      <c r="KK119" s="865"/>
      <c r="KL119" s="865"/>
      <c r="KM119" s="865"/>
      <c r="KN119" s="865"/>
      <c r="KO119" s="865"/>
      <c r="KP119" s="865"/>
      <c r="KQ119" s="865"/>
      <c r="KR119" s="865"/>
      <c r="KS119" s="865"/>
      <c r="KT119" s="865"/>
      <c r="KU119" s="865"/>
      <c r="KV119" s="865"/>
      <c r="KW119" s="865"/>
      <c r="KX119" s="865"/>
      <c r="KY119" s="865"/>
      <c r="KZ119" s="865"/>
      <c r="LA119" s="865"/>
      <c r="LB119" s="865"/>
      <c r="LC119" s="865"/>
      <c r="LD119" s="865"/>
      <c r="LE119" s="865"/>
      <c r="LF119" s="865"/>
    </row>
    <row r="120" spans="1:318" ht="19.2" thickBot="1">
      <c r="A120" s="864"/>
      <c r="B120" s="502"/>
      <c r="C120" s="502"/>
      <c r="D120" s="502"/>
      <c r="E120" s="502"/>
      <c r="F120" s="511"/>
      <c r="G120" s="864"/>
      <c r="H120" s="502"/>
      <c r="I120" s="502"/>
      <c r="J120" s="502"/>
      <c r="K120" s="502"/>
      <c r="L120" s="511"/>
      <c r="M120" s="864"/>
      <c r="N120" s="502"/>
      <c r="O120" s="502"/>
      <c r="P120" s="502"/>
      <c r="Q120" s="502"/>
      <c r="R120" s="511"/>
      <c r="S120" s="864"/>
      <c r="T120" s="502"/>
      <c r="U120" s="502"/>
      <c r="V120" s="502"/>
      <c r="W120" s="502"/>
      <c r="X120" s="511"/>
      <c r="Y120" s="864"/>
      <c r="Z120" s="502"/>
      <c r="AA120" s="502"/>
      <c r="AB120" s="502"/>
      <c r="AC120" s="502"/>
      <c r="AD120" s="511"/>
      <c r="AE120" s="864"/>
      <c r="AF120" s="502"/>
      <c r="AG120" s="502"/>
      <c r="AH120" s="502"/>
      <c r="AI120" s="502"/>
      <c r="AJ120" s="511"/>
      <c r="AK120" s="864"/>
      <c r="AL120" s="502"/>
      <c r="AM120" s="502"/>
      <c r="AN120" s="502"/>
      <c r="AO120" s="502"/>
      <c r="AP120" s="511"/>
      <c r="AQ120" s="864"/>
      <c r="AR120" s="502"/>
      <c r="AS120" s="502"/>
      <c r="AT120" s="502"/>
      <c r="AU120" s="502"/>
      <c r="AV120" s="511"/>
      <c r="AW120" s="864"/>
      <c r="AX120" s="502"/>
      <c r="AY120" s="502"/>
      <c r="AZ120" s="502"/>
      <c r="BA120" s="502"/>
      <c r="BB120" s="511"/>
      <c r="BC120" s="864"/>
      <c r="BD120" s="502"/>
      <c r="BE120" s="502"/>
      <c r="BF120" s="502"/>
      <c r="BG120" s="502"/>
      <c r="BH120" s="865"/>
      <c r="BI120" s="865"/>
      <c r="BJ120" s="1143" t="s">
        <v>1508</v>
      </c>
      <c r="BK120" s="2481"/>
      <c r="BL120" s="2481"/>
      <c r="BM120" s="2481"/>
      <c r="BN120" s="1144"/>
      <c r="BO120" s="2482" t="str">
        <f>EE143</f>
        <v/>
      </c>
      <c r="BP120" s="2483"/>
      <c r="BQ120" s="865"/>
      <c r="BR120" s="1143" t="s">
        <v>1508</v>
      </c>
      <c r="BS120" s="2481"/>
      <c r="BT120" s="2481"/>
      <c r="BU120" s="2481"/>
      <c r="BV120" s="1144"/>
      <c r="BW120" s="2482" t="str">
        <f>IF143</f>
        <v/>
      </c>
      <c r="BX120" s="2483"/>
      <c r="BY120" s="874"/>
      <c r="BZ120" s="888" t="str">
        <f>IF(A120="","",VLOOKUP(A120,'HHV-LHV-MW'!$A$3:$H$40,4,FALSE))</f>
        <v/>
      </c>
      <c r="CA120" s="889" t="str">
        <f>IF(A120="","",VLOOKUP(A120,'HHV-LHV-MW'!$A$3:$H$40,5,FALSE))</f>
        <v/>
      </c>
      <c r="CB120" s="890" t="str">
        <f>IF($BO$96="","",((PRODUCT('HHV-LHV-MW'!K55)+PRODUCT('HHV-LHV-MW'!W55)+PRODUCT('HHV-LHV-MW'!AI55)+PRODUCT('HHV-LHV-MW'!AU55))/$BO$96))</f>
        <v/>
      </c>
      <c r="CC120" s="890" t="str">
        <f>IF($BO$96="","",(IF($BO$96=1,"",  (SQRT(  (      (IF('HHV-LHV-MW'!K55="",0,('HHV-LHV-MW'!K55-CB120)^2))      +        (IF('HHV-LHV-MW'!W55="",0,('HHV-LHV-MW'!W55-CB120)^2))       +        (IF('HHV-LHV-MW'!AI55="",0,('HHV-LHV-MW'!AI55-CB120)^2))          +        (IF('HHV-LHV-MW'!AU55="",0,('HHV-LHV-MW'!AU55-CB120)^2))          )     *(1/($BO$96-1))  )))))</f>
        <v/>
      </c>
      <c r="CD120" s="890" t="str">
        <f>IF($BO$96="","",(IF($BO$96=1,"",(CC120*$CD$98)/SQRT($BO$96))))</f>
        <v/>
      </c>
      <c r="CE120" s="890" t="str">
        <f>IF(OR(CB120="",CB120=0),"",CD120*100/CB120)</f>
        <v/>
      </c>
      <c r="CF120" s="636" t="str">
        <f>IF('HHV-LHV-MW'!K55="","",IF(AND('HHV-LHV-MW'!K55&gt;=0,'HHV-LHV-MW'!K55&lt;=0.09),2,  IF(AND('HHV-LHV-MW'!K55&gt;=0.1,'HHV-LHV-MW'!K55&lt;=0.9),7,  IF(AND('HHV-LHV-MW'!K55&gt;=1,'HHV-LHV-MW'!K55&lt;=4.9),10,   IF(AND('HHV-LHV-MW'!K55&gt;=5,'HHV-LHV-MW'!K55&lt;=10),12, 15)))))</f>
        <v/>
      </c>
      <c r="CG120" s="636" t="str">
        <f>IF('HHV-LHV-MW'!K55="","",5*'HHV-LHV-MW'!K55)</f>
        <v/>
      </c>
      <c r="CH120" s="636" t="str">
        <f>IF(AND(CF120="",CG120=""),"",SQRT((CF120)^2+(CG120)^2))</f>
        <v/>
      </c>
      <c r="CI120" s="636" t="str">
        <f>IF(OR(CH120="",'HHV-LHV-MW'!K55=0),"",CH120/'HHV-LHV-MW'!K55)</f>
        <v/>
      </c>
      <c r="CJ120" s="636" t="str">
        <f>IF(OR(CI120="",BZ120="",'HHV-LHV-MW'!K55=""),"",((CI120*BZ120*('HHV-LHV-MW'!K55/100))/23.685)^2)</f>
        <v/>
      </c>
      <c r="CK120" s="636" t="str">
        <f>IF(OR(CI120="",CA120="",'HHV-LHV-MW'!K55=""),"",((CI120*CA120*('HHV-LHV-MW'!K55/100))/23.685)^2)</f>
        <v/>
      </c>
      <c r="CL120" s="639" t="str">
        <f>IF(OR(CE120="",BZ120="",CB120=""),"",((CE120*BZ120*(CB120/100))/23.685)^2)</f>
        <v/>
      </c>
      <c r="CM120" s="892" t="str">
        <f>IF(OR(CE120="",CA120="",CB120=""),"",((CE120*CA120*(CB120/100))/23.685)^2)</f>
        <v/>
      </c>
      <c r="CN120" s="639" t="str">
        <f>IF(A120="","",VLOOKUP(A120,'HHV-LHV-MW'!$A$3:$H$40,7,FALSE))</f>
        <v/>
      </c>
      <c r="CO120" s="636" t="str">
        <f>IF($BO$96=1,     IF(OR(CN120="",'HHV-LHV-MW'!K55="",CI120=""),"",(CN120*('HHV-LHV-MW'!K55/100)*CI120)^2),IF(OR(CN120="",CB120="",CE120=""),"",(CN120*(CB120/100)*CE120)^2))</f>
        <v/>
      </c>
      <c r="CP120" s="636" t="str">
        <f>IF(A120="","",VLOOKUP(A120,'HHV-LHV-MW'!$A$3:$I$40,9,FALSE))</f>
        <v/>
      </c>
      <c r="CQ120" s="636" t="str">
        <f>IF($BO$96=1,     IF(OR(CP120="",'HHV-LHV-MW'!K55="",CI120=""),"",(CP120*('HHV-LHV-MW'!K55/100)*CI120)^2),IF(OR(CP120="",CB120="",CE120=""),"",(CP120*(CB120/100)*CE120)^2))</f>
        <v/>
      </c>
      <c r="CR120" s="636" t="str">
        <f>IF(A120="","",(VLOOKUP(A120,'HHV-LHV-MW'!$A$3:$F$40,6,FALSE))    )</f>
        <v/>
      </c>
      <c r="CS120" s="636" t="str">
        <f>IF($BO$96=1,     IF(OR(CR120="",'HHV-LHV-MW'!K55="",CI120=""),"",(CR120*('HHV-LHV-MW'!K55/100)*CI120)^2),IF(OR(CR120="",CB120="",CE120=""),"",(CR120*(CB120/100)*CE120)^2))</f>
        <v/>
      </c>
      <c r="CT120" s="640" t="str">
        <f>IF($BO$96=1,     IF(OR(CR120="",CP120="",$B$103="",$B$103=0,'HHV-LHV-MW'!K55="",CI120="",$CQ$145=""),"", ((CR120*((CP120*('HHV-LHV-MW'!K55/100))/$B$103))^2)*((CI120^2)+($CQ$145^2))),              IF(OR(CR120="",CP120="",CB120="",CE120="",$CQ$145="",$B$103="",$B$103=0),"",      ((CR120*((CP120*(CB120/100))/$B$103))^2)*((CE120^2)+($CQ$145^2))             ))</f>
        <v/>
      </c>
      <c r="CU120" s="889" t="str">
        <f>IF(G120="","",VLOOKUP(G120,'HHV-LHV-MW'!$A$3:$H$40,4,FALSE))</f>
        <v/>
      </c>
      <c r="CV120" s="889" t="str">
        <f>IF(G120="","",VLOOKUP(G120,'HHV-LHV-MW'!$A$3:$H$40,5,FALSE))</f>
        <v/>
      </c>
      <c r="CW120" s="890" t="str">
        <f>IF($BO$106="","",((PRODUCT('HHV-LHV-MW'!BH55)+PRODUCT('HHV-LHV-MW'!BT55)+PRODUCT('HHV-LHV-MW'!CF55)+PRODUCT('HHV-LHV-MW'!CR55))/$BO$106))</f>
        <v/>
      </c>
      <c r="CX120" s="890" t="str">
        <f>IF($BO$106="","",(IF($BO$106=1,"",  (SQRT(  (      (IF('HHV-LHV-MW'!BH55="",0,('HHV-LHV-MW'!BH55-CW120)^2))      +        (IF('HHV-LHV-MW'!BT55="",0,('HHV-LHV-MW'!BT55-CW120)^2))       +        (IF('HHV-LHV-MW'!CF55="",0,('HHV-LHV-MW'!CF55-CW120)^2))          +        (IF('HHV-LHV-MW'!CR55="",0,('HHV-LHV-MW'!CR55-CW120)^2))          )     *(1/($BO$106-1))  )))))</f>
        <v/>
      </c>
      <c r="CY120" s="890" t="str">
        <f>IF($BO$106="","",(IF($BO$106=1,"",(CX120*$CY$98)/SQRT($BO$106))))</f>
        <v/>
      </c>
      <c r="CZ120" s="890" t="str">
        <f>IF(OR(CW120="",CW120=0),"",CY120*100/CW120)</f>
        <v/>
      </c>
      <c r="DA120" s="636" t="str">
        <f>IF('HHV-LHV-MW'!BH55="","",IF(AND('HHV-LHV-MW'!BH55&gt;=0,'HHV-LHV-MW'!BH55&lt;=0.09),2,  IF(AND('HHV-LHV-MW'!BH55&gt;=0.1,'HHV-LHV-MW'!BH55&lt;=0.9),7,  IF(AND('HHV-LHV-MW'!BH55&gt;=1,'HHV-LHV-MW'!BH55&lt;=4.9),10,   IF(AND('HHV-LHV-MW'!BH55&gt;=5,'HHV-LHV-MW'!BH55&lt;=10),12, 15)))))</f>
        <v/>
      </c>
      <c r="DB120" s="636" t="str">
        <f>IF('HHV-LHV-MW'!BH55="","",5*'HHV-LHV-MW'!BH55)</f>
        <v/>
      </c>
      <c r="DC120" s="636" t="str">
        <f>IF(AND(DA120="",DB120=""),"",SQRT((DA120)^2+(DB120)^2))</f>
        <v/>
      </c>
      <c r="DD120" s="636" t="str">
        <f>IF(OR(DC120="",'HHV-LHV-MW'!BH55=0),"",DC120/'HHV-LHV-MW'!BH55)</f>
        <v/>
      </c>
      <c r="DE120" s="635" t="str">
        <f>IF(OR(DD120="",CU120="",'HHV-LHV-MW'!BH55=""),"",((DD120*CU120*('HHV-LHV-MW'!BH55/100))/23.685)^2)</f>
        <v/>
      </c>
      <c r="DF120" s="636" t="str">
        <f>IF(OR(DD120="",CV120="",'HHV-LHV-MW'!BH55=""),"",((DD120*CV120*('HHV-LHV-MW'!BH55/100))/23.685)^2)</f>
        <v/>
      </c>
      <c r="DG120" s="637" t="str">
        <f>IF(OR(CZ120="",CU120="",CW120=""),"",((CZ120*CU120*(CW120/100))/23.685)^2)</f>
        <v/>
      </c>
      <c r="DH120" s="901" t="str">
        <f>IF(OR(CZ120="",CV120="",CW120=""),"",((CZ120*CV120*(CW120/100))/23.685)^2)</f>
        <v/>
      </c>
      <c r="DI120" s="875" t="str">
        <f>IF(G120="","",VLOOKUP(G120,'HHV-LHV-MW'!$A$3:$H$40,7,FALSE))</f>
        <v/>
      </c>
      <c r="DJ120" s="875" t="str">
        <f>IF($BO$106=1,     IF(OR(DI120="",'HHV-LHV-MW'!BH55="",DD120=""),"",(DI120*('HHV-LHV-MW'!BH55/100)*DD120)^2),IF(OR(DI120="",CW120="",CZ120=""),"",(DI120*(CW120/100)*CZ120)^2))</f>
        <v/>
      </c>
      <c r="DK120" s="875" t="str">
        <f>IF(G120="","",VLOOKUP(G120,'HHV-LHV-MW'!$A$3:$I$40,9,FALSE))</f>
        <v/>
      </c>
      <c r="DL120" s="875" t="str">
        <f>IF($BO$106=1,     IF(OR(DK120="",'HHV-LHV-MW'!BH55="",DD120=""),"",(DK120*('HHV-LHV-MW'!BH55/100)*DD120)^2),IF(OR(DK120="",CW120="",CZ120=""),"",(DK120*(CW120/100)*CZ120)^2))</f>
        <v/>
      </c>
      <c r="DM120" s="875" t="str">
        <f>IF(G120="","",(VLOOKUP(G120,'HHV-LHV-MW'!$A$3:$F$40,6,FALSE))    )</f>
        <v/>
      </c>
      <c r="DN120" s="875" t="str">
        <f>IF($BO$106=1,     IF(OR(DM120="",'HHV-LHV-MW'!BH55="",DD120=""),"",(DM120*('HHV-LHV-MW'!BH55/100)*DD120)^2),IF(OR(DM120="",CW120="",CZ120=""),"",(DM120*(CW120/100)*CZ120)^2))</f>
        <v/>
      </c>
      <c r="DO120" s="638" t="str">
        <f>IF($BO$106=1,     IF(OR(DM120="",DK120="",$H$103="",$H$103=0,'HHV-LHV-MW'!BH55="",DD120="",$DL$145=""),"", ((DM120*((DK120*('HHV-LHV-MW'!BH55/100))/$H$103))^2)*((DD120^2)+($DL$145^2))),              IF(OR(DM120="",DK120="",CW120="",CZ120="",$DL$145="",$H$103="",$H$103=0),"",      ((DM120*((DK120*(CW120/100))/$H$103))^2)*((CZ120^2)+($DL$145^2))             ))</f>
        <v/>
      </c>
      <c r="DP120" s="889" t="str">
        <f>IF(M120="","",VLOOKUP(M120,'HHV-LHV-MW'!$A$3:$H$40,4,FALSE))</f>
        <v/>
      </c>
      <c r="DQ120" s="889" t="str">
        <f>IF(M120="","",VLOOKUP(M120,'HHV-LHV-MW'!$A$3:$H$40,5,FALSE))</f>
        <v/>
      </c>
      <c r="DR120" s="890" t="str">
        <f>IF($BO$116="","",((PRODUCT('HHV-LHV-MW'!DE55)+PRODUCT('HHV-LHV-MW'!DQ55)+PRODUCT('HHV-LHV-MW'!EC55)+PRODUCT('HHV-LHV-MW'!EO55))/$BO$116))</f>
        <v/>
      </c>
      <c r="DS120" s="890" t="str">
        <f>IF($BO$116="","",(IF($BO$116=1,"",  (SQRT(  (      (IF('HHV-LHV-MW'!DE55="",0,('HHV-LHV-MW'!DE55-DR120)^2))      +        (IF('HHV-LHV-MW'!DQ55="",0,('HHV-LHV-MW'!DQ55-DR120)^2))       +        (IF('HHV-LHV-MW'!EC55="",0,('HHV-LHV-MW'!EC55-DR120)^2))          +        (IF('HHV-LHV-MW'!EO55="",0,('HHV-LHV-MW'!EO55-DR120)^2))          )     *(1/($BO$116-1))  )))))</f>
        <v/>
      </c>
      <c r="DT120" s="890" t="str">
        <f>IF($BO$116="","",(IF($BO$116=1,"",(DS120*$DT$98)/SQRT($BO$116))))</f>
        <v/>
      </c>
      <c r="DU120" s="890" t="str">
        <f>IF(OR(DR120="",DR120=0),"",DT120*100/DR120)</f>
        <v/>
      </c>
      <c r="DV120" s="636" t="str">
        <f>IF('HHV-LHV-MW'!DE55="","",IF(AND('HHV-LHV-MW'!DE55&gt;=0,'HHV-LHV-MW'!DE55&lt;=0.09),2,  IF(AND('HHV-LHV-MW'!DE55&gt;=0.1,'HHV-LHV-MW'!DE55&lt;=0.9),7,  IF(AND('HHV-LHV-MW'!DE55&gt;=1,'HHV-LHV-MW'!DE55&lt;=4.9),10,   IF(AND('HHV-LHV-MW'!DE55&gt;=5,'HHV-LHV-MW'!DE55&lt;=10),12, 15)))))</f>
        <v/>
      </c>
      <c r="DW120" s="636" t="str">
        <f>IF('HHV-LHV-MW'!DE55="","",5*'HHV-LHV-MW'!DE55)</f>
        <v/>
      </c>
      <c r="DX120" s="636" t="str">
        <f>IF(AND(DV120="",DW120=""),"",SQRT((DV120)^2+(DW120)^2))</f>
        <v/>
      </c>
      <c r="DY120" s="636" t="str">
        <f>IF(OR(DX120="",'HHV-LHV-MW'!DE55=0),"",DX120/'HHV-LHV-MW'!DE55)</f>
        <v/>
      </c>
      <c r="DZ120" s="636" t="str">
        <f>IF(OR(DY120="",DP120="",'HHV-LHV-MW'!DE55=""),"",((DY120*DP120*('HHV-LHV-MW'!DE55/100))/23.685)^2)</f>
        <v/>
      </c>
      <c r="EA120" s="636" t="str">
        <f>IF(OR(DY120="",DQ120="",'HHV-LHV-MW'!DE55=""),"",((DY120*DQ120*('HHV-LHV-MW'!DE55/100))/23.685)^2)</f>
        <v/>
      </c>
      <c r="EB120" s="639" t="str">
        <f>IF(OR(DU120="",DP120="",DR120=""),"",((DU120*DP120*(DR120/100))/23.685)^2)</f>
        <v/>
      </c>
      <c r="EC120" s="891" t="str">
        <f>IF(OR(DU120="",DQ120="",DR120=""),"",((DU120*DQ120*(DR120/100))/23.685)^2)</f>
        <v/>
      </c>
      <c r="ED120" s="637" t="str">
        <f>IF(M120="","",VLOOKUP(M120,'HHV-LHV-MW'!$A$3:$H$40,7,FALSE))</f>
        <v/>
      </c>
      <c r="EE120" s="875" t="str">
        <f>IF($BO$116=1,     IF(OR(ED120="",'HHV-LHV-MW'!DE55="",DY120=""),"",(ED120*('HHV-LHV-MW'!DE55/100)*DY120)^2),IF(OR(ED120="",DR120="",DU120=""),"",(ED120*(DR120/100)*DU120)^2))</f>
        <v/>
      </c>
      <c r="EF120" s="875" t="str">
        <f>IF(M120="","",VLOOKUP(M120,'HHV-LHV-MW'!$A$3:$I$40,9,FALSE))</f>
        <v/>
      </c>
      <c r="EG120" s="875" t="str">
        <f>IF($BO$116=1,     IF(OR(EF120="",'HHV-LHV-MW'!DE55="",DY120=""),"",(EF120*('HHV-LHV-MW'!DE55/100)*DY120)^2),IF(OR(EF120="",DR120="",DU120=""),"",(EF120*(DR120/100)*DU120)^2))</f>
        <v/>
      </c>
      <c r="EH120" s="875" t="str">
        <f>IF(M120="","",(VLOOKUP(M120,'HHV-LHV-MW'!$A$3:$F$40,6,FALSE))    )</f>
        <v/>
      </c>
      <c r="EI120" s="875" t="str">
        <f>IF($BO$116=1,     IF(OR(EH120="",'HHV-LHV-MW'!DE55="",DY120=""),"",(EH120*('HHV-LHV-MW'!DE55/100)*DY120)^2),IF(OR(EH120="",DR120="",DU120=""),"",(EH120*(DR120/100)*DU120)^2))</f>
        <v/>
      </c>
      <c r="EJ120" s="638" t="str">
        <f>IF($BO$116=1,     IF(OR(EH120="",EF120="",$N$103="",$N$103=0,'HHV-LHV-MW'!DE55="",DY120="",$EG$145=""),"", ((EH120*((EF120*('HHV-LHV-MW'!DE55/100))/$N$103))^2)*((DY120^2)+($EG$145^2))),              IF(OR(EH120="",EF120="",DR120="",DU120="",$EG$145="",$N$103="",$N$103=0),"",      ((EH120*((EF120*(DR120/100))/$N$103))^2)*((DU120^2)+($EG$145^2))             ))</f>
        <v/>
      </c>
      <c r="EK120" s="889" t="str">
        <f>IF(S120="","",VLOOKUP(S120,'HHV-LHV-MW'!$A$3:$H$40,4,FALSE))</f>
        <v/>
      </c>
      <c r="EL120" s="889" t="str">
        <f>IF(S120="","",VLOOKUP(S120,'HHV-LHV-MW'!$A$3:$H$40,5,FALSE))</f>
        <v/>
      </c>
      <c r="EM120" s="890" t="str">
        <f>IF($BO$126="","",((PRODUCT('HHV-LHV-MW'!FB55)+PRODUCT('HHV-LHV-MW'!FN55)+PRODUCT('HHV-LHV-MW'!FZ55)+PRODUCT('HHV-LHV-MW'!GL55))/$BO$126))</f>
        <v/>
      </c>
      <c r="EN120" s="890" t="str">
        <f>IF($BO$126="","",(IF($BO$126=1,"",  (SQRT(  (      (IF('HHV-LHV-MW'!FB55="",0,('HHV-LHV-MW'!FB55-EM120)^2))      +        (IF('HHV-LHV-MW'!FN55="",0,('HHV-LHV-MW'!FN55-EM120)^2))       +        (IF('HHV-LHV-MW'!FZ55="",0,('HHV-LHV-MW'!FZ55-EM120)^2))          +        (IF('HHV-LHV-MW'!GL55="",0,('HHV-LHV-MW'!GL55-EM120)^2))          )     *(1/($BO$126-1))  )))))</f>
        <v/>
      </c>
      <c r="EO120" s="890" t="str">
        <f>IF($BO$126="","",(IF($BO$126=1,"",(EN120*$EO$98)/SQRT($BO$126))))</f>
        <v/>
      </c>
      <c r="EP120" s="890" t="str">
        <f>IF(OR(EM120="",EM120=0),"",EO120*100/EM120)</f>
        <v/>
      </c>
      <c r="EQ120" s="636" t="str">
        <f>IF('HHV-LHV-MW'!FB55="","",IF(AND('HHV-LHV-MW'!FB55&gt;=0,'HHV-LHV-MW'!FB55&lt;=0.09),2,  IF(AND('HHV-LHV-MW'!FB55&gt;=0.1,'HHV-LHV-MW'!FB55&lt;=0.9),7,  IF(AND('HHV-LHV-MW'!FB55&gt;=1,'HHV-LHV-MW'!FB55&lt;=4.9),10,   IF(AND('HHV-LHV-MW'!FB55&gt;=5,'HHV-LHV-MW'!FB55&lt;=10),12, 15)))))</f>
        <v/>
      </c>
      <c r="ER120" s="636" t="str">
        <f>IF('HHV-LHV-MW'!FB55="","",5*'HHV-LHV-MW'!FB55)</f>
        <v/>
      </c>
      <c r="ES120" s="636" t="str">
        <f>IF(AND(EQ120="",ER120=""),"",SQRT((EQ120)^2+(ER120)^2))</f>
        <v/>
      </c>
      <c r="ET120" s="636" t="str">
        <f>IF(OR(ES120="",'HHV-LHV-MW'!FB55=0),"",ES120/'HHV-LHV-MW'!FB55)</f>
        <v/>
      </c>
      <c r="EU120" s="636" t="str">
        <f>IF(OR(ET120="",EK120="",'HHV-LHV-MW'!FB55=""),"",((ET120*EK120*('HHV-LHV-MW'!FB55/100))/23.685)^2)</f>
        <v/>
      </c>
      <c r="EV120" s="636" t="str">
        <f>IF(OR(ET120="",EL120="",'HHV-LHV-MW'!FB55=""),"",((ET120*EL120*('HHV-LHV-MW'!FB55/100))/23.685)^2)</f>
        <v/>
      </c>
      <c r="EW120" s="639" t="str">
        <f>IF(OR(EP120="",EK120="",EM120=""),"",((EP120*EK120*(EM120/100))/23.685)^2)</f>
        <v/>
      </c>
      <c r="EX120" s="891" t="str">
        <f>IF(OR(EP120="",EL120="",EM120=""),"",((EP120*EL120*(EM120/100))/23.685)^2)</f>
        <v/>
      </c>
      <c r="EY120" s="637" t="str">
        <f>IF(S120="","",VLOOKUP(S120,'HHV-LHV-MW'!$A$3:$H$40,7,FALSE))</f>
        <v/>
      </c>
      <c r="EZ120" s="875" t="str">
        <f>IF($BO$126=1,     IF(OR(EY120="",'HHV-LHV-MW'!FB55="",ET120=""),"",(EY120*('HHV-LHV-MW'!FB55/100)*ET120)^2),IF(OR(EY120="",EM120="",EP120=""),"",(EY120*(EM120/100)*EP120)^2))</f>
        <v/>
      </c>
      <c r="FA120" s="875" t="str">
        <f>IF(S120="","",VLOOKUP(S120,'HHV-LHV-MW'!$A$3:$I$40,9,FALSE))</f>
        <v/>
      </c>
      <c r="FB120" s="875" t="str">
        <f>IF($BO$126=1,     IF(OR(FA120="",'HHV-LHV-MW'!FB55="",ET120=""),"",(FA120*('HHV-LHV-MW'!FB55/100)*ET120)^2),IF(OR(FA120="",EM120="",EP120=""),"",(FA120*(EM120/100)*EP120)^2))</f>
        <v/>
      </c>
      <c r="FC120" s="875" t="str">
        <f>IF(S120="","",(VLOOKUP(S120,'HHV-LHV-MW'!$A$3:$F$40,6,FALSE))    )</f>
        <v/>
      </c>
      <c r="FD120" s="875" t="str">
        <f>IF($BO$126=1,     IF(OR(FC120="",'HHV-LHV-MW'!FB55="",ET120=""),"",(FC120*('HHV-LHV-MW'!FB55/100)*ET120)^2),IF(OR(FC120="",EM120="",EP120=""),"",(FC120*(EM120/100)*EP120)^2))</f>
        <v/>
      </c>
      <c r="FE120" s="638" t="str">
        <f>IF($BO$126=1,     IF(OR(FC120="",FA120="",$T$103="",$T$103=0,'HHV-LHV-MW'!FB55="",ET120="",$FB$145=""),"", ((FC120*((FA120*('HHV-LHV-MW'!FB55/100))/$T$103))^2)*((ET120^2)+($FB$145^2))),              IF(OR(FC120="",FA120="",EM120="",EP120="",$FB$145="",$T$103="",$T$103=0),"",      ((FC120*((FA120*(EM120/100))/$T$103))^2)*((EP120^2)+($FB$145^2))             ))</f>
        <v/>
      </c>
      <c r="FF120" s="889" t="str">
        <f>IF(Y120="","",VLOOKUP(Y120,'HHV-LHV-MW'!$A$3:$H$40,4,FALSE))</f>
        <v/>
      </c>
      <c r="FG120" s="889" t="str">
        <f>IF(Y120="","",VLOOKUP(Y120,'HHV-LHV-MW'!$A$3:$H$40,5,FALSE))</f>
        <v/>
      </c>
      <c r="FH120" s="890" t="str">
        <f>IF($BO$136="","",((PRODUCT('HHV-LHV-MW'!GY55)+PRODUCT('HHV-LHV-MW'!HK55)+PRODUCT('HHV-LHV-MW'!HW55)+PRODUCT('HHV-LHV-MW'!II55))/$BO$136))</f>
        <v/>
      </c>
      <c r="FI120" s="890" t="str">
        <f>IF($BO$136="","",(IF($BO$136=1,"",  (SQRT(  (      (IF('HHV-LHV-MW'!GY55="",0,('HHV-LHV-MW'!GY55-FH120)^2))      +        (IF('HHV-LHV-MW'!HK55="",0,('HHV-LHV-MW'!HK55-FH120)^2))       +        (IF('HHV-LHV-MW'!HW55="",0,('HHV-LHV-MW'!HW55-FH120)^2))          +        (IF('HHV-LHV-MW'!II55="",0,('HHV-LHV-MW'!II55-FH120)^2))          )     *(1/($BO$136-1))  )))))</f>
        <v/>
      </c>
      <c r="FJ120" s="890" t="str">
        <f>IF($BO$136="","",(IF($BO$136=1,"",(FI120*$FJ$98)/SQRT($BO$136))))</f>
        <v/>
      </c>
      <c r="FK120" s="890" t="str">
        <f>IF(OR(FH120="",FH120=0),"",FJ120*100/FH120)</f>
        <v/>
      </c>
      <c r="FL120" s="636" t="str">
        <f>IF('HHV-LHV-MW'!GY55="","",IF(AND('HHV-LHV-MW'!GY55&gt;=0,'HHV-LHV-MW'!GY55&lt;=0.09),2,  IF(AND('HHV-LHV-MW'!GY55&gt;=0.1,'HHV-LHV-MW'!GY55&lt;=0.9),7,  IF(AND('HHV-LHV-MW'!GY55&gt;=1,'HHV-LHV-MW'!GY55&lt;=4.9),10,   IF(AND('HHV-LHV-MW'!GY55&gt;=5,'HHV-LHV-MW'!GY55&lt;=10),12, 15)))))</f>
        <v/>
      </c>
      <c r="FM120" s="636" t="str">
        <f>IF('HHV-LHV-MW'!GY55="","",5*'HHV-LHV-MW'!GY55)</f>
        <v/>
      </c>
      <c r="FN120" s="636" t="str">
        <f>IF(AND(FL120="",FM120=""),"",SQRT((FL120)^2+(FM120)^2))</f>
        <v/>
      </c>
      <c r="FO120" s="636" t="str">
        <f>IF(OR(FN120="",'HHV-LHV-MW'!GY55=0),"",FN120/'HHV-LHV-MW'!GY55)</f>
        <v/>
      </c>
      <c r="FP120" s="636" t="str">
        <f>IF(OR(FO120="",FF120="",'HHV-LHV-MW'!GY55=""),"",((FO120*FF120*('HHV-LHV-MW'!GY55/100))/23.685)^2)</f>
        <v/>
      </c>
      <c r="FQ120" s="636" t="str">
        <f>IF(OR(FO120="",FG120="",'HHV-LHV-MW'!GY55=""),"",((FO120*FG120*('HHV-LHV-MW'!GY55/100))/23.685)^2)</f>
        <v/>
      </c>
      <c r="FR120" s="639" t="str">
        <f>IF(OR(FK120="",FF120="",FH120=""),"",((FK120*FF120*(FH120/100))/23.685)^2)</f>
        <v/>
      </c>
      <c r="FS120" s="891" t="str">
        <f>IF(OR(FK120="",FG120="",FH120=""),"",((FK120*FG120*(FH120/100))/23.685)^2)</f>
        <v/>
      </c>
      <c r="FT120" s="637" t="str">
        <f>IF(Y120="","",VLOOKUP(Y120,'HHV-LHV-MW'!$A$3:$H$40,7,FALSE))</f>
        <v/>
      </c>
      <c r="FU120" s="875" t="str">
        <f>IF($BO$136=1,     IF(OR(FT120="",'HHV-LHV-MW'!GY55="",FO120=""),"",(FT120*('HHV-LHV-MW'!GY55/100)*FO120)^2),IF(OR(FT120="",FH120="",FK120=""),"",(FT120*(FH120/100)*FK120)^2))</f>
        <v/>
      </c>
      <c r="FV120" s="875" t="str">
        <f>IF(Y120="","",VLOOKUP(Y120,'HHV-LHV-MW'!$A$3:$I$40,9,FALSE))</f>
        <v/>
      </c>
      <c r="FW120" s="875" t="str">
        <f>IF($BO$136=1,     IF(OR(FV120="",'HHV-LHV-MW'!GY55="",FO120=""),"",(FV120*('HHV-LHV-MW'!GY55/100)*FO120)^2),IF(OR(FV120="",FH120="",FK120=""),"",(FV120*(FH120/100)*FK120)^2))</f>
        <v/>
      </c>
      <c r="FX120" s="875" t="str">
        <f>IF(Y120="","",(VLOOKUP(Y120,'HHV-LHV-MW'!$A$3:$F$40,6,FALSE))    )</f>
        <v/>
      </c>
      <c r="FY120" s="875" t="str">
        <f>IF($BO$136=1,     IF(OR(FX120="",'HHV-LHV-MW'!GY55="",FO120=""),"",(FX120*('HHV-LHV-MW'!GY55/100)*FO120)^2),IF(OR(FX120="",FH120="",FK120=""),"",(FX120*(FH120/100)*FK120)^2))</f>
        <v/>
      </c>
      <c r="FZ120" s="638" t="str">
        <f>IF($BO$136=1,     IF(OR(FX120="",FV120="",$Z$103="",$Z$103=0,'HHV-LHV-MW'!GY55="",FO120="",$FW$145=""),"", ((FX120*((FV120*('HHV-LHV-MW'!GY55/100))/$Z$103))^2)*((FO120^2)+($FW$145^2))),              IF(OR(FX120="",FV120="",FH120="",FK120="",$FW$145="",$Z$103="",$Z$103=0),"",      ((FX120*((FV120*(FH120/100))/$Z$103))^2)*((FK120^2)+($FW$145^2))             ))</f>
        <v/>
      </c>
      <c r="GA120" s="889" t="str">
        <f>IF(AE120="","",VLOOKUP(AE120,'HHV-LHV-MW'!$A$3:$H$40,4,FALSE))</f>
        <v/>
      </c>
      <c r="GB120" s="889" t="str">
        <f>IF(AE120="","",VLOOKUP(AE120,'HHV-LHV-MW'!$A$3:$H$40,5,FALSE))</f>
        <v/>
      </c>
      <c r="GC120" s="890" t="str">
        <f>IF($BW$96="","",((PRODUCT('HHV-LHV-MW'!IV55)+PRODUCT('HHV-LHV-MW'!JH55)+PRODUCT('HHV-LHV-MW'!JT55)+PRODUCT('HHV-LHV-MW'!KF55))/$BW$96))</f>
        <v/>
      </c>
      <c r="GD120" s="890" t="str">
        <f>IF($BW$96="","",(IF($BW$96=1,"",  (SQRT(  (      (IF('HHV-LHV-MW'!IV55="",0,('HHV-LHV-MW'!IV55-GC120)^2))      +        (IF('HHV-LHV-MW'!JH55="",0,('HHV-LHV-MW'!JH55-GC120)^2))       +        (IF('HHV-LHV-MW'!JT55="",0,('HHV-LHV-MW'!JT55-GC120)^2))          +        (IF('HHV-LHV-MW'!KF55="",0,('HHV-LHV-MW'!KF55-GC120)^2))          )     *(1/($BW$96-1))  )))))</f>
        <v/>
      </c>
      <c r="GE120" s="890" t="str">
        <f>IF($BW$96="","",(IF($BW$96=1,"",(GD120*$GE$98)/SQRT($BW$96))))</f>
        <v/>
      </c>
      <c r="GF120" s="890" t="str">
        <f>IF(OR(GC120="",GC120=0),"",GE120*100/GC120)</f>
        <v/>
      </c>
      <c r="GG120" s="636" t="str">
        <f>IF('HHV-LHV-MW'!IV55="","",IF(AND('HHV-LHV-MW'!IV55&gt;=0,'HHV-LHV-MW'!IV55&lt;=0.09),2,  IF(AND('HHV-LHV-MW'!IV55&gt;=0.1,'HHV-LHV-MW'!IV55&lt;=0.9),7,  IF(AND('HHV-LHV-MW'!IV55&gt;=1,'HHV-LHV-MW'!IV55&lt;=4.9),10,   IF(AND('HHV-LHV-MW'!IV55&gt;=5,'HHV-LHV-MW'!IV55&lt;=10),12, 15)))))</f>
        <v/>
      </c>
      <c r="GH120" s="636" t="str">
        <f>IF('HHV-LHV-MW'!IV55="","",5*'HHV-LHV-MW'!IV55)</f>
        <v/>
      </c>
      <c r="GI120" s="636" t="str">
        <f>IF(AND(GG120="",GH120=""),"",SQRT((GG120)^2+(GH120)^2))</f>
        <v/>
      </c>
      <c r="GJ120" s="636" t="str">
        <f>IF(OR(GI120="",'HHV-LHV-MW'!IV55=0),"",GI120/'HHV-LHV-MW'!IV55)</f>
        <v/>
      </c>
      <c r="GK120" s="636" t="str">
        <f>IF(OR(GJ120="",GA120="",'HHV-LHV-MW'!IV55=""),"",((GJ120*GA120*('HHV-LHV-MW'!IV55/100))/23.685)^2)</f>
        <v/>
      </c>
      <c r="GL120" s="636" t="str">
        <f>IF(OR(GJ120="",GB120="",'HHV-LHV-MW'!IV55=""),"",((GJ120*GB120*('HHV-LHV-MW'!IV55/100))/23.685)^2)</f>
        <v/>
      </c>
      <c r="GM120" s="639" t="str">
        <f>IF(OR(GF120="",GA120="",GC120=""),"",((GF120*GA120*(GC120/100))/23.685)^2)</f>
        <v/>
      </c>
      <c r="GN120" s="891" t="str">
        <f>IF(OR(GF120="",GB120="",GC120=""),"",((GF120*GB120*(GC120/100))/23.685)^2)</f>
        <v/>
      </c>
      <c r="GO120" s="637" t="str">
        <f>IF(AE120="","",VLOOKUP(AE120,'HHV-LHV-MW'!$A$3:$H$40,7,FALSE))</f>
        <v/>
      </c>
      <c r="GP120" s="875" t="str">
        <f>IF($BW$96=1,     IF(OR(GO120="",'HHV-LHV-MW'!IV55="",GJ120=""),"",(GO120*('HHV-LHV-MW'!IV55/100)*GJ120)^2),IF(OR(GO120="",GC120="",GF120=""),"",(GO120*(GC120/100)*GF120)^2))</f>
        <v/>
      </c>
      <c r="GQ120" s="875" t="str">
        <f>IF(AE120="","",VLOOKUP(AE120,'HHV-LHV-MW'!$A$3:$I$40,9,FALSE))</f>
        <v/>
      </c>
      <c r="GR120" s="875" t="str">
        <f>IF($BW$96=1,     IF(OR(GQ120="",'HHV-LHV-MW'!IV55="",GJ120=""),"",(GQ120*('HHV-LHV-MW'!IV55/100)*GJ120)^2),IF(OR(GQ120="",GC120="",GF120=""),"",(GQ120*(GC120/100)*GF120)^2))</f>
        <v/>
      </c>
      <c r="GS120" s="875" t="str">
        <f>IF(AE120="","",(VLOOKUP(AE120,'HHV-LHV-MW'!$A$3:$F$40,6,FALSE))    )</f>
        <v/>
      </c>
      <c r="GT120" s="875" t="str">
        <f>IF($BW$96=1,     IF(OR(GS120="",'HHV-LHV-MW'!IV55="",GJ120=""),"",(GS120*('HHV-LHV-MW'!IV55/100)*GJ120)^2),IF(OR(GS120="",GC120="",GF120=""),"",(GS120*(GC120/100)*GF120)^2))</f>
        <v/>
      </c>
      <c r="GU120" s="638" t="str">
        <f>IF($BW$96=1,     IF(OR(GS120="",GQ120="",$AF$103="",$AF$103=0,'HHV-LHV-MW'!IV55="",GJ120="",$GR$145=""),"", ((GS120*((GQ120*('HHV-LHV-MW'!IV55/100))/$AF$103))^2)*((GJ120^2)+($GR$145^2))),              IF(OR(GS120="",GQ120="",GC120="",GF120="",$GR$145="",$AF$103="",$AF$103=0),"",      ((GS120*((GQ120*(GC120/100))/$AF$103))^2)*((GF120^2)+($GR$145^2))             ))</f>
        <v/>
      </c>
      <c r="GV120" s="889" t="str">
        <f>IF(AK120="","",VLOOKUP(AK120,'HHV-LHV-MW'!$A$3:$H$40,4,FALSE))</f>
        <v/>
      </c>
      <c r="GW120" s="889" t="str">
        <f>IF(AK120="","",VLOOKUP(AK120,'HHV-LHV-MW'!$A$3:$H$40,5,FALSE))</f>
        <v/>
      </c>
      <c r="GX120" s="890" t="str">
        <f>IF($BW$106="","",((PRODUCT('HHV-LHV-MW'!KS55)+PRODUCT('HHV-LHV-MW'!LE55)+PRODUCT('HHV-LHV-MW'!LQ55)+PRODUCT('HHV-LHV-MW'!MC55))/$BW$106))</f>
        <v/>
      </c>
      <c r="GY120" s="890" t="str">
        <f>IF($BW$106="","",(IF($BW$106=1,"",  (SQRT(  (      (IF('HHV-LHV-MW'!KS55="",0,('HHV-LHV-MW'!KS55-GX120)^2))      +        (IF('HHV-LHV-MW'!LE55="",0,('HHV-LHV-MW'!LE55-GX120)^2))       +        (IF('HHV-LHV-MW'!LQ55="",0,('HHV-LHV-MW'!LQ55-GX120)^2))          +        (IF('HHV-LHV-MW'!MC55="",0,('HHV-LHV-MW'!MC55-GX120)^2))          )     *(1/($BW$106-1))  )))))</f>
        <v/>
      </c>
      <c r="GZ120" s="890" t="str">
        <f>IF($BW$106="","",(IF($BW$106=1,"",(GY120*$GZ$98)/SQRT($BW$106))))</f>
        <v/>
      </c>
      <c r="HA120" s="890" t="str">
        <f>IF(OR(GX120="",GX120=0),"",GZ120*100/GX120)</f>
        <v/>
      </c>
      <c r="HB120" s="636" t="str">
        <f>IF('HHV-LHV-MW'!KS55="","",IF(AND('HHV-LHV-MW'!KS55&gt;=0,'HHV-LHV-MW'!KS55&lt;=0.09),2,  IF(AND('HHV-LHV-MW'!KS55&gt;=0.1,'HHV-LHV-MW'!KS55&lt;=0.9),7,  IF(AND('HHV-LHV-MW'!KS55&gt;=1,'HHV-LHV-MW'!KS55&lt;=4.9),10,   IF(AND('HHV-LHV-MW'!KS55&gt;=5,'HHV-LHV-MW'!KS55&lt;=10),12, 15)))))</f>
        <v/>
      </c>
      <c r="HC120" s="636" t="str">
        <f>IF('HHV-LHV-MW'!KS55="","",5*'HHV-LHV-MW'!KS55)</f>
        <v/>
      </c>
      <c r="HD120" s="636" t="str">
        <f>IF(AND(HB120="",HC120=""),"",SQRT((HB120)^2+(HC120)^2))</f>
        <v/>
      </c>
      <c r="HE120" s="636" t="str">
        <f>IF(OR(HD120="",'HHV-LHV-MW'!KS55=0),"",HD120/'HHV-LHV-MW'!KS55)</f>
        <v/>
      </c>
      <c r="HF120" s="636" t="str">
        <f>IF(OR(HE120="",GV120="",'HHV-LHV-MW'!KS55=""),"",((HE120*GV120*('HHV-LHV-MW'!KS55/100))/23.685)^2)</f>
        <v/>
      </c>
      <c r="HG120" s="636" t="str">
        <f>IF(OR(HE120="",GW120="",'HHV-LHV-MW'!KS55=""),"",((HE120*GW120*('HHV-LHV-MW'!KS55/100))/23.685)^2)</f>
        <v/>
      </c>
      <c r="HH120" s="639" t="str">
        <f>IF(OR(HA120="",GV120="",GX120=""),"",((HA120*GV120*(GX120/100))/23.685)^2)</f>
        <v/>
      </c>
      <c r="HI120" s="891" t="str">
        <f>IF(OR(HA120="",GW120="",GX120=""),"",((HA120*GW120*(GX120/100))/23.685)^2)</f>
        <v/>
      </c>
      <c r="HJ120" s="637" t="str">
        <f>IF(AK120="","",VLOOKUP(AK120,'HHV-LHV-MW'!$A$3:$H$40,7,FALSE))</f>
        <v/>
      </c>
      <c r="HK120" s="875" t="str">
        <f>IF($BW$106=1,     IF(OR(HJ120="",'HHV-LHV-MW'!KS55="",HE120=""),"",(HJ120*('HHV-LHV-MW'!KS55/100)*HE120)^2),IF(OR(HJ120="",GX120="",HA120=""),"",(HJ120*(GX120/100)*HA120)^2))</f>
        <v/>
      </c>
      <c r="HL120" s="875" t="str">
        <f>IF(AK120="","",VLOOKUP(AK120,'HHV-LHV-MW'!$A$3:$I$40,9,FALSE))</f>
        <v/>
      </c>
      <c r="HM120" s="875" t="str">
        <f>IF($BW$106=1,     IF(OR(HL120="",'HHV-LHV-MW'!KS55="",HE120=""),"",(HL120*('HHV-LHV-MW'!KS55/100)*HE120)^2),IF(OR(HL120="",GX120="",HA120=""),"",(HL120*(GX120/100)*HA120)^2))</f>
        <v/>
      </c>
      <c r="HN120" s="875" t="str">
        <f>IF(AK120="","",(VLOOKUP(AK120,'HHV-LHV-MW'!$A$3:$F$40,6,FALSE))    )</f>
        <v/>
      </c>
      <c r="HO120" s="875" t="str">
        <f>IF($BW$106=1,     IF(OR(HN120="",'HHV-LHV-MW'!KS55="",HE120=""),"",(HN120*('HHV-LHV-MW'!KS55/100)*HE120)^2),IF(OR(HN120="",GX120="",HA120=""),"",(HN120*(GX120/100)*HA120)^2))</f>
        <v/>
      </c>
      <c r="HP120" s="638" t="str">
        <f>IF($BW$106=1,     IF(OR(HN120="",HL120="",$AL$103="",$AL$103=0,'HHV-LHV-MW'!KS55="",HE120="",$HM$145=""),"", ((HN120*((HL120*('HHV-LHV-MW'!KS55/100))/$AL$103))^2)*((HE120^2)+($HM$145^2))),              IF(OR(HN120="",HL120="",GX120="",HA120="",$HM$145="",$AL$103="",$AL$103=0),"",      ((HN120*((HL120*(GX120/100))/$AL$103))^2)*((HA120^2)+($HM$145^2))             ))</f>
        <v/>
      </c>
      <c r="HQ120" s="889" t="str">
        <f>IF(AQ120="","",VLOOKUP(AQ120,'HHV-LHV-MW'!$A$3:$H$40,4,FALSE))</f>
        <v/>
      </c>
      <c r="HR120" s="889" t="str">
        <f>IF(AQ120="","",VLOOKUP(AQ120,'HHV-LHV-MW'!$A$3:$H$40,5,FALSE))</f>
        <v/>
      </c>
      <c r="HS120" s="890" t="str">
        <f>IF($BW$116="","",((PRODUCT('HHV-LHV-MW'!MP55)+PRODUCT('HHV-LHV-MW'!NB55)+PRODUCT('HHV-LHV-MW'!NN55)+PRODUCT('HHV-LHV-MW'!NZ55))/$BW$116))</f>
        <v/>
      </c>
      <c r="HT120" s="890" t="str">
        <f>IF($BW$116="","",(IF($BW$116=1,"",  (SQRT(  (      (IF('HHV-LHV-MW'!MP55="",0,('HHV-LHV-MW'!MP55-HS120)^2))      +        (IF('HHV-LHV-MW'!NB55="",0,('HHV-LHV-MW'!NB55-HS120)^2))       +        (IF('HHV-LHV-MW'!NN55="",0,('HHV-LHV-MW'!NN55-HS120)^2))          +        (IF('HHV-LHV-MW'!NZ55="",0,('HHV-LHV-MW'!NZ55-HS120)^2))          )     *(1/($BW$116-1))  )))))</f>
        <v/>
      </c>
      <c r="HU120" s="890" t="str">
        <f>IF($BW$116="","",(IF($BW$116=1,"",(HT120*$HU$98)/SQRT($BW$116))))</f>
        <v/>
      </c>
      <c r="HV120" s="890" t="str">
        <f>IF(OR(HS120="",HS120=0),"",HU120*100/HS120)</f>
        <v/>
      </c>
      <c r="HW120" s="636" t="str">
        <f>IF('HHV-LHV-MW'!MP55="","",IF(AND('HHV-LHV-MW'!MP55&gt;=0,'HHV-LHV-MW'!MP55&lt;=0.09),2,  IF(AND('HHV-LHV-MW'!MP55&gt;=0.1,'HHV-LHV-MW'!MP55&lt;=0.9),7,  IF(AND('HHV-LHV-MW'!MP55&gt;=1,'HHV-LHV-MW'!MP55&lt;=4.9),10,   IF(AND('HHV-LHV-MW'!MP55&gt;=5,'HHV-LHV-MW'!MP55&lt;=10),12, 15)))))</f>
        <v/>
      </c>
      <c r="HX120" s="636" t="str">
        <f>IF('HHV-LHV-MW'!MP55="","",5*'HHV-LHV-MW'!MP55)</f>
        <v/>
      </c>
      <c r="HY120" s="636" t="str">
        <f>IF(AND(HW120="",HX120=""),"",SQRT((HW120)^2+(HX120)^2))</f>
        <v/>
      </c>
      <c r="HZ120" s="636" t="str">
        <f>IF(OR(HY120="",'HHV-LHV-MW'!MP55=0),"",HY120/'HHV-LHV-MW'!MP55)</f>
        <v/>
      </c>
      <c r="IA120" s="636" t="str">
        <f>IF(OR(HZ120="",HQ120="",'HHV-LHV-MW'!MP55=""),"",((HZ120*HQ120*('HHV-LHV-MW'!MP55/100))/23.685)^2)</f>
        <v/>
      </c>
      <c r="IB120" s="636" t="str">
        <f>IF(OR(HZ120="",HR120="",'HHV-LHV-MW'!MP55=""),"",((HZ120*HR120*('HHV-LHV-MW'!MP55/100))/23.685)^2)</f>
        <v/>
      </c>
      <c r="IC120" s="639" t="str">
        <f>IF(OR(HV120="",HQ120="",HS120=""),"",((HV120*HQ120*(HS120/100))/23.685)^2)</f>
        <v/>
      </c>
      <c r="ID120" s="891" t="str">
        <f>IF(OR(HV120="",HR120="",HS120=""),"",((HV120*HR120*(HS120/100))/23.685)^2)</f>
        <v/>
      </c>
      <c r="IE120" s="637" t="str">
        <f>IF(AQ120="","",VLOOKUP(AQ120,'HHV-LHV-MW'!$A$3:$H$40,7,FALSE))</f>
        <v/>
      </c>
      <c r="IF120" s="875" t="str">
        <f>IF($BW$116=1,     IF(OR(IE120="",'HHV-LHV-MW'!MP55="",HZ120=""),"",(IE120*('HHV-LHV-MW'!MP55/100)*HZ120)^2),IF(OR(IE120="",HS120="",HV120=""),"",(IE120*(HS120/100)*HV120)^2))</f>
        <v/>
      </c>
      <c r="IG120" s="875" t="str">
        <f>IF(AQ120="","",VLOOKUP(AQ120,'HHV-LHV-MW'!$A$3:$I$40,9,FALSE))</f>
        <v/>
      </c>
      <c r="IH120" s="875" t="str">
        <f>IF($BW$116=1,     IF(OR(IG120="",'HHV-LHV-MW'!MP55="",HZ120=""),"",(IG120*('HHV-LHV-MW'!MP55/100)*HZ120)^2),IF(OR(IG120="",HS120="",HV120=""),"",(IG120*(HS120/100)*HV120)^2))</f>
        <v/>
      </c>
      <c r="II120" s="875" t="str">
        <f>IF(AQ120="","",(VLOOKUP(AQ120,'HHV-LHV-MW'!$A$3:$F$40,6,FALSE))    )</f>
        <v/>
      </c>
      <c r="IJ120" s="875" t="str">
        <f>IF($BW$116=1,     IF(OR(II120="",'HHV-LHV-MW'!MP55="",HZ120=""),"",(II120*('HHV-LHV-MW'!MP55/100)*HZ120)^2),IF(OR(II120="",HS120="",HV120=""),"",(II120*(HS120/100)*HV120)^2))</f>
        <v/>
      </c>
      <c r="IK120" s="638" t="str">
        <f>IF($BW$116=1,     IF(OR(II120="",IG120="",$AR$103="",$AR$103=0,'HHV-LHV-MW'!MP55="",HZ120="",$IH$145=""),"", ((II120*((IG120*('HHV-LHV-MW'!MP55/100))/$AR$103))^2)*((HZ120^2)+($IH$145^2))),              IF(OR(II120="",IG120="",HS120="",HV120="",$IH$145="",$AR$103="",$AR$103=0),"",      ((II120*((IG120*(HS120/100))/$AR$103))^2)*((HV120^2)+($IH$145^2))             ))</f>
        <v/>
      </c>
      <c r="IL120" s="889" t="str">
        <f>IF(AW120="","",VLOOKUP(AW120,'HHV-LHV-MW'!$A$3:$H$40,4,FALSE))</f>
        <v/>
      </c>
      <c r="IM120" s="889" t="str">
        <f>IF(AW120="","",VLOOKUP(AW120,'HHV-LHV-MW'!$A$3:$H$40,5,FALSE))</f>
        <v/>
      </c>
      <c r="IN120" s="890" t="str">
        <f>IF($BW$126="","",((PRODUCT('HHV-LHV-MW'!ON55)+PRODUCT('HHV-LHV-MW'!OZ55)+PRODUCT('HHV-LHV-MW'!PL55)+PRODUCT('HHV-LHV-MW'!PX55))/$BW$126))</f>
        <v/>
      </c>
      <c r="IO120" s="890" t="str">
        <f>IF($BW$126="","",(IF($BW$126=1,"",  (SQRT(  (      (IF('HHV-LHV-MW'!ON55="",0,('HHV-LHV-MW'!ON55-IN120)^2))      +        (IF('HHV-LHV-MW'!OZ55="",0,('HHV-LHV-MW'!OZ55-IN120)^2))       +        (IF('HHV-LHV-MW'!PL55="",0,('HHV-LHV-MW'!PL55-IN120)^2))          +        (IF('HHV-LHV-MW'!PX55="",0,('HHV-LHV-MW'!PX55-IN120)^2))          )     *(1/($BW$126-1))  )))))</f>
        <v/>
      </c>
      <c r="IP120" s="890" t="str">
        <f>IF($BW$126="","",(IF($BW$126=1,"",(IO120*$IP$98)/SQRT($BW$126))))</f>
        <v/>
      </c>
      <c r="IQ120" s="890" t="str">
        <f>IF(OR(IN120="",IN120=0),"",IP120*100/IN120)</f>
        <v/>
      </c>
      <c r="IR120" s="636" t="str">
        <f>IF('HHV-LHV-MW'!ON55="","",IF(AND('HHV-LHV-MW'!ON55&gt;=0,'HHV-LHV-MW'!ON55&lt;=0.09),2,  IF(AND('HHV-LHV-MW'!ON55&gt;=0.1,'HHV-LHV-MW'!ON55&lt;=0.9),7,  IF(AND('HHV-LHV-MW'!ON55&gt;=1,'HHV-LHV-MW'!ON55&lt;=4.9),10,   IF(AND('HHV-LHV-MW'!ON55&gt;=5,'HHV-LHV-MW'!ON55&lt;=10),12, 15)))))</f>
        <v/>
      </c>
      <c r="IS120" s="636" t="str">
        <f>IF('HHV-LHV-MW'!ON55="","",5*'HHV-LHV-MW'!ON55)</f>
        <v/>
      </c>
      <c r="IT120" s="636" t="str">
        <f>IF(AND(IR120="",IS120=""),"",SQRT((IR120)^2+(IS120)^2))</f>
        <v/>
      </c>
      <c r="IU120" s="636" t="str">
        <f>IF(OR(IT120="",'HHV-LHV-MW'!ON55=0),"",IT120/'HHV-LHV-MW'!ON55)</f>
        <v/>
      </c>
      <c r="IV120" s="636" t="str">
        <f>IF(OR(IU120="",IL120="",'HHV-LHV-MW'!ON55=""),"",((IU120*IL120*('HHV-LHV-MW'!ON55/100))/23.685)^2)</f>
        <v/>
      </c>
      <c r="IW120" s="636" t="str">
        <f>IF(OR(IU120="",IM120="",'HHV-LHV-MW'!ON55=""),"",((IU120*IM120*('HHV-LHV-MW'!ON55/100))/23.685)^2)</f>
        <v/>
      </c>
      <c r="IX120" s="639" t="str">
        <f>IF(OR(IQ120="",IL120="",IN120=""),"",((IQ120*IL120*(IN120/100))/23.685)^2)</f>
        <v/>
      </c>
      <c r="IY120" s="891" t="str">
        <f>IF(OR(IQ120="",IM120="",IN120=""),"",((IQ120*IM120*(IN120/100))/23.685)^2)</f>
        <v/>
      </c>
      <c r="IZ120" s="637" t="str">
        <f>IF(AW120="","",VLOOKUP(AW120,'HHV-LHV-MW'!$A$3:$H$40,7,FALSE))</f>
        <v/>
      </c>
      <c r="JA120" s="875" t="str">
        <f>IF($BW$126=1,     IF(OR(IZ120="",'HHV-LHV-MW'!ON55="",IU120=""),"",(IZ120*('HHV-LHV-MW'!ON55/100)*IU120)^2),IF(OR(IZ120="",IN120="",IQ120=""),"",(IZ120*(IN120/100)*IQ120)^2))</f>
        <v/>
      </c>
      <c r="JB120" s="875" t="str">
        <f>IF(AW120="","",VLOOKUP(AW120,'HHV-LHV-MW'!$A$3:$I$40,9,FALSE))</f>
        <v/>
      </c>
      <c r="JC120" s="875" t="str">
        <f>IF($BW$126=1,     IF(OR(JB120="",'HHV-LHV-MW'!ON55="",IU120=""),"",(JB120*('HHV-LHV-MW'!ON55/100)*IU120)^2),IF(OR(JB120="",IN120="",IQ120=""),"",(JB120*(IN120/100)*IQ120)^2))</f>
        <v/>
      </c>
      <c r="JD120" s="875" t="str">
        <f>IF(AW120="","",(VLOOKUP(AW120,'HHV-LHV-MW'!$A$3:$F$40,6,FALSE))    )</f>
        <v/>
      </c>
      <c r="JE120" s="875" t="str">
        <f>IF($BW$126=1,     IF(OR(JD120="",'HHV-LHV-MW'!ON55="",IU120=""),"",(JD120*('HHV-LHV-MW'!ON55/100)*IU120)^2),IF(OR(JD120="",IN120="",IQ120=""),"",(JD120*(IN120/100)*IQ120)^2))</f>
        <v/>
      </c>
      <c r="JF120" s="638" t="str">
        <f>IF($BW$126=1,     IF(OR(JD120="",JB120="",$AX$103="",$AX$103=0,'HHV-LHV-MW'!ON55="",IU120="",$JC$145=""),"", ((JD120*((JB120*('HHV-LHV-MW'!ON55/100))/$AX$103))^2)*((IU120^2)+($JC$145^2))),              IF(OR(JD120="",JB120="",IN120="",IQ120="",$JC$145="",$AX$103="",$AX$103=0),"",      ((JD120*((JB120*(IN120/100))/$AX$103))^2)*((IQ120^2)+($JC$145^2))             ))</f>
        <v/>
      </c>
      <c r="JG120" s="889" t="str">
        <f>IF(BC120="","",VLOOKUP(BC120,'HHV-LHV-MW'!$A$3:$H$40,4,FALSE))</f>
        <v/>
      </c>
      <c r="JH120" s="889" t="str">
        <f>IF(BC120="","",VLOOKUP(BC120,'HHV-LHV-MW'!$A$3:$H$40,5,FALSE))</f>
        <v/>
      </c>
      <c r="JI120" s="890" t="str">
        <f>IF($BW$136="","",((PRODUCT('HHV-LHV-MW'!QK55)+PRODUCT('HHV-LHV-MW'!QW55)+PRODUCT('HHV-LHV-MW'!RI55)+PRODUCT('HHV-LHV-MW'!RU55))/$BW$136))</f>
        <v/>
      </c>
      <c r="JJ120" s="890" t="str">
        <f>IF($BW$136="","",(IF($BW$136=1,"",  (SQRT(  (      (IF('HHV-LHV-MW'!QK55="",0,('HHV-LHV-MW'!QK55-JI120)^2))      +        (IF('HHV-LHV-MW'!QW55="",0,('HHV-LHV-MW'!QW55-JI120)^2))       +        (IF('HHV-LHV-MW'!RI55="",0,('HHV-LHV-MW'!RI55-JI120)^2))          +        (IF('HHV-LHV-MW'!RU55="",0,('HHV-LHV-MW'!RU55-JI120)^2))          )     *(1/($BW$136-1))  )))))</f>
        <v/>
      </c>
      <c r="JK120" s="890" t="str">
        <f>IF($BW$136="","",(IF($BW$136=1,"",(JJ120*$JK$98)/SQRT($BW$136))))</f>
        <v/>
      </c>
      <c r="JL120" s="890" t="str">
        <f>IF(OR(JI120="",JI120=0),"",JK120*100/JI120)</f>
        <v/>
      </c>
      <c r="JM120" s="636" t="str">
        <f>IF('HHV-LHV-MW'!QK55="","",IF(AND('HHV-LHV-MW'!QK55&gt;=0,'HHV-LHV-MW'!QK55&lt;=0.09),2,  IF(AND('HHV-LHV-MW'!QK55&gt;=0.1,'HHV-LHV-MW'!QK55&lt;=0.9),7,  IF(AND('HHV-LHV-MW'!QK55&gt;=1,'HHV-LHV-MW'!QK55&lt;=4.9),10,   IF(AND('HHV-LHV-MW'!QK55&gt;=5,'HHV-LHV-MW'!QK55&lt;=10),12, 15)))))</f>
        <v/>
      </c>
      <c r="JN120" s="636" t="str">
        <f>IF('HHV-LHV-MW'!QK55="","",5*'HHV-LHV-MW'!QK55)</f>
        <v/>
      </c>
      <c r="JO120" s="636" t="str">
        <f>IF(AND(JM120="",JN120=""),"",SQRT((JM120)^2+(JN120)^2))</f>
        <v/>
      </c>
      <c r="JP120" s="636" t="str">
        <f>IF(OR(JO120="",'HHV-LHV-MW'!QK55=0),"",JO120/'HHV-LHV-MW'!QK55)</f>
        <v/>
      </c>
      <c r="JQ120" s="636" t="str">
        <f>IF(OR(JP120="",JG120="",'HHV-LHV-MW'!QK55=""),"",((JP120*JG120*('HHV-LHV-MW'!QK55/100))/23.685)^2)</f>
        <v/>
      </c>
      <c r="JR120" s="636" t="str">
        <f>IF(OR(JP120="",JH120="",'HHV-LHV-MW'!QK55=""),"",((JP120*JH120*('HHV-LHV-MW'!QK55/100))/23.685)^2)</f>
        <v/>
      </c>
      <c r="JS120" s="639" t="str">
        <f>IF(OR(JL120="",JG120="",JI120=""),"",((JL120*JG120*(JI120/100))/23.685)^2)</f>
        <v/>
      </c>
      <c r="JT120" s="891" t="str">
        <f>IF(OR(JL120="",JH120="",JI120=""),"",((JL120*JH120*(JI120/100))/23.685)^2)</f>
        <v/>
      </c>
      <c r="JU120" s="637" t="str">
        <f>IF(BC120="","",VLOOKUP(BC120,'HHV-LHV-MW'!$A$3:$H$40,7,FALSE))</f>
        <v/>
      </c>
      <c r="JV120" s="875" t="str">
        <f>IF($BW$136=1,     IF(OR(JU120="",'HHV-LHV-MW'!QK55="",JP120=""),"",(JU120*('HHV-LHV-MW'!QK55/100)*JP120)^2),IF(OR(JU120="",JI120="",JL120=""),"",(JU120*(JI120/100)*JL120)^2))</f>
        <v/>
      </c>
      <c r="JW120" s="875" t="str">
        <f>IF(BC120="","",VLOOKUP(BC120,'HHV-LHV-MW'!$A$3:$I$40,9,FALSE))</f>
        <v/>
      </c>
      <c r="JX120" s="875" t="str">
        <f>IF($BW$136=1,     IF(OR(JW120="",'HHV-LHV-MW'!QK55="",JP120=""),"",(JW120*('HHV-LHV-MW'!QK55/100)*JP120)^2),IF(OR(JW120="",JI120="",JL120=""),"",(JW120*(JI120/100)*JL120)^2))</f>
        <v/>
      </c>
      <c r="JY120" s="875" t="str">
        <f>IF(BC120="","",(VLOOKUP(BC120,'HHV-LHV-MW'!$A$3:$F$40,6,FALSE))    )</f>
        <v/>
      </c>
      <c r="JZ120" s="875" t="str">
        <f>IF($BW$136=1,     IF(OR(JY120="",'HHV-LHV-MW'!QK55="",JP120=""),"",(JY120*('HHV-LHV-MW'!QK55/100)*JP120)^2),IF(OR(JY120="",JI120="",JL120=""),"",(JY120*(JI120/100)*JL120)^2))</f>
        <v/>
      </c>
      <c r="KA120" s="638" t="str">
        <f>IF($BW$136=1,     IF(OR(JY120="",JW120="",$BD$103="",$BD$103=0,'HHV-LHV-MW'!QK55="",JP120="",$JX$145=""),"", ((JY120*((JW120*('HHV-LHV-MW'!QK55/100))/$BD$103))^2)*((JP120^2)+($JX$145^2))),              IF(OR(JY120="",JW120="",JI120="",JL120="",$JX$145="",$BD$103="",$BD$103=0),"",      ((JY120*((JW120*(JI120/100))/$BD$103))^2)*((JL120^2)+($JX$145^2))             ))</f>
        <v/>
      </c>
      <c r="KB120" s="874"/>
      <c r="KC120" s="874"/>
      <c r="KD120" s="874"/>
      <c r="KE120" s="874"/>
      <c r="KF120" s="874"/>
      <c r="KG120" s="874"/>
      <c r="KH120" s="865"/>
      <c r="KI120" s="865"/>
      <c r="KJ120" s="865"/>
      <c r="KK120" s="865"/>
      <c r="KL120" s="865"/>
      <c r="KM120" s="865"/>
      <c r="KN120" s="865"/>
      <c r="KO120" s="865"/>
      <c r="KP120" s="865"/>
      <c r="KQ120" s="865"/>
      <c r="KR120" s="865"/>
      <c r="KS120" s="865"/>
      <c r="KT120" s="865"/>
      <c r="KU120" s="865"/>
      <c r="KV120" s="865"/>
      <c r="KW120" s="865"/>
      <c r="KX120" s="865"/>
      <c r="KY120" s="865"/>
      <c r="KZ120" s="865"/>
      <c r="LA120" s="865"/>
      <c r="LB120" s="865"/>
      <c r="LC120" s="865"/>
      <c r="LD120" s="865"/>
      <c r="LE120" s="865"/>
      <c r="LF120" s="865"/>
    </row>
    <row r="121" spans="1:318" ht="19.2" thickBot="1">
      <c r="A121" s="864"/>
      <c r="B121" s="502"/>
      <c r="C121" s="502"/>
      <c r="D121" s="502"/>
      <c r="E121" s="502"/>
      <c r="F121" s="511"/>
      <c r="G121" s="864"/>
      <c r="H121" s="502"/>
      <c r="I121" s="502"/>
      <c r="J121" s="502"/>
      <c r="K121" s="502"/>
      <c r="L121" s="511"/>
      <c r="M121" s="864"/>
      <c r="N121" s="502"/>
      <c r="O121" s="502"/>
      <c r="P121" s="502"/>
      <c r="Q121" s="502"/>
      <c r="R121" s="511"/>
      <c r="S121" s="864"/>
      <c r="T121" s="502"/>
      <c r="U121" s="502"/>
      <c r="V121" s="502"/>
      <c r="W121" s="502"/>
      <c r="X121" s="511"/>
      <c r="Y121" s="864"/>
      <c r="Z121" s="502"/>
      <c r="AA121" s="502"/>
      <c r="AB121" s="502"/>
      <c r="AC121" s="502"/>
      <c r="AD121" s="511"/>
      <c r="AE121" s="864"/>
      <c r="AF121" s="502"/>
      <c r="AG121" s="502"/>
      <c r="AH121" s="502"/>
      <c r="AI121" s="502"/>
      <c r="AJ121" s="511"/>
      <c r="AK121" s="864"/>
      <c r="AL121" s="502"/>
      <c r="AM121" s="502"/>
      <c r="AN121" s="502"/>
      <c r="AO121" s="502"/>
      <c r="AP121" s="511"/>
      <c r="AQ121" s="864"/>
      <c r="AR121" s="502"/>
      <c r="AS121" s="502"/>
      <c r="AT121" s="502"/>
      <c r="AU121" s="502"/>
      <c r="AV121" s="511"/>
      <c r="AW121" s="864"/>
      <c r="AX121" s="502"/>
      <c r="AY121" s="502"/>
      <c r="AZ121" s="502"/>
      <c r="BA121" s="502"/>
      <c r="BB121" s="511"/>
      <c r="BC121" s="864"/>
      <c r="BD121" s="502"/>
      <c r="BE121" s="502"/>
      <c r="BF121" s="502"/>
      <c r="BG121" s="502"/>
      <c r="BH121" s="865"/>
      <c r="BI121" s="865"/>
      <c r="BJ121" s="1143" t="s">
        <v>1509</v>
      </c>
      <c r="BK121" s="2481"/>
      <c r="BL121" s="2481"/>
      <c r="BM121" s="2481"/>
      <c r="BN121" s="1144"/>
      <c r="BO121" s="2477" t="str">
        <f>EG143</f>
        <v/>
      </c>
      <c r="BP121" s="2477"/>
      <c r="BQ121" s="865"/>
      <c r="BR121" s="1143" t="s">
        <v>1509</v>
      </c>
      <c r="BS121" s="2481"/>
      <c r="BT121" s="2481"/>
      <c r="BU121" s="2481"/>
      <c r="BV121" s="1144"/>
      <c r="BW121" s="2477" t="str">
        <f>IH143</f>
        <v/>
      </c>
      <c r="BX121" s="2477"/>
      <c r="BY121" s="874"/>
      <c r="BZ121" s="888" t="str">
        <f>IF(A121="","",VLOOKUP(A121,'HHV-LHV-MW'!$A$3:$H$40,4,FALSE))</f>
        <v/>
      </c>
      <c r="CA121" s="889" t="str">
        <f>IF(A121="","",VLOOKUP(A121,'HHV-LHV-MW'!$A$3:$H$40,5,FALSE))</f>
        <v/>
      </c>
      <c r="CB121" s="890" t="str">
        <f>IF($BO$96="","",((PRODUCT('HHV-LHV-MW'!K56)+PRODUCT('HHV-LHV-MW'!W56)+PRODUCT('HHV-LHV-MW'!AI56)+PRODUCT('HHV-LHV-MW'!AU56))/$BO$96))</f>
        <v/>
      </c>
      <c r="CC121" s="890" t="str">
        <f>IF($BO$96="","",(IF($BO$96=1,"",  (SQRT(  (      (IF('HHV-LHV-MW'!K56="",0,('HHV-LHV-MW'!K56-CB121)^2))      +        (IF('HHV-LHV-MW'!W56="",0,('HHV-LHV-MW'!W56-CB121)^2))       +        (IF('HHV-LHV-MW'!AI56="",0,('HHV-LHV-MW'!AI56-CB121)^2))          +        (IF('HHV-LHV-MW'!AU56="",0,('HHV-LHV-MW'!AU56-CB121)^2))          )     *(1/($BO$96-1))  )))))</f>
        <v/>
      </c>
      <c r="CD121" s="890" t="str">
        <f t="shared" ref="CD121:CD142" si="97">IF($BO$96="","",(IF($BO$96=1,"",(CC121*$CD$98)/SQRT($BO$96))))</f>
        <v/>
      </c>
      <c r="CE121" s="890" t="str">
        <f t="shared" ref="CE121:CE142" si="98">IF(OR(CB121="",CB121=0),"",CD121*100/CB121)</f>
        <v/>
      </c>
      <c r="CF121" s="636" t="str">
        <f>IF('HHV-LHV-MW'!K56="","",IF(AND('HHV-LHV-MW'!K56&gt;=0,'HHV-LHV-MW'!K56&lt;=0.09),2,  IF(AND('HHV-LHV-MW'!K56&gt;=0.1,'HHV-LHV-MW'!K56&lt;=0.9),7,  IF(AND('HHV-LHV-MW'!K56&gt;=1,'HHV-LHV-MW'!K56&lt;=4.9),10,   IF(AND('HHV-LHV-MW'!K56&gt;=5,'HHV-LHV-MW'!K56&lt;=10),12, 15)))))</f>
        <v/>
      </c>
      <c r="CG121" s="636" t="str">
        <f>IF('HHV-LHV-MW'!K56="","",5*'HHV-LHV-MW'!K56)</f>
        <v/>
      </c>
      <c r="CH121" s="635" t="str">
        <f t="shared" ref="CH121:CH142" si="99">IF(AND(CF121="",CG121=""),"",SQRT((CF121)^2+(CG121)^2))</f>
        <v/>
      </c>
      <c r="CI121" s="636" t="str">
        <f>IF(OR(CH121="",'HHV-LHV-MW'!K56=0),"",CH121/'HHV-LHV-MW'!K56)</f>
        <v/>
      </c>
      <c r="CJ121" s="636" t="str">
        <f>IF(OR(CI121="",BZ121="",'HHV-LHV-MW'!K56=""),"",((CI121*BZ121*('HHV-LHV-MW'!K56/100))/23.685)^2)</f>
        <v/>
      </c>
      <c r="CK121" s="636" t="str">
        <f>IF(OR(CI121="",CA121="",'HHV-LHV-MW'!K56=""),"",((CI121*CA121*('HHV-LHV-MW'!K56/100))/23.685)^2)</f>
        <v/>
      </c>
      <c r="CL121" s="639" t="str">
        <f t="shared" ref="CL121:CL142" si="100">IF(OR(CE121="",BZ121="",CB121=""),"",((CE121*BZ121*(CB121/100))/23.685)^2)</f>
        <v/>
      </c>
      <c r="CM121" s="892" t="str">
        <f t="shared" ref="CM121:CM142" si="101">IF(OR(CE121="",CA121="",CB121=""),"",((CE121*CA121*(CB121/100))/23.685)^2)</f>
        <v/>
      </c>
      <c r="CN121" s="639" t="str">
        <f>IF(A121="","",VLOOKUP(A121,'HHV-LHV-MW'!$A$3:$H$40,7,FALSE))</f>
        <v/>
      </c>
      <c r="CO121" s="636" t="str">
        <f>IF($BO$96=1,     IF(OR(CN121="",'HHV-LHV-MW'!K56="",CI121=""),"",(CN121*('HHV-LHV-MW'!K56/100)*CI121)^2),IF(OR(CN121="",CB121="",CE121=""),"",(CN121*(CB121/100)*CE121)^2))</f>
        <v/>
      </c>
      <c r="CP121" s="635" t="str">
        <f>IF(A121="","",VLOOKUP(A121,'HHV-LHV-MW'!$A$3:$I$40,9,FALSE))</f>
        <v/>
      </c>
      <c r="CQ121" s="636" t="str">
        <f>IF($BO$96=1,     IF(OR(CP121="",'HHV-LHV-MW'!K56="",CI121=""),"",(CP121*('HHV-LHV-MW'!K56/100)*CI121)^2),IF(OR(CP121="",CB121="",CE121=""),"",(CP121*(CB121/100)*CE121)^2))</f>
        <v/>
      </c>
      <c r="CR121" s="636" t="str">
        <f>IF(A121="","",(VLOOKUP(A121,'HHV-LHV-MW'!$A$3:$F$40,6,FALSE))    )</f>
        <v/>
      </c>
      <c r="CS121" s="636" t="str">
        <f>IF($BO$96=1,     IF(OR(CR121="",'HHV-LHV-MW'!K56="",CI121=""),"",(CR121*('HHV-LHV-MW'!K56/100)*CI121)^2),IF(OR(CR121="",CB121="",CE121=""),"",(CR121*(CB121/100)*CE121)^2))</f>
        <v/>
      </c>
      <c r="CT121" s="640" t="str">
        <f>IF($BO$96=1,     IF(OR(CR121="",CP121="",$B$103="",$B$103=0,'HHV-LHV-MW'!K56="",CI121="",$CQ$145=""),"", ((CR121*((CP121*('HHV-LHV-MW'!K56/100))/$B$103))^2)*((CI121^2)+($CQ$145^2))),              IF(OR(CR121="",CP121="",CB121="",CE121="",$CQ$145="",$B$103="",$B$103=0),"",      ((CR121*((CP121*(CB121/100))/$B$103))^2)*((CE121^2)+($CQ$145^2))             ))</f>
        <v/>
      </c>
      <c r="CU121" s="889" t="str">
        <f>IF(G121="","",VLOOKUP(G121,'HHV-LHV-MW'!$A$3:$H$40,4,FALSE))</f>
        <v/>
      </c>
      <c r="CV121" s="889" t="str">
        <f>IF(G121="","",VLOOKUP(G121,'HHV-LHV-MW'!$A$3:$H$40,5,FALSE))</f>
        <v/>
      </c>
      <c r="CW121" s="890" t="str">
        <f>IF($BO$106="","",((PRODUCT('HHV-LHV-MW'!BH56)+PRODUCT('HHV-LHV-MW'!BT56)+PRODUCT('HHV-LHV-MW'!CF56)+PRODUCT('HHV-LHV-MW'!CR56))/$BO$106))</f>
        <v/>
      </c>
      <c r="CX121" s="890" t="str">
        <f>IF($BO$106="","",(IF($BO$106=1,"",  (SQRT(  (      (IF('HHV-LHV-MW'!BH56="",0,('HHV-LHV-MW'!BH56-CW121)^2))      +        (IF('HHV-LHV-MW'!BT56="",0,('HHV-LHV-MW'!BT56-CW121)^2))       +        (IF('HHV-LHV-MW'!CF56="",0,('HHV-LHV-MW'!CF56-CW121)^2))          +        (IF('HHV-LHV-MW'!CR56="",0,('HHV-LHV-MW'!CR56-CW121)^2))          )     *(1/($BO$106-1))  )))))</f>
        <v/>
      </c>
      <c r="CY121" s="890" t="str">
        <f t="shared" ref="CY121:CY142" si="102">IF($BO$106="","",(IF($BO$106=1,"",(CX121*$CY$98)/SQRT($BO$106))))</f>
        <v/>
      </c>
      <c r="CZ121" s="890" t="str">
        <f t="shared" ref="CZ121:CZ142" si="103">IF(OR(CW121="",CW121=0),"",CY121*100/CW121)</f>
        <v/>
      </c>
      <c r="DA121" s="636" t="str">
        <f>IF('HHV-LHV-MW'!BH56="","",IF(AND('HHV-LHV-MW'!BH56&gt;=0,'HHV-LHV-MW'!BH56&lt;=0.09),2,  IF(AND('HHV-LHV-MW'!BH56&gt;=0.1,'HHV-LHV-MW'!BH56&lt;=0.9),7,  IF(AND('HHV-LHV-MW'!BH56&gt;=1,'HHV-LHV-MW'!BH56&lt;=4.9),10,   IF(AND('HHV-LHV-MW'!BH56&gt;=5,'HHV-LHV-MW'!BH56&lt;=10),12, 15)))))</f>
        <v/>
      </c>
      <c r="DB121" s="636" t="str">
        <f>IF('HHV-LHV-MW'!BH56="","",5*'HHV-LHV-MW'!BH56)</f>
        <v/>
      </c>
      <c r="DC121" s="635" t="str">
        <f t="shared" ref="DC121:DC142" si="104">IF(AND(DA121="",DB121=""),"",SQRT((DA121)^2+(DB121)^2))</f>
        <v/>
      </c>
      <c r="DD121" s="636" t="str">
        <f>IF(OR(DC121="",'HHV-LHV-MW'!BH56=0),"",DC121/'HHV-LHV-MW'!BH56)</f>
        <v/>
      </c>
      <c r="DE121" s="635" t="str">
        <f>IF(OR(DD121="",CU121="",'HHV-LHV-MW'!BH56=""),"",((DD121*CU121*('HHV-LHV-MW'!BH56/100))/23.685)^2)</f>
        <v/>
      </c>
      <c r="DF121" s="636" t="str">
        <f>IF(OR(DD121="",CV121="",'HHV-LHV-MW'!BH56=""),"",((DD121*CV121*('HHV-LHV-MW'!BH56/100))/23.685)^2)</f>
        <v/>
      </c>
      <c r="DG121" s="639" t="str">
        <f t="shared" ref="DG121:DG141" si="105">IF(OR(CZ121="",CU121="",CW121=""),"",((CZ121*CU121*(CW121/100))/23.685)^2)</f>
        <v/>
      </c>
      <c r="DH121" s="891" t="str">
        <f t="shared" ref="DH121:DH141" si="106">IF(OR(CZ121="",CV121="",CW121=""),"",((CZ121*CV121*(CW121/100))/23.685)^2)</f>
        <v/>
      </c>
      <c r="DI121" s="635" t="str">
        <f>IF(G121="","",VLOOKUP(G121,'HHV-LHV-MW'!$A$3:$H$40,7,FALSE))</f>
        <v/>
      </c>
      <c r="DJ121" s="875" t="str">
        <f>IF($BO$106=1,     IF(OR(DI121="",'HHV-LHV-MW'!BH56="",DD121=""),"",(DI121*('HHV-LHV-MW'!BH56/100)*DD121)^2),IF(OR(DI121="",CW121="",CZ121=""),"",(DI121*(CW121/100)*CZ121)^2))</f>
        <v/>
      </c>
      <c r="DK121" s="635" t="str">
        <f>IF(G121="","",VLOOKUP(G121,'HHV-LHV-MW'!$A$3:$I$40,9,FALSE))</f>
        <v/>
      </c>
      <c r="DL121" s="875" t="str">
        <f>IF($BO$106=1,     IF(OR(DK121="",'HHV-LHV-MW'!BH56="",DD121=""),"",(DK121*('HHV-LHV-MW'!BH56/100)*DD121)^2),IF(OR(DK121="",CW121="",CZ121=""),"",(DK121*(CW121/100)*CZ121)^2))</f>
        <v/>
      </c>
      <c r="DM121" s="635" t="str">
        <f>IF(G121="","",(VLOOKUP(G121,'HHV-LHV-MW'!$A$3:$F$40,6,FALSE))    )</f>
        <v/>
      </c>
      <c r="DN121" s="875" t="str">
        <f>IF($BO$106=1,     IF(OR(DM121="",'HHV-LHV-MW'!BH56="",DD121=""),"",(DM121*('HHV-LHV-MW'!BH56/100)*DD121)^2),IF(OR(DM121="",CW121="",CZ121=""),"",(DM121*(CW121/100)*CZ121)^2))</f>
        <v/>
      </c>
      <c r="DO121" s="638" t="str">
        <f>IF($BO$106=1,     IF(OR(DM121="",DK121="",$H$103="",$H$103=0,'HHV-LHV-MW'!BH56="",DD121="",$DL$145=""),"", ((DM121*((DK121*('HHV-LHV-MW'!BH56/100))/$H$103))^2)*((DD121^2)+($DL$145^2))),              IF(OR(DM121="",DK121="",CW121="",CZ121="",$DL$145="",$H$103="",$H$103=0),"",      ((DM121*((DK121*(CW121/100))/$H$103))^2)*((CZ121^2)+($DL$145^2))             ))</f>
        <v/>
      </c>
      <c r="DP121" s="889" t="str">
        <f>IF(M121="","",VLOOKUP(M121,'HHV-LHV-MW'!$A$3:$H$40,4,FALSE))</f>
        <v/>
      </c>
      <c r="DQ121" s="889" t="str">
        <f>IF(M121="","",VLOOKUP(M121,'HHV-LHV-MW'!$A$3:$H$40,5,FALSE))</f>
        <v/>
      </c>
      <c r="DR121" s="890" t="str">
        <f>IF($BO$116="","",((PRODUCT('HHV-LHV-MW'!DE56)+PRODUCT('HHV-LHV-MW'!DQ56)+PRODUCT('HHV-LHV-MW'!EC56)+PRODUCT('HHV-LHV-MW'!EO56))/$BO$116))</f>
        <v/>
      </c>
      <c r="DS121" s="890" t="str">
        <f>IF($BO$116="","",(IF($BO$116=1,"",  (SQRT(  (      (IF('HHV-LHV-MW'!DE56="",0,('HHV-LHV-MW'!DE56-DR121)^2))      +        (IF('HHV-LHV-MW'!DQ56="",0,('HHV-LHV-MW'!DQ56-DR121)^2))       +        (IF('HHV-LHV-MW'!EC56="",0,('HHV-LHV-MW'!EC56-DR121)^2))          +        (IF('HHV-LHV-MW'!EO56="",0,('HHV-LHV-MW'!EO56-DR121)^2))          )     *(1/($BO$116-1))  )))))</f>
        <v/>
      </c>
      <c r="DT121" s="890" t="str">
        <f t="shared" ref="DT121:DT142" si="107">IF($BO$116="","",(IF($BO$116=1,"",(DS121*$DT$98)/SQRT($BO$116))))</f>
        <v/>
      </c>
      <c r="DU121" s="890" t="str">
        <f t="shared" ref="DU121:DU142" si="108">IF(OR(DR121="",DR121=0),"",DT121*100/DR121)</f>
        <v/>
      </c>
      <c r="DV121" s="636" t="str">
        <f>IF('HHV-LHV-MW'!DE56="","",IF(AND('HHV-LHV-MW'!DE56&gt;=0,'HHV-LHV-MW'!DE56&lt;=0.09),2,  IF(AND('HHV-LHV-MW'!DE56&gt;=0.1,'HHV-LHV-MW'!DE56&lt;=0.9),7,  IF(AND('HHV-LHV-MW'!DE56&gt;=1,'HHV-LHV-MW'!DE56&lt;=4.9),10,   IF(AND('HHV-LHV-MW'!DE56&gt;=5,'HHV-LHV-MW'!DE56&lt;=10),12, 15)))))</f>
        <v/>
      </c>
      <c r="DW121" s="636" t="str">
        <f>IF('HHV-LHV-MW'!DE56="","",5*'HHV-LHV-MW'!DE56)</f>
        <v/>
      </c>
      <c r="DX121" s="635" t="str">
        <f t="shared" ref="DX121:DX142" si="109">IF(AND(DV121="",DW121=""),"",SQRT((DV121)^2+(DW121)^2))</f>
        <v/>
      </c>
      <c r="DY121" s="636" t="str">
        <f>IF(OR(DX121="",'HHV-LHV-MW'!DE56=0),"",DX121/'HHV-LHV-MW'!DE56)</f>
        <v/>
      </c>
      <c r="DZ121" s="636" t="str">
        <f>IF(OR(DY121="",DP121="",'HHV-LHV-MW'!DE56=""),"",((DY121*DP121*('HHV-LHV-MW'!DE56/100))/23.685)^2)</f>
        <v/>
      </c>
      <c r="EA121" s="636" t="str">
        <f>IF(OR(DY121="",DQ121="",'HHV-LHV-MW'!DE56=""),"",((DY121*DQ121*('HHV-LHV-MW'!DE56/100))/23.685)^2)</f>
        <v/>
      </c>
      <c r="EB121" s="639" t="str">
        <f t="shared" ref="EB121:EB142" si="110">IF(OR(DU121="",DP121="",DR121=""),"",((DU121*DP121*(DR121/100))/23.685)^2)</f>
        <v/>
      </c>
      <c r="EC121" s="891" t="str">
        <f t="shared" ref="EC121:EC141" si="111">IF(OR(DU121="",DQ121="",DR121=""),"",((DU121*DQ121*(DR121/100))/23.685)^2)</f>
        <v/>
      </c>
      <c r="ED121" s="643" t="str">
        <f>IF(M121="","",VLOOKUP(M121,'HHV-LHV-MW'!$A$3:$H$40,7,FALSE))</f>
        <v/>
      </c>
      <c r="EE121" s="875" t="str">
        <f>IF($BO$116=1,     IF(OR(ED121="",'HHV-LHV-MW'!DE56="",DY121=""),"",(ED121*('HHV-LHV-MW'!DE56/100)*DY121)^2),IF(OR(ED121="",DR121="",DU121=""),"",(ED121*(DR121/100)*DU121)^2))</f>
        <v/>
      </c>
      <c r="EF121" s="635" t="str">
        <f>IF(M121="","",VLOOKUP(M121,'HHV-LHV-MW'!$A$3:$I$40,9,FALSE))</f>
        <v/>
      </c>
      <c r="EG121" s="875" t="str">
        <f>IF($BO$116=1,     IF(OR(EF121="",'HHV-LHV-MW'!DE56="",DY121=""),"",(EF121*('HHV-LHV-MW'!DE56/100)*DY121)^2),IF(OR(EF121="",DR121="",DU121=""),"",(EF121*(DR121/100)*DU121)^2))</f>
        <v/>
      </c>
      <c r="EH121" s="635" t="str">
        <f>IF(M121="","",(VLOOKUP(M121,'HHV-LHV-MW'!$A$3:$F$40,6,FALSE))    )</f>
        <v/>
      </c>
      <c r="EI121" s="875" t="str">
        <f>IF($BO$116=1,     IF(OR(EH121="",'HHV-LHV-MW'!DE56="",DY121=""),"",(EH121*('HHV-LHV-MW'!DE56/100)*DY121)^2),IF(OR(EH121="",DR121="",DU121=""),"",(EH121*(DR121/100)*DU121)^2))</f>
        <v/>
      </c>
      <c r="EJ121" s="638" t="str">
        <f>IF($BO$116=1,     IF(OR(EH121="",EF121="",$N$103="",$N$103=0,'HHV-LHV-MW'!DE56="",DY121="",$EG$145=""),"", ((EH121*((EF121*('HHV-LHV-MW'!DE56/100))/$N$103))^2)*((DY121^2)+($EG$145^2))),              IF(OR(EH121="",EF121="",DR121="",DU121="",$EG$145="",$N$103="",$N$103=0),"",      ((EH121*((EF121*(DR121/100))/$N$103))^2)*((DU121^2)+($EG$145^2))             ))</f>
        <v/>
      </c>
      <c r="EK121" s="889" t="str">
        <f>IF(S121="","",VLOOKUP(S121,'HHV-LHV-MW'!$A$3:$H$40,4,FALSE))</f>
        <v/>
      </c>
      <c r="EL121" s="889" t="str">
        <f>IF(S121="","",VLOOKUP(S121,'HHV-LHV-MW'!$A$3:$H$40,5,FALSE))</f>
        <v/>
      </c>
      <c r="EM121" s="890" t="str">
        <f>IF($BO$126="","",((PRODUCT('HHV-LHV-MW'!FB56)+PRODUCT('HHV-LHV-MW'!FN56)+PRODUCT('HHV-LHV-MW'!FZ56)+PRODUCT('HHV-LHV-MW'!GL56))/$BO$126))</f>
        <v/>
      </c>
      <c r="EN121" s="890" t="str">
        <f>IF($BO$126="","",(IF($BO$126=1,"",  (SQRT(  (      (IF('HHV-LHV-MW'!FB56="",0,('HHV-LHV-MW'!FB56-EM121)^2))      +        (IF('HHV-LHV-MW'!FN56="",0,('HHV-LHV-MW'!FN56-EM121)^2))       +        (IF('HHV-LHV-MW'!FZ56="",0,('HHV-LHV-MW'!FZ56-EM121)^2))          +        (IF('HHV-LHV-MW'!GL56="",0,('HHV-LHV-MW'!GL56-EM121)^2))          )     *(1/($BO$126-1))  )))))</f>
        <v/>
      </c>
      <c r="EO121" s="890" t="str">
        <f t="shared" ref="EO121:EO142" si="112">IF($BO$126="","",(IF($BO$126=1,"",(EN121*$EO$98)/SQRT($BO$126))))</f>
        <v/>
      </c>
      <c r="EP121" s="890" t="str">
        <f t="shared" ref="EP121:EP142" si="113">IF(OR(EM121="",EM121=0),"",EO121*100/EM121)</f>
        <v/>
      </c>
      <c r="EQ121" s="636" t="str">
        <f>IF('HHV-LHV-MW'!FB56="","",IF(AND('HHV-LHV-MW'!FB56&gt;=0,'HHV-LHV-MW'!FB56&lt;=0.09),2,  IF(AND('HHV-LHV-MW'!FB56&gt;=0.1,'HHV-LHV-MW'!FB56&lt;=0.9),7,  IF(AND('HHV-LHV-MW'!FB56&gt;=1,'HHV-LHV-MW'!FB56&lt;=4.9),10,   IF(AND('HHV-LHV-MW'!FB56&gt;=5,'HHV-LHV-MW'!FB56&lt;=10),12, 15)))))</f>
        <v/>
      </c>
      <c r="ER121" s="636" t="str">
        <f>IF('HHV-LHV-MW'!FB56="","",5*'HHV-LHV-MW'!FB56)</f>
        <v/>
      </c>
      <c r="ES121" s="635" t="str">
        <f t="shared" ref="ES121:ES142" si="114">IF(AND(EQ121="",ER121=""),"",SQRT((EQ121)^2+(ER121)^2))</f>
        <v/>
      </c>
      <c r="ET121" s="636" t="str">
        <f>IF(OR(ES121="",'HHV-LHV-MW'!FB56=0),"",ES121/'HHV-LHV-MW'!FB56)</f>
        <v/>
      </c>
      <c r="EU121" s="636" t="str">
        <f>IF(OR(ET121="",EK121="",'HHV-LHV-MW'!FB56=""),"",((ET121*EK121*('HHV-LHV-MW'!FB56/100))/23.685)^2)</f>
        <v/>
      </c>
      <c r="EV121" s="636" t="str">
        <f>IF(OR(ET121="",EL121="",'HHV-LHV-MW'!FB56=""),"",((ET121*EL121*('HHV-LHV-MW'!FB56/100))/23.685)^2)</f>
        <v/>
      </c>
      <c r="EW121" s="639" t="str">
        <f t="shared" ref="EW121:EW142" si="115">IF(OR(EP121="",EK121="",EM121=""),"",((EP121*EK121*(EM121/100))/23.685)^2)</f>
        <v/>
      </c>
      <c r="EX121" s="891" t="str">
        <f t="shared" ref="EX121:EX142" si="116">IF(OR(EP121="",EL121="",EM121=""),"",((EP121*EL121*(EM121/100))/23.685)^2)</f>
        <v/>
      </c>
      <c r="EY121" s="643" t="str">
        <f>IF(S121="","",VLOOKUP(S121,'HHV-LHV-MW'!$A$3:$H$40,7,FALSE))</f>
        <v/>
      </c>
      <c r="EZ121" s="875" t="str">
        <f>IF($BO$126=1,     IF(OR(EY121="",'HHV-LHV-MW'!FB56="",ET121=""),"",(EY121*('HHV-LHV-MW'!FB56/100)*ET121)^2),IF(OR(EY121="",EM121="",EP121=""),"",(EY121*(EM121/100)*EP121)^2))</f>
        <v/>
      </c>
      <c r="FA121" s="635" t="str">
        <f>IF(S121="","",VLOOKUP(S121,'HHV-LHV-MW'!$A$3:$I$40,9,FALSE))</f>
        <v/>
      </c>
      <c r="FB121" s="875" t="str">
        <f>IF($BO$126=1,     IF(OR(FA121="",'HHV-LHV-MW'!FB56="",ET121=""),"",(FA121*('HHV-LHV-MW'!FB56/100)*ET121)^2),IF(OR(FA121="",EM121="",EP121=""),"",(FA121*(EM121/100)*EP121)^2))</f>
        <v/>
      </c>
      <c r="FC121" s="635" t="str">
        <f>IF(S121="","",(VLOOKUP(S121,'HHV-LHV-MW'!$A$3:$F$40,6,FALSE))    )</f>
        <v/>
      </c>
      <c r="FD121" s="875" t="str">
        <f>IF($BO$126=1,     IF(OR(FC121="",'HHV-LHV-MW'!FB56="",ET121=""),"",(FC121*('HHV-LHV-MW'!FB56/100)*ET121)^2),IF(OR(FC121="",EM121="",EP121=""),"",(FC121*(EM121/100)*EP121)^2))</f>
        <v/>
      </c>
      <c r="FE121" s="638" t="str">
        <f>IF($BO$126=1,     IF(OR(FC121="",FA121="",$T$103="",$T$103=0,'HHV-LHV-MW'!FB56="",ET121="",$FB$145=""),"", ((FC121*((FA121*('HHV-LHV-MW'!FB56/100))/$T$103))^2)*((ET121^2)+($FB$145^2))),              IF(OR(FC121="",FA121="",EM121="",EP121="",$FB$145="",$T$103="",$T$103=0),"",      ((FC121*((FA121*(EM121/100))/$T$103))^2)*((EP121^2)+($FB$145^2))             ))</f>
        <v/>
      </c>
      <c r="FF121" s="889" t="str">
        <f>IF(Y121="","",VLOOKUP(Y121,'HHV-LHV-MW'!$A$3:$H$40,4,FALSE))</f>
        <v/>
      </c>
      <c r="FG121" s="889" t="str">
        <f>IF(Y121="","",VLOOKUP(Y121,'HHV-LHV-MW'!$A$3:$H$40,5,FALSE))</f>
        <v/>
      </c>
      <c r="FH121" s="890" t="str">
        <f>IF($BO$136="","",((PRODUCT('HHV-LHV-MW'!GY56)+PRODUCT('HHV-LHV-MW'!HK56)+PRODUCT('HHV-LHV-MW'!HW56)+PRODUCT('HHV-LHV-MW'!II56))/$BO$136))</f>
        <v/>
      </c>
      <c r="FI121" s="890" t="str">
        <f>IF($BO$136="","",(IF($BO$136=1,"",  (SQRT(  (      (IF('HHV-LHV-MW'!GY56="",0,('HHV-LHV-MW'!GY56-FH121)^2))      +        (IF('HHV-LHV-MW'!HK56="",0,('HHV-LHV-MW'!HK56-FH121)^2))       +        (IF('HHV-LHV-MW'!HW56="",0,('HHV-LHV-MW'!HW56-FH121)^2))          +        (IF('HHV-LHV-MW'!II56="",0,('HHV-LHV-MW'!II56-FH121)^2))          )     *(1/($BO$136-1))  )))))</f>
        <v/>
      </c>
      <c r="FJ121" s="890" t="str">
        <f t="shared" ref="FJ121:FJ142" si="117">IF($BO$136="","",(IF($BO$136=1,"",(FI121*$FJ$98)/SQRT($BO$136))))</f>
        <v/>
      </c>
      <c r="FK121" s="890" t="str">
        <f t="shared" ref="FK121:FK142" si="118">IF(OR(FH121="",FH121=0),"",FJ121*100/FH121)</f>
        <v/>
      </c>
      <c r="FL121" s="636" t="str">
        <f>IF('HHV-LHV-MW'!GY56="","",IF(AND('HHV-LHV-MW'!GY56&gt;=0,'HHV-LHV-MW'!GY56&lt;=0.09),2,  IF(AND('HHV-LHV-MW'!GY56&gt;=0.1,'HHV-LHV-MW'!GY56&lt;=0.9),7,  IF(AND('HHV-LHV-MW'!GY56&gt;=1,'HHV-LHV-MW'!GY56&lt;=4.9),10,   IF(AND('HHV-LHV-MW'!GY56&gt;=5,'HHV-LHV-MW'!GY56&lt;=10),12, 15)))))</f>
        <v/>
      </c>
      <c r="FM121" s="636" t="str">
        <f>IF('HHV-LHV-MW'!GY56="","",5*'HHV-LHV-MW'!GY56)</f>
        <v/>
      </c>
      <c r="FN121" s="635" t="str">
        <f t="shared" ref="FN121:FN142" si="119">IF(AND(FL121="",FM121=""),"",SQRT((FL121)^2+(FM121)^2))</f>
        <v/>
      </c>
      <c r="FO121" s="636" t="str">
        <f>IF(OR(FN121="",'HHV-LHV-MW'!GY56=0),"",FN121/'HHV-LHV-MW'!GY56)</f>
        <v/>
      </c>
      <c r="FP121" s="636" t="str">
        <f>IF(OR(FO121="",FF121="",'HHV-LHV-MW'!GY56=""),"",((FO121*FF121*('HHV-LHV-MW'!GY56/100))/23.685)^2)</f>
        <v/>
      </c>
      <c r="FQ121" s="636" t="str">
        <f>IF(OR(FO121="",FG121="",'HHV-LHV-MW'!GY56=""),"",((FO121*FG121*('HHV-LHV-MW'!GY56/100))/23.685)^2)</f>
        <v/>
      </c>
      <c r="FR121" s="639" t="str">
        <f t="shared" ref="FR121:FR142" si="120">IF(OR(FK121="",FF121="",FH121=""),"",((FK121*FF121*(FH121/100))/23.685)^2)</f>
        <v/>
      </c>
      <c r="FS121" s="891" t="str">
        <f t="shared" ref="FS121:FS142" si="121">IF(OR(FK121="",FG121="",FH121=""),"",((FK121*FG121*(FH121/100))/23.685)^2)</f>
        <v/>
      </c>
      <c r="FT121" s="643" t="str">
        <f>IF(Y121="","",VLOOKUP(Y121,'HHV-LHV-MW'!$A$3:$H$40,7,FALSE))</f>
        <v/>
      </c>
      <c r="FU121" s="875" t="str">
        <f>IF($BO$136=1,     IF(OR(FT121="",'HHV-LHV-MW'!GY56="",FO121=""),"",(FT121*('HHV-LHV-MW'!GY56/100)*FO121)^2),IF(OR(FT121="",FH121="",FK121=""),"",(FT121*(FH121/100)*FK121)^2))</f>
        <v/>
      </c>
      <c r="FV121" s="635" t="str">
        <f>IF(Y121="","",VLOOKUP(Y121,'HHV-LHV-MW'!$A$3:$I$40,9,FALSE))</f>
        <v/>
      </c>
      <c r="FW121" s="875" t="str">
        <f>IF($BO$136=1,     IF(OR(FV121="",'HHV-LHV-MW'!GY56="",FO121=""),"",(FV121*('HHV-LHV-MW'!GY56/100)*FO121)^2),IF(OR(FV121="",FH121="",FK121=""),"",(FV121*(FH121/100)*FK121)^2))</f>
        <v/>
      </c>
      <c r="FX121" s="635" t="str">
        <f>IF(Y121="","",(VLOOKUP(Y121,'HHV-LHV-MW'!$A$3:$F$40,6,FALSE))    )</f>
        <v/>
      </c>
      <c r="FY121" s="875" t="str">
        <f>IF($BO$136=1,     IF(OR(FX121="",'HHV-LHV-MW'!GY56="",FO121=""),"",(FX121*('HHV-LHV-MW'!GY56/100)*FO121)^2),IF(OR(FX121="",FH121="",FK121=""),"",(FX121*(FH121/100)*FK121)^2))</f>
        <v/>
      </c>
      <c r="FZ121" s="638" t="str">
        <f>IF($BO$136=1,     IF(OR(FX121="",FV121="",$Z$103="",$Z$103=0,'HHV-LHV-MW'!GY56="",FO121="",$FW$145=""),"", ((FX121*((FV121*('HHV-LHV-MW'!GY56/100))/$Z$103))^2)*((FO121^2)+($FW$145^2))),              IF(OR(FX121="",FV121="",FH121="",FK121="",$FW$145="",$Z$103="",$Z$103=0),"",      ((FX121*((FV121*(FH121/100))/$Z$103))^2)*((FK121^2)+($FW$145^2))             ))</f>
        <v/>
      </c>
      <c r="GA121" s="889" t="str">
        <f>IF(AE121="","",VLOOKUP(AE121,'HHV-LHV-MW'!$A$3:$H$40,4,FALSE))</f>
        <v/>
      </c>
      <c r="GB121" s="889" t="str">
        <f>IF(AE121="","",VLOOKUP(AE121,'HHV-LHV-MW'!$A$3:$H$40,5,FALSE))</f>
        <v/>
      </c>
      <c r="GC121" s="890" t="str">
        <f>IF($BW$96="","",((PRODUCT('HHV-LHV-MW'!IV56)+PRODUCT('HHV-LHV-MW'!JH56)+PRODUCT('HHV-LHV-MW'!JT56)+PRODUCT('HHV-LHV-MW'!KF56))/$BW$96))</f>
        <v/>
      </c>
      <c r="GD121" s="890" t="str">
        <f>IF($BW$96="","",(IF($BW$96=1,"",  (SQRT(  (      (IF('HHV-LHV-MW'!IV56="",0,('HHV-LHV-MW'!IV56-GC121)^2))      +        (IF('HHV-LHV-MW'!JH56="",0,('HHV-LHV-MW'!JH56-GC121)^2))       +        (IF('HHV-LHV-MW'!JT56="",0,('HHV-LHV-MW'!JT56-GC121)^2))          +        (IF('HHV-LHV-MW'!KF56="",0,('HHV-LHV-MW'!KF56-GC121)^2))          )     *(1/($BW$96-1))  )))))</f>
        <v/>
      </c>
      <c r="GE121" s="890" t="str">
        <f t="shared" ref="GE121:GE142" si="122">IF($BW$96="","",(IF($BW$96=1,"",(GD121*$GE$98)/SQRT($BW$96))))</f>
        <v/>
      </c>
      <c r="GF121" s="890" t="str">
        <f t="shared" ref="GF121:GF142" si="123">IF(OR(GC121="",GC121=0),"",GE121*100/GC121)</f>
        <v/>
      </c>
      <c r="GG121" s="636" t="str">
        <f>IF('HHV-LHV-MW'!IV56="","",IF(AND('HHV-LHV-MW'!IV56&gt;=0,'HHV-LHV-MW'!IV56&lt;=0.09),2,  IF(AND('HHV-LHV-MW'!IV56&gt;=0.1,'HHV-LHV-MW'!IV56&lt;=0.9),7,  IF(AND('HHV-LHV-MW'!IV56&gt;=1,'HHV-LHV-MW'!IV56&lt;=4.9),10,   IF(AND('HHV-LHV-MW'!IV56&gt;=5,'HHV-LHV-MW'!IV56&lt;=10),12, 15)))))</f>
        <v/>
      </c>
      <c r="GH121" s="636" t="str">
        <f>IF('HHV-LHV-MW'!IV56="","",5*'HHV-LHV-MW'!IV56)</f>
        <v/>
      </c>
      <c r="GI121" s="635" t="str">
        <f t="shared" ref="GI121:GI142" si="124">IF(AND(GG121="",GH121=""),"",SQRT((GG121)^2+(GH121)^2))</f>
        <v/>
      </c>
      <c r="GJ121" s="636" t="str">
        <f>IF(OR(GI121="",'HHV-LHV-MW'!IV56=0),"",GI121/'HHV-LHV-MW'!IV56)</f>
        <v/>
      </c>
      <c r="GK121" s="636" t="str">
        <f>IF(OR(GJ121="",GA121="",'HHV-LHV-MW'!IV56=""),"",((GJ121*GA121*('HHV-LHV-MW'!IV56/100))/23.685)^2)</f>
        <v/>
      </c>
      <c r="GL121" s="636" t="str">
        <f>IF(OR(GJ121="",GB121="",'HHV-LHV-MW'!IV56=""),"",((GJ121*GB121*('HHV-LHV-MW'!IV56/100))/23.685)^2)</f>
        <v/>
      </c>
      <c r="GM121" s="639" t="str">
        <f t="shared" ref="GM121:GM142" si="125">IF(OR(GF121="",GA121="",GC121=""),"",((GF121*GA121*(GC121/100))/23.685)^2)</f>
        <v/>
      </c>
      <c r="GN121" s="891" t="str">
        <f t="shared" ref="GN121:GN142" si="126">IF(OR(GF121="",GB121="",GC121=""),"",((GF121*GB121*(GC121/100))/23.685)^2)</f>
        <v/>
      </c>
      <c r="GO121" s="643" t="str">
        <f>IF(AE121="","",VLOOKUP(AE121,'HHV-LHV-MW'!$A$3:$H$40,7,FALSE))</f>
        <v/>
      </c>
      <c r="GP121" s="875" t="str">
        <f>IF($BW$96=1,     IF(OR(GO121="",'HHV-LHV-MW'!IV56="",GJ121=""),"",(GO121*('HHV-LHV-MW'!IV56/100)*GJ121)^2),IF(OR(GO121="",GC121="",GF121=""),"",(GO121*(GC121/100)*GF121)^2))</f>
        <v/>
      </c>
      <c r="GQ121" s="635" t="str">
        <f>IF(AE121="","",VLOOKUP(AE121,'HHV-LHV-MW'!$A$3:$I$40,9,FALSE))</f>
        <v/>
      </c>
      <c r="GR121" s="875" t="str">
        <f>IF($BW$96=1,     IF(OR(GQ121="",'HHV-LHV-MW'!IV56="",GJ121=""),"",(GQ121*('HHV-LHV-MW'!IV56/100)*GJ121)^2),IF(OR(GQ121="",GC121="",GF121=""),"",(GQ121*(GC121/100)*GF121)^2))</f>
        <v/>
      </c>
      <c r="GS121" s="635" t="str">
        <f>IF(AE121="","",(VLOOKUP(AE121,'HHV-LHV-MW'!$A$3:$F$40,6,FALSE))    )</f>
        <v/>
      </c>
      <c r="GT121" s="875" t="str">
        <f>IF($BW$96=1,     IF(OR(GS121="",'HHV-LHV-MW'!IV56="",GJ121=""),"",(GS121*('HHV-LHV-MW'!IV56/100)*GJ121)^2),IF(OR(GS121="",GC121="",GF121=""),"",(GS121*(GC121/100)*GF121)^2))</f>
        <v/>
      </c>
      <c r="GU121" s="638" t="str">
        <f>IF($BW$96=1,     IF(OR(GS121="",GQ121="",$AF$103="",$AF$103=0,'HHV-LHV-MW'!IV56="",GJ121="",$GR$145=""),"", ((GS121*((GQ121*('HHV-LHV-MW'!IV56/100))/$AF$103))^2)*((GJ121^2)+($GR$145^2))),              IF(OR(GS121="",GQ121="",GC121="",GF121="",$GR$145="",$AF$103="",$AF$103=0),"",      ((GS121*((GQ121*(GC121/100))/$AF$103))^2)*((GF121^2)+($GR$145^2))             ))</f>
        <v/>
      </c>
      <c r="GV121" s="889" t="str">
        <f>IF(AK121="","",VLOOKUP(AK121,'HHV-LHV-MW'!$A$3:$H$40,4,FALSE))</f>
        <v/>
      </c>
      <c r="GW121" s="889" t="str">
        <f>IF(AK121="","",VLOOKUP(AK121,'HHV-LHV-MW'!$A$3:$H$40,5,FALSE))</f>
        <v/>
      </c>
      <c r="GX121" s="890" t="str">
        <f>IF($BW$106="","",((PRODUCT('HHV-LHV-MW'!KS56)+PRODUCT('HHV-LHV-MW'!LE56)+PRODUCT('HHV-LHV-MW'!LQ56)+PRODUCT('HHV-LHV-MW'!MC56))/$BW$106))</f>
        <v/>
      </c>
      <c r="GY121" s="890" t="str">
        <f>IF($BW$106="","",(IF($BW$106=1,"",  (SQRT(  (      (IF('HHV-LHV-MW'!KS56="",0,('HHV-LHV-MW'!KS56-GX121)^2))      +        (IF('HHV-LHV-MW'!LE56="",0,('HHV-LHV-MW'!LE56-GX121)^2))       +        (IF('HHV-LHV-MW'!LQ56="",0,('HHV-LHV-MW'!LQ56-GX121)^2))          +        (IF('HHV-LHV-MW'!MC56="",0,('HHV-LHV-MW'!MC56-GX121)^2))          )     *(1/($BW$106-1))  )))))</f>
        <v/>
      </c>
      <c r="GZ121" s="890" t="str">
        <f t="shared" ref="GZ121:GZ142" si="127">IF($BW$106="","",(IF($BW$106=1,"",(GY121*$GZ$98)/SQRT($BW$106))))</f>
        <v/>
      </c>
      <c r="HA121" s="890" t="str">
        <f t="shared" ref="HA121:HA142" si="128">IF(OR(GX121="",GX121=0),"",GZ121*100/GX121)</f>
        <v/>
      </c>
      <c r="HB121" s="636" t="str">
        <f>IF('HHV-LHV-MW'!KS56="","",IF(AND('HHV-LHV-MW'!KS56&gt;=0,'HHV-LHV-MW'!KS56&lt;=0.09),2,  IF(AND('HHV-LHV-MW'!KS56&gt;=0.1,'HHV-LHV-MW'!KS56&lt;=0.9),7,  IF(AND('HHV-LHV-MW'!KS56&gt;=1,'HHV-LHV-MW'!KS56&lt;=4.9),10,   IF(AND('HHV-LHV-MW'!KS56&gt;=5,'HHV-LHV-MW'!KS56&lt;=10),12, 15)))))</f>
        <v/>
      </c>
      <c r="HC121" s="636" t="str">
        <f>IF('HHV-LHV-MW'!KS56="","",5*'HHV-LHV-MW'!KS56)</f>
        <v/>
      </c>
      <c r="HD121" s="635" t="str">
        <f t="shared" ref="HD121:HD142" si="129">IF(AND(HB121="",HC121=""),"",SQRT((HB121)^2+(HC121)^2))</f>
        <v/>
      </c>
      <c r="HE121" s="636" t="str">
        <f>IF(OR(HD121="",'HHV-LHV-MW'!KS56=0),"",HD121/'HHV-LHV-MW'!KS56)</f>
        <v/>
      </c>
      <c r="HF121" s="636" t="str">
        <f>IF(OR(HE121="",GV121="",'HHV-LHV-MW'!KS56=""),"",((HE121*GV121*('HHV-LHV-MW'!KS56/100))/23.685)^2)</f>
        <v/>
      </c>
      <c r="HG121" s="636" t="str">
        <f>IF(OR(HE121="",GW121="",'HHV-LHV-MW'!KS56=""),"",((HE121*GW121*('HHV-LHV-MW'!KS56/100))/23.685)^2)</f>
        <v/>
      </c>
      <c r="HH121" s="639" t="str">
        <f t="shared" ref="HH121:HH142" si="130">IF(OR(HA121="",GV121="",GX121=""),"",((HA121*GV121*(GX121/100))/23.685)^2)</f>
        <v/>
      </c>
      <c r="HI121" s="891" t="str">
        <f t="shared" ref="HI121:HI142" si="131">IF(OR(HA121="",GW121="",GX121=""),"",((HA121*GW121*(GX121/100))/23.685)^2)</f>
        <v/>
      </c>
      <c r="HJ121" s="643" t="str">
        <f>IF(AK121="","",VLOOKUP(AK121,'HHV-LHV-MW'!$A$3:$H$40,7,FALSE))</f>
        <v/>
      </c>
      <c r="HK121" s="875" t="str">
        <f>IF($BW$106=1,     IF(OR(HJ121="",'HHV-LHV-MW'!KS56="",HE121=""),"",(HJ121*('HHV-LHV-MW'!KS56/100)*HE121)^2),IF(OR(HJ121="",GX121="",HA121=""),"",(HJ121*(GX121/100)*HA121)^2))</f>
        <v/>
      </c>
      <c r="HL121" s="635" t="str">
        <f>IF(AK121="","",VLOOKUP(AK121,'HHV-LHV-MW'!$A$3:$I$40,9,FALSE))</f>
        <v/>
      </c>
      <c r="HM121" s="875" t="str">
        <f>IF($BW$106=1,     IF(OR(HL121="",'HHV-LHV-MW'!KS56="",HE121=""),"",(HL121*('HHV-LHV-MW'!KS56/100)*HE121)^2),IF(OR(HL121="",GX121="",HA121=""),"",(HL121*(GX121/100)*HA121)^2))</f>
        <v/>
      </c>
      <c r="HN121" s="635" t="str">
        <f>IF(AK121="","",(VLOOKUP(AK121,'HHV-LHV-MW'!$A$3:$F$40,6,FALSE))    )</f>
        <v/>
      </c>
      <c r="HO121" s="875" t="str">
        <f>IF($BW$106=1,     IF(OR(HN121="",'HHV-LHV-MW'!KS56="",HE121=""),"",(HN121*('HHV-LHV-MW'!KS56/100)*HE121)^2),IF(OR(HN121="",GX121="",HA121=""),"",(HN121*(GX121/100)*HA121)^2))</f>
        <v/>
      </c>
      <c r="HP121" s="638" t="str">
        <f>IF($BW$106=1,     IF(OR(HN121="",HL121="",$AL$103="",$AL$103=0,'HHV-LHV-MW'!KS56="",HE121="",$HM$145=""),"", ((HN121*((HL121*('HHV-LHV-MW'!KS56/100))/$AL$103))^2)*((HE121^2)+($HM$145^2))),              IF(OR(HN121="",HL121="",GX121="",HA121="",$HM$145="",$AL$103="",$AL$103=0),"",      ((HN121*((HL121*(GX121/100))/$AL$103))^2)*((HA121^2)+($HM$145^2))             ))</f>
        <v/>
      </c>
      <c r="HQ121" s="889" t="str">
        <f>IF(AQ121="","",VLOOKUP(AQ121,'HHV-LHV-MW'!$A$3:$H$40,4,FALSE))</f>
        <v/>
      </c>
      <c r="HR121" s="889" t="str">
        <f>IF(AQ121="","",VLOOKUP(AQ121,'HHV-LHV-MW'!$A$3:$H$40,5,FALSE))</f>
        <v/>
      </c>
      <c r="HS121" s="890" t="str">
        <f>IF($BW$116="","",((PRODUCT('HHV-LHV-MW'!MP56)+PRODUCT('HHV-LHV-MW'!NB56)+PRODUCT('HHV-LHV-MW'!NN56)+PRODUCT('HHV-LHV-MW'!NZ56))/$BW$116))</f>
        <v/>
      </c>
      <c r="HT121" s="890" t="str">
        <f>IF($BW$116="","",(IF($BW$116=1,"",  (SQRT(  (      (IF('HHV-LHV-MW'!MP56="",0,('HHV-LHV-MW'!MP56-HS121)^2))      +        (IF('HHV-LHV-MW'!NB56="",0,('HHV-LHV-MW'!NB56-HS121)^2))       +        (IF('HHV-LHV-MW'!NN56="",0,('HHV-LHV-MW'!NN56-HS121)^2))          +        (IF('HHV-LHV-MW'!NZ56="",0,('HHV-LHV-MW'!NZ56-HS121)^2))          )     *(1/($BW$116-1))  )))))</f>
        <v/>
      </c>
      <c r="HU121" s="890" t="str">
        <f t="shared" ref="HU121:HU142" si="132">IF($BW$116="","",(IF($BW$116=1,"",(HT121*$HU$98)/SQRT($BW$116))))</f>
        <v/>
      </c>
      <c r="HV121" s="890" t="str">
        <f t="shared" ref="HV121:HV142" si="133">IF(OR(HS121="",HS121=0),"",HU121*100/HS121)</f>
        <v/>
      </c>
      <c r="HW121" s="636" t="str">
        <f>IF('HHV-LHV-MW'!MP56="","",IF(AND('HHV-LHV-MW'!MP56&gt;=0,'HHV-LHV-MW'!MP56&lt;=0.09),2,  IF(AND('HHV-LHV-MW'!MP56&gt;=0.1,'HHV-LHV-MW'!MP56&lt;=0.9),7,  IF(AND('HHV-LHV-MW'!MP56&gt;=1,'HHV-LHV-MW'!MP56&lt;=4.9),10,   IF(AND('HHV-LHV-MW'!MP56&gt;=5,'HHV-LHV-MW'!MP56&lt;=10),12, 15)))))</f>
        <v/>
      </c>
      <c r="HX121" s="636" t="str">
        <f>IF('HHV-LHV-MW'!MP56="","",5*'HHV-LHV-MW'!MP56)</f>
        <v/>
      </c>
      <c r="HY121" s="635" t="str">
        <f t="shared" ref="HY121:HY142" si="134">IF(AND(HW121="",HX121=""),"",SQRT((HW121)^2+(HX121)^2))</f>
        <v/>
      </c>
      <c r="HZ121" s="636" t="str">
        <f>IF(OR(HY121="",'HHV-LHV-MW'!MP56=0),"",HY121/'HHV-LHV-MW'!MP56)</f>
        <v/>
      </c>
      <c r="IA121" s="636" t="str">
        <f>IF(OR(HZ121="",HQ121="",'HHV-LHV-MW'!MP56=""),"",((HZ121*HQ121*('HHV-LHV-MW'!MP56/100))/23.685)^2)</f>
        <v/>
      </c>
      <c r="IB121" s="636" t="str">
        <f>IF(OR(HZ121="",HR121="",'HHV-LHV-MW'!MP56=""),"",((HZ121*HR121*('HHV-LHV-MW'!MP56/100))/23.685)^2)</f>
        <v/>
      </c>
      <c r="IC121" s="639" t="str">
        <f t="shared" ref="IC121:IC142" si="135">IF(OR(HV121="",HQ121="",HS121=""),"",((HV121*HQ121*(HS121/100))/23.685)^2)</f>
        <v/>
      </c>
      <c r="ID121" s="891" t="str">
        <f t="shared" ref="ID121:ID142" si="136">IF(OR(HV121="",HR121="",HS121=""),"",((HV121*HR121*(HS121/100))/23.685)^2)</f>
        <v/>
      </c>
      <c r="IE121" s="643" t="str">
        <f>IF(AQ121="","",VLOOKUP(AQ121,'HHV-LHV-MW'!$A$3:$H$40,7,FALSE))</f>
        <v/>
      </c>
      <c r="IF121" s="875" t="str">
        <f>IF($BW$116=1,     IF(OR(IE121="",'HHV-LHV-MW'!MP56="",HZ121=""),"",(IE121*('HHV-LHV-MW'!MP56/100)*HZ121)^2),IF(OR(IE121="",HS121="",HV121=""),"",(IE121*(HS121/100)*HV121)^2))</f>
        <v/>
      </c>
      <c r="IG121" s="635" t="str">
        <f>IF(AQ121="","",VLOOKUP(AQ121,'HHV-LHV-MW'!$A$3:$I$40,9,FALSE))</f>
        <v/>
      </c>
      <c r="IH121" s="875" t="str">
        <f>IF($BW$116=1,     IF(OR(IG121="",'HHV-LHV-MW'!MP56="",HZ121=""),"",(IG121*('HHV-LHV-MW'!MP56/100)*HZ121)^2),IF(OR(IG121="",HS121="",HV121=""),"",(IG121*(HS121/100)*HV121)^2))</f>
        <v/>
      </c>
      <c r="II121" s="635" t="str">
        <f>IF(AQ121="","",(VLOOKUP(AQ121,'HHV-LHV-MW'!$A$3:$F$40,6,FALSE))    )</f>
        <v/>
      </c>
      <c r="IJ121" s="875" t="str">
        <f>IF($BW$116=1,     IF(OR(II121="",'HHV-LHV-MW'!MP56="",HZ121=""),"",(II121*('HHV-LHV-MW'!MP56/100)*HZ121)^2),IF(OR(II121="",HS121="",HV121=""),"",(II121*(HS121/100)*HV121)^2))</f>
        <v/>
      </c>
      <c r="IK121" s="638" t="str">
        <f>IF($BW$116=1,     IF(OR(II121="",IG121="",$AR$103="",$AR$103=0,'HHV-LHV-MW'!MP56="",HZ121="",$IH$145=""),"", ((II121*((IG121*('HHV-LHV-MW'!MP56/100))/$AR$103))^2)*((HZ121^2)+($IH$145^2))),              IF(OR(II121="",IG121="",HS121="",HV121="",$IH$145="",$AR$103="",$AR$103=0),"",      ((II121*((IG121*(HS121/100))/$AR$103))^2)*((HV121^2)+($IH$145^2))             ))</f>
        <v/>
      </c>
      <c r="IL121" s="889" t="str">
        <f>IF(AW121="","",VLOOKUP(AW121,'HHV-LHV-MW'!$A$3:$H$40,4,FALSE))</f>
        <v/>
      </c>
      <c r="IM121" s="889" t="str">
        <f>IF(AW121="","",VLOOKUP(AW121,'HHV-LHV-MW'!$A$3:$H$40,5,FALSE))</f>
        <v/>
      </c>
      <c r="IN121" s="890" t="str">
        <f>IF($BW$126="","",((PRODUCT('HHV-LHV-MW'!ON56)+PRODUCT('HHV-LHV-MW'!OZ56)+PRODUCT('HHV-LHV-MW'!PL56)+PRODUCT('HHV-LHV-MW'!PX56))/$BW$126))</f>
        <v/>
      </c>
      <c r="IO121" s="890" t="str">
        <f>IF($BW$126="","",(IF($BW$126=1,"",  (SQRT(  (      (IF('HHV-LHV-MW'!ON56="",0,('HHV-LHV-MW'!ON56-IN121)^2))      +        (IF('HHV-LHV-MW'!OZ56="",0,('HHV-LHV-MW'!OZ56-IN121)^2))       +        (IF('HHV-LHV-MW'!PL56="",0,('HHV-LHV-MW'!PL56-IN121)^2))          +        (IF('HHV-LHV-MW'!PX56="",0,('HHV-LHV-MW'!PX56-IN121)^2))          )     *(1/($BW$126-1))  )))))</f>
        <v/>
      </c>
      <c r="IP121" s="890" t="str">
        <f t="shared" ref="IP121:IP142" si="137">IF($BW$126="","",(IF($BW$126=1,"",(IO121*$IP$98)/SQRT($BW$126))))</f>
        <v/>
      </c>
      <c r="IQ121" s="890" t="str">
        <f t="shared" ref="IQ121:IQ142" si="138">IF(OR(IN121="",IN121=0),"",IP121*100/IN121)</f>
        <v/>
      </c>
      <c r="IR121" s="636" t="str">
        <f>IF('HHV-LHV-MW'!ON56="","",IF(AND('HHV-LHV-MW'!ON56&gt;=0,'HHV-LHV-MW'!ON56&lt;=0.09),2,  IF(AND('HHV-LHV-MW'!ON56&gt;=0.1,'HHV-LHV-MW'!ON56&lt;=0.9),7,  IF(AND('HHV-LHV-MW'!ON56&gt;=1,'HHV-LHV-MW'!ON56&lt;=4.9),10,   IF(AND('HHV-LHV-MW'!ON56&gt;=5,'HHV-LHV-MW'!ON56&lt;=10),12, 15)))))</f>
        <v/>
      </c>
      <c r="IS121" s="636" t="str">
        <f>IF('HHV-LHV-MW'!ON56="","",5*'HHV-LHV-MW'!ON56)</f>
        <v/>
      </c>
      <c r="IT121" s="635" t="str">
        <f t="shared" ref="IT121:IT142" si="139">IF(AND(IR121="",IS121=""),"",SQRT((IR121)^2+(IS121)^2))</f>
        <v/>
      </c>
      <c r="IU121" s="636" t="str">
        <f>IF(OR(IT121="",'HHV-LHV-MW'!ON56=0),"",IT121/'HHV-LHV-MW'!ON56)</f>
        <v/>
      </c>
      <c r="IV121" s="636" t="str">
        <f>IF(OR(IU121="",IL121="",'HHV-LHV-MW'!ON56=""),"",((IU121*IL121*('HHV-LHV-MW'!ON56/100))/23.685)^2)</f>
        <v/>
      </c>
      <c r="IW121" s="636" t="str">
        <f>IF(OR(IU121="",IM121="",'HHV-LHV-MW'!ON56=""),"",((IU121*IM121*('HHV-LHV-MW'!ON56/100))/23.685)^2)</f>
        <v/>
      </c>
      <c r="IX121" s="639" t="str">
        <f t="shared" ref="IX121:IX142" si="140">IF(OR(IQ121="",IL121="",IN121=""),"",((IQ121*IL121*(IN121/100))/23.685)^2)</f>
        <v/>
      </c>
      <c r="IY121" s="891" t="str">
        <f t="shared" ref="IY121:IY142" si="141">IF(OR(IQ121="",IM121="",IN121=""),"",((IQ121*IM121*(IN121/100))/23.685)^2)</f>
        <v/>
      </c>
      <c r="IZ121" s="643" t="str">
        <f>IF(AW121="","",VLOOKUP(AW121,'HHV-LHV-MW'!$A$3:$H$40,7,FALSE))</f>
        <v/>
      </c>
      <c r="JA121" s="875" t="str">
        <f>IF($BW$126=1,     IF(OR(IZ121="",'HHV-LHV-MW'!ON56="",IU121=""),"",(IZ121*('HHV-LHV-MW'!ON56/100)*IU121)^2),IF(OR(IZ121="",IN121="",IQ121=""),"",(IZ121*(IN121/100)*IQ121)^2))</f>
        <v/>
      </c>
      <c r="JB121" s="635" t="str">
        <f>IF(AW121="","",VLOOKUP(AW121,'HHV-LHV-MW'!$A$3:$I$40,9,FALSE))</f>
        <v/>
      </c>
      <c r="JC121" s="875" t="str">
        <f>IF($BW$126=1,     IF(OR(JB121="",'HHV-LHV-MW'!ON56="",IU121=""),"",(JB121*('HHV-LHV-MW'!ON56/100)*IU121)^2),IF(OR(JB121="",IN121="",IQ121=""),"",(JB121*(IN121/100)*IQ121)^2))</f>
        <v/>
      </c>
      <c r="JD121" s="635" t="str">
        <f>IF(AW121="","",(VLOOKUP(AW121,'HHV-LHV-MW'!$A$3:$F$40,6,FALSE))    )</f>
        <v/>
      </c>
      <c r="JE121" s="875" t="str">
        <f>IF($BW$126=1,     IF(OR(JD121="",'HHV-LHV-MW'!ON56="",IU121=""),"",(JD121*('HHV-LHV-MW'!ON56/100)*IU121)^2),IF(OR(JD121="",IN121="",IQ121=""),"",(JD121*(IN121/100)*IQ121)^2))</f>
        <v/>
      </c>
      <c r="JF121" s="638" t="str">
        <f>IF($BW$126=1,     IF(OR(JD121="",JB121="",$AX$103="",$AX$103=0,'HHV-LHV-MW'!ON56="",IU121="",$JC$145=""),"", ((JD121*((JB121*('HHV-LHV-MW'!ON56/100))/$AX$103))^2)*((IU121^2)+($JC$145^2))),              IF(OR(JD121="",JB121="",IN121="",IQ121="",$JC$145="",$AX$103="",$AX$103=0),"",      ((JD121*((JB121*(IN121/100))/$AX$103))^2)*((IQ121^2)+($JC$145^2))             ))</f>
        <v/>
      </c>
      <c r="JG121" s="889" t="str">
        <f>IF(BC121="","",VLOOKUP(BC121,'HHV-LHV-MW'!$A$3:$H$40,4,FALSE))</f>
        <v/>
      </c>
      <c r="JH121" s="889" t="str">
        <f>IF(BC121="","",VLOOKUP(BC121,'HHV-LHV-MW'!$A$3:$H$40,5,FALSE))</f>
        <v/>
      </c>
      <c r="JI121" s="890" t="str">
        <f>IF($BW$136="","",((PRODUCT('HHV-LHV-MW'!QK56)+PRODUCT('HHV-LHV-MW'!QW56)+PRODUCT('HHV-LHV-MW'!RI56)+PRODUCT('HHV-LHV-MW'!RU56))/$BW$136))</f>
        <v/>
      </c>
      <c r="JJ121" s="890" t="str">
        <f>IF($BW$136="","",(IF($BW$136=1,"",  (SQRT(  (      (IF('HHV-LHV-MW'!QK56="",0,('HHV-LHV-MW'!QK56-JI121)^2))      +        (IF('HHV-LHV-MW'!QW56="",0,('HHV-LHV-MW'!QW56-JI121)^2))       +        (IF('HHV-LHV-MW'!RI56="",0,('HHV-LHV-MW'!RI56-JI121)^2))          +        (IF('HHV-LHV-MW'!RU56="",0,('HHV-LHV-MW'!RU56-JI121)^2))          )     *(1/($BW$136-1))  )))))</f>
        <v/>
      </c>
      <c r="JK121" s="890" t="str">
        <f t="shared" ref="JK121:JK142" si="142">IF($BW$136="","",(IF($BW$136=1,"",(JJ121*$JK$98)/SQRT($BW$136))))</f>
        <v/>
      </c>
      <c r="JL121" s="890" t="str">
        <f t="shared" ref="JL121:JL142" si="143">IF(OR(JI121="",JI121=0),"",JK121*100/JI121)</f>
        <v/>
      </c>
      <c r="JM121" s="636" t="str">
        <f>IF('HHV-LHV-MW'!QK56="","",IF(AND('HHV-LHV-MW'!QK56&gt;=0,'HHV-LHV-MW'!QK56&lt;=0.09),2,  IF(AND('HHV-LHV-MW'!QK56&gt;=0.1,'HHV-LHV-MW'!QK56&lt;=0.9),7,  IF(AND('HHV-LHV-MW'!QK56&gt;=1,'HHV-LHV-MW'!QK56&lt;=4.9),10,   IF(AND('HHV-LHV-MW'!QK56&gt;=5,'HHV-LHV-MW'!QK56&lt;=10),12, 15)))))</f>
        <v/>
      </c>
      <c r="JN121" s="636" t="str">
        <f>IF('HHV-LHV-MW'!QK56="","",5*'HHV-LHV-MW'!QK56)</f>
        <v/>
      </c>
      <c r="JO121" s="635" t="str">
        <f t="shared" ref="JO121:JO142" si="144">IF(AND(JM121="",JN121=""),"",SQRT((JM121)^2+(JN121)^2))</f>
        <v/>
      </c>
      <c r="JP121" s="636" t="str">
        <f>IF(OR(JO121="",'HHV-LHV-MW'!QK56=0),"",JO121/'HHV-LHV-MW'!QK56)</f>
        <v/>
      </c>
      <c r="JQ121" s="636" t="str">
        <f>IF(OR(JP121="",JG121="",'HHV-LHV-MW'!QK56=""),"",((JP121*JG121*('HHV-LHV-MW'!QK56/100))/23.685)^2)</f>
        <v/>
      </c>
      <c r="JR121" s="636" t="str">
        <f>IF(OR(JP121="",JH121="",'HHV-LHV-MW'!QK56=""),"",((JP121*JH121*('HHV-LHV-MW'!QK56/100))/23.685)^2)</f>
        <v/>
      </c>
      <c r="JS121" s="639" t="str">
        <f t="shared" ref="JS121:JS142" si="145">IF(OR(JL121="",JG121="",JI121=""),"",((JL121*JG121*(JI121/100))/23.685)^2)</f>
        <v/>
      </c>
      <c r="JT121" s="891" t="str">
        <f t="shared" ref="JT121:JT142" si="146">IF(OR(JL121="",JH121="",JI121=""),"",((JL121*JH121*(JI121/100))/23.685)^2)</f>
        <v/>
      </c>
      <c r="JU121" s="643" t="str">
        <f>IF(BC121="","",VLOOKUP(BC121,'HHV-LHV-MW'!$A$3:$H$40,7,FALSE))</f>
        <v/>
      </c>
      <c r="JV121" s="875" t="str">
        <f>IF($BW$136=1,     IF(OR(JU121="",'HHV-LHV-MW'!QK56="",JP121=""),"",(JU121*('HHV-LHV-MW'!QK56/100)*JP121)^2),IF(OR(JU121="",JI121="",JL121=""),"",(JU121*(JI121/100)*JL121)^2))</f>
        <v/>
      </c>
      <c r="JW121" s="635" t="str">
        <f>IF(BC121="","",VLOOKUP(BC121,'HHV-LHV-MW'!$A$3:$I$40,9,FALSE))</f>
        <v/>
      </c>
      <c r="JX121" s="875" t="str">
        <f>IF($BW$136=1,     IF(OR(JW121="",'HHV-LHV-MW'!QK56="",JP121=""),"",(JW121*('HHV-LHV-MW'!QK56/100)*JP121)^2),IF(OR(JW121="",JI121="",JL121=""),"",(JW121*(JI121/100)*JL121)^2))</f>
        <v/>
      </c>
      <c r="JY121" s="635" t="str">
        <f>IF(BC121="","",(VLOOKUP(BC121,'HHV-LHV-MW'!$A$3:$F$40,6,FALSE))    )</f>
        <v/>
      </c>
      <c r="JZ121" s="875" t="str">
        <f>IF($BW$136=1,     IF(OR(JY121="",'HHV-LHV-MW'!QK56="",JP121=""),"",(JY121*('HHV-LHV-MW'!QK56/100)*JP121)^2),IF(OR(JY121="",JI121="",JL121=""),"",(JY121*(JI121/100)*JL121)^2))</f>
        <v/>
      </c>
      <c r="KA121" s="638" t="str">
        <f>IF($BW$136=1,     IF(OR(JY121="",JW121="",$BD$103="",$BD$103=0,'HHV-LHV-MW'!QK56="",JP121="",$JX$145=""),"", ((JY121*((JW121*('HHV-LHV-MW'!QK56/100))/$BD$103))^2)*((JP121^2)+($JX$145^2))),              IF(OR(JY121="",JW121="",JI121="",JL121="",$JX$145="",$BD$103="",$BD$103=0),"",      ((JY121*((JW121*(JI121/100))/$BD$103))^2)*((JL121^2)+($JX$145^2))             ))</f>
        <v/>
      </c>
      <c r="KB121" s="874"/>
      <c r="KC121" s="874"/>
      <c r="KD121" s="874"/>
      <c r="KE121" s="874"/>
      <c r="KF121" s="874"/>
      <c r="KG121" s="874"/>
      <c r="KH121" s="865"/>
      <c r="KI121" s="865"/>
      <c r="KJ121" s="865"/>
      <c r="KK121" s="865"/>
      <c r="KL121" s="865"/>
      <c r="KM121" s="865"/>
      <c r="KN121" s="865"/>
      <c r="KO121" s="865"/>
      <c r="KP121" s="865"/>
      <c r="KQ121" s="865"/>
      <c r="KR121" s="865"/>
      <c r="KS121" s="865"/>
      <c r="KT121" s="865"/>
      <c r="KU121" s="865"/>
      <c r="KV121" s="865"/>
      <c r="KW121" s="865"/>
      <c r="KX121" s="865"/>
      <c r="KY121" s="865"/>
      <c r="KZ121" s="865"/>
      <c r="LA121" s="865"/>
      <c r="LB121" s="865"/>
      <c r="LC121" s="865"/>
      <c r="LD121" s="865"/>
      <c r="LE121" s="865"/>
      <c r="LF121" s="865"/>
    </row>
    <row r="122" spans="1:318" ht="19.2" thickBot="1">
      <c r="A122" s="864"/>
      <c r="B122" s="502"/>
      <c r="C122" s="502"/>
      <c r="D122" s="502"/>
      <c r="E122" s="502"/>
      <c r="F122" s="511"/>
      <c r="G122" s="864"/>
      <c r="H122" s="502"/>
      <c r="I122" s="502"/>
      <c r="J122" s="502"/>
      <c r="K122" s="502"/>
      <c r="L122" s="511"/>
      <c r="M122" s="864"/>
      <c r="N122" s="502"/>
      <c r="O122" s="502"/>
      <c r="P122" s="502"/>
      <c r="Q122" s="502"/>
      <c r="R122" s="511"/>
      <c r="S122" s="864"/>
      <c r="T122" s="502"/>
      <c r="U122" s="502"/>
      <c r="V122" s="502"/>
      <c r="W122" s="502"/>
      <c r="X122" s="511"/>
      <c r="Y122" s="864"/>
      <c r="Z122" s="502"/>
      <c r="AA122" s="502"/>
      <c r="AB122" s="502"/>
      <c r="AC122" s="502"/>
      <c r="AD122" s="511"/>
      <c r="AE122" s="864"/>
      <c r="AF122" s="502"/>
      <c r="AG122" s="502"/>
      <c r="AH122" s="502"/>
      <c r="AI122" s="502"/>
      <c r="AJ122" s="511"/>
      <c r="AK122" s="864"/>
      <c r="AL122" s="502"/>
      <c r="AM122" s="502"/>
      <c r="AN122" s="502"/>
      <c r="AO122" s="502"/>
      <c r="AP122" s="511"/>
      <c r="AQ122" s="864"/>
      <c r="AR122" s="502"/>
      <c r="AS122" s="502"/>
      <c r="AT122" s="502"/>
      <c r="AU122" s="502"/>
      <c r="AV122" s="511"/>
      <c r="AW122" s="864"/>
      <c r="AX122" s="502"/>
      <c r="AY122" s="502"/>
      <c r="AZ122" s="502"/>
      <c r="BA122" s="502"/>
      <c r="BB122" s="511"/>
      <c r="BC122" s="864"/>
      <c r="BD122" s="502"/>
      <c r="BE122" s="502"/>
      <c r="BF122" s="502"/>
      <c r="BG122" s="502"/>
      <c r="BH122" s="865"/>
      <c r="BI122" s="865"/>
      <c r="BJ122" s="1143" t="s">
        <v>1510</v>
      </c>
      <c r="BK122" s="2481"/>
      <c r="BL122" s="2481"/>
      <c r="BM122" s="2481"/>
      <c r="BN122" s="1144"/>
      <c r="BO122" s="2477" t="str">
        <f>EJ143</f>
        <v/>
      </c>
      <c r="BP122" s="2477"/>
      <c r="BQ122" s="865"/>
      <c r="BR122" s="1143" t="s">
        <v>1510</v>
      </c>
      <c r="BS122" s="2481"/>
      <c r="BT122" s="2481"/>
      <c r="BU122" s="2481"/>
      <c r="BV122" s="1144"/>
      <c r="BW122" s="2477" t="str">
        <f>IK143</f>
        <v/>
      </c>
      <c r="BX122" s="2477"/>
      <c r="BY122" s="874"/>
      <c r="BZ122" s="888" t="str">
        <f>IF(A122="","",VLOOKUP(A122,'HHV-LHV-MW'!$A$3:$H$40,4,FALSE))</f>
        <v/>
      </c>
      <c r="CA122" s="889" t="str">
        <f>IF(A122="","",VLOOKUP(A122,'HHV-LHV-MW'!$A$3:$H$40,5,FALSE))</f>
        <v/>
      </c>
      <c r="CB122" s="890" t="str">
        <f>IF($BO$96="","",((PRODUCT('HHV-LHV-MW'!K57)+PRODUCT('HHV-LHV-MW'!W57)+PRODUCT('HHV-LHV-MW'!AI57)+PRODUCT('HHV-LHV-MW'!AU57))/$BO$96))</f>
        <v/>
      </c>
      <c r="CC122" s="890" t="str">
        <f>IF($BO$96="","",(IF($BO$96=1,"",  (SQRT(  (      (IF('HHV-LHV-MW'!K57="",0,('HHV-LHV-MW'!K57-CB122)^2))      +        (IF('HHV-LHV-MW'!W57="",0,('HHV-LHV-MW'!W57-CB122)^2))       +        (IF('HHV-LHV-MW'!AI57="",0,('HHV-LHV-MW'!AI57-CB122)^2))          +        (IF('HHV-LHV-MW'!AU57="",0,('HHV-LHV-MW'!AU57-CB122)^2))          )     *(1/($BO$96-1))  )))))</f>
        <v/>
      </c>
      <c r="CD122" s="890" t="str">
        <f t="shared" si="97"/>
        <v/>
      </c>
      <c r="CE122" s="890" t="str">
        <f t="shared" si="98"/>
        <v/>
      </c>
      <c r="CF122" s="636" t="str">
        <f>IF('HHV-LHV-MW'!K57="","",IF(AND('HHV-LHV-MW'!K57&gt;=0,'HHV-LHV-MW'!K57&lt;=0.09),2,  IF(AND('HHV-LHV-MW'!K57&gt;=0.1,'HHV-LHV-MW'!K57&lt;=0.9),7,  IF(AND('HHV-LHV-MW'!K57&gt;=1,'HHV-LHV-MW'!K57&lt;=4.9),10,   IF(AND('HHV-LHV-MW'!K57&gt;=5,'HHV-LHV-MW'!K57&lt;=10),12, 15)))))</f>
        <v/>
      </c>
      <c r="CG122" s="636" t="str">
        <f>IF('HHV-LHV-MW'!K57="","",5*'HHV-LHV-MW'!K57)</f>
        <v/>
      </c>
      <c r="CH122" s="635" t="str">
        <f t="shared" si="99"/>
        <v/>
      </c>
      <c r="CI122" s="636" t="str">
        <f>IF(OR(CH122="",'HHV-LHV-MW'!K57=0),"",CH122/'HHV-LHV-MW'!K57)</f>
        <v/>
      </c>
      <c r="CJ122" s="636" t="str">
        <f>IF(OR(CI122="",BZ122="",'HHV-LHV-MW'!K57=""),"",((CI122*BZ122*('HHV-LHV-MW'!K57/100))/23.685)^2)</f>
        <v/>
      </c>
      <c r="CK122" s="636" t="str">
        <f>IF(OR(CI122="",CA122="",'HHV-LHV-MW'!K57=""),"",((CI122*CA122*('HHV-LHV-MW'!K57/100))/23.685)^2)</f>
        <v/>
      </c>
      <c r="CL122" s="639" t="str">
        <f t="shared" si="100"/>
        <v/>
      </c>
      <c r="CM122" s="892" t="str">
        <f t="shared" si="101"/>
        <v/>
      </c>
      <c r="CN122" s="639" t="str">
        <f>IF(A122="","",VLOOKUP(A122,'HHV-LHV-MW'!$A$3:$H$40,7,FALSE))</f>
        <v/>
      </c>
      <c r="CO122" s="636" t="str">
        <f>IF($BO$96=1,     IF(OR(CN122="",'HHV-LHV-MW'!K57="",CI122=""),"",(CN122*('HHV-LHV-MW'!K57/100)*CI122)^2),IF(OR(CN122="",CB122="",CE122=""),"",(CN122*(CB122/100)*CE122)^2))</f>
        <v/>
      </c>
      <c r="CP122" s="635" t="str">
        <f>IF(A122="","",VLOOKUP(A122,'HHV-LHV-MW'!$A$3:$I$40,9,FALSE))</f>
        <v/>
      </c>
      <c r="CQ122" s="636" t="str">
        <f>IF($BO$96=1,     IF(OR(CP122="",'HHV-LHV-MW'!K57="",CI122=""),"",(CP122*('HHV-LHV-MW'!K57/100)*CI122)^2),IF(OR(CP122="",CB122="",CE122=""),"",(CP122*(CB122/100)*CE122)^2))</f>
        <v/>
      </c>
      <c r="CR122" s="636" t="str">
        <f>IF(A122="","",(VLOOKUP(A122,'HHV-LHV-MW'!$A$3:$F$40,6,FALSE))    )</f>
        <v/>
      </c>
      <c r="CS122" s="636" t="str">
        <f>IF($BO$96=1,     IF(OR(CR122="",'HHV-LHV-MW'!K57="",CI122=""),"",(CR122*('HHV-LHV-MW'!K57/100)*CI122)^2),IF(OR(CR122="",CB122="",CE122=""),"",(CR122*(CB122/100)*CE122)^2))</f>
        <v/>
      </c>
      <c r="CT122" s="640" t="str">
        <f>IF($BO$96=1,     IF(OR(CR122="",CP122="",$B$103="",$B$103=0,'HHV-LHV-MW'!K57="",CI122="",$CQ$145=""),"", ((CR122*((CP122*('HHV-LHV-MW'!K57/100))/$B$103))^2)*((CI122^2)+($CQ$145^2))),              IF(OR(CR122="",CP122="",CB122="",CE122="",$CQ$145="",$B$103="",$B$103=0),"",      ((CR122*((CP122*(CB122/100))/$B$103))^2)*((CE122^2)+($CQ$145^2))             ))</f>
        <v/>
      </c>
      <c r="CU122" s="889" t="str">
        <f>IF(G122="","",VLOOKUP(G122,'HHV-LHV-MW'!$A$3:$H$40,4,FALSE))</f>
        <v/>
      </c>
      <c r="CV122" s="889" t="str">
        <f>IF(G122="","",VLOOKUP(G122,'HHV-LHV-MW'!$A$3:$H$40,5,FALSE))</f>
        <v/>
      </c>
      <c r="CW122" s="890" t="str">
        <f>IF($BO$106="","",((PRODUCT('HHV-LHV-MW'!BH57)+PRODUCT('HHV-LHV-MW'!BT57)+PRODUCT('HHV-LHV-MW'!CF57)+PRODUCT('HHV-LHV-MW'!CR57))/$BO$106))</f>
        <v/>
      </c>
      <c r="CX122" s="890" t="str">
        <f>IF($BO$106="","",(IF($BO$106=1,"",  (SQRT(  (      (IF('HHV-LHV-MW'!BH57="",0,('HHV-LHV-MW'!BH57-CW122)^2))      +        (IF('HHV-LHV-MW'!BT57="",0,('HHV-LHV-MW'!BT57-CW122)^2))       +        (IF('HHV-LHV-MW'!CF57="",0,('HHV-LHV-MW'!CF57-CW122)^2))          +        (IF('HHV-LHV-MW'!CR57="",0,('HHV-LHV-MW'!CR57-CW122)^2))          )     *(1/($BO$106-1))  )))))</f>
        <v/>
      </c>
      <c r="CY122" s="890" t="str">
        <f t="shared" si="102"/>
        <v/>
      </c>
      <c r="CZ122" s="890" t="str">
        <f t="shared" si="103"/>
        <v/>
      </c>
      <c r="DA122" s="636" t="str">
        <f>IF('HHV-LHV-MW'!BH57="","",IF(AND('HHV-LHV-MW'!BH57&gt;=0,'HHV-LHV-MW'!BH57&lt;=0.09),2,  IF(AND('HHV-LHV-MW'!BH57&gt;=0.1,'HHV-LHV-MW'!BH57&lt;=0.9),7,  IF(AND('HHV-LHV-MW'!BH57&gt;=1,'HHV-LHV-MW'!BH57&lt;=4.9),10,   IF(AND('HHV-LHV-MW'!BH57&gt;=5,'HHV-LHV-MW'!BH57&lt;=10),12, 15)))))</f>
        <v/>
      </c>
      <c r="DB122" s="636" t="str">
        <f>IF('HHV-LHV-MW'!BH57="","",5*'HHV-LHV-MW'!BH57)</f>
        <v/>
      </c>
      <c r="DC122" s="635" t="str">
        <f t="shared" si="104"/>
        <v/>
      </c>
      <c r="DD122" s="636" t="str">
        <f>IF(OR(DC122="",'HHV-LHV-MW'!BH57=0),"",DC122/'HHV-LHV-MW'!BH57)</f>
        <v/>
      </c>
      <c r="DE122" s="635" t="str">
        <f>IF(OR(DD122="",CU122="",'HHV-LHV-MW'!BH57=""),"",((DD122*CU122*('HHV-LHV-MW'!BH57/100))/23.685)^2)</f>
        <v/>
      </c>
      <c r="DF122" s="636" t="str">
        <f>IF(OR(DD122="",CV122="",'HHV-LHV-MW'!BH57=""),"",((DD122*CV122*('HHV-LHV-MW'!BH57/100))/23.685)^2)</f>
        <v/>
      </c>
      <c r="DG122" s="639" t="str">
        <f t="shared" si="105"/>
        <v/>
      </c>
      <c r="DH122" s="891" t="str">
        <f t="shared" si="106"/>
        <v/>
      </c>
      <c r="DI122" s="635" t="str">
        <f>IF(G122="","",VLOOKUP(G122,'HHV-LHV-MW'!$A$3:$H$40,7,FALSE))</f>
        <v/>
      </c>
      <c r="DJ122" s="875" t="str">
        <f>IF($BO$106=1,     IF(OR(DI122="",'HHV-LHV-MW'!BH57="",DD122=""),"",(DI122*('HHV-LHV-MW'!BH57/100)*DD122)^2),IF(OR(DI122="",CW122="",CZ122=""),"",(DI122*(CW122/100)*CZ122)^2))</f>
        <v/>
      </c>
      <c r="DK122" s="635" t="str">
        <f>IF(G122="","",VLOOKUP(G122,'HHV-LHV-MW'!$A$3:$I$40,9,FALSE))</f>
        <v/>
      </c>
      <c r="DL122" s="875" t="str">
        <f>IF($BO$106=1,     IF(OR(DK122="",'HHV-LHV-MW'!BH57="",DD122=""),"",(DK122*('HHV-LHV-MW'!BH57/100)*DD122)^2),IF(OR(DK122="",CW122="",CZ122=""),"",(DK122*(CW122/100)*CZ122)^2))</f>
        <v/>
      </c>
      <c r="DM122" s="635" t="str">
        <f>IF(G122="","",(VLOOKUP(G122,'HHV-LHV-MW'!$A$3:$F$40,6,FALSE))    )</f>
        <v/>
      </c>
      <c r="DN122" s="875" t="str">
        <f>IF($BO$106=1,     IF(OR(DM122="",'HHV-LHV-MW'!BH57="",DD122=""),"",(DM122*('HHV-LHV-MW'!BH57/100)*DD122)^2),IF(OR(DM122="",CW122="",CZ122=""),"",(DM122*(CW122/100)*CZ122)^2))</f>
        <v/>
      </c>
      <c r="DO122" s="638" t="str">
        <f>IF($BO$106=1,     IF(OR(DM122="",DK122="",$H$103="",$H$103=0,'HHV-LHV-MW'!BH57="",DD122="",$DL$145=""),"", ((DM122*((DK122*('HHV-LHV-MW'!BH57/100))/$H$103))^2)*((DD122^2)+($DL$145^2))),              IF(OR(DM122="",DK122="",CW122="",CZ122="",$DL$145="",$H$103="",$H$103=0),"",      ((DM122*((DK122*(CW122/100))/$H$103))^2)*((CZ122^2)+($DL$145^2))             ))</f>
        <v/>
      </c>
      <c r="DP122" s="889" t="str">
        <f>IF(M122="","",VLOOKUP(M122,'HHV-LHV-MW'!$A$3:$H$40,4,FALSE))</f>
        <v/>
      </c>
      <c r="DQ122" s="889" t="str">
        <f>IF(M122="","",VLOOKUP(M122,'HHV-LHV-MW'!$A$3:$H$40,5,FALSE))</f>
        <v/>
      </c>
      <c r="DR122" s="890" t="str">
        <f>IF($BO$116="","",((PRODUCT('HHV-LHV-MW'!DE57)+PRODUCT('HHV-LHV-MW'!DQ57)+PRODUCT('HHV-LHV-MW'!EC57)+PRODUCT('HHV-LHV-MW'!EO57))/$BO$116))</f>
        <v/>
      </c>
      <c r="DS122" s="890" t="str">
        <f>IF($BO$116="","",(IF($BO$116=1,"",  (SQRT(  (      (IF('HHV-LHV-MW'!DE57="",0,('HHV-LHV-MW'!DE57-DR122)^2))      +        (IF('HHV-LHV-MW'!DQ57="",0,('HHV-LHV-MW'!DQ57-DR122)^2))       +        (IF('HHV-LHV-MW'!EC57="",0,('HHV-LHV-MW'!EC57-DR122)^2))          +        (IF('HHV-LHV-MW'!EO57="",0,('HHV-LHV-MW'!EO57-DR122)^2))          )     *(1/($BO$116-1))  )))))</f>
        <v/>
      </c>
      <c r="DT122" s="890" t="str">
        <f t="shared" si="107"/>
        <v/>
      </c>
      <c r="DU122" s="890" t="str">
        <f t="shared" si="108"/>
        <v/>
      </c>
      <c r="DV122" s="636" t="str">
        <f>IF('HHV-LHV-MW'!DE57="","",IF(AND('HHV-LHV-MW'!DE57&gt;=0,'HHV-LHV-MW'!DE57&lt;=0.09),2,  IF(AND('HHV-LHV-MW'!DE57&gt;=0.1,'HHV-LHV-MW'!DE57&lt;=0.9),7,  IF(AND('HHV-LHV-MW'!DE57&gt;=1,'HHV-LHV-MW'!DE57&lt;=4.9),10,   IF(AND('HHV-LHV-MW'!DE57&gt;=5,'HHV-LHV-MW'!DE57&lt;=10),12, 15)))))</f>
        <v/>
      </c>
      <c r="DW122" s="636" t="str">
        <f>IF('HHV-LHV-MW'!DE57="","",5*'HHV-LHV-MW'!DE57)</f>
        <v/>
      </c>
      <c r="DX122" s="635" t="str">
        <f t="shared" si="109"/>
        <v/>
      </c>
      <c r="DY122" s="636" t="str">
        <f>IF(OR(DX122="",'HHV-LHV-MW'!DE57=0),"",DX122/'HHV-LHV-MW'!DE57)</f>
        <v/>
      </c>
      <c r="DZ122" s="636" t="str">
        <f>IF(OR(DY122="",DP122="",'HHV-LHV-MW'!DE57=""),"",((DY122*DP122*('HHV-LHV-MW'!DE57/100))/23.685)^2)</f>
        <v/>
      </c>
      <c r="EA122" s="636" t="str">
        <f>IF(OR(DY122="",DQ122="",'HHV-LHV-MW'!DE57=""),"",((DY122*DQ122*('HHV-LHV-MW'!DE57/100))/23.685)^2)</f>
        <v/>
      </c>
      <c r="EB122" s="639" t="str">
        <f t="shared" si="110"/>
        <v/>
      </c>
      <c r="EC122" s="891" t="str">
        <f t="shared" si="111"/>
        <v/>
      </c>
      <c r="ED122" s="643" t="str">
        <f>IF(M122="","",VLOOKUP(M122,'HHV-LHV-MW'!$A$3:$H$40,7,FALSE))</f>
        <v/>
      </c>
      <c r="EE122" s="875" t="str">
        <f>IF($BO$116=1,     IF(OR(ED122="",'HHV-LHV-MW'!DE57="",DY122=""),"",(ED122*('HHV-LHV-MW'!DE57/100)*DY122)^2),IF(OR(ED122="",DR122="",DU122=""),"",(ED122*(DR122/100)*DU122)^2))</f>
        <v/>
      </c>
      <c r="EF122" s="635" t="str">
        <f>IF(M122="","",VLOOKUP(M122,'HHV-LHV-MW'!$A$3:$I$40,9,FALSE))</f>
        <v/>
      </c>
      <c r="EG122" s="875" t="str">
        <f>IF($BO$116=1,     IF(OR(EF122="",'HHV-LHV-MW'!DE57="",DY122=""),"",(EF122*('HHV-LHV-MW'!DE57/100)*DY122)^2),IF(OR(EF122="",DR122="",DU122=""),"",(EF122*(DR122/100)*DU122)^2))</f>
        <v/>
      </c>
      <c r="EH122" s="635" t="str">
        <f>IF(M122="","",(VLOOKUP(M122,'HHV-LHV-MW'!$A$3:$F$40,6,FALSE))    )</f>
        <v/>
      </c>
      <c r="EI122" s="875" t="str">
        <f>IF($BO$116=1,     IF(OR(EH122="",'HHV-LHV-MW'!DE57="",DY122=""),"",(EH122*('HHV-LHV-MW'!DE57/100)*DY122)^2),IF(OR(EH122="",DR122="",DU122=""),"",(EH122*(DR122/100)*DU122)^2))</f>
        <v/>
      </c>
      <c r="EJ122" s="638" t="str">
        <f>IF($BO$116=1,     IF(OR(EH122="",EF122="",$N$103="",$N$103=0,'HHV-LHV-MW'!DE57="",DY122="",$EG$145=""),"", ((EH122*((EF122*('HHV-LHV-MW'!DE57/100))/$N$103))^2)*((DY122^2)+($EG$145^2))),              IF(OR(EH122="",EF122="",DR122="",DU122="",$EG$145="",$N$103="",$N$103=0),"",      ((EH122*((EF122*(DR122/100))/$N$103))^2)*((DU122^2)+($EG$145^2))             ))</f>
        <v/>
      </c>
      <c r="EK122" s="889" t="str">
        <f>IF(S122="","",VLOOKUP(S122,'HHV-LHV-MW'!$A$3:$H$40,4,FALSE))</f>
        <v/>
      </c>
      <c r="EL122" s="889" t="str">
        <f>IF(S122="","",VLOOKUP(S122,'HHV-LHV-MW'!$A$3:$H$40,5,FALSE))</f>
        <v/>
      </c>
      <c r="EM122" s="890" t="str">
        <f>IF($BO$126="","",((PRODUCT('HHV-LHV-MW'!FB57)+PRODUCT('HHV-LHV-MW'!FN57)+PRODUCT('HHV-LHV-MW'!FZ57)+PRODUCT('HHV-LHV-MW'!GL57))/$BO$126))</f>
        <v/>
      </c>
      <c r="EN122" s="890" t="str">
        <f>IF($BO$126="","",(IF($BO$126=1,"",  (SQRT(  (      (IF('HHV-LHV-MW'!FB57="",0,('HHV-LHV-MW'!FB57-EM122)^2))      +        (IF('HHV-LHV-MW'!FN57="",0,('HHV-LHV-MW'!FN57-EM122)^2))       +        (IF('HHV-LHV-MW'!FZ57="",0,('HHV-LHV-MW'!FZ57-EM122)^2))          +        (IF('HHV-LHV-MW'!GL57="",0,('HHV-LHV-MW'!GL57-EM122)^2))          )     *(1/($BO$126-1))  )))))</f>
        <v/>
      </c>
      <c r="EO122" s="890" t="str">
        <f t="shared" si="112"/>
        <v/>
      </c>
      <c r="EP122" s="890" t="str">
        <f t="shared" si="113"/>
        <v/>
      </c>
      <c r="EQ122" s="636" t="str">
        <f>IF('HHV-LHV-MW'!FB57="","",IF(AND('HHV-LHV-MW'!FB57&gt;=0,'HHV-LHV-MW'!FB57&lt;=0.09),2,  IF(AND('HHV-LHV-MW'!FB57&gt;=0.1,'HHV-LHV-MW'!FB57&lt;=0.9),7,  IF(AND('HHV-LHV-MW'!FB57&gt;=1,'HHV-LHV-MW'!FB57&lt;=4.9),10,   IF(AND('HHV-LHV-MW'!FB57&gt;=5,'HHV-LHV-MW'!FB57&lt;=10),12, 15)))))</f>
        <v/>
      </c>
      <c r="ER122" s="636" t="str">
        <f>IF('HHV-LHV-MW'!FB57="","",5*'HHV-LHV-MW'!FB57)</f>
        <v/>
      </c>
      <c r="ES122" s="635" t="str">
        <f t="shared" si="114"/>
        <v/>
      </c>
      <c r="ET122" s="636" t="str">
        <f>IF(OR(ES122="",'HHV-LHV-MW'!FB57=0),"",ES122/'HHV-LHV-MW'!FB57)</f>
        <v/>
      </c>
      <c r="EU122" s="636" t="str">
        <f>IF(OR(ET122="",EK122="",'HHV-LHV-MW'!FB57=""),"",((ET122*EK122*('HHV-LHV-MW'!FB57/100))/23.685)^2)</f>
        <v/>
      </c>
      <c r="EV122" s="636" t="str">
        <f>IF(OR(ET122="",EL122="",'HHV-LHV-MW'!FB57=""),"",((ET122*EL122*('HHV-LHV-MW'!FB57/100))/23.685)^2)</f>
        <v/>
      </c>
      <c r="EW122" s="639" t="str">
        <f t="shared" si="115"/>
        <v/>
      </c>
      <c r="EX122" s="891" t="str">
        <f t="shared" si="116"/>
        <v/>
      </c>
      <c r="EY122" s="643" t="str">
        <f>IF(S122="","",VLOOKUP(S122,'HHV-LHV-MW'!$A$3:$H$40,7,FALSE))</f>
        <v/>
      </c>
      <c r="EZ122" s="875" t="str">
        <f>IF($BO$126=1,     IF(OR(EY122="",'HHV-LHV-MW'!FB57="",ET122=""),"",(EY122*('HHV-LHV-MW'!FB57/100)*ET122)^2),IF(OR(EY122="",EM122="",EP122=""),"",(EY122*(EM122/100)*EP122)^2))</f>
        <v/>
      </c>
      <c r="FA122" s="635" t="str">
        <f>IF(S122="","",VLOOKUP(S122,'HHV-LHV-MW'!$A$3:$I$40,9,FALSE))</f>
        <v/>
      </c>
      <c r="FB122" s="875" t="str">
        <f>IF($BO$126=1,     IF(OR(FA122="",'HHV-LHV-MW'!FB57="",ET122=""),"",(FA122*('HHV-LHV-MW'!FB57/100)*ET122)^2),IF(OR(FA122="",EM122="",EP122=""),"",(FA122*(EM122/100)*EP122)^2))</f>
        <v/>
      </c>
      <c r="FC122" s="635" t="str">
        <f>IF(S122="","",(VLOOKUP(S122,'HHV-LHV-MW'!$A$3:$F$40,6,FALSE))    )</f>
        <v/>
      </c>
      <c r="FD122" s="875" t="str">
        <f>IF($BO$126=1,     IF(OR(FC122="",'HHV-LHV-MW'!FB57="",ET122=""),"",(FC122*('HHV-LHV-MW'!FB57/100)*ET122)^2),IF(OR(FC122="",EM122="",EP122=""),"",(FC122*(EM122/100)*EP122)^2))</f>
        <v/>
      </c>
      <c r="FE122" s="638" t="str">
        <f>IF($BO$126=1,     IF(OR(FC122="",FA122="",$T$103="",$T$103=0,'HHV-LHV-MW'!FB57="",ET122="",$FB$145=""),"", ((FC122*((FA122*('HHV-LHV-MW'!FB57/100))/$T$103))^2)*((ET122^2)+($FB$145^2))),              IF(OR(FC122="",FA122="",EM122="",EP122="",$FB$145="",$T$103="",$T$103=0),"",      ((FC122*((FA122*(EM122/100))/$T$103))^2)*((EP122^2)+($FB$145^2))             ))</f>
        <v/>
      </c>
      <c r="FF122" s="889" t="str">
        <f>IF(Y122="","",VLOOKUP(Y122,'HHV-LHV-MW'!$A$3:$H$40,4,FALSE))</f>
        <v/>
      </c>
      <c r="FG122" s="889" t="str">
        <f>IF(Y122="","",VLOOKUP(Y122,'HHV-LHV-MW'!$A$3:$H$40,5,FALSE))</f>
        <v/>
      </c>
      <c r="FH122" s="890" t="str">
        <f>IF($BO$136="","",((PRODUCT('HHV-LHV-MW'!GY57)+PRODUCT('HHV-LHV-MW'!HK57)+PRODUCT('HHV-LHV-MW'!HW57)+PRODUCT('HHV-LHV-MW'!II57))/$BO$136))</f>
        <v/>
      </c>
      <c r="FI122" s="890" t="str">
        <f>IF($BO$136="","",(IF($BO$136=1,"",  (SQRT(  (      (IF('HHV-LHV-MW'!GY57="",0,('HHV-LHV-MW'!GY57-FH122)^2))      +        (IF('HHV-LHV-MW'!HK57="",0,('HHV-LHV-MW'!HK57-FH122)^2))       +        (IF('HHV-LHV-MW'!HW57="",0,('HHV-LHV-MW'!HW57-FH122)^2))          +        (IF('HHV-LHV-MW'!II57="",0,('HHV-LHV-MW'!II57-FH122)^2))          )     *(1/($BO$136-1))  )))))</f>
        <v/>
      </c>
      <c r="FJ122" s="890" t="str">
        <f t="shared" si="117"/>
        <v/>
      </c>
      <c r="FK122" s="890" t="str">
        <f t="shared" si="118"/>
        <v/>
      </c>
      <c r="FL122" s="636" t="str">
        <f>IF('HHV-LHV-MW'!GY57="","",IF(AND('HHV-LHV-MW'!GY57&gt;=0,'HHV-LHV-MW'!GY57&lt;=0.09),2,  IF(AND('HHV-LHV-MW'!GY57&gt;=0.1,'HHV-LHV-MW'!GY57&lt;=0.9),7,  IF(AND('HHV-LHV-MW'!GY57&gt;=1,'HHV-LHV-MW'!GY57&lt;=4.9),10,   IF(AND('HHV-LHV-MW'!GY57&gt;=5,'HHV-LHV-MW'!GY57&lt;=10),12, 15)))))</f>
        <v/>
      </c>
      <c r="FM122" s="636" t="str">
        <f>IF('HHV-LHV-MW'!GY57="","",5*'HHV-LHV-MW'!GY57)</f>
        <v/>
      </c>
      <c r="FN122" s="635" t="str">
        <f t="shared" si="119"/>
        <v/>
      </c>
      <c r="FO122" s="636" t="str">
        <f>IF(OR(FN122="",'HHV-LHV-MW'!GY57=0),"",FN122/'HHV-LHV-MW'!GY57)</f>
        <v/>
      </c>
      <c r="FP122" s="636" t="str">
        <f>IF(OR(FO122="",FF122="",'HHV-LHV-MW'!GY57=""),"",((FO122*FF122*('HHV-LHV-MW'!GY57/100))/23.685)^2)</f>
        <v/>
      </c>
      <c r="FQ122" s="636" t="str">
        <f>IF(OR(FO122="",FG122="",'HHV-LHV-MW'!GY57=""),"",((FO122*FG122*('HHV-LHV-MW'!GY57/100))/23.685)^2)</f>
        <v/>
      </c>
      <c r="FR122" s="639" t="str">
        <f t="shared" si="120"/>
        <v/>
      </c>
      <c r="FS122" s="891" t="str">
        <f t="shared" si="121"/>
        <v/>
      </c>
      <c r="FT122" s="643" t="str">
        <f>IF(Y122="","",VLOOKUP(Y122,'HHV-LHV-MW'!$A$3:$H$40,7,FALSE))</f>
        <v/>
      </c>
      <c r="FU122" s="875" t="str">
        <f>IF($BO$136=1,     IF(OR(FT122="",'HHV-LHV-MW'!GY57="",FO122=""),"",(FT122*('HHV-LHV-MW'!GY57/100)*FO122)^2),IF(OR(FT122="",FH122="",FK122=""),"",(FT122*(FH122/100)*FK122)^2))</f>
        <v/>
      </c>
      <c r="FV122" s="635" t="str">
        <f>IF(Y122="","",VLOOKUP(Y122,'HHV-LHV-MW'!$A$3:$I$40,9,FALSE))</f>
        <v/>
      </c>
      <c r="FW122" s="875" t="str">
        <f>IF($BO$136=1,     IF(OR(FV122="",'HHV-LHV-MW'!GY57="",FO122=""),"",(FV122*('HHV-LHV-MW'!GY57/100)*FO122)^2),IF(OR(FV122="",FH122="",FK122=""),"",(FV122*(FH122/100)*FK122)^2))</f>
        <v/>
      </c>
      <c r="FX122" s="635" t="str">
        <f>IF(Y122="","",(VLOOKUP(Y122,'HHV-LHV-MW'!$A$3:$F$40,6,FALSE))    )</f>
        <v/>
      </c>
      <c r="FY122" s="875" t="str">
        <f>IF($BO$136=1,     IF(OR(FX122="",'HHV-LHV-MW'!GY57="",FO122=""),"",(FX122*('HHV-LHV-MW'!GY57/100)*FO122)^2),IF(OR(FX122="",FH122="",FK122=""),"",(FX122*(FH122/100)*FK122)^2))</f>
        <v/>
      </c>
      <c r="FZ122" s="638" t="str">
        <f>IF($BO$136=1,     IF(OR(FX122="",FV122="",$Z$103="",$Z$103=0,'HHV-LHV-MW'!GY57="",FO122="",$FW$145=""),"", ((FX122*((FV122*('HHV-LHV-MW'!GY57/100))/$Z$103))^2)*((FO122^2)+($FW$145^2))),              IF(OR(FX122="",FV122="",FH122="",FK122="",$FW$145="",$Z$103="",$Z$103=0),"",      ((FX122*((FV122*(FH122/100))/$Z$103))^2)*((FK122^2)+($FW$145^2))             ))</f>
        <v/>
      </c>
      <c r="GA122" s="889" t="str">
        <f>IF(AE122="","",VLOOKUP(AE122,'HHV-LHV-MW'!$A$3:$H$40,4,FALSE))</f>
        <v/>
      </c>
      <c r="GB122" s="889" t="str">
        <f>IF(AE122="","",VLOOKUP(AE122,'HHV-LHV-MW'!$A$3:$H$40,5,FALSE))</f>
        <v/>
      </c>
      <c r="GC122" s="890" t="str">
        <f>IF($BW$96="","",((PRODUCT('HHV-LHV-MW'!IV57)+PRODUCT('HHV-LHV-MW'!JH57)+PRODUCT('HHV-LHV-MW'!JT57)+PRODUCT('HHV-LHV-MW'!KF57))/$BW$96))</f>
        <v/>
      </c>
      <c r="GD122" s="890" t="str">
        <f>IF($BW$96="","",(IF($BW$96=1,"",  (SQRT(  (      (IF('HHV-LHV-MW'!IV57="",0,('HHV-LHV-MW'!IV57-GC122)^2))      +        (IF('HHV-LHV-MW'!JH57="",0,('HHV-LHV-MW'!JH57-GC122)^2))       +        (IF('HHV-LHV-MW'!JT57="",0,('HHV-LHV-MW'!JT57-GC122)^2))          +        (IF('HHV-LHV-MW'!KF57="",0,('HHV-LHV-MW'!KF57-GC122)^2))          )     *(1/($BW$96-1))  )))))</f>
        <v/>
      </c>
      <c r="GE122" s="890" t="str">
        <f t="shared" si="122"/>
        <v/>
      </c>
      <c r="GF122" s="890" t="str">
        <f t="shared" si="123"/>
        <v/>
      </c>
      <c r="GG122" s="636" t="str">
        <f>IF('HHV-LHV-MW'!IV57="","",IF(AND('HHV-LHV-MW'!IV57&gt;=0,'HHV-LHV-MW'!IV57&lt;=0.09),2,  IF(AND('HHV-LHV-MW'!IV57&gt;=0.1,'HHV-LHV-MW'!IV57&lt;=0.9),7,  IF(AND('HHV-LHV-MW'!IV57&gt;=1,'HHV-LHV-MW'!IV57&lt;=4.9),10,   IF(AND('HHV-LHV-MW'!IV57&gt;=5,'HHV-LHV-MW'!IV57&lt;=10),12, 15)))))</f>
        <v/>
      </c>
      <c r="GH122" s="636" t="str">
        <f>IF('HHV-LHV-MW'!IV57="","",5*'HHV-LHV-MW'!IV57)</f>
        <v/>
      </c>
      <c r="GI122" s="635" t="str">
        <f t="shared" si="124"/>
        <v/>
      </c>
      <c r="GJ122" s="636" t="str">
        <f>IF(OR(GI122="",'HHV-LHV-MW'!IV57=0),"",GI122/'HHV-LHV-MW'!IV57)</f>
        <v/>
      </c>
      <c r="GK122" s="636" t="str">
        <f>IF(OR(GJ122="",GA122="",'HHV-LHV-MW'!IV57=""),"",((GJ122*GA122*('HHV-LHV-MW'!IV57/100))/23.685)^2)</f>
        <v/>
      </c>
      <c r="GL122" s="636" t="str">
        <f>IF(OR(GJ122="",GB122="",'HHV-LHV-MW'!IV57=""),"",((GJ122*GB122*('HHV-LHV-MW'!IV57/100))/23.685)^2)</f>
        <v/>
      </c>
      <c r="GM122" s="639" t="str">
        <f t="shared" si="125"/>
        <v/>
      </c>
      <c r="GN122" s="891" t="str">
        <f t="shared" si="126"/>
        <v/>
      </c>
      <c r="GO122" s="643" t="str">
        <f>IF(AE122="","",VLOOKUP(AE122,'HHV-LHV-MW'!$A$3:$H$40,7,FALSE))</f>
        <v/>
      </c>
      <c r="GP122" s="875" t="str">
        <f>IF($BW$96=1,     IF(OR(GO122="",'HHV-LHV-MW'!IV57="",GJ122=""),"",(GO122*('HHV-LHV-MW'!IV57/100)*GJ122)^2),IF(OR(GO122="",GC122="",GF122=""),"",(GO122*(GC122/100)*GF122)^2))</f>
        <v/>
      </c>
      <c r="GQ122" s="635" t="str">
        <f>IF(AE122="","",VLOOKUP(AE122,'HHV-LHV-MW'!$A$3:$I$40,9,FALSE))</f>
        <v/>
      </c>
      <c r="GR122" s="875" t="str">
        <f>IF($BW$96=1,     IF(OR(GQ122="",'HHV-LHV-MW'!IV57="",GJ122=""),"",(GQ122*('HHV-LHV-MW'!IV57/100)*GJ122)^2),IF(OR(GQ122="",GC122="",GF122=""),"",(GQ122*(GC122/100)*GF122)^2))</f>
        <v/>
      </c>
      <c r="GS122" s="635" t="str">
        <f>IF(AE122="","",(VLOOKUP(AE122,'HHV-LHV-MW'!$A$3:$F$40,6,FALSE))    )</f>
        <v/>
      </c>
      <c r="GT122" s="875" t="str">
        <f>IF($BW$96=1,     IF(OR(GS122="",'HHV-LHV-MW'!IV57="",GJ122=""),"",(GS122*('HHV-LHV-MW'!IV57/100)*GJ122)^2),IF(OR(GS122="",GC122="",GF122=""),"",(GS122*(GC122/100)*GF122)^2))</f>
        <v/>
      </c>
      <c r="GU122" s="638" t="str">
        <f>IF($BW$96=1,     IF(OR(GS122="",GQ122="",$AF$103="",$AF$103=0,'HHV-LHV-MW'!IV57="",GJ122="",$GR$145=""),"", ((GS122*((GQ122*('HHV-LHV-MW'!IV57/100))/$AF$103))^2)*((GJ122^2)+($GR$145^2))),              IF(OR(GS122="",GQ122="",GC122="",GF122="",$GR$145="",$AF$103="",$AF$103=0),"",      ((GS122*((GQ122*(GC122/100))/$AF$103))^2)*((GF122^2)+($GR$145^2))             ))</f>
        <v/>
      </c>
      <c r="GV122" s="889" t="str">
        <f>IF(AK122="","",VLOOKUP(AK122,'HHV-LHV-MW'!$A$3:$H$40,4,FALSE))</f>
        <v/>
      </c>
      <c r="GW122" s="889" t="str">
        <f>IF(AK122="","",VLOOKUP(AK122,'HHV-LHV-MW'!$A$3:$H$40,5,FALSE))</f>
        <v/>
      </c>
      <c r="GX122" s="890" t="str">
        <f>IF($BW$106="","",((PRODUCT('HHV-LHV-MW'!KS57)+PRODUCT('HHV-LHV-MW'!LE57)+PRODUCT('HHV-LHV-MW'!LQ57)+PRODUCT('HHV-LHV-MW'!MC57))/$BW$106))</f>
        <v/>
      </c>
      <c r="GY122" s="890" t="str">
        <f>IF($BW$106="","",(IF($BW$106=1,"",  (SQRT(  (      (IF('HHV-LHV-MW'!KS57="",0,('HHV-LHV-MW'!KS57-GX122)^2))      +        (IF('HHV-LHV-MW'!LE57="",0,('HHV-LHV-MW'!LE57-GX122)^2))       +        (IF('HHV-LHV-MW'!LQ57="",0,('HHV-LHV-MW'!LQ57-GX122)^2))          +        (IF('HHV-LHV-MW'!MC57="",0,('HHV-LHV-MW'!MC57-GX122)^2))          )     *(1/($BW$106-1))  )))))</f>
        <v/>
      </c>
      <c r="GZ122" s="890" t="str">
        <f t="shared" si="127"/>
        <v/>
      </c>
      <c r="HA122" s="890" t="str">
        <f t="shared" si="128"/>
        <v/>
      </c>
      <c r="HB122" s="636" t="str">
        <f>IF('HHV-LHV-MW'!KS57="","",IF(AND('HHV-LHV-MW'!KS57&gt;=0,'HHV-LHV-MW'!KS57&lt;=0.09),2,  IF(AND('HHV-LHV-MW'!KS57&gt;=0.1,'HHV-LHV-MW'!KS57&lt;=0.9),7,  IF(AND('HHV-LHV-MW'!KS57&gt;=1,'HHV-LHV-MW'!KS57&lt;=4.9),10,   IF(AND('HHV-LHV-MW'!KS57&gt;=5,'HHV-LHV-MW'!KS57&lt;=10),12, 15)))))</f>
        <v/>
      </c>
      <c r="HC122" s="636" t="str">
        <f>IF('HHV-LHV-MW'!KS57="","",5*'HHV-LHV-MW'!KS57)</f>
        <v/>
      </c>
      <c r="HD122" s="635" t="str">
        <f t="shared" si="129"/>
        <v/>
      </c>
      <c r="HE122" s="636" t="str">
        <f>IF(OR(HD122="",'HHV-LHV-MW'!KS57=0),"",HD122/'HHV-LHV-MW'!KS57)</f>
        <v/>
      </c>
      <c r="HF122" s="636" t="str">
        <f>IF(OR(HE122="",GV122="",'HHV-LHV-MW'!KS57=""),"",((HE122*GV122*('HHV-LHV-MW'!KS57/100))/23.685)^2)</f>
        <v/>
      </c>
      <c r="HG122" s="636" t="str">
        <f>IF(OR(HE122="",GW122="",'HHV-LHV-MW'!KS57=""),"",((HE122*GW122*('HHV-LHV-MW'!KS57/100))/23.685)^2)</f>
        <v/>
      </c>
      <c r="HH122" s="639" t="str">
        <f t="shared" si="130"/>
        <v/>
      </c>
      <c r="HI122" s="891" t="str">
        <f t="shared" si="131"/>
        <v/>
      </c>
      <c r="HJ122" s="643" t="str">
        <f>IF(AK122="","",VLOOKUP(AK122,'HHV-LHV-MW'!$A$3:$H$40,7,FALSE))</f>
        <v/>
      </c>
      <c r="HK122" s="875" t="str">
        <f>IF($BW$106=1,     IF(OR(HJ122="",'HHV-LHV-MW'!KS57="",HE122=""),"",(HJ122*('HHV-LHV-MW'!KS57/100)*HE122)^2),IF(OR(HJ122="",GX122="",HA122=""),"",(HJ122*(GX122/100)*HA122)^2))</f>
        <v/>
      </c>
      <c r="HL122" s="635" t="str">
        <f>IF(AK122="","",VLOOKUP(AK122,'HHV-LHV-MW'!$A$3:$I$40,9,FALSE))</f>
        <v/>
      </c>
      <c r="HM122" s="875" t="str">
        <f>IF($BW$106=1,     IF(OR(HL122="",'HHV-LHV-MW'!KS57="",HE122=""),"",(HL122*('HHV-LHV-MW'!KS57/100)*HE122)^2),IF(OR(HL122="",GX122="",HA122=""),"",(HL122*(GX122/100)*HA122)^2))</f>
        <v/>
      </c>
      <c r="HN122" s="635" t="str">
        <f>IF(AK122="","",(VLOOKUP(AK122,'HHV-LHV-MW'!$A$3:$F$40,6,FALSE))    )</f>
        <v/>
      </c>
      <c r="HO122" s="875" t="str">
        <f>IF($BW$106=1,     IF(OR(HN122="",'HHV-LHV-MW'!KS57="",HE122=""),"",(HN122*('HHV-LHV-MW'!KS57/100)*HE122)^2),IF(OR(HN122="",GX122="",HA122=""),"",(HN122*(GX122/100)*HA122)^2))</f>
        <v/>
      </c>
      <c r="HP122" s="638" t="str">
        <f>IF($BW$106=1,     IF(OR(HN122="",HL122="",$AL$103="",$AL$103=0,'HHV-LHV-MW'!KS57="",HE122="",$HM$145=""),"", ((HN122*((HL122*('HHV-LHV-MW'!KS57/100))/$AL$103))^2)*((HE122^2)+($HM$145^2))),              IF(OR(HN122="",HL122="",GX122="",HA122="",$HM$145="",$AL$103="",$AL$103=0),"",      ((HN122*((HL122*(GX122/100))/$AL$103))^2)*((HA122^2)+($HM$145^2))             ))</f>
        <v/>
      </c>
      <c r="HQ122" s="889" t="str">
        <f>IF(AQ122="","",VLOOKUP(AQ122,'HHV-LHV-MW'!$A$3:$H$40,4,FALSE))</f>
        <v/>
      </c>
      <c r="HR122" s="889" t="str">
        <f>IF(AQ122="","",VLOOKUP(AQ122,'HHV-LHV-MW'!$A$3:$H$40,5,FALSE))</f>
        <v/>
      </c>
      <c r="HS122" s="890" t="str">
        <f>IF($BW$116="","",((PRODUCT('HHV-LHV-MW'!MP57)+PRODUCT('HHV-LHV-MW'!NB57)+PRODUCT('HHV-LHV-MW'!NN57)+PRODUCT('HHV-LHV-MW'!NZ57))/$BW$116))</f>
        <v/>
      </c>
      <c r="HT122" s="890" t="str">
        <f>IF($BW$116="","",(IF($BW$116=1,"",  (SQRT(  (      (IF('HHV-LHV-MW'!MP57="",0,('HHV-LHV-MW'!MP57-HS122)^2))      +        (IF('HHV-LHV-MW'!NB57="",0,('HHV-LHV-MW'!NB57-HS122)^2))       +        (IF('HHV-LHV-MW'!NN57="",0,('HHV-LHV-MW'!NN57-HS122)^2))          +        (IF('HHV-LHV-MW'!NZ57="",0,('HHV-LHV-MW'!NZ57-HS122)^2))          )     *(1/($BW$116-1))  )))))</f>
        <v/>
      </c>
      <c r="HU122" s="890" t="str">
        <f t="shared" si="132"/>
        <v/>
      </c>
      <c r="HV122" s="890" t="str">
        <f t="shared" si="133"/>
        <v/>
      </c>
      <c r="HW122" s="636" t="str">
        <f>IF('HHV-LHV-MW'!MP57="","",IF(AND('HHV-LHV-MW'!MP57&gt;=0,'HHV-LHV-MW'!MP57&lt;=0.09),2,  IF(AND('HHV-LHV-MW'!MP57&gt;=0.1,'HHV-LHV-MW'!MP57&lt;=0.9),7,  IF(AND('HHV-LHV-MW'!MP57&gt;=1,'HHV-LHV-MW'!MP57&lt;=4.9),10,   IF(AND('HHV-LHV-MW'!MP57&gt;=5,'HHV-LHV-MW'!MP57&lt;=10),12, 15)))))</f>
        <v/>
      </c>
      <c r="HX122" s="636" t="str">
        <f>IF('HHV-LHV-MW'!MP57="","",5*'HHV-LHV-MW'!MP57)</f>
        <v/>
      </c>
      <c r="HY122" s="635" t="str">
        <f t="shared" si="134"/>
        <v/>
      </c>
      <c r="HZ122" s="636" t="str">
        <f>IF(OR(HY122="",'HHV-LHV-MW'!MP57=0),"",HY122/'HHV-LHV-MW'!MP57)</f>
        <v/>
      </c>
      <c r="IA122" s="636" t="str">
        <f>IF(OR(HZ122="",HQ122="",'HHV-LHV-MW'!MP57=""),"",((HZ122*HQ122*('HHV-LHV-MW'!MP57/100))/23.685)^2)</f>
        <v/>
      </c>
      <c r="IB122" s="636" t="str">
        <f>IF(OR(HZ122="",HR122="",'HHV-LHV-MW'!MP57=""),"",((HZ122*HR122*('HHV-LHV-MW'!MP57/100))/23.685)^2)</f>
        <v/>
      </c>
      <c r="IC122" s="639" t="str">
        <f t="shared" si="135"/>
        <v/>
      </c>
      <c r="ID122" s="891" t="str">
        <f t="shared" si="136"/>
        <v/>
      </c>
      <c r="IE122" s="643" t="str">
        <f>IF(AQ122="","",VLOOKUP(AQ122,'HHV-LHV-MW'!$A$3:$H$40,7,FALSE))</f>
        <v/>
      </c>
      <c r="IF122" s="875" t="str">
        <f>IF($BW$116=1,     IF(OR(IE122="",'HHV-LHV-MW'!MP57="",HZ122=""),"",(IE122*('HHV-LHV-MW'!MP57/100)*HZ122)^2),IF(OR(IE122="",HS122="",HV122=""),"",(IE122*(HS122/100)*HV122)^2))</f>
        <v/>
      </c>
      <c r="IG122" s="635" t="str">
        <f>IF(AQ122="","",VLOOKUP(AQ122,'HHV-LHV-MW'!$A$3:$I$40,9,FALSE))</f>
        <v/>
      </c>
      <c r="IH122" s="875" t="str">
        <f>IF($BW$116=1,     IF(OR(IG122="",'HHV-LHV-MW'!MP57="",HZ122=""),"",(IG122*('HHV-LHV-MW'!MP57/100)*HZ122)^2),IF(OR(IG122="",HS122="",HV122=""),"",(IG122*(HS122/100)*HV122)^2))</f>
        <v/>
      </c>
      <c r="II122" s="635" t="str">
        <f>IF(AQ122="","",(VLOOKUP(AQ122,'HHV-LHV-MW'!$A$3:$F$40,6,FALSE))    )</f>
        <v/>
      </c>
      <c r="IJ122" s="875" t="str">
        <f>IF($BW$116=1,     IF(OR(II122="",'HHV-LHV-MW'!MP57="",HZ122=""),"",(II122*('HHV-LHV-MW'!MP57/100)*HZ122)^2),IF(OR(II122="",HS122="",HV122=""),"",(II122*(HS122/100)*HV122)^2))</f>
        <v/>
      </c>
      <c r="IK122" s="638" t="str">
        <f>IF($BW$116=1,     IF(OR(II122="",IG122="",$AR$103="",$AR$103=0,'HHV-LHV-MW'!MP57="",HZ122="",$IH$145=""),"", ((II122*((IG122*('HHV-LHV-MW'!MP57/100))/$AR$103))^2)*((HZ122^2)+($IH$145^2))),              IF(OR(II122="",IG122="",HS122="",HV122="",$IH$145="",$AR$103="",$AR$103=0),"",      ((II122*((IG122*(HS122/100))/$AR$103))^2)*((HV122^2)+($IH$145^2))             ))</f>
        <v/>
      </c>
      <c r="IL122" s="889" t="str">
        <f>IF(AW122="","",VLOOKUP(AW122,'HHV-LHV-MW'!$A$3:$H$40,4,FALSE))</f>
        <v/>
      </c>
      <c r="IM122" s="889" t="str">
        <f>IF(AW122="","",VLOOKUP(AW122,'HHV-LHV-MW'!$A$3:$H$40,5,FALSE))</f>
        <v/>
      </c>
      <c r="IN122" s="890" t="str">
        <f>IF($BW$126="","",((PRODUCT('HHV-LHV-MW'!ON57)+PRODUCT('HHV-LHV-MW'!OZ57)+PRODUCT('HHV-LHV-MW'!PL57)+PRODUCT('HHV-LHV-MW'!PX57))/$BW$126))</f>
        <v/>
      </c>
      <c r="IO122" s="890" t="str">
        <f>IF($BW$126="","",(IF($BW$126=1,"",  (SQRT(  (      (IF('HHV-LHV-MW'!ON57="",0,('HHV-LHV-MW'!ON57-IN122)^2))      +        (IF('HHV-LHV-MW'!OZ57="",0,('HHV-LHV-MW'!OZ57-IN122)^2))       +        (IF('HHV-LHV-MW'!PL57="",0,('HHV-LHV-MW'!PL57-IN122)^2))          +        (IF('HHV-LHV-MW'!PX57="",0,('HHV-LHV-MW'!PX57-IN122)^2))          )     *(1/($BW$126-1))  )))))</f>
        <v/>
      </c>
      <c r="IP122" s="890" t="str">
        <f t="shared" si="137"/>
        <v/>
      </c>
      <c r="IQ122" s="890" t="str">
        <f t="shared" si="138"/>
        <v/>
      </c>
      <c r="IR122" s="636" t="str">
        <f>IF('HHV-LHV-MW'!ON57="","",IF(AND('HHV-LHV-MW'!ON57&gt;=0,'HHV-LHV-MW'!ON57&lt;=0.09),2,  IF(AND('HHV-LHV-MW'!ON57&gt;=0.1,'HHV-LHV-MW'!ON57&lt;=0.9),7,  IF(AND('HHV-LHV-MW'!ON57&gt;=1,'HHV-LHV-MW'!ON57&lt;=4.9),10,   IF(AND('HHV-LHV-MW'!ON57&gt;=5,'HHV-LHV-MW'!ON57&lt;=10),12, 15)))))</f>
        <v/>
      </c>
      <c r="IS122" s="636" t="str">
        <f>IF('HHV-LHV-MW'!ON57="","",5*'HHV-LHV-MW'!ON57)</f>
        <v/>
      </c>
      <c r="IT122" s="635" t="str">
        <f t="shared" si="139"/>
        <v/>
      </c>
      <c r="IU122" s="636" t="str">
        <f>IF(OR(IT122="",'HHV-LHV-MW'!ON57=0),"",IT122/'HHV-LHV-MW'!ON57)</f>
        <v/>
      </c>
      <c r="IV122" s="636" t="str">
        <f>IF(OR(IU122="",IL122="",'HHV-LHV-MW'!ON57=""),"",((IU122*IL122*('HHV-LHV-MW'!ON57/100))/23.685)^2)</f>
        <v/>
      </c>
      <c r="IW122" s="636" t="str">
        <f>IF(OR(IU122="",IM122="",'HHV-LHV-MW'!ON57=""),"",((IU122*IM122*('HHV-LHV-MW'!ON57/100))/23.685)^2)</f>
        <v/>
      </c>
      <c r="IX122" s="639" t="str">
        <f t="shared" si="140"/>
        <v/>
      </c>
      <c r="IY122" s="891" t="str">
        <f t="shared" si="141"/>
        <v/>
      </c>
      <c r="IZ122" s="643" t="str">
        <f>IF(AW122="","",VLOOKUP(AW122,'HHV-LHV-MW'!$A$3:$H$40,7,FALSE))</f>
        <v/>
      </c>
      <c r="JA122" s="875" t="str">
        <f>IF($BW$126=1,     IF(OR(IZ122="",'HHV-LHV-MW'!ON57="",IU122=""),"",(IZ122*('HHV-LHV-MW'!ON57/100)*IU122)^2),IF(OR(IZ122="",IN122="",IQ122=""),"",(IZ122*(IN122/100)*IQ122)^2))</f>
        <v/>
      </c>
      <c r="JB122" s="635" t="str">
        <f>IF(AW122="","",VLOOKUP(AW122,'HHV-LHV-MW'!$A$3:$I$40,9,FALSE))</f>
        <v/>
      </c>
      <c r="JC122" s="875" t="str">
        <f>IF($BW$126=1,     IF(OR(JB122="",'HHV-LHV-MW'!ON57="",IU122=""),"",(JB122*('HHV-LHV-MW'!ON57/100)*IU122)^2),IF(OR(JB122="",IN122="",IQ122=""),"",(JB122*(IN122/100)*IQ122)^2))</f>
        <v/>
      </c>
      <c r="JD122" s="635" t="str">
        <f>IF(AW122="","",(VLOOKUP(AW122,'HHV-LHV-MW'!$A$3:$F$40,6,FALSE))    )</f>
        <v/>
      </c>
      <c r="JE122" s="875" t="str">
        <f>IF($BW$126=1,     IF(OR(JD122="",'HHV-LHV-MW'!ON57="",IU122=""),"",(JD122*('HHV-LHV-MW'!ON57/100)*IU122)^2),IF(OR(JD122="",IN122="",IQ122=""),"",(JD122*(IN122/100)*IQ122)^2))</f>
        <v/>
      </c>
      <c r="JF122" s="638" t="str">
        <f>IF($BW$126=1,     IF(OR(JD122="",JB122="",$AX$103="",$AX$103=0,'HHV-LHV-MW'!ON57="",IU122="",$JC$145=""),"", ((JD122*((JB122*('HHV-LHV-MW'!ON57/100))/$AX$103))^2)*((IU122^2)+($JC$145^2))),              IF(OR(JD122="",JB122="",IN122="",IQ122="",$JC$145="",$AX$103="",$AX$103=0),"",      ((JD122*((JB122*(IN122/100))/$AX$103))^2)*((IQ122^2)+($JC$145^2))             ))</f>
        <v/>
      </c>
      <c r="JG122" s="889" t="str">
        <f>IF(BC122="","",VLOOKUP(BC122,'HHV-LHV-MW'!$A$3:$H$40,4,FALSE))</f>
        <v/>
      </c>
      <c r="JH122" s="889" t="str">
        <f>IF(BC122="","",VLOOKUP(BC122,'HHV-LHV-MW'!$A$3:$H$40,5,FALSE))</f>
        <v/>
      </c>
      <c r="JI122" s="890" t="str">
        <f>IF($BW$136="","",((PRODUCT('HHV-LHV-MW'!QK57)+PRODUCT('HHV-LHV-MW'!QW57)+PRODUCT('HHV-LHV-MW'!RI57)+PRODUCT('HHV-LHV-MW'!RU57))/$BW$136))</f>
        <v/>
      </c>
      <c r="JJ122" s="890" t="str">
        <f>IF($BW$136="","",(IF($BW$136=1,"",  (SQRT(  (      (IF('HHV-LHV-MW'!QK57="",0,('HHV-LHV-MW'!QK57-JI122)^2))      +        (IF('HHV-LHV-MW'!QW57="",0,('HHV-LHV-MW'!QW57-JI122)^2))       +        (IF('HHV-LHV-MW'!RI57="",0,('HHV-LHV-MW'!RI57-JI122)^2))          +        (IF('HHV-LHV-MW'!RU57="",0,('HHV-LHV-MW'!RU57-JI122)^2))          )     *(1/($BW$136-1))  )))))</f>
        <v/>
      </c>
      <c r="JK122" s="890" t="str">
        <f t="shared" si="142"/>
        <v/>
      </c>
      <c r="JL122" s="890" t="str">
        <f t="shared" si="143"/>
        <v/>
      </c>
      <c r="JM122" s="636" t="str">
        <f>IF('HHV-LHV-MW'!QK57="","",IF(AND('HHV-LHV-MW'!QK57&gt;=0,'HHV-LHV-MW'!QK57&lt;=0.09),2,  IF(AND('HHV-LHV-MW'!QK57&gt;=0.1,'HHV-LHV-MW'!QK57&lt;=0.9),7,  IF(AND('HHV-LHV-MW'!QK57&gt;=1,'HHV-LHV-MW'!QK57&lt;=4.9),10,   IF(AND('HHV-LHV-MW'!QK57&gt;=5,'HHV-LHV-MW'!QK57&lt;=10),12, 15)))))</f>
        <v/>
      </c>
      <c r="JN122" s="636" t="str">
        <f>IF('HHV-LHV-MW'!QK57="","",5*'HHV-LHV-MW'!QK57)</f>
        <v/>
      </c>
      <c r="JO122" s="635" t="str">
        <f t="shared" si="144"/>
        <v/>
      </c>
      <c r="JP122" s="636" t="str">
        <f>IF(OR(JO122="",'HHV-LHV-MW'!QK57=0),"",JO122/'HHV-LHV-MW'!QK57)</f>
        <v/>
      </c>
      <c r="JQ122" s="636" t="str">
        <f>IF(OR(JP122="",JG122="",'HHV-LHV-MW'!QK57=""),"",((JP122*JG122*('HHV-LHV-MW'!QK57/100))/23.685)^2)</f>
        <v/>
      </c>
      <c r="JR122" s="636" t="str">
        <f>IF(OR(JP122="",JH122="",'HHV-LHV-MW'!QK57=""),"",((JP122*JH122*('HHV-LHV-MW'!QK57/100))/23.685)^2)</f>
        <v/>
      </c>
      <c r="JS122" s="639" t="str">
        <f t="shared" si="145"/>
        <v/>
      </c>
      <c r="JT122" s="891" t="str">
        <f t="shared" si="146"/>
        <v/>
      </c>
      <c r="JU122" s="643" t="str">
        <f>IF(BC122="","",VLOOKUP(BC122,'HHV-LHV-MW'!$A$3:$H$40,7,FALSE))</f>
        <v/>
      </c>
      <c r="JV122" s="875" t="str">
        <f>IF($BW$136=1,     IF(OR(JU122="",'HHV-LHV-MW'!QK57="",JP122=""),"",(JU122*('HHV-LHV-MW'!QK57/100)*JP122)^2),IF(OR(JU122="",JI122="",JL122=""),"",(JU122*(JI122/100)*JL122)^2))</f>
        <v/>
      </c>
      <c r="JW122" s="635" t="str">
        <f>IF(BC122="","",VLOOKUP(BC122,'HHV-LHV-MW'!$A$3:$I$40,9,FALSE))</f>
        <v/>
      </c>
      <c r="JX122" s="875" t="str">
        <f>IF($BW$136=1,     IF(OR(JW122="",'HHV-LHV-MW'!QK57="",JP122=""),"",(JW122*('HHV-LHV-MW'!QK57/100)*JP122)^2),IF(OR(JW122="",JI122="",JL122=""),"",(JW122*(JI122/100)*JL122)^2))</f>
        <v/>
      </c>
      <c r="JY122" s="635" t="str">
        <f>IF(BC122="","",(VLOOKUP(BC122,'HHV-LHV-MW'!$A$3:$F$40,6,FALSE))    )</f>
        <v/>
      </c>
      <c r="JZ122" s="875" t="str">
        <f>IF($BW$136=1,     IF(OR(JY122="",'HHV-LHV-MW'!QK57="",JP122=""),"",(JY122*('HHV-LHV-MW'!QK57/100)*JP122)^2),IF(OR(JY122="",JI122="",JL122=""),"",(JY122*(JI122/100)*JL122)^2))</f>
        <v/>
      </c>
      <c r="KA122" s="638" t="str">
        <f>IF($BW$136=1,     IF(OR(JY122="",JW122="",$BD$103="",$BD$103=0,'HHV-LHV-MW'!QK57="",JP122="",$JX$145=""),"", ((JY122*((JW122*('HHV-LHV-MW'!QK57/100))/$BD$103))^2)*((JP122^2)+($JX$145^2))),              IF(OR(JY122="",JW122="",JI122="",JL122="",$JX$145="",$BD$103="",$BD$103=0),"",      ((JY122*((JW122*(JI122/100))/$BD$103))^2)*((JL122^2)+($JX$145^2))             ))</f>
        <v/>
      </c>
      <c r="KB122" s="874"/>
      <c r="KC122" s="874"/>
      <c r="KD122" s="874"/>
      <c r="KE122" s="874"/>
      <c r="KF122" s="874"/>
      <c r="KG122" s="874"/>
      <c r="KH122" s="865"/>
      <c r="KI122" s="865"/>
      <c r="KJ122" s="865"/>
      <c r="KK122" s="865"/>
      <c r="KL122" s="865"/>
      <c r="KM122" s="865"/>
      <c r="KN122" s="865"/>
      <c r="KO122" s="865"/>
      <c r="KP122" s="865"/>
      <c r="KQ122" s="865"/>
      <c r="KR122" s="865"/>
      <c r="KS122" s="865"/>
      <c r="KT122" s="865"/>
      <c r="KU122" s="865"/>
      <c r="KV122" s="865"/>
      <c r="KW122" s="865"/>
      <c r="KX122" s="865"/>
      <c r="KY122" s="865"/>
      <c r="KZ122" s="865"/>
      <c r="LA122" s="865"/>
      <c r="LB122" s="865"/>
      <c r="LC122" s="865"/>
      <c r="LD122" s="865"/>
      <c r="LE122" s="865"/>
      <c r="LF122" s="865"/>
    </row>
    <row r="123" spans="1:318" ht="19.2" thickBot="1">
      <c r="A123" s="864"/>
      <c r="B123" s="502"/>
      <c r="C123" s="502"/>
      <c r="D123" s="502"/>
      <c r="E123" s="502"/>
      <c r="F123" s="511"/>
      <c r="G123" s="864"/>
      <c r="H123" s="502"/>
      <c r="I123" s="502"/>
      <c r="J123" s="502"/>
      <c r="K123" s="502"/>
      <c r="L123" s="511"/>
      <c r="M123" s="864"/>
      <c r="N123" s="502"/>
      <c r="O123" s="502"/>
      <c r="P123" s="502"/>
      <c r="Q123" s="502"/>
      <c r="R123" s="511"/>
      <c r="S123" s="864"/>
      <c r="T123" s="502"/>
      <c r="U123" s="502"/>
      <c r="V123" s="502"/>
      <c r="W123" s="502"/>
      <c r="X123" s="511"/>
      <c r="Y123" s="864"/>
      <c r="Z123" s="502"/>
      <c r="AA123" s="502"/>
      <c r="AB123" s="502"/>
      <c r="AC123" s="502"/>
      <c r="AD123" s="511"/>
      <c r="AE123" s="864"/>
      <c r="AF123" s="502"/>
      <c r="AG123" s="502"/>
      <c r="AH123" s="502"/>
      <c r="AI123" s="502"/>
      <c r="AJ123" s="511"/>
      <c r="AK123" s="864"/>
      <c r="AL123" s="502"/>
      <c r="AM123" s="502"/>
      <c r="AN123" s="502"/>
      <c r="AO123" s="502"/>
      <c r="AP123" s="511"/>
      <c r="AQ123" s="864"/>
      <c r="AR123" s="502"/>
      <c r="AS123" s="502"/>
      <c r="AT123" s="502"/>
      <c r="AU123" s="502"/>
      <c r="AV123" s="511"/>
      <c r="AW123" s="864"/>
      <c r="AX123" s="502"/>
      <c r="AY123" s="502"/>
      <c r="AZ123" s="502"/>
      <c r="BA123" s="502"/>
      <c r="BB123" s="511"/>
      <c r="BC123" s="864"/>
      <c r="BD123" s="502"/>
      <c r="BE123" s="502"/>
      <c r="BF123" s="502"/>
      <c r="BG123" s="502"/>
      <c r="BH123" s="865"/>
      <c r="BI123" s="865"/>
      <c r="BJ123" s="1143" t="s">
        <v>1511</v>
      </c>
      <c r="BK123" s="2481"/>
      <c r="BL123" s="2481"/>
      <c r="BM123" s="2481"/>
      <c r="BN123" s="1144"/>
      <c r="BO123" s="2477" t="str">
        <f>EI148</f>
        <v/>
      </c>
      <c r="BP123" s="2477"/>
      <c r="BQ123" s="865"/>
      <c r="BR123" s="1143" t="s">
        <v>1511</v>
      </c>
      <c r="BS123" s="2481"/>
      <c r="BT123" s="2481"/>
      <c r="BU123" s="2481"/>
      <c r="BV123" s="1144"/>
      <c r="BW123" s="2477" t="str">
        <f>IJ148</f>
        <v/>
      </c>
      <c r="BX123" s="2477"/>
      <c r="BY123" s="874"/>
      <c r="BZ123" s="888" t="str">
        <f>IF(A123="","",VLOOKUP(A123,'HHV-LHV-MW'!$A$3:$H$40,4,FALSE))</f>
        <v/>
      </c>
      <c r="CA123" s="889" t="str">
        <f>IF(A123="","",VLOOKUP(A123,'HHV-LHV-MW'!$A$3:$H$40,5,FALSE))</f>
        <v/>
      </c>
      <c r="CB123" s="890" t="str">
        <f>IF($BO$96="","",((PRODUCT('HHV-LHV-MW'!K58)+PRODUCT('HHV-LHV-MW'!W58)+PRODUCT('HHV-LHV-MW'!AI58)+PRODUCT('HHV-LHV-MW'!AU58))/$BO$96))</f>
        <v/>
      </c>
      <c r="CC123" s="890" t="str">
        <f>IF($BO$96="","",(IF($BO$96=1,"",  (SQRT(  (      (IF('HHV-LHV-MW'!K58="",0,('HHV-LHV-MW'!K58-CB123)^2))      +        (IF('HHV-LHV-MW'!W58="",0,('HHV-LHV-MW'!W58-CB123)^2))       +        (IF('HHV-LHV-MW'!AI58="",0,('HHV-LHV-MW'!AI58-CB123)^2))          +        (IF('HHV-LHV-MW'!AU58="",0,('HHV-LHV-MW'!AU58-CB123)^2))          )     *(1/($BO$96-1))  )))))</f>
        <v/>
      </c>
      <c r="CD123" s="890" t="str">
        <f t="shared" si="97"/>
        <v/>
      </c>
      <c r="CE123" s="890" t="str">
        <f t="shared" si="98"/>
        <v/>
      </c>
      <c r="CF123" s="636" t="str">
        <f>IF('HHV-LHV-MW'!K58="","",IF(AND('HHV-LHV-MW'!K58&gt;=0,'HHV-LHV-MW'!K58&lt;=0.09),2,  IF(AND('HHV-LHV-MW'!K58&gt;=0.1,'HHV-LHV-MW'!K58&lt;=0.9),7,  IF(AND('HHV-LHV-MW'!K58&gt;=1,'HHV-LHV-MW'!K58&lt;=4.9),10,   IF(AND('HHV-LHV-MW'!K58&gt;=5,'HHV-LHV-MW'!K58&lt;=10),12, 15)))))</f>
        <v/>
      </c>
      <c r="CG123" s="636" t="str">
        <f>IF('HHV-LHV-MW'!K58="","",5*'HHV-LHV-MW'!K58)</f>
        <v/>
      </c>
      <c r="CH123" s="635" t="str">
        <f t="shared" si="99"/>
        <v/>
      </c>
      <c r="CI123" s="636" t="str">
        <f>IF(OR(CH123="",'HHV-LHV-MW'!K58=0),"",CH123/'HHV-LHV-MW'!K58)</f>
        <v/>
      </c>
      <c r="CJ123" s="636" t="str">
        <f>IF(OR(CI123="",BZ123="",'HHV-LHV-MW'!K58=""),"",((CI123*BZ123*('HHV-LHV-MW'!K58/100))/23.685)^2)</f>
        <v/>
      </c>
      <c r="CK123" s="636" t="str">
        <f>IF(OR(CI123="",CA123="",'HHV-LHV-MW'!K58=""),"",((CI123*CA123*('HHV-LHV-MW'!K58/100))/23.685)^2)</f>
        <v/>
      </c>
      <c r="CL123" s="639" t="str">
        <f t="shared" si="100"/>
        <v/>
      </c>
      <c r="CM123" s="892" t="str">
        <f t="shared" si="101"/>
        <v/>
      </c>
      <c r="CN123" s="639" t="str">
        <f>IF(A123="","",VLOOKUP(A123,'HHV-LHV-MW'!$A$3:$H$40,7,FALSE))</f>
        <v/>
      </c>
      <c r="CO123" s="636" t="str">
        <f>IF($BO$96=1,     IF(OR(CN123="",'HHV-LHV-MW'!K58="",CI123=""),"",(CN123*('HHV-LHV-MW'!K58/100)*CI123)^2),IF(OR(CN123="",CB123="",CE123=""),"",(CN123*(CB123/100)*CE123)^2))</f>
        <v/>
      </c>
      <c r="CP123" s="635" t="str">
        <f>IF(A123="","",VLOOKUP(A123,'HHV-LHV-MW'!$A$3:$I$40,9,FALSE))</f>
        <v/>
      </c>
      <c r="CQ123" s="636" t="str">
        <f>IF($BO$96=1,     IF(OR(CP123="",'HHV-LHV-MW'!K58="",CI123=""),"",(CP123*('HHV-LHV-MW'!K58/100)*CI123)^2),IF(OR(CP123="",CB123="",CE123=""),"",(CP123*(CB123/100)*CE123)^2))</f>
        <v/>
      </c>
      <c r="CR123" s="636" t="str">
        <f>IF(A123="","",(VLOOKUP(A123,'HHV-LHV-MW'!$A$3:$F$40,6,FALSE))    )</f>
        <v/>
      </c>
      <c r="CS123" s="636" t="str">
        <f>IF($BO$96=1,     IF(OR(CR123="",'HHV-LHV-MW'!K58="",CI123=""),"",(CR123*('HHV-LHV-MW'!K58/100)*CI123)^2),IF(OR(CR123="",CB123="",CE123=""),"",(CR123*(CB123/100)*CE123)^2))</f>
        <v/>
      </c>
      <c r="CT123" s="640" t="str">
        <f>IF($BO$96=1,     IF(OR(CR123="",CP123="",$B$103="",$B$103=0,'HHV-LHV-MW'!K58="",CI123="",$CQ$145=""),"", ((CR123*((CP123*('HHV-LHV-MW'!K58/100))/$B$103))^2)*((CI123^2)+($CQ$145^2))),              IF(OR(CR123="",CP123="",CB123="",CE123="",$CQ$145="",$B$103="",$B$103=0),"",      ((CR123*((CP123*(CB123/100))/$B$103))^2)*((CE123^2)+($CQ$145^2))             ))</f>
        <v/>
      </c>
      <c r="CU123" s="889" t="str">
        <f>IF(G123="","",VLOOKUP(G123,'HHV-LHV-MW'!$A$3:$H$40,4,FALSE))</f>
        <v/>
      </c>
      <c r="CV123" s="889" t="str">
        <f>IF(G123="","",VLOOKUP(G123,'HHV-LHV-MW'!$A$3:$H$40,5,FALSE))</f>
        <v/>
      </c>
      <c r="CW123" s="890" t="str">
        <f>IF($BO$106="","",((PRODUCT('HHV-LHV-MW'!BH58)+PRODUCT('HHV-LHV-MW'!BT58)+PRODUCT('HHV-LHV-MW'!CF58)+PRODUCT('HHV-LHV-MW'!CR58))/$BO$106))</f>
        <v/>
      </c>
      <c r="CX123" s="890" t="str">
        <f>IF($BO$106="","",(IF($BO$106=1,"",  (SQRT(  (      (IF('HHV-LHV-MW'!BH58="",0,('HHV-LHV-MW'!BH58-CW123)^2))      +        (IF('HHV-LHV-MW'!BT58="",0,('HHV-LHV-MW'!BT58-CW123)^2))       +        (IF('HHV-LHV-MW'!CF58="",0,('HHV-LHV-MW'!CF58-CW123)^2))          +        (IF('HHV-LHV-MW'!CR58="",0,('HHV-LHV-MW'!CR58-CW123)^2))          )     *(1/($BO$106-1))  )))))</f>
        <v/>
      </c>
      <c r="CY123" s="890" t="str">
        <f t="shared" si="102"/>
        <v/>
      </c>
      <c r="CZ123" s="890" t="str">
        <f t="shared" si="103"/>
        <v/>
      </c>
      <c r="DA123" s="636" t="str">
        <f>IF('HHV-LHV-MW'!BH58="","",IF(AND('HHV-LHV-MW'!BH58&gt;=0,'HHV-LHV-MW'!BH58&lt;=0.09),2,  IF(AND('HHV-LHV-MW'!BH58&gt;=0.1,'HHV-LHV-MW'!BH58&lt;=0.9),7,  IF(AND('HHV-LHV-MW'!BH58&gt;=1,'HHV-LHV-MW'!BH58&lt;=4.9),10,   IF(AND('HHV-LHV-MW'!BH58&gt;=5,'HHV-LHV-MW'!BH58&lt;=10),12, 15)))))</f>
        <v/>
      </c>
      <c r="DB123" s="636" t="str">
        <f>IF('HHV-LHV-MW'!BH58="","",5*'HHV-LHV-MW'!BH58)</f>
        <v/>
      </c>
      <c r="DC123" s="635" t="str">
        <f t="shared" si="104"/>
        <v/>
      </c>
      <c r="DD123" s="636" t="str">
        <f>IF(OR(DC123="",'HHV-LHV-MW'!BH58=0),"",DC123/'HHV-LHV-MW'!BH58)</f>
        <v/>
      </c>
      <c r="DE123" s="635" t="str">
        <f>IF(OR(DD123="",CU123="",'HHV-LHV-MW'!BH58=""),"",((DD123*CU123*('HHV-LHV-MW'!BH58/100))/23.685)^2)</f>
        <v/>
      </c>
      <c r="DF123" s="636" t="str">
        <f>IF(OR(DD123="",CV123="",'HHV-LHV-MW'!BH58=""),"",((DD123*CV123*('HHV-LHV-MW'!BH58/100))/23.685)^2)</f>
        <v/>
      </c>
      <c r="DG123" s="639" t="str">
        <f t="shared" si="105"/>
        <v/>
      </c>
      <c r="DH123" s="891" t="str">
        <f t="shared" si="106"/>
        <v/>
      </c>
      <c r="DI123" s="635" t="str">
        <f>IF(G123="","",VLOOKUP(G123,'HHV-LHV-MW'!$A$3:$H$40,7,FALSE))</f>
        <v/>
      </c>
      <c r="DJ123" s="875" t="str">
        <f>IF($BO$106=1,     IF(OR(DI123="",'HHV-LHV-MW'!BH58="",DD123=""),"",(DI123*('HHV-LHV-MW'!BH58/100)*DD123)^2),IF(OR(DI123="",CW123="",CZ123=""),"",(DI123*(CW123/100)*CZ123)^2))</f>
        <v/>
      </c>
      <c r="DK123" s="635" t="str">
        <f>IF(G123="","",VLOOKUP(G123,'HHV-LHV-MW'!$A$3:$I$40,9,FALSE))</f>
        <v/>
      </c>
      <c r="DL123" s="875" t="str">
        <f>IF($BO$106=1,     IF(OR(DK123="",'HHV-LHV-MW'!BH58="",DD123=""),"",(DK123*('HHV-LHV-MW'!BH58/100)*DD123)^2),IF(OR(DK123="",CW123="",CZ123=""),"",(DK123*(CW123/100)*CZ123)^2))</f>
        <v/>
      </c>
      <c r="DM123" s="635" t="str">
        <f>IF(G123="","",(VLOOKUP(G123,'HHV-LHV-MW'!$A$3:$F$40,6,FALSE))    )</f>
        <v/>
      </c>
      <c r="DN123" s="875" t="str">
        <f>IF($BO$106=1,     IF(OR(DM123="",'HHV-LHV-MW'!BH58="",DD123=""),"",(DM123*('HHV-LHV-MW'!BH58/100)*DD123)^2),IF(OR(DM123="",CW123="",CZ123=""),"",(DM123*(CW123/100)*CZ123)^2))</f>
        <v/>
      </c>
      <c r="DO123" s="638" t="str">
        <f>IF($BO$106=1,     IF(OR(DM123="",DK123="",$H$103="",$H$103=0,'HHV-LHV-MW'!BH58="",DD123="",$DL$145=""),"", ((DM123*((DK123*('HHV-LHV-MW'!BH58/100))/$H$103))^2)*((DD123^2)+($DL$145^2))),              IF(OR(DM123="",DK123="",CW123="",CZ123="",$DL$145="",$H$103="",$H$103=0),"",      ((DM123*((DK123*(CW123/100))/$H$103))^2)*((CZ123^2)+($DL$145^2))             ))</f>
        <v/>
      </c>
      <c r="DP123" s="889" t="str">
        <f>IF(M123="","",VLOOKUP(M123,'HHV-LHV-MW'!$A$3:$H$40,4,FALSE))</f>
        <v/>
      </c>
      <c r="DQ123" s="889" t="str">
        <f>IF(M123="","",VLOOKUP(M123,'HHV-LHV-MW'!$A$3:$H$40,5,FALSE))</f>
        <v/>
      </c>
      <c r="DR123" s="890" t="str">
        <f>IF($BO$116="","",((PRODUCT('HHV-LHV-MW'!DE58)+PRODUCT('HHV-LHV-MW'!DQ58)+PRODUCT('HHV-LHV-MW'!EC58)+PRODUCT('HHV-LHV-MW'!EO58))/$BO$116))</f>
        <v/>
      </c>
      <c r="DS123" s="890" t="str">
        <f>IF($BO$116="","",(IF($BO$116=1,"",  (SQRT(  (      (IF('HHV-LHV-MW'!DE58="",0,('HHV-LHV-MW'!DE58-DR123)^2))      +        (IF('HHV-LHV-MW'!DQ58="",0,('HHV-LHV-MW'!DQ58-DR123)^2))       +        (IF('HHV-LHV-MW'!EC58="",0,('HHV-LHV-MW'!EC58-DR123)^2))          +        (IF('HHV-LHV-MW'!EO58="",0,('HHV-LHV-MW'!EO58-DR123)^2))          )     *(1/($BO$116-1))  )))))</f>
        <v/>
      </c>
      <c r="DT123" s="890" t="str">
        <f t="shared" si="107"/>
        <v/>
      </c>
      <c r="DU123" s="890" t="str">
        <f t="shared" si="108"/>
        <v/>
      </c>
      <c r="DV123" s="636" t="str">
        <f>IF('HHV-LHV-MW'!DE58="","",IF(AND('HHV-LHV-MW'!DE58&gt;=0,'HHV-LHV-MW'!DE58&lt;=0.09),2,  IF(AND('HHV-LHV-MW'!DE58&gt;=0.1,'HHV-LHV-MW'!DE58&lt;=0.9),7,  IF(AND('HHV-LHV-MW'!DE58&gt;=1,'HHV-LHV-MW'!DE58&lt;=4.9),10,   IF(AND('HHV-LHV-MW'!DE58&gt;=5,'HHV-LHV-MW'!DE58&lt;=10),12, 15)))))</f>
        <v/>
      </c>
      <c r="DW123" s="636" t="str">
        <f>IF('HHV-LHV-MW'!DE58="","",5*'HHV-LHV-MW'!DE58)</f>
        <v/>
      </c>
      <c r="DX123" s="635" t="str">
        <f t="shared" si="109"/>
        <v/>
      </c>
      <c r="DY123" s="636" t="str">
        <f>IF(OR(DX123="",'HHV-LHV-MW'!DE58=0),"",DX123/'HHV-LHV-MW'!DE58)</f>
        <v/>
      </c>
      <c r="DZ123" s="636" t="str">
        <f>IF(OR(DY123="",DP123="",'HHV-LHV-MW'!DE58=""),"",((DY123*DP123*('HHV-LHV-MW'!DE58/100))/23.685)^2)</f>
        <v/>
      </c>
      <c r="EA123" s="636" t="str">
        <f>IF(OR(DY123="",DQ123="",'HHV-LHV-MW'!DE58=""),"",((DY123*DQ123*('HHV-LHV-MW'!DE58/100))/23.685)^2)</f>
        <v/>
      </c>
      <c r="EB123" s="639" t="str">
        <f t="shared" si="110"/>
        <v/>
      </c>
      <c r="EC123" s="891" t="str">
        <f t="shared" si="111"/>
        <v/>
      </c>
      <c r="ED123" s="643" t="str">
        <f>IF(M123="","",VLOOKUP(M123,'HHV-LHV-MW'!$A$3:$H$40,7,FALSE))</f>
        <v/>
      </c>
      <c r="EE123" s="875" t="str">
        <f>IF($BO$116=1,     IF(OR(ED123="",'HHV-LHV-MW'!DE58="",DY123=""),"",(ED123*('HHV-LHV-MW'!DE58/100)*DY123)^2),IF(OR(ED123="",DR123="",DU123=""),"",(ED123*(DR123/100)*DU123)^2))</f>
        <v/>
      </c>
      <c r="EF123" s="635" t="str">
        <f>IF(M123="","",VLOOKUP(M123,'HHV-LHV-MW'!$A$3:$I$40,9,FALSE))</f>
        <v/>
      </c>
      <c r="EG123" s="875" t="str">
        <f>IF($BO$116=1,     IF(OR(EF123="",'HHV-LHV-MW'!DE58="",DY123=""),"",(EF123*('HHV-LHV-MW'!DE58/100)*DY123)^2),IF(OR(EF123="",DR123="",DU123=""),"",(EF123*(DR123/100)*DU123)^2))</f>
        <v/>
      </c>
      <c r="EH123" s="635" t="str">
        <f>IF(M123="","",(VLOOKUP(M123,'HHV-LHV-MW'!$A$3:$F$40,6,FALSE))    )</f>
        <v/>
      </c>
      <c r="EI123" s="875" t="str">
        <f>IF($BO$116=1,     IF(OR(EH123="",'HHV-LHV-MW'!DE58="",DY123=""),"",(EH123*('HHV-LHV-MW'!DE58/100)*DY123)^2),IF(OR(EH123="",DR123="",DU123=""),"",(EH123*(DR123/100)*DU123)^2))</f>
        <v/>
      </c>
      <c r="EJ123" s="638" t="str">
        <f>IF($BO$116=1,     IF(OR(EH123="",EF123="",$N$103="",$N$103=0,'HHV-LHV-MW'!DE58="",DY123="",$EG$145=""),"", ((EH123*((EF123*('HHV-LHV-MW'!DE58/100))/$N$103))^2)*((DY123^2)+($EG$145^2))),              IF(OR(EH123="",EF123="",DR123="",DU123="",$EG$145="",$N$103="",$N$103=0),"",      ((EH123*((EF123*(DR123/100))/$N$103))^2)*((DU123^2)+($EG$145^2))             ))</f>
        <v/>
      </c>
      <c r="EK123" s="889" t="str">
        <f>IF(S123="","",VLOOKUP(S123,'HHV-LHV-MW'!$A$3:$H$40,4,FALSE))</f>
        <v/>
      </c>
      <c r="EL123" s="889" t="str">
        <f>IF(S123="","",VLOOKUP(S123,'HHV-LHV-MW'!$A$3:$H$40,5,FALSE))</f>
        <v/>
      </c>
      <c r="EM123" s="890" t="str">
        <f>IF($BO$126="","",((PRODUCT('HHV-LHV-MW'!FB58)+PRODUCT('HHV-LHV-MW'!FN58)+PRODUCT('HHV-LHV-MW'!FZ58)+PRODUCT('HHV-LHV-MW'!GL58))/$BO$126))</f>
        <v/>
      </c>
      <c r="EN123" s="890" t="str">
        <f>IF($BO$126="","",(IF($BO$126=1,"",  (SQRT(  (      (IF('HHV-LHV-MW'!FB58="",0,('HHV-LHV-MW'!FB58-EM123)^2))      +        (IF('HHV-LHV-MW'!FN58="",0,('HHV-LHV-MW'!FN58-EM123)^2))       +        (IF('HHV-LHV-MW'!FZ58="",0,('HHV-LHV-MW'!FZ58-EM123)^2))          +        (IF('HHV-LHV-MW'!GL58="",0,('HHV-LHV-MW'!GL58-EM123)^2))          )     *(1/($BO$126-1))  )))))</f>
        <v/>
      </c>
      <c r="EO123" s="890" t="str">
        <f t="shared" si="112"/>
        <v/>
      </c>
      <c r="EP123" s="890" t="str">
        <f t="shared" si="113"/>
        <v/>
      </c>
      <c r="EQ123" s="636" t="str">
        <f>IF('HHV-LHV-MW'!FB58="","",IF(AND('HHV-LHV-MW'!FB58&gt;=0,'HHV-LHV-MW'!FB58&lt;=0.09),2,  IF(AND('HHV-LHV-MW'!FB58&gt;=0.1,'HHV-LHV-MW'!FB58&lt;=0.9),7,  IF(AND('HHV-LHV-MW'!FB58&gt;=1,'HHV-LHV-MW'!FB58&lt;=4.9),10,   IF(AND('HHV-LHV-MW'!FB58&gt;=5,'HHV-LHV-MW'!FB58&lt;=10),12, 15)))))</f>
        <v/>
      </c>
      <c r="ER123" s="636" t="str">
        <f>IF('HHV-LHV-MW'!FB58="","",5*'HHV-LHV-MW'!FB58)</f>
        <v/>
      </c>
      <c r="ES123" s="635" t="str">
        <f t="shared" si="114"/>
        <v/>
      </c>
      <c r="ET123" s="636" t="str">
        <f>IF(OR(ES123="",'HHV-LHV-MW'!FB58=0),"",ES123/'HHV-LHV-MW'!FB58)</f>
        <v/>
      </c>
      <c r="EU123" s="636" t="str">
        <f>IF(OR(ET123="",EK123="",'HHV-LHV-MW'!FB58=""),"",((ET123*EK123*('HHV-LHV-MW'!FB58/100))/23.685)^2)</f>
        <v/>
      </c>
      <c r="EV123" s="636" t="str">
        <f>IF(OR(ET123="",EL123="",'HHV-LHV-MW'!FB58=""),"",((ET123*EL123*('HHV-LHV-MW'!FB58/100))/23.685)^2)</f>
        <v/>
      </c>
      <c r="EW123" s="639" t="str">
        <f t="shared" si="115"/>
        <v/>
      </c>
      <c r="EX123" s="891" t="str">
        <f t="shared" si="116"/>
        <v/>
      </c>
      <c r="EY123" s="643" t="str">
        <f>IF(S123="","",VLOOKUP(S123,'HHV-LHV-MW'!$A$3:$H$40,7,FALSE))</f>
        <v/>
      </c>
      <c r="EZ123" s="875" t="str">
        <f>IF($BO$126=1,     IF(OR(EY123="",'HHV-LHV-MW'!FB58="",ET123=""),"",(EY123*('HHV-LHV-MW'!FB58/100)*ET123)^2),IF(OR(EY123="",EM123="",EP123=""),"",(EY123*(EM123/100)*EP123)^2))</f>
        <v/>
      </c>
      <c r="FA123" s="635" t="str">
        <f>IF(S123="","",VLOOKUP(S123,'HHV-LHV-MW'!$A$3:$I$40,9,FALSE))</f>
        <v/>
      </c>
      <c r="FB123" s="875" t="str">
        <f>IF($BO$126=1,     IF(OR(FA123="",'HHV-LHV-MW'!FB58="",ET123=""),"",(FA123*('HHV-LHV-MW'!FB58/100)*ET123)^2),IF(OR(FA123="",EM123="",EP123=""),"",(FA123*(EM123/100)*EP123)^2))</f>
        <v/>
      </c>
      <c r="FC123" s="635" t="str">
        <f>IF(S123="","",(VLOOKUP(S123,'HHV-LHV-MW'!$A$3:$F$40,6,FALSE))    )</f>
        <v/>
      </c>
      <c r="FD123" s="875" t="str">
        <f>IF($BO$126=1,     IF(OR(FC123="",'HHV-LHV-MW'!FB58="",ET123=""),"",(FC123*('HHV-LHV-MW'!FB58/100)*ET123)^2),IF(OR(FC123="",EM123="",EP123=""),"",(FC123*(EM123/100)*EP123)^2))</f>
        <v/>
      </c>
      <c r="FE123" s="638" t="str">
        <f>IF($BO$126=1,     IF(OR(FC123="",FA123="",$T$103="",$T$103=0,'HHV-LHV-MW'!FB58="",ET123="",$FB$145=""),"", ((FC123*((FA123*('HHV-LHV-MW'!FB58/100))/$T$103))^2)*((ET123^2)+($FB$145^2))),              IF(OR(FC123="",FA123="",EM123="",EP123="",$FB$145="",$T$103="",$T$103=0),"",      ((FC123*((FA123*(EM123/100))/$T$103))^2)*((EP123^2)+($FB$145^2))             ))</f>
        <v/>
      </c>
      <c r="FF123" s="889" t="str">
        <f>IF(Y123="","",VLOOKUP(Y123,'HHV-LHV-MW'!$A$3:$H$40,4,FALSE))</f>
        <v/>
      </c>
      <c r="FG123" s="889" t="str">
        <f>IF(Y123="","",VLOOKUP(Y123,'HHV-LHV-MW'!$A$3:$H$40,5,FALSE))</f>
        <v/>
      </c>
      <c r="FH123" s="890" t="str">
        <f>IF($BO$136="","",((PRODUCT('HHV-LHV-MW'!GY58)+PRODUCT('HHV-LHV-MW'!HK58)+PRODUCT('HHV-LHV-MW'!HW58)+PRODUCT('HHV-LHV-MW'!II58))/$BO$136))</f>
        <v/>
      </c>
      <c r="FI123" s="890" t="str">
        <f>IF($BO$136="","",(IF($BO$136=1,"",  (SQRT(  (      (IF('HHV-LHV-MW'!GY58="",0,('HHV-LHV-MW'!GY58-FH123)^2))      +        (IF('HHV-LHV-MW'!HK58="",0,('HHV-LHV-MW'!HK58-FH123)^2))       +        (IF('HHV-LHV-MW'!HW58="",0,('HHV-LHV-MW'!HW58-FH123)^2))          +        (IF('HHV-LHV-MW'!II58="",0,('HHV-LHV-MW'!II58-FH123)^2))          )     *(1/($BO$136-1))  )))))</f>
        <v/>
      </c>
      <c r="FJ123" s="890" t="str">
        <f t="shared" si="117"/>
        <v/>
      </c>
      <c r="FK123" s="890" t="str">
        <f t="shared" si="118"/>
        <v/>
      </c>
      <c r="FL123" s="636" t="str">
        <f>IF('HHV-LHV-MW'!GY58="","",IF(AND('HHV-LHV-MW'!GY58&gt;=0,'HHV-LHV-MW'!GY58&lt;=0.09),2,  IF(AND('HHV-LHV-MW'!GY58&gt;=0.1,'HHV-LHV-MW'!GY58&lt;=0.9),7,  IF(AND('HHV-LHV-MW'!GY58&gt;=1,'HHV-LHV-MW'!GY58&lt;=4.9),10,   IF(AND('HHV-LHV-MW'!GY58&gt;=5,'HHV-LHV-MW'!GY58&lt;=10),12, 15)))))</f>
        <v/>
      </c>
      <c r="FM123" s="636" t="str">
        <f>IF('HHV-LHV-MW'!GY58="","",5*'HHV-LHV-MW'!GY58)</f>
        <v/>
      </c>
      <c r="FN123" s="635" t="str">
        <f t="shared" si="119"/>
        <v/>
      </c>
      <c r="FO123" s="636" t="str">
        <f>IF(OR(FN123="",'HHV-LHV-MW'!GY58=0),"",FN123/'HHV-LHV-MW'!GY58)</f>
        <v/>
      </c>
      <c r="FP123" s="636" t="str">
        <f>IF(OR(FO123="",FF123="",'HHV-LHV-MW'!GY58=""),"",((FO123*FF123*('HHV-LHV-MW'!GY58/100))/23.685)^2)</f>
        <v/>
      </c>
      <c r="FQ123" s="636" t="str">
        <f>IF(OR(FO123="",FG123="",'HHV-LHV-MW'!GY58=""),"",((FO123*FG123*('HHV-LHV-MW'!GY58/100))/23.685)^2)</f>
        <v/>
      </c>
      <c r="FR123" s="639" t="str">
        <f t="shared" si="120"/>
        <v/>
      </c>
      <c r="FS123" s="891" t="str">
        <f t="shared" si="121"/>
        <v/>
      </c>
      <c r="FT123" s="643" t="str">
        <f>IF(Y123="","",VLOOKUP(Y123,'HHV-LHV-MW'!$A$3:$H$40,7,FALSE))</f>
        <v/>
      </c>
      <c r="FU123" s="875" t="str">
        <f>IF($BO$136=1,     IF(OR(FT123="",'HHV-LHV-MW'!GY58="",FO123=""),"",(FT123*('HHV-LHV-MW'!GY58/100)*FO123)^2),IF(OR(FT123="",FH123="",FK123=""),"",(FT123*(FH123/100)*FK123)^2))</f>
        <v/>
      </c>
      <c r="FV123" s="635" t="str">
        <f>IF(Y123="","",VLOOKUP(Y123,'HHV-LHV-MW'!$A$3:$I$40,9,FALSE))</f>
        <v/>
      </c>
      <c r="FW123" s="875" t="str">
        <f>IF($BO$136=1,     IF(OR(FV123="",'HHV-LHV-MW'!GY58="",FO123=""),"",(FV123*('HHV-LHV-MW'!GY58/100)*FO123)^2),IF(OR(FV123="",FH123="",FK123=""),"",(FV123*(FH123/100)*FK123)^2))</f>
        <v/>
      </c>
      <c r="FX123" s="635" t="str">
        <f>IF(Y123="","",(VLOOKUP(Y123,'HHV-LHV-MW'!$A$3:$F$40,6,FALSE))    )</f>
        <v/>
      </c>
      <c r="FY123" s="875" t="str">
        <f>IF($BO$136=1,     IF(OR(FX123="",'HHV-LHV-MW'!GY58="",FO123=""),"",(FX123*('HHV-LHV-MW'!GY58/100)*FO123)^2),IF(OR(FX123="",FH123="",FK123=""),"",(FX123*(FH123/100)*FK123)^2))</f>
        <v/>
      </c>
      <c r="FZ123" s="638" t="str">
        <f>IF($BO$136=1,     IF(OR(FX123="",FV123="",$Z$103="",$Z$103=0,'HHV-LHV-MW'!GY58="",FO123="",$FW$145=""),"", ((FX123*((FV123*('HHV-LHV-MW'!GY58/100))/$Z$103))^2)*((FO123^2)+($FW$145^2))),              IF(OR(FX123="",FV123="",FH123="",FK123="",$FW$145="",$Z$103="",$Z$103=0),"",      ((FX123*((FV123*(FH123/100))/$Z$103))^2)*((FK123^2)+($FW$145^2))             ))</f>
        <v/>
      </c>
      <c r="GA123" s="889" t="str">
        <f>IF(AE123="","",VLOOKUP(AE123,'HHV-LHV-MW'!$A$3:$H$40,4,FALSE))</f>
        <v/>
      </c>
      <c r="GB123" s="889" t="str">
        <f>IF(AE123="","",VLOOKUP(AE123,'HHV-LHV-MW'!$A$3:$H$40,5,FALSE))</f>
        <v/>
      </c>
      <c r="GC123" s="890" t="str">
        <f>IF($BW$96="","",((PRODUCT('HHV-LHV-MW'!IV58)+PRODUCT('HHV-LHV-MW'!JH58)+PRODUCT('HHV-LHV-MW'!JT58)+PRODUCT('HHV-LHV-MW'!KF58))/$BW$96))</f>
        <v/>
      </c>
      <c r="GD123" s="890" t="str">
        <f>IF($BW$96="","",(IF($BW$96=1,"",  (SQRT(  (      (IF('HHV-LHV-MW'!IV58="",0,('HHV-LHV-MW'!IV58-GC123)^2))      +        (IF('HHV-LHV-MW'!JH58="",0,('HHV-LHV-MW'!JH58-GC123)^2))       +        (IF('HHV-LHV-MW'!JT58="",0,('HHV-LHV-MW'!JT58-GC123)^2))          +        (IF('HHV-LHV-MW'!KF58="",0,('HHV-LHV-MW'!KF58-GC123)^2))          )     *(1/($BW$96-1))  )))))</f>
        <v/>
      </c>
      <c r="GE123" s="890" t="str">
        <f t="shared" si="122"/>
        <v/>
      </c>
      <c r="GF123" s="890" t="str">
        <f t="shared" si="123"/>
        <v/>
      </c>
      <c r="GG123" s="636" t="str">
        <f>IF('HHV-LHV-MW'!IV58="","",IF(AND('HHV-LHV-MW'!IV58&gt;=0,'HHV-LHV-MW'!IV58&lt;=0.09),2,  IF(AND('HHV-LHV-MW'!IV58&gt;=0.1,'HHV-LHV-MW'!IV58&lt;=0.9),7,  IF(AND('HHV-LHV-MW'!IV58&gt;=1,'HHV-LHV-MW'!IV58&lt;=4.9),10,   IF(AND('HHV-LHV-MW'!IV58&gt;=5,'HHV-LHV-MW'!IV58&lt;=10),12, 15)))))</f>
        <v/>
      </c>
      <c r="GH123" s="636" t="str">
        <f>IF('HHV-LHV-MW'!IV58="","",5*'HHV-LHV-MW'!IV58)</f>
        <v/>
      </c>
      <c r="GI123" s="635" t="str">
        <f t="shared" si="124"/>
        <v/>
      </c>
      <c r="GJ123" s="636" t="str">
        <f>IF(OR(GI123="",'HHV-LHV-MW'!IV58=0),"",GI123/'HHV-LHV-MW'!IV58)</f>
        <v/>
      </c>
      <c r="GK123" s="636" t="str">
        <f>IF(OR(GJ123="",GA123="",'HHV-LHV-MW'!IV58=""),"",((GJ123*GA123*('HHV-LHV-MW'!IV58/100))/23.685)^2)</f>
        <v/>
      </c>
      <c r="GL123" s="636" t="str">
        <f>IF(OR(GJ123="",GB123="",'HHV-LHV-MW'!IV58=""),"",((GJ123*GB123*('HHV-LHV-MW'!IV58/100))/23.685)^2)</f>
        <v/>
      </c>
      <c r="GM123" s="639" t="str">
        <f t="shared" si="125"/>
        <v/>
      </c>
      <c r="GN123" s="891" t="str">
        <f t="shared" si="126"/>
        <v/>
      </c>
      <c r="GO123" s="643" t="str">
        <f>IF(AE123="","",VLOOKUP(AE123,'HHV-LHV-MW'!$A$3:$H$40,7,FALSE))</f>
        <v/>
      </c>
      <c r="GP123" s="875" t="str">
        <f>IF($BW$96=1,     IF(OR(GO123="",'HHV-LHV-MW'!IV58="",GJ123=""),"",(GO123*('HHV-LHV-MW'!IV58/100)*GJ123)^2),IF(OR(GO123="",GC123="",GF123=""),"",(GO123*(GC123/100)*GF123)^2))</f>
        <v/>
      </c>
      <c r="GQ123" s="635" t="str">
        <f>IF(AE123="","",VLOOKUP(AE123,'HHV-LHV-MW'!$A$3:$I$40,9,FALSE))</f>
        <v/>
      </c>
      <c r="GR123" s="875" t="str">
        <f>IF($BW$96=1,     IF(OR(GQ123="",'HHV-LHV-MW'!IV58="",GJ123=""),"",(GQ123*('HHV-LHV-MW'!IV58/100)*GJ123)^2),IF(OR(GQ123="",GC123="",GF123=""),"",(GQ123*(GC123/100)*GF123)^2))</f>
        <v/>
      </c>
      <c r="GS123" s="635" t="str">
        <f>IF(AE123="","",(VLOOKUP(AE123,'HHV-LHV-MW'!$A$3:$F$40,6,FALSE))    )</f>
        <v/>
      </c>
      <c r="GT123" s="875" t="str">
        <f>IF($BW$96=1,     IF(OR(GS123="",'HHV-LHV-MW'!IV58="",GJ123=""),"",(GS123*('HHV-LHV-MW'!IV58/100)*GJ123)^2),IF(OR(GS123="",GC123="",GF123=""),"",(GS123*(GC123/100)*GF123)^2))</f>
        <v/>
      </c>
      <c r="GU123" s="638" t="str">
        <f>IF($BW$96=1,     IF(OR(GS123="",GQ123="",$AF$103="",$AF$103=0,'HHV-LHV-MW'!IV58="",GJ123="",$GR$145=""),"", ((GS123*((GQ123*('HHV-LHV-MW'!IV58/100))/$AF$103))^2)*((GJ123^2)+($GR$145^2))),              IF(OR(GS123="",GQ123="",GC123="",GF123="",$GR$145="",$AF$103="",$AF$103=0),"",      ((GS123*((GQ123*(GC123/100))/$AF$103))^2)*((GF123^2)+($GR$145^2))             ))</f>
        <v/>
      </c>
      <c r="GV123" s="889" t="str">
        <f>IF(AK123="","",VLOOKUP(AK123,'HHV-LHV-MW'!$A$3:$H$40,4,FALSE))</f>
        <v/>
      </c>
      <c r="GW123" s="889" t="str">
        <f>IF(AK123="","",VLOOKUP(AK123,'HHV-LHV-MW'!$A$3:$H$40,5,FALSE))</f>
        <v/>
      </c>
      <c r="GX123" s="890" t="str">
        <f>IF($BW$106="","",((PRODUCT('HHV-LHV-MW'!KS58)+PRODUCT('HHV-LHV-MW'!LE58)+PRODUCT('HHV-LHV-MW'!LQ58)+PRODUCT('HHV-LHV-MW'!MC58))/$BW$106))</f>
        <v/>
      </c>
      <c r="GY123" s="890" t="str">
        <f>IF($BW$106="","",(IF($BW$106=1,"",  (SQRT(  (      (IF('HHV-LHV-MW'!KS58="",0,('HHV-LHV-MW'!KS58-GX123)^2))      +        (IF('HHV-LHV-MW'!LE58="",0,('HHV-LHV-MW'!LE58-GX123)^2))       +        (IF('HHV-LHV-MW'!LQ58="",0,('HHV-LHV-MW'!LQ58-GX123)^2))          +        (IF('HHV-LHV-MW'!MC58="",0,('HHV-LHV-MW'!MC58-GX123)^2))          )     *(1/($BW$106-1))  )))))</f>
        <v/>
      </c>
      <c r="GZ123" s="890" t="str">
        <f t="shared" si="127"/>
        <v/>
      </c>
      <c r="HA123" s="890" t="str">
        <f t="shared" si="128"/>
        <v/>
      </c>
      <c r="HB123" s="636" t="str">
        <f>IF('HHV-LHV-MW'!KS58="","",IF(AND('HHV-LHV-MW'!KS58&gt;=0,'HHV-LHV-MW'!KS58&lt;=0.09),2,  IF(AND('HHV-LHV-MW'!KS58&gt;=0.1,'HHV-LHV-MW'!KS58&lt;=0.9),7,  IF(AND('HHV-LHV-MW'!KS58&gt;=1,'HHV-LHV-MW'!KS58&lt;=4.9),10,   IF(AND('HHV-LHV-MW'!KS58&gt;=5,'HHV-LHV-MW'!KS58&lt;=10),12, 15)))))</f>
        <v/>
      </c>
      <c r="HC123" s="636" t="str">
        <f>IF('HHV-LHV-MW'!KS58="","",5*'HHV-LHV-MW'!KS58)</f>
        <v/>
      </c>
      <c r="HD123" s="635" t="str">
        <f t="shared" si="129"/>
        <v/>
      </c>
      <c r="HE123" s="636" t="str">
        <f>IF(OR(HD123="",'HHV-LHV-MW'!KS58=0),"",HD123/'HHV-LHV-MW'!KS58)</f>
        <v/>
      </c>
      <c r="HF123" s="636" t="str">
        <f>IF(OR(HE123="",GV123="",'HHV-LHV-MW'!KS58=""),"",((HE123*GV123*('HHV-LHV-MW'!KS58/100))/23.685)^2)</f>
        <v/>
      </c>
      <c r="HG123" s="636" t="str">
        <f>IF(OR(HE123="",GW123="",'HHV-LHV-MW'!KS58=""),"",((HE123*GW123*('HHV-LHV-MW'!KS58/100))/23.685)^2)</f>
        <v/>
      </c>
      <c r="HH123" s="639" t="str">
        <f t="shared" si="130"/>
        <v/>
      </c>
      <c r="HI123" s="891" t="str">
        <f t="shared" si="131"/>
        <v/>
      </c>
      <c r="HJ123" s="643" t="str">
        <f>IF(AK123="","",VLOOKUP(AK123,'HHV-LHV-MW'!$A$3:$H$40,7,FALSE))</f>
        <v/>
      </c>
      <c r="HK123" s="875" t="str">
        <f>IF($BW$106=1,     IF(OR(HJ123="",'HHV-LHV-MW'!KS58="",HE123=""),"",(HJ123*('HHV-LHV-MW'!KS58/100)*HE123)^2),IF(OR(HJ123="",GX123="",HA123=""),"",(HJ123*(GX123/100)*HA123)^2))</f>
        <v/>
      </c>
      <c r="HL123" s="635" t="str">
        <f>IF(AK123="","",VLOOKUP(AK123,'HHV-LHV-MW'!$A$3:$I$40,9,FALSE))</f>
        <v/>
      </c>
      <c r="HM123" s="875" t="str">
        <f>IF($BW$106=1,     IF(OR(HL123="",'HHV-LHV-MW'!KS58="",HE123=""),"",(HL123*('HHV-LHV-MW'!KS58/100)*HE123)^2),IF(OR(HL123="",GX123="",HA123=""),"",(HL123*(GX123/100)*HA123)^2))</f>
        <v/>
      </c>
      <c r="HN123" s="635" t="str">
        <f>IF(AK123="","",(VLOOKUP(AK123,'HHV-LHV-MW'!$A$3:$F$40,6,FALSE))    )</f>
        <v/>
      </c>
      <c r="HO123" s="875" t="str">
        <f>IF($BW$106=1,     IF(OR(HN123="",'HHV-LHV-MW'!KS58="",HE123=""),"",(HN123*('HHV-LHV-MW'!KS58/100)*HE123)^2),IF(OR(HN123="",GX123="",HA123=""),"",(HN123*(GX123/100)*HA123)^2))</f>
        <v/>
      </c>
      <c r="HP123" s="638" t="str">
        <f>IF($BW$106=1,     IF(OR(HN123="",HL123="",$AL$103="",$AL$103=0,'HHV-LHV-MW'!KS58="",HE123="",$HM$145=""),"", ((HN123*((HL123*('HHV-LHV-MW'!KS58/100))/$AL$103))^2)*((HE123^2)+($HM$145^2))),              IF(OR(HN123="",HL123="",GX123="",HA123="",$HM$145="",$AL$103="",$AL$103=0),"",      ((HN123*((HL123*(GX123/100))/$AL$103))^2)*((HA123^2)+($HM$145^2))             ))</f>
        <v/>
      </c>
      <c r="HQ123" s="889" t="str">
        <f>IF(AQ123="","",VLOOKUP(AQ123,'HHV-LHV-MW'!$A$3:$H$40,4,FALSE))</f>
        <v/>
      </c>
      <c r="HR123" s="889" t="str">
        <f>IF(AQ123="","",VLOOKUP(AQ123,'HHV-LHV-MW'!$A$3:$H$40,5,FALSE))</f>
        <v/>
      </c>
      <c r="HS123" s="890" t="str">
        <f>IF($BW$116="","",((PRODUCT('HHV-LHV-MW'!MP58)+PRODUCT('HHV-LHV-MW'!NB58)+PRODUCT('HHV-LHV-MW'!NN58)+PRODUCT('HHV-LHV-MW'!NZ58))/$BW$116))</f>
        <v/>
      </c>
      <c r="HT123" s="890" t="str">
        <f>IF($BW$116="","",(IF($BW$116=1,"",  (SQRT(  (      (IF('HHV-LHV-MW'!MP58="",0,('HHV-LHV-MW'!MP58-HS123)^2))      +        (IF('HHV-LHV-MW'!NB58="",0,('HHV-LHV-MW'!NB58-HS123)^2))       +        (IF('HHV-LHV-MW'!NN58="",0,('HHV-LHV-MW'!NN58-HS123)^2))          +        (IF('HHV-LHV-MW'!NZ58="",0,('HHV-LHV-MW'!NZ58-HS123)^2))          )     *(1/($BW$116-1))  )))))</f>
        <v/>
      </c>
      <c r="HU123" s="890" t="str">
        <f t="shared" si="132"/>
        <v/>
      </c>
      <c r="HV123" s="890" t="str">
        <f t="shared" si="133"/>
        <v/>
      </c>
      <c r="HW123" s="636" t="str">
        <f>IF('HHV-LHV-MW'!MP58="","",IF(AND('HHV-LHV-MW'!MP58&gt;=0,'HHV-LHV-MW'!MP58&lt;=0.09),2,  IF(AND('HHV-LHV-MW'!MP58&gt;=0.1,'HHV-LHV-MW'!MP58&lt;=0.9),7,  IF(AND('HHV-LHV-MW'!MP58&gt;=1,'HHV-LHV-MW'!MP58&lt;=4.9),10,   IF(AND('HHV-LHV-MW'!MP58&gt;=5,'HHV-LHV-MW'!MP58&lt;=10),12, 15)))))</f>
        <v/>
      </c>
      <c r="HX123" s="636" t="str">
        <f>IF('HHV-LHV-MW'!MP58="","",5*'HHV-LHV-MW'!MP58)</f>
        <v/>
      </c>
      <c r="HY123" s="635" t="str">
        <f t="shared" si="134"/>
        <v/>
      </c>
      <c r="HZ123" s="636" t="str">
        <f>IF(OR(HY123="",'HHV-LHV-MW'!MP58=0),"",HY123/'HHV-LHV-MW'!MP58)</f>
        <v/>
      </c>
      <c r="IA123" s="636" t="str">
        <f>IF(OR(HZ123="",HQ123="",'HHV-LHV-MW'!MP58=""),"",((HZ123*HQ123*('HHV-LHV-MW'!MP58/100))/23.685)^2)</f>
        <v/>
      </c>
      <c r="IB123" s="636" t="str">
        <f>IF(OR(HZ123="",HR123="",'HHV-LHV-MW'!MP58=""),"",((HZ123*HR123*('HHV-LHV-MW'!MP58/100))/23.685)^2)</f>
        <v/>
      </c>
      <c r="IC123" s="639" t="str">
        <f t="shared" si="135"/>
        <v/>
      </c>
      <c r="ID123" s="891" t="str">
        <f t="shared" si="136"/>
        <v/>
      </c>
      <c r="IE123" s="643" t="str">
        <f>IF(AQ123="","",VLOOKUP(AQ123,'HHV-LHV-MW'!$A$3:$H$40,7,FALSE))</f>
        <v/>
      </c>
      <c r="IF123" s="875" t="str">
        <f>IF($BW$116=1,     IF(OR(IE123="",'HHV-LHV-MW'!MP58="",HZ123=""),"",(IE123*('HHV-LHV-MW'!MP58/100)*HZ123)^2),IF(OR(IE123="",HS123="",HV123=""),"",(IE123*(HS123/100)*HV123)^2))</f>
        <v/>
      </c>
      <c r="IG123" s="635" t="str">
        <f>IF(AQ123="","",VLOOKUP(AQ123,'HHV-LHV-MW'!$A$3:$I$40,9,FALSE))</f>
        <v/>
      </c>
      <c r="IH123" s="875" t="str">
        <f>IF($BW$116=1,     IF(OR(IG123="",'HHV-LHV-MW'!MP58="",HZ123=""),"",(IG123*('HHV-LHV-MW'!MP58/100)*HZ123)^2),IF(OR(IG123="",HS123="",HV123=""),"",(IG123*(HS123/100)*HV123)^2))</f>
        <v/>
      </c>
      <c r="II123" s="635" t="str">
        <f>IF(AQ123="","",(VLOOKUP(AQ123,'HHV-LHV-MW'!$A$3:$F$40,6,FALSE))    )</f>
        <v/>
      </c>
      <c r="IJ123" s="875" t="str">
        <f>IF($BW$116=1,     IF(OR(II123="",'HHV-LHV-MW'!MP58="",HZ123=""),"",(II123*('HHV-LHV-MW'!MP58/100)*HZ123)^2),IF(OR(II123="",HS123="",HV123=""),"",(II123*(HS123/100)*HV123)^2))</f>
        <v/>
      </c>
      <c r="IK123" s="638" t="str">
        <f>IF($BW$116=1,     IF(OR(II123="",IG123="",$AR$103="",$AR$103=0,'HHV-LHV-MW'!MP58="",HZ123="",$IH$145=""),"", ((II123*((IG123*('HHV-LHV-MW'!MP58/100))/$AR$103))^2)*((HZ123^2)+($IH$145^2))),              IF(OR(II123="",IG123="",HS123="",HV123="",$IH$145="",$AR$103="",$AR$103=0),"",      ((II123*((IG123*(HS123/100))/$AR$103))^2)*((HV123^2)+($IH$145^2))             ))</f>
        <v/>
      </c>
      <c r="IL123" s="889" t="str">
        <f>IF(AW123="","",VLOOKUP(AW123,'HHV-LHV-MW'!$A$3:$H$40,4,FALSE))</f>
        <v/>
      </c>
      <c r="IM123" s="889" t="str">
        <f>IF(AW123="","",VLOOKUP(AW123,'HHV-LHV-MW'!$A$3:$H$40,5,FALSE))</f>
        <v/>
      </c>
      <c r="IN123" s="890" t="str">
        <f>IF($BW$126="","",((PRODUCT('HHV-LHV-MW'!ON58)+PRODUCT('HHV-LHV-MW'!OZ58)+PRODUCT('HHV-LHV-MW'!PL58)+PRODUCT('HHV-LHV-MW'!PX58))/$BW$126))</f>
        <v/>
      </c>
      <c r="IO123" s="890" t="str">
        <f>IF($BW$126="","",(IF($BW$126=1,"",  (SQRT(  (      (IF('HHV-LHV-MW'!ON58="",0,('HHV-LHV-MW'!ON58-IN123)^2))      +        (IF('HHV-LHV-MW'!OZ58="",0,('HHV-LHV-MW'!OZ58-IN123)^2))       +        (IF('HHV-LHV-MW'!PL58="",0,('HHV-LHV-MW'!PL58-IN123)^2))          +        (IF('HHV-LHV-MW'!PX58="",0,('HHV-LHV-MW'!PX58-IN123)^2))          )     *(1/($BW$126-1))  )))))</f>
        <v/>
      </c>
      <c r="IP123" s="890" t="str">
        <f t="shared" si="137"/>
        <v/>
      </c>
      <c r="IQ123" s="890" t="str">
        <f t="shared" si="138"/>
        <v/>
      </c>
      <c r="IR123" s="636" t="str">
        <f>IF('HHV-LHV-MW'!ON58="","",IF(AND('HHV-LHV-MW'!ON58&gt;=0,'HHV-LHV-MW'!ON58&lt;=0.09),2,  IF(AND('HHV-LHV-MW'!ON58&gt;=0.1,'HHV-LHV-MW'!ON58&lt;=0.9),7,  IF(AND('HHV-LHV-MW'!ON58&gt;=1,'HHV-LHV-MW'!ON58&lt;=4.9),10,   IF(AND('HHV-LHV-MW'!ON58&gt;=5,'HHV-LHV-MW'!ON58&lt;=10),12, 15)))))</f>
        <v/>
      </c>
      <c r="IS123" s="636" t="str">
        <f>IF('HHV-LHV-MW'!ON58="","",5*'HHV-LHV-MW'!ON58)</f>
        <v/>
      </c>
      <c r="IT123" s="635" t="str">
        <f t="shared" si="139"/>
        <v/>
      </c>
      <c r="IU123" s="636" t="str">
        <f>IF(OR(IT123="",'HHV-LHV-MW'!ON58=0),"",IT123/'HHV-LHV-MW'!ON58)</f>
        <v/>
      </c>
      <c r="IV123" s="636" t="str">
        <f>IF(OR(IU123="",IL123="",'HHV-LHV-MW'!ON58=""),"",((IU123*IL123*('HHV-LHV-MW'!ON58/100))/23.685)^2)</f>
        <v/>
      </c>
      <c r="IW123" s="636" t="str">
        <f>IF(OR(IU123="",IM123="",'HHV-LHV-MW'!ON58=""),"",((IU123*IM123*('HHV-LHV-MW'!ON58/100))/23.685)^2)</f>
        <v/>
      </c>
      <c r="IX123" s="639" t="str">
        <f t="shared" si="140"/>
        <v/>
      </c>
      <c r="IY123" s="891" t="str">
        <f t="shared" si="141"/>
        <v/>
      </c>
      <c r="IZ123" s="643" t="str">
        <f>IF(AW123="","",VLOOKUP(AW123,'HHV-LHV-MW'!$A$3:$H$40,7,FALSE))</f>
        <v/>
      </c>
      <c r="JA123" s="875" t="str">
        <f>IF($BW$126=1,     IF(OR(IZ123="",'HHV-LHV-MW'!ON58="",IU123=""),"",(IZ123*('HHV-LHV-MW'!ON58/100)*IU123)^2),IF(OR(IZ123="",IN123="",IQ123=""),"",(IZ123*(IN123/100)*IQ123)^2))</f>
        <v/>
      </c>
      <c r="JB123" s="635" t="str">
        <f>IF(AW123="","",VLOOKUP(AW123,'HHV-LHV-MW'!$A$3:$I$40,9,FALSE))</f>
        <v/>
      </c>
      <c r="JC123" s="875" t="str">
        <f>IF($BW$126=1,     IF(OR(JB123="",'HHV-LHV-MW'!ON58="",IU123=""),"",(JB123*('HHV-LHV-MW'!ON58/100)*IU123)^2),IF(OR(JB123="",IN123="",IQ123=""),"",(JB123*(IN123/100)*IQ123)^2))</f>
        <v/>
      </c>
      <c r="JD123" s="635" t="str">
        <f>IF(AW123="","",(VLOOKUP(AW123,'HHV-LHV-MW'!$A$3:$F$40,6,FALSE))    )</f>
        <v/>
      </c>
      <c r="JE123" s="875" t="str">
        <f>IF($BW$126=1,     IF(OR(JD123="",'HHV-LHV-MW'!ON58="",IU123=""),"",(JD123*('HHV-LHV-MW'!ON58/100)*IU123)^2),IF(OR(JD123="",IN123="",IQ123=""),"",(JD123*(IN123/100)*IQ123)^2))</f>
        <v/>
      </c>
      <c r="JF123" s="638" t="str">
        <f>IF($BW$126=1,     IF(OR(JD123="",JB123="",$AX$103="",$AX$103=0,'HHV-LHV-MW'!ON58="",IU123="",$JC$145=""),"", ((JD123*((JB123*('HHV-LHV-MW'!ON58/100))/$AX$103))^2)*((IU123^2)+($JC$145^2))),              IF(OR(JD123="",JB123="",IN123="",IQ123="",$JC$145="",$AX$103="",$AX$103=0),"",      ((JD123*((JB123*(IN123/100))/$AX$103))^2)*((IQ123^2)+($JC$145^2))             ))</f>
        <v/>
      </c>
      <c r="JG123" s="889" t="str">
        <f>IF(BC123="","",VLOOKUP(BC123,'HHV-LHV-MW'!$A$3:$H$40,4,FALSE))</f>
        <v/>
      </c>
      <c r="JH123" s="889" t="str">
        <f>IF(BC123="","",VLOOKUP(BC123,'HHV-LHV-MW'!$A$3:$H$40,5,FALSE))</f>
        <v/>
      </c>
      <c r="JI123" s="890" t="str">
        <f>IF($BW$136="","",((PRODUCT('HHV-LHV-MW'!QK58)+PRODUCT('HHV-LHV-MW'!QW58)+PRODUCT('HHV-LHV-MW'!RI58)+PRODUCT('HHV-LHV-MW'!RU58))/$BW$136))</f>
        <v/>
      </c>
      <c r="JJ123" s="890" t="str">
        <f>IF($BW$136="","",(IF($BW$136=1,"",  (SQRT(  (      (IF('HHV-LHV-MW'!QK58="",0,('HHV-LHV-MW'!QK58-JI123)^2))      +        (IF('HHV-LHV-MW'!QW58="",0,('HHV-LHV-MW'!QW58-JI123)^2))       +        (IF('HHV-LHV-MW'!RI58="",0,('HHV-LHV-MW'!RI58-JI123)^2))          +        (IF('HHV-LHV-MW'!RU58="",0,('HHV-LHV-MW'!RU58-JI123)^2))          )     *(1/($BW$136-1))  )))))</f>
        <v/>
      </c>
      <c r="JK123" s="890" t="str">
        <f t="shared" si="142"/>
        <v/>
      </c>
      <c r="JL123" s="890" t="str">
        <f t="shared" si="143"/>
        <v/>
      </c>
      <c r="JM123" s="636" t="str">
        <f>IF('HHV-LHV-MW'!QK58="","",IF(AND('HHV-LHV-MW'!QK58&gt;=0,'HHV-LHV-MW'!QK58&lt;=0.09),2,  IF(AND('HHV-LHV-MW'!QK58&gt;=0.1,'HHV-LHV-MW'!QK58&lt;=0.9),7,  IF(AND('HHV-LHV-MW'!QK58&gt;=1,'HHV-LHV-MW'!QK58&lt;=4.9),10,   IF(AND('HHV-LHV-MW'!QK58&gt;=5,'HHV-LHV-MW'!QK58&lt;=10),12, 15)))))</f>
        <v/>
      </c>
      <c r="JN123" s="636" t="str">
        <f>IF('HHV-LHV-MW'!QK58="","",5*'HHV-LHV-MW'!QK58)</f>
        <v/>
      </c>
      <c r="JO123" s="635" t="str">
        <f t="shared" si="144"/>
        <v/>
      </c>
      <c r="JP123" s="636" t="str">
        <f>IF(OR(JO123="",'HHV-LHV-MW'!QK58=0),"",JO123/'HHV-LHV-MW'!QK58)</f>
        <v/>
      </c>
      <c r="JQ123" s="636" t="str">
        <f>IF(OR(JP123="",JG123="",'HHV-LHV-MW'!QK58=""),"",((JP123*JG123*('HHV-LHV-MW'!QK58/100))/23.685)^2)</f>
        <v/>
      </c>
      <c r="JR123" s="636" t="str">
        <f>IF(OR(JP123="",JH123="",'HHV-LHV-MW'!QK58=""),"",((JP123*JH123*('HHV-LHV-MW'!QK58/100))/23.685)^2)</f>
        <v/>
      </c>
      <c r="JS123" s="639" t="str">
        <f t="shared" si="145"/>
        <v/>
      </c>
      <c r="JT123" s="891" t="str">
        <f t="shared" si="146"/>
        <v/>
      </c>
      <c r="JU123" s="643" t="str">
        <f>IF(BC123="","",VLOOKUP(BC123,'HHV-LHV-MW'!$A$3:$H$40,7,FALSE))</f>
        <v/>
      </c>
      <c r="JV123" s="875" t="str">
        <f>IF($BW$136=1,     IF(OR(JU123="",'HHV-LHV-MW'!QK58="",JP123=""),"",(JU123*('HHV-LHV-MW'!QK58/100)*JP123)^2),IF(OR(JU123="",JI123="",JL123=""),"",(JU123*(JI123/100)*JL123)^2))</f>
        <v/>
      </c>
      <c r="JW123" s="635" t="str">
        <f>IF(BC123="","",VLOOKUP(BC123,'HHV-LHV-MW'!$A$3:$I$40,9,FALSE))</f>
        <v/>
      </c>
      <c r="JX123" s="875" t="str">
        <f>IF($BW$136=1,     IF(OR(JW123="",'HHV-LHV-MW'!QK58="",JP123=""),"",(JW123*('HHV-LHV-MW'!QK58/100)*JP123)^2),IF(OR(JW123="",JI123="",JL123=""),"",(JW123*(JI123/100)*JL123)^2))</f>
        <v/>
      </c>
      <c r="JY123" s="635" t="str">
        <f>IF(BC123="","",(VLOOKUP(BC123,'HHV-LHV-MW'!$A$3:$F$40,6,FALSE))    )</f>
        <v/>
      </c>
      <c r="JZ123" s="875" t="str">
        <f>IF($BW$136=1,     IF(OR(JY123="",'HHV-LHV-MW'!QK58="",JP123=""),"",(JY123*('HHV-LHV-MW'!QK58/100)*JP123)^2),IF(OR(JY123="",JI123="",JL123=""),"",(JY123*(JI123/100)*JL123)^2))</f>
        <v/>
      </c>
      <c r="KA123" s="638" t="str">
        <f>IF($BW$136=1,     IF(OR(JY123="",JW123="",$BD$103="",$BD$103=0,'HHV-LHV-MW'!QK58="",JP123="",$JX$145=""),"", ((JY123*((JW123*('HHV-LHV-MW'!QK58/100))/$BD$103))^2)*((JP123^2)+($JX$145^2))),              IF(OR(JY123="",JW123="",JI123="",JL123="",$JX$145="",$BD$103="",$BD$103=0),"",      ((JY123*((JW123*(JI123/100))/$BD$103))^2)*((JL123^2)+($JX$145^2))             ))</f>
        <v/>
      </c>
      <c r="KB123" s="874"/>
      <c r="KC123" s="874"/>
      <c r="KD123" s="874"/>
      <c r="KE123" s="874"/>
      <c r="KF123" s="874"/>
      <c r="KG123" s="874"/>
      <c r="KH123" s="865"/>
      <c r="KI123" s="865"/>
      <c r="KJ123" s="865"/>
      <c r="KK123" s="865"/>
      <c r="KL123" s="865"/>
      <c r="KM123" s="865"/>
      <c r="KN123" s="865"/>
      <c r="KO123" s="865"/>
      <c r="KP123" s="865"/>
      <c r="KQ123" s="865"/>
      <c r="KR123" s="865"/>
      <c r="KS123" s="865"/>
      <c r="KT123" s="865"/>
      <c r="KU123" s="865"/>
      <c r="KV123" s="865"/>
      <c r="KW123" s="865"/>
      <c r="KX123" s="865"/>
      <c r="KY123" s="865"/>
      <c r="KZ123" s="865"/>
      <c r="LA123" s="865"/>
      <c r="LB123" s="865"/>
      <c r="LC123" s="865"/>
      <c r="LD123" s="865"/>
      <c r="LE123" s="865"/>
      <c r="LF123" s="865"/>
    </row>
    <row r="124" spans="1:318" ht="16.2" thickBot="1">
      <c r="A124" s="864"/>
      <c r="B124" s="502"/>
      <c r="C124" s="502"/>
      <c r="D124" s="502"/>
      <c r="E124" s="502"/>
      <c r="F124" s="511"/>
      <c r="G124" s="864"/>
      <c r="H124" s="502"/>
      <c r="I124" s="502"/>
      <c r="J124" s="502"/>
      <c r="K124" s="502"/>
      <c r="L124" s="511"/>
      <c r="M124" s="864"/>
      <c r="N124" s="502"/>
      <c r="O124" s="502"/>
      <c r="P124" s="502"/>
      <c r="Q124" s="502"/>
      <c r="R124" s="511"/>
      <c r="S124" s="864"/>
      <c r="T124" s="502"/>
      <c r="U124" s="502"/>
      <c r="V124" s="502"/>
      <c r="W124" s="502"/>
      <c r="X124" s="511"/>
      <c r="Y124" s="864"/>
      <c r="Z124" s="502"/>
      <c r="AA124" s="502"/>
      <c r="AB124" s="502"/>
      <c r="AC124" s="502"/>
      <c r="AD124" s="511"/>
      <c r="AE124" s="864"/>
      <c r="AF124" s="502"/>
      <c r="AG124" s="502"/>
      <c r="AH124" s="502"/>
      <c r="AI124" s="502"/>
      <c r="AJ124" s="511"/>
      <c r="AK124" s="864"/>
      <c r="AL124" s="502"/>
      <c r="AM124" s="502"/>
      <c r="AN124" s="502"/>
      <c r="AO124" s="502"/>
      <c r="AP124" s="511"/>
      <c r="AQ124" s="864"/>
      <c r="AR124" s="502"/>
      <c r="AS124" s="502"/>
      <c r="AT124" s="502"/>
      <c r="AU124" s="502"/>
      <c r="AV124" s="511"/>
      <c r="AW124" s="864"/>
      <c r="AX124" s="502"/>
      <c r="AY124" s="502"/>
      <c r="AZ124" s="502"/>
      <c r="BA124" s="502"/>
      <c r="BB124" s="511"/>
      <c r="BC124" s="864"/>
      <c r="BD124" s="502"/>
      <c r="BE124" s="502"/>
      <c r="BF124" s="502"/>
      <c r="BG124" s="502"/>
      <c r="BH124" s="865"/>
      <c r="BI124" s="865"/>
      <c r="BQ124" s="865"/>
      <c r="BY124" s="874"/>
      <c r="BZ124" s="888" t="str">
        <f>IF(A124="","",VLOOKUP(A124,'HHV-LHV-MW'!$A$3:$H$40,4,FALSE))</f>
        <v/>
      </c>
      <c r="CA124" s="889" t="str">
        <f>IF(A124="","",VLOOKUP(A124,'HHV-LHV-MW'!$A$3:$H$40,5,FALSE))</f>
        <v/>
      </c>
      <c r="CB124" s="890" t="str">
        <f>IF($BO$96="","",((PRODUCT('HHV-LHV-MW'!K59)+PRODUCT('HHV-LHV-MW'!W59)+PRODUCT('HHV-LHV-MW'!AI59)+PRODUCT('HHV-LHV-MW'!AU59))/$BO$96))</f>
        <v/>
      </c>
      <c r="CC124" s="890" t="str">
        <f>IF($BO$96="","",(IF($BO$96=1,"",  (SQRT(  (      (IF('HHV-LHV-MW'!K59="",0,('HHV-LHV-MW'!K59-CB124)^2))      +        (IF('HHV-LHV-MW'!W59="",0,('HHV-LHV-MW'!W59-CB124)^2))       +        (IF('HHV-LHV-MW'!AI59="",0,('HHV-LHV-MW'!AI59-CB124)^2))          +        (IF('HHV-LHV-MW'!AU59="",0,('HHV-LHV-MW'!AU59-CB124)^2))          )     *(1/($BO$96-1))  )))))</f>
        <v/>
      </c>
      <c r="CD124" s="890" t="str">
        <f t="shared" si="97"/>
        <v/>
      </c>
      <c r="CE124" s="890" t="str">
        <f t="shared" si="98"/>
        <v/>
      </c>
      <c r="CF124" s="636" t="str">
        <f>IF('HHV-LHV-MW'!K59="","",IF(AND('HHV-LHV-MW'!K59&gt;=0,'HHV-LHV-MW'!K59&lt;=0.09),2,  IF(AND('HHV-LHV-MW'!K59&gt;=0.1,'HHV-LHV-MW'!K59&lt;=0.9),7,  IF(AND('HHV-LHV-MW'!K59&gt;=1,'HHV-LHV-MW'!K59&lt;=4.9),10,   IF(AND('HHV-LHV-MW'!K59&gt;=5,'HHV-LHV-MW'!K59&lt;=10),12, 15)))))</f>
        <v/>
      </c>
      <c r="CG124" s="636" t="str">
        <f>IF('HHV-LHV-MW'!K59="","",5*'HHV-LHV-MW'!K59)</f>
        <v/>
      </c>
      <c r="CH124" s="635" t="str">
        <f t="shared" si="99"/>
        <v/>
      </c>
      <c r="CI124" s="636" t="str">
        <f>IF(OR(CH124="",'HHV-LHV-MW'!K59=0),"",CH124/'HHV-LHV-MW'!K59)</f>
        <v/>
      </c>
      <c r="CJ124" s="636" t="str">
        <f>IF(OR(CI124="",BZ124="",'HHV-LHV-MW'!K59=""),"",((CI124*BZ124*('HHV-LHV-MW'!K59/100))/23.685)^2)</f>
        <v/>
      </c>
      <c r="CK124" s="636" t="str">
        <f>IF(OR(CI124="",CA124="",'HHV-LHV-MW'!K59=""),"",((CI124*CA124*('HHV-LHV-MW'!K59/100))/23.685)^2)</f>
        <v/>
      </c>
      <c r="CL124" s="639" t="str">
        <f t="shared" si="100"/>
        <v/>
      </c>
      <c r="CM124" s="892" t="str">
        <f t="shared" si="101"/>
        <v/>
      </c>
      <c r="CN124" s="639" t="str">
        <f>IF(A124="","",VLOOKUP(A124,'HHV-LHV-MW'!$A$3:$H$40,7,FALSE))</f>
        <v/>
      </c>
      <c r="CO124" s="636" t="str">
        <f>IF($BO$96=1,     IF(OR(CN124="",'HHV-LHV-MW'!K59="",CI124=""),"",(CN124*('HHV-LHV-MW'!K59/100)*CI124)^2),IF(OR(CN124="",CB124="",CE124=""),"",(CN124*(CB124/100)*CE124)^2))</f>
        <v/>
      </c>
      <c r="CP124" s="635" t="str">
        <f>IF(A124="","",VLOOKUP(A124,'HHV-LHV-MW'!$A$3:$I$40,9,FALSE))</f>
        <v/>
      </c>
      <c r="CQ124" s="636" t="str">
        <f>IF($BO$96=1,     IF(OR(CP124="",'HHV-LHV-MW'!K59="",CI124=""),"",(CP124*('HHV-LHV-MW'!K59/100)*CI124)^2),IF(OR(CP124="",CB124="",CE124=""),"",(CP124*(CB124/100)*CE124)^2))</f>
        <v/>
      </c>
      <c r="CR124" s="636" t="str">
        <f>IF(A124="","",(VLOOKUP(A124,'HHV-LHV-MW'!$A$3:$F$40,6,FALSE))    )</f>
        <v/>
      </c>
      <c r="CS124" s="636" t="str">
        <f>IF($BO$96=1,     IF(OR(CR124="",'HHV-LHV-MW'!K59="",CI124=""),"",(CR124*('HHV-LHV-MW'!K59/100)*CI124)^2),IF(OR(CR124="",CB124="",CE124=""),"",(CR124*(CB124/100)*CE124)^2))</f>
        <v/>
      </c>
      <c r="CT124" s="640" t="str">
        <f>IF($BO$96=1,     IF(OR(CR124="",CP124="",$B$103="",$B$103=0,'HHV-LHV-MW'!K59="",CI124="",$CQ$145=""),"", ((CR124*((CP124*('HHV-LHV-MW'!K59/100))/$B$103))^2)*((CI124^2)+($CQ$145^2))),              IF(OR(CR124="",CP124="",CB124="",CE124="",$CQ$145="",$B$103="",$B$103=0),"",      ((CR124*((CP124*(CB124/100))/$B$103))^2)*((CE124^2)+($CQ$145^2))             ))</f>
        <v/>
      </c>
      <c r="CU124" s="889" t="str">
        <f>IF(G124="","",VLOOKUP(G124,'HHV-LHV-MW'!$A$3:$H$40,4,FALSE))</f>
        <v/>
      </c>
      <c r="CV124" s="889" t="str">
        <f>IF(G124="","",VLOOKUP(G124,'HHV-LHV-MW'!$A$3:$H$40,5,FALSE))</f>
        <v/>
      </c>
      <c r="CW124" s="890" t="str">
        <f>IF($BO$106="","",((PRODUCT('HHV-LHV-MW'!BH59)+PRODUCT('HHV-LHV-MW'!BT59)+PRODUCT('HHV-LHV-MW'!CF59)+PRODUCT('HHV-LHV-MW'!CR59))/$BO$106))</f>
        <v/>
      </c>
      <c r="CX124" s="890" t="str">
        <f>IF($BO$106="","",(IF($BO$106=1,"",  (SQRT(  (      (IF('HHV-LHV-MW'!BH59="",0,('HHV-LHV-MW'!BH59-CW124)^2))      +        (IF('HHV-LHV-MW'!BT59="",0,('HHV-LHV-MW'!BT59-CW124)^2))       +        (IF('HHV-LHV-MW'!CF59="",0,('HHV-LHV-MW'!CF59-CW124)^2))          +        (IF('HHV-LHV-MW'!CR59="",0,('HHV-LHV-MW'!CR59-CW124)^2))          )     *(1/($BO$106-1))  )))))</f>
        <v/>
      </c>
      <c r="CY124" s="890" t="str">
        <f t="shared" si="102"/>
        <v/>
      </c>
      <c r="CZ124" s="890" t="str">
        <f t="shared" si="103"/>
        <v/>
      </c>
      <c r="DA124" s="636" t="str">
        <f>IF('HHV-LHV-MW'!BH59="","",IF(AND('HHV-LHV-MW'!BH59&gt;=0,'HHV-LHV-MW'!BH59&lt;=0.09),2,  IF(AND('HHV-LHV-MW'!BH59&gt;=0.1,'HHV-LHV-MW'!BH59&lt;=0.9),7,  IF(AND('HHV-LHV-MW'!BH59&gt;=1,'HHV-LHV-MW'!BH59&lt;=4.9),10,   IF(AND('HHV-LHV-MW'!BH59&gt;=5,'HHV-LHV-MW'!BH59&lt;=10),12, 15)))))</f>
        <v/>
      </c>
      <c r="DB124" s="636" t="str">
        <f>IF('HHV-LHV-MW'!BH59="","",5*'HHV-LHV-MW'!BH59)</f>
        <v/>
      </c>
      <c r="DC124" s="635" t="str">
        <f t="shared" si="104"/>
        <v/>
      </c>
      <c r="DD124" s="636" t="str">
        <f>IF(OR(DC124="",'HHV-LHV-MW'!BH59=0),"",DC124/'HHV-LHV-MW'!BH59)</f>
        <v/>
      </c>
      <c r="DE124" s="635" t="str">
        <f>IF(OR(DD124="",CU124="",'HHV-LHV-MW'!BH59=""),"",((DD124*CU124*('HHV-LHV-MW'!BH59/100))/23.685)^2)</f>
        <v/>
      </c>
      <c r="DF124" s="636" t="str">
        <f>IF(OR(DD124="",CV124="",'HHV-LHV-MW'!BH59=""),"",((DD124*CV124*('HHV-LHV-MW'!BH59/100))/23.685)^2)</f>
        <v/>
      </c>
      <c r="DG124" s="639" t="str">
        <f t="shared" si="105"/>
        <v/>
      </c>
      <c r="DH124" s="891" t="str">
        <f t="shared" si="106"/>
        <v/>
      </c>
      <c r="DI124" s="635" t="str">
        <f>IF(G124="","",VLOOKUP(G124,'HHV-LHV-MW'!$A$3:$H$40,7,FALSE))</f>
        <v/>
      </c>
      <c r="DJ124" s="875" t="str">
        <f>IF($BO$106=1,     IF(OR(DI124="",'HHV-LHV-MW'!BH59="",DD124=""),"",(DI124*('HHV-LHV-MW'!BH59/100)*DD124)^2),IF(OR(DI124="",CW124="",CZ124=""),"",(DI124*(CW124/100)*CZ124)^2))</f>
        <v/>
      </c>
      <c r="DK124" s="635" t="str">
        <f>IF(G124="","",VLOOKUP(G124,'HHV-LHV-MW'!$A$3:$I$40,9,FALSE))</f>
        <v/>
      </c>
      <c r="DL124" s="875" t="str">
        <f>IF($BO$106=1,     IF(OR(DK124="",'HHV-LHV-MW'!BH59="",DD124=""),"",(DK124*('HHV-LHV-MW'!BH59/100)*DD124)^2),IF(OR(DK124="",CW124="",CZ124=""),"",(DK124*(CW124/100)*CZ124)^2))</f>
        <v/>
      </c>
      <c r="DM124" s="635" t="str">
        <f>IF(G124="","",(VLOOKUP(G124,'HHV-LHV-MW'!$A$3:$F$40,6,FALSE))    )</f>
        <v/>
      </c>
      <c r="DN124" s="875" t="str">
        <f>IF($BO$106=1,     IF(OR(DM124="",'HHV-LHV-MW'!BH59="",DD124=""),"",(DM124*('HHV-LHV-MW'!BH59/100)*DD124)^2),IF(OR(DM124="",CW124="",CZ124=""),"",(DM124*(CW124/100)*CZ124)^2))</f>
        <v/>
      </c>
      <c r="DO124" s="638" t="str">
        <f>IF($BO$106=1,     IF(OR(DM124="",DK124="",$H$103="",$H$103=0,'HHV-LHV-MW'!BH59="",DD124="",$DL$145=""),"", ((DM124*((DK124*('HHV-LHV-MW'!BH59/100))/$H$103))^2)*((DD124^2)+($DL$145^2))),              IF(OR(DM124="",DK124="",CW124="",CZ124="",$DL$145="",$H$103="",$H$103=0),"",      ((DM124*((DK124*(CW124/100))/$H$103))^2)*((CZ124^2)+($DL$145^2))             ))</f>
        <v/>
      </c>
      <c r="DP124" s="889" t="str">
        <f>IF(M124="","",VLOOKUP(M124,'HHV-LHV-MW'!$A$3:$H$40,4,FALSE))</f>
        <v/>
      </c>
      <c r="DQ124" s="889" t="str">
        <f>IF(M124="","",VLOOKUP(M124,'HHV-LHV-MW'!$A$3:$H$40,5,FALSE))</f>
        <v/>
      </c>
      <c r="DR124" s="890" t="str">
        <f>IF($BO$116="","",((PRODUCT('HHV-LHV-MW'!DE59)+PRODUCT('HHV-LHV-MW'!DQ59)+PRODUCT('HHV-LHV-MW'!EC59)+PRODUCT('HHV-LHV-MW'!EO59))/$BO$116))</f>
        <v/>
      </c>
      <c r="DS124" s="890" t="str">
        <f>IF($BO$116="","",(IF($BO$116=1,"",  (SQRT(  (      (IF('HHV-LHV-MW'!DE59="",0,('HHV-LHV-MW'!DE59-DR124)^2))      +        (IF('HHV-LHV-MW'!DQ59="",0,('HHV-LHV-MW'!DQ59-DR124)^2))       +        (IF('HHV-LHV-MW'!EC59="",0,('HHV-LHV-MW'!EC59-DR124)^2))          +        (IF('HHV-LHV-MW'!EO59="",0,('HHV-LHV-MW'!EO59-DR124)^2))          )     *(1/($BO$116-1))  )))))</f>
        <v/>
      </c>
      <c r="DT124" s="890" t="str">
        <f t="shared" si="107"/>
        <v/>
      </c>
      <c r="DU124" s="890" t="str">
        <f t="shared" si="108"/>
        <v/>
      </c>
      <c r="DV124" s="636" t="str">
        <f>IF('HHV-LHV-MW'!DE59="","",IF(AND('HHV-LHV-MW'!DE59&gt;=0,'HHV-LHV-MW'!DE59&lt;=0.09),2,  IF(AND('HHV-LHV-MW'!DE59&gt;=0.1,'HHV-LHV-MW'!DE59&lt;=0.9),7,  IF(AND('HHV-LHV-MW'!DE59&gt;=1,'HHV-LHV-MW'!DE59&lt;=4.9),10,   IF(AND('HHV-LHV-MW'!DE59&gt;=5,'HHV-LHV-MW'!DE59&lt;=10),12, 15)))))</f>
        <v/>
      </c>
      <c r="DW124" s="636" t="str">
        <f>IF('HHV-LHV-MW'!DE59="","",5*'HHV-LHV-MW'!DE59)</f>
        <v/>
      </c>
      <c r="DX124" s="635" t="str">
        <f t="shared" si="109"/>
        <v/>
      </c>
      <c r="DY124" s="636" t="str">
        <f>IF(OR(DX124="",'HHV-LHV-MW'!DE59=0),"",DX124/'HHV-LHV-MW'!DE59)</f>
        <v/>
      </c>
      <c r="DZ124" s="636" t="str">
        <f>IF(OR(DY124="",DP124="",'HHV-LHV-MW'!DE59=""),"",((DY124*DP124*('HHV-LHV-MW'!DE59/100))/23.685)^2)</f>
        <v/>
      </c>
      <c r="EA124" s="636" t="str">
        <f>IF(OR(DY124="",DQ124="",'HHV-LHV-MW'!DE59=""),"",((DY124*DQ124*('HHV-LHV-MW'!DE59/100))/23.685)^2)</f>
        <v/>
      </c>
      <c r="EB124" s="639" t="str">
        <f t="shared" si="110"/>
        <v/>
      </c>
      <c r="EC124" s="891" t="str">
        <f t="shared" si="111"/>
        <v/>
      </c>
      <c r="ED124" s="643" t="str">
        <f>IF(M124="","",VLOOKUP(M124,'HHV-LHV-MW'!$A$3:$H$40,7,FALSE))</f>
        <v/>
      </c>
      <c r="EE124" s="875" t="str">
        <f>IF($BO$116=1,     IF(OR(ED124="",'HHV-LHV-MW'!DE59="",DY124=""),"",(ED124*('HHV-LHV-MW'!DE59/100)*DY124)^2),IF(OR(ED124="",DR124="",DU124=""),"",(ED124*(DR124/100)*DU124)^2))</f>
        <v/>
      </c>
      <c r="EF124" s="635" t="str">
        <f>IF(M124="","",VLOOKUP(M124,'HHV-LHV-MW'!$A$3:$I$40,9,FALSE))</f>
        <v/>
      </c>
      <c r="EG124" s="875" t="str">
        <f>IF($BO$116=1,     IF(OR(EF124="",'HHV-LHV-MW'!DE59="",DY124=""),"",(EF124*('HHV-LHV-MW'!DE59/100)*DY124)^2),IF(OR(EF124="",DR124="",DU124=""),"",(EF124*(DR124/100)*DU124)^2))</f>
        <v/>
      </c>
      <c r="EH124" s="635" t="str">
        <f>IF(M124="","",(VLOOKUP(M124,'HHV-LHV-MW'!$A$3:$F$40,6,FALSE))    )</f>
        <v/>
      </c>
      <c r="EI124" s="875" t="str">
        <f>IF($BO$116=1,     IF(OR(EH124="",'HHV-LHV-MW'!DE59="",DY124=""),"",(EH124*('HHV-LHV-MW'!DE59/100)*DY124)^2),IF(OR(EH124="",DR124="",DU124=""),"",(EH124*(DR124/100)*DU124)^2))</f>
        <v/>
      </c>
      <c r="EJ124" s="638" t="str">
        <f>IF($BO$116=1,     IF(OR(EH124="",EF124="",$N$103="",$N$103=0,'HHV-LHV-MW'!DE59="",DY124="",$EG$145=""),"", ((EH124*((EF124*('HHV-LHV-MW'!DE59/100))/$N$103))^2)*((DY124^2)+($EG$145^2))),              IF(OR(EH124="",EF124="",DR124="",DU124="",$EG$145="",$N$103="",$N$103=0),"",      ((EH124*((EF124*(DR124/100))/$N$103))^2)*((DU124^2)+($EG$145^2))             ))</f>
        <v/>
      </c>
      <c r="EK124" s="889" t="str">
        <f>IF(S124="","",VLOOKUP(S124,'HHV-LHV-MW'!$A$3:$H$40,4,FALSE))</f>
        <v/>
      </c>
      <c r="EL124" s="889" t="str">
        <f>IF(S124="","",VLOOKUP(S124,'HHV-LHV-MW'!$A$3:$H$40,5,FALSE))</f>
        <v/>
      </c>
      <c r="EM124" s="890" t="str">
        <f>IF($BO$126="","",((PRODUCT('HHV-LHV-MW'!FB59)+PRODUCT('HHV-LHV-MW'!FN59)+PRODUCT('HHV-LHV-MW'!FZ59)+PRODUCT('HHV-LHV-MW'!GL59))/$BO$126))</f>
        <v/>
      </c>
      <c r="EN124" s="890" t="str">
        <f>IF($BO$126="","",(IF($BO$126=1,"",  (SQRT(  (      (IF('HHV-LHV-MW'!FB59="",0,('HHV-LHV-MW'!FB59-EM124)^2))      +        (IF('HHV-LHV-MW'!FN59="",0,('HHV-LHV-MW'!FN59-EM124)^2))       +        (IF('HHV-LHV-MW'!FZ59="",0,('HHV-LHV-MW'!FZ59-EM124)^2))          +        (IF('HHV-LHV-MW'!GL59="",0,('HHV-LHV-MW'!GL59-EM124)^2))          )     *(1/($BO$126-1))  )))))</f>
        <v/>
      </c>
      <c r="EO124" s="890" t="str">
        <f t="shared" si="112"/>
        <v/>
      </c>
      <c r="EP124" s="890" t="str">
        <f t="shared" si="113"/>
        <v/>
      </c>
      <c r="EQ124" s="636" t="str">
        <f>IF('HHV-LHV-MW'!FB59="","",IF(AND('HHV-LHV-MW'!FB59&gt;=0,'HHV-LHV-MW'!FB59&lt;=0.09),2,  IF(AND('HHV-LHV-MW'!FB59&gt;=0.1,'HHV-LHV-MW'!FB59&lt;=0.9),7,  IF(AND('HHV-LHV-MW'!FB59&gt;=1,'HHV-LHV-MW'!FB59&lt;=4.9),10,   IF(AND('HHV-LHV-MW'!FB59&gt;=5,'HHV-LHV-MW'!FB59&lt;=10),12, 15)))))</f>
        <v/>
      </c>
      <c r="ER124" s="636" t="str">
        <f>IF('HHV-LHV-MW'!FB59="","",5*'HHV-LHV-MW'!FB59)</f>
        <v/>
      </c>
      <c r="ES124" s="635" t="str">
        <f t="shared" si="114"/>
        <v/>
      </c>
      <c r="ET124" s="636" t="str">
        <f>IF(OR(ES124="",'HHV-LHV-MW'!FB59=0),"",ES124/'HHV-LHV-MW'!FB59)</f>
        <v/>
      </c>
      <c r="EU124" s="636" t="str">
        <f>IF(OR(ET124="",EK124="",'HHV-LHV-MW'!FB59=""),"",((ET124*EK124*('HHV-LHV-MW'!FB59/100))/23.685)^2)</f>
        <v/>
      </c>
      <c r="EV124" s="636" t="str">
        <f>IF(OR(ET124="",EL124="",'HHV-LHV-MW'!FB59=""),"",((ET124*EL124*('HHV-LHV-MW'!FB59/100))/23.685)^2)</f>
        <v/>
      </c>
      <c r="EW124" s="639" t="str">
        <f t="shared" si="115"/>
        <v/>
      </c>
      <c r="EX124" s="891" t="str">
        <f t="shared" si="116"/>
        <v/>
      </c>
      <c r="EY124" s="643" t="str">
        <f>IF(S124="","",VLOOKUP(S124,'HHV-LHV-MW'!$A$3:$H$40,7,FALSE))</f>
        <v/>
      </c>
      <c r="EZ124" s="875" t="str">
        <f>IF($BO$126=1,     IF(OR(EY124="",'HHV-LHV-MW'!FB59="",ET124=""),"",(EY124*('HHV-LHV-MW'!FB59/100)*ET124)^2),IF(OR(EY124="",EM124="",EP124=""),"",(EY124*(EM124/100)*EP124)^2))</f>
        <v/>
      </c>
      <c r="FA124" s="635" t="str">
        <f>IF(S124="","",VLOOKUP(S124,'HHV-LHV-MW'!$A$3:$I$40,9,FALSE))</f>
        <v/>
      </c>
      <c r="FB124" s="875" t="str">
        <f>IF($BO$126=1,     IF(OR(FA124="",'HHV-LHV-MW'!FB59="",ET124=""),"",(FA124*('HHV-LHV-MW'!FB59/100)*ET124)^2),IF(OR(FA124="",EM124="",EP124=""),"",(FA124*(EM124/100)*EP124)^2))</f>
        <v/>
      </c>
      <c r="FC124" s="635" t="str">
        <f>IF(S124="","",(VLOOKUP(S124,'HHV-LHV-MW'!$A$3:$F$40,6,FALSE))    )</f>
        <v/>
      </c>
      <c r="FD124" s="875" t="str">
        <f>IF($BO$126=1,     IF(OR(FC124="",'HHV-LHV-MW'!FB59="",ET124=""),"",(FC124*('HHV-LHV-MW'!FB59/100)*ET124)^2),IF(OR(FC124="",EM124="",EP124=""),"",(FC124*(EM124/100)*EP124)^2))</f>
        <v/>
      </c>
      <c r="FE124" s="638" t="str">
        <f>IF($BO$126=1,     IF(OR(FC124="",FA124="",$T$103="",$T$103=0,'HHV-LHV-MW'!FB59="",ET124="",$FB$145=""),"", ((FC124*((FA124*('HHV-LHV-MW'!FB59/100))/$T$103))^2)*((ET124^2)+($FB$145^2))),              IF(OR(FC124="",FA124="",EM124="",EP124="",$FB$145="",$T$103="",$T$103=0),"",      ((FC124*((FA124*(EM124/100))/$T$103))^2)*((EP124^2)+($FB$145^2))             ))</f>
        <v/>
      </c>
      <c r="FF124" s="889" t="str">
        <f>IF(Y124="","",VLOOKUP(Y124,'HHV-LHV-MW'!$A$3:$H$40,4,FALSE))</f>
        <v/>
      </c>
      <c r="FG124" s="889" t="str">
        <f>IF(Y124="","",VLOOKUP(Y124,'HHV-LHV-MW'!$A$3:$H$40,5,FALSE))</f>
        <v/>
      </c>
      <c r="FH124" s="890" t="str">
        <f>IF($BO$136="","",((PRODUCT('HHV-LHV-MW'!GY59)+PRODUCT('HHV-LHV-MW'!HK59)+PRODUCT('HHV-LHV-MW'!HW59)+PRODUCT('HHV-LHV-MW'!II59))/$BO$136))</f>
        <v/>
      </c>
      <c r="FI124" s="890" t="str">
        <f>IF($BO$136="","",(IF($BO$136=1,"",  (SQRT(  (      (IF('HHV-LHV-MW'!GY59="",0,('HHV-LHV-MW'!GY59-FH124)^2))      +        (IF('HHV-LHV-MW'!HK59="",0,('HHV-LHV-MW'!HK59-FH124)^2))       +        (IF('HHV-LHV-MW'!HW59="",0,('HHV-LHV-MW'!HW59-FH124)^2))          +        (IF('HHV-LHV-MW'!II59="",0,('HHV-LHV-MW'!II59-FH124)^2))          )     *(1/($BO$136-1))  )))))</f>
        <v/>
      </c>
      <c r="FJ124" s="890" t="str">
        <f t="shared" si="117"/>
        <v/>
      </c>
      <c r="FK124" s="890" t="str">
        <f t="shared" si="118"/>
        <v/>
      </c>
      <c r="FL124" s="636" t="str">
        <f>IF('HHV-LHV-MW'!GY59="","",IF(AND('HHV-LHV-MW'!GY59&gt;=0,'HHV-LHV-MW'!GY59&lt;=0.09),2,  IF(AND('HHV-LHV-MW'!GY59&gt;=0.1,'HHV-LHV-MW'!GY59&lt;=0.9),7,  IF(AND('HHV-LHV-MW'!GY59&gt;=1,'HHV-LHV-MW'!GY59&lt;=4.9),10,   IF(AND('HHV-LHV-MW'!GY59&gt;=5,'HHV-LHV-MW'!GY59&lt;=10),12, 15)))))</f>
        <v/>
      </c>
      <c r="FM124" s="636" t="str">
        <f>IF('HHV-LHV-MW'!GY59="","",5*'HHV-LHV-MW'!GY59)</f>
        <v/>
      </c>
      <c r="FN124" s="635" t="str">
        <f t="shared" si="119"/>
        <v/>
      </c>
      <c r="FO124" s="636" t="str">
        <f>IF(OR(FN124="",'HHV-LHV-MW'!GY59=0),"",FN124/'HHV-LHV-MW'!GY59)</f>
        <v/>
      </c>
      <c r="FP124" s="636" t="str">
        <f>IF(OR(FO124="",FF124="",'HHV-LHV-MW'!GY59=""),"",((FO124*FF124*('HHV-LHV-MW'!GY59/100))/23.685)^2)</f>
        <v/>
      </c>
      <c r="FQ124" s="636" t="str">
        <f>IF(OR(FO124="",FG124="",'HHV-LHV-MW'!GY59=""),"",((FO124*FG124*('HHV-LHV-MW'!GY59/100))/23.685)^2)</f>
        <v/>
      </c>
      <c r="FR124" s="639" t="str">
        <f t="shared" si="120"/>
        <v/>
      </c>
      <c r="FS124" s="891" t="str">
        <f t="shared" si="121"/>
        <v/>
      </c>
      <c r="FT124" s="643" t="str">
        <f>IF(Y124="","",VLOOKUP(Y124,'HHV-LHV-MW'!$A$3:$H$40,7,FALSE))</f>
        <v/>
      </c>
      <c r="FU124" s="875" t="str">
        <f>IF($BO$136=1,     IF(OR(FT124="",'HHV-LHV-MW'!GY59="",FO124=""),"",(FT124*('HHV-LHV-MW'!GY59/100)*FO124)^2),IF(OR(FT124="",FH124="",FK124=""),"",(FT124*(FH124/100)*FK124)^2))</f>
        <v/>
      </c>
      <c r="FV124" s="635" t="str">
        <f>IF(Y124="","",VLOOKUP(Y124,'HHV-LHV-MW'!$A$3:$I$40,9,FALSE))</f>
        <v/>
      </c>
      <c r="FW124" s="875" t="str">
        <f>IF($BO$136=1,     IF(OR(FV124="",'HHV-LHV-MW'!GY59="",FO124=""),"",(FV124*('HHV-LHV-MW'!GY59/100)*FO124)^2),IF(OR(FV124="",FH124="",FK124=""),"",(FV124*(FH124/100)*FK124)^2))</f>
        <v/>
      </c>
      <c r="FX124" s="635" t="str">
        <f>IF(Y124="","",(VLOOKUP(Y124,'HHV-LHV-MW'!$A$3:$F$40,6,FALSE))    )</f>
        <v/>
      </c>
      <c r="FY124" s="875" t="str">
        <f>IF($BO$136=1,     IF(OR(FX124="",'HHV-LHV-MW'!GY59="",FO124=""),"",(FX124*('HHV-LHV-MW'!GY59/100)*FO124)^2),IF(OR(FX124="",FH124="",FK124=""),"",(FX124*(FH124/100)*FK124)^2))</f>
        <v/>
      </c>
      <c r="FZ124" s="638" t="str">
        <f>IF($BO$136=1,     IF(OR(FX124="",FV124="",$Z$103="",$Z$103=0,'HHV-LHV-MW'!GY59="",FO124="",$FW$145=""),"", ((FX124*((FV124*('HHV-LHV-MW'!GY59/100))/$Z$103))^2)*((FO124^2)+($FW$145^2))),              IF(OR(FX124="",FV124="",FH124="",FK124="",$FW$145="",$Z$103="",$Z$103=0),"",      ((FX124*((FV124*(FH124/100))/$Z$103))^2)*((FK124^2)+($FW$145^2))             ))</f>
        <v/>
      </c>
      <c r="GA124" s="889" t="str">
        <f>IF(AE124="","",VLOOKUP(AE124,'HHV-LHV-MW'!$A$3:$H$40,4,FALSE))</f>
        <v/>
      </c>
      <c r="GB124" s="889" t="str">
        <f>IF(AE124="","",VLOOKUP(AE124,'HHV-LHV-MW'!$A$3:$H$40,5,FALSE))</f>
        <v/>
      </c>
      <c r="GC124" s="890" t="str">
        <f>IF($BW$96="","",((PRODUCT('HHV-LHV-MW'!IV59)+PRODUCT('HHV-LHV-MW'!JH59)+PRODUCT('HHV-LHV-MW'!JT59)+PRODUCT('HHV-LHV-MW'!KF59))/$BW$96))</f>
        <v/>
      </c>
      <c r="GD124" s="890" t="str">
        <f>IF($BW$96="","",(IF($BW$96=1,"",  (SQRT(  (      (IF('HHV-LHV-MW'!IV59="",0,('HHV-LHV-MW'!IV59-GC124)^2))      +        (IF('HHV-LHV-MW'!JH59="",0,('HHV-LHV-MW'!JH59-GC124)^2))       +        (IF('HHV-LHV-MW'!JT59="",0,('HHV-LHV-MW'!JT59-GC124)^2))          +        (IF('HHV-LHV-MW'!KF59="",0,('HHV-LHV-MW'!KF59-GC124)^2))          )     *(1/($BW$96-1))  )))))</f>
        <v/>
      </c>
      <c r="GE124" s="890" t="str">
        <f t="shared" si="122"/>
        <v/>
      </c>
      <c r="GF124" s="890" t="str">
        <f t="shared" si="123"/>
        <v/>
      </c>
      <c r="GG124" s="636" t="str">
        <f>IF('HHV-LHV-MW'!IV59="","",IF(AND('HHV-LHV-MW'!IV59&gt;=0,'HHV-LHV-MW'!IV59&lt;=0.09),2,  IF(AND('HHV-LHV-MW'!IV59&gt;=0.1,'HHV-LHV-MW'!IV59&lt;=0.9),7,  IF(AND('HHV-LHV-MW'!IV59&gt;=1,'HHV-LHV-MW'!IV59&lt;=4.9),10,   IF(AND('HHV-LHV-MW'!IV59&gt;=5,'HHV-LHV-MW'!IV59&lt;=10),12, 15)))))</f>
        <v/>
      </c>
      <c r="GH124" s="636" t="str">
        <f>IF('HHV-LHV-MW'!IV59="","",5*'HHV-LHV-MW'!IV59)</f>
        <v/>
      </c>
      <c r="GI124" s="635" t="str">
        <f t="shared" si="124"/>
        <v/>
      </c>
      <c r="GJ124" s="636" t="str">
        <f>IF(OR(GI124="",'HHV-LHV-MW'!IV59=0),"",GI124/'HHV-LHV-MW'!IV59)</f>
        <v/>
      </c>
      <c r="GK124" s="636" t="str">
        <f>IF(OR(GJ124="",GA124="",'HHV-LHV-MW'!IV59=""),"",((GJ124*GA124*('HHV-LHV-MW'!IV59/100))/23.685)^2)</f>
        <v/>
      </c>
      <c r="GL124" s="636" t="str">
        <f>IF(OR(GJ124="",GB124="",'HHV-LHV-MW'!IV59=""),"",((GJ124*GB124*('HHV-LHV-MW'!IV59/100))/23.685)^2)</f>
        <v/>
      </c>
      <c r="GM124" s="639" t="str">
        <f t="shared" si="125"/>
        <v/>
      </c>
      <c r="GN124" s="891" t="str">
        <f t="shared" si="126"/>
        <v/>
      </c>
      <c r="GO124" s="643" t="str">
        <f>IF(AE124="","",VLOOKUP(AE124,'HHV-LHV-MW'!$A$3:$H$40,7,FALSE))</f>
        <v/>
      </c>
      <c r="GP124" s="875" t="str">
        <f>IF($BW$96=1,     IF(OR(GO124="",'HHV-LHV-MW'!IV59="",GJ124=""),"",(GO124*('HHV-LHV-MW'!IV59/100)*GJ124)^2),IF(OR(GO124="",GC124="",GF124=""),"",(GO124*(GC124/100)*GF124)^2))</f>
        <v/>
      </c>
      <c r="GQ124" s="635" t="str">
        <f>IF(AE124="","",VLOOKUP(AE124,'HHV-LHV-MW'!$A$3:$I$40,9,FALSE))</f>
        <v/>
      </c>
      <c r="GR124" s="875" t="str">
        <f>IF($BW$96=1,     IF(OR(GQ124="",'HHV-LHV-MW'!IV59="",GJ124=""),"",(GQ124*('HHV-LHV-MW'!IV59/100)*GJ124)^2),IF(OR(GQ124="",GC124="",GF124=""),"",(GQ124*(GC124/100)*GF124)^2))</f>
        <v/>
      </c>
      <c r="GS124" s="635" t="str">
        <f>IF(AE124="","",(VLOOKUP(AE124,'HHV-LHV-MW'!$A$3:$F$40,6,FALSE))    )</f>
        <v/>
      </c>
      <c r="GT124" s="875" t="str">
        <f>IF($BW$96=1,     IF(OR(GS124="",'HHV-LHV-MW'!IV59="",GJ124=""),"",(GS124*('HHV-LHV-MW'!IV59/100)*GJ124)^2),IF(OR(GS124="",GC124="",GF124=""),"",(GS124*(GC124/100)*GF124)^2))</f>
        <v/>
      </c>
      <c r="GU124" s="638" t="str">
        <f>IF($BW$96=1,     IF(OR(GS124="",GQ124="",$AF$103="",$AF$103=0,'HHV-LHV-MW'!IV59="",GJ124="",$GR$145=""),"", ((GS124*((GQ124*('HHV-LHV-MW'!IV59/100))/$AF$103))^2)*((GJ124^2)+($GR$145^2))),              IF(OR(GS124="",GQ124="",GC124="",GF124="",$GR$145="",$AF$103="",$AF$103=0),"",      ((GS124*((GQ124*(GC124/100))/$AF$103))^2)*((GF124^2)+($GR$145^2))             ))</f>
        <v/>
      </c>
      <c r="GV124" s="889" t="str">
        <f>IF(AK124="","",VLOOKUP(AK124,'HHV-LHV-MW'!$A$3:$H$40,4,FALSE))</f>
        <v/>
      </c>
      <c r="GW124" s="889" t="str">
        <f>IF(AK124="","",VLOOKUP(AK124,'HHV-LHV-MW'!$A$3:$H$40,5,FALSE))</f>
        <v/>
      </c>
      <c r="GX124" s="890" t="str">
        <f>IF($BW$106="","",((PRODUCT('HHV-LHV-MW'!KS59)+PRODUCT('HHV-LHV-MW'!LE59)+PRODUCT('HHV-LHV-MW'!LQ59)+PRODUCT('HHV-LHV-MW'!MC59))/$BW$106))</f>
        <v/>
      </c>
      <c r="GY124" s="890" t="str">
        <f>IF($BW$106="","",(IF($BW$106=1,"",  (SQRT(  (      (IF('HHV-LHV-MW'!KS59="",0,('HHV-LHV-MW'!KS59-GX124)^2))      +        (IF('HHV-LHV-MW'!LE59="",0,('HHV-LHV-MW'!LE59-GX124)^2))       +        (IF('HHV-LHV-MW'!LQ59="",0,('HHV-LHV-MW'!LQ59-GX124)^2))          +        (IF('HHV-LHV-MW'!MC59="",0,('HHV-LHV-MW'!MC59-GX124)^2))          )     *(1/($BW$106-1))  )))))</f>
        <v/>
      </c>
      <c r="GZ124" s="890" t="str">
        <f t="shared" si="127"/>
        <v/>
      </c>
      <c r="HA124" s="890" t="str">
        <f t="shared" si="128"/>
        <v/>
      </c>
      <c r="HB124" s="636" t="str">
        <f>IF('HHV-LHV-MW'!KS59="","",IF(AND('HHV-LHV-MW'!KS59&gt;=0,'HHV-LHV-MW'!KS59&lt;=0.09),2,  IF(AND('HHV-LHV-MW'!KS59&gt;=0.1,'HHV-LHV-MW'!KS59&lt;=0.9),7,  IF(AND('HHV-LHV-MW'!KS59&gt;=1,'HHV-LHV-MW'!KS59&lt;=4.9),10,   IF(AND('HHV-LHV-MW'!KS59&gt;=5,'HHV-LHV-MW'!KS59&lt;=10),12, 15)))))</f>
        <v/>
      </c>
      <c r="HC124" s="636" t="str">
        <f>IF('HHV-LHV-MW'!KS59="","",5*'HHV-LHV-MW'!KS59)</f>
        <v/>
      </c>
      <c r="HD124" s="635" t="str">
        <f t="shared" si="129"/>
        <v/>
      </c>
      <c r="HE124" s="636" t="str">
        <f>IF(OR(HD124="",'HHV-LHV-MW'!KS59=0),"",HD124/'HHV-LHV-MW'!KS59)</f>
        <v/>
      </c>
      <c r="HF124" s="636" t="str">
        <f>IF(OR(HE124="",GV124="",'HHV-LHV-MW'!KS59=""),"",((HE124*GV124*('HHV-LHV-MW'!KS59/100))/23.685)^2)</f>
        <v/>
      </c>
      <c r="HG124" s="636" t="str">
        <f>IF(OR(HE124="",GW124="",'HHV-LHV-MW'!KS59=""),"",((HE124*GW124*('HHV-LHV-MW'!KS59/100))/23.685)^2)</f>
        <v/>
      </c>
      <c r="HH124" s="639" t="str">
        <f t="shared" si="130"/>
        <v/>
      </c>
      <c r="HI124" s="891" t="str">
        <f t="shared" si="131"/>
        <v/>
      </c>
      <c r="HJ124" s="643" t="str">
        <f>IF(AK124="","",VLOOKUP(AK124,'HHV-LHV-MW'!$A$3:$H$40,7,FALSE))</f>
        <v/>
      </c>
      <c r="HK124" s="875" t="str">
        <f>IF($BW$106=1,     IF(OR(HJ124="",'HHV-LHV-MW'!KS59="",HE124=""),"",(HJ124*('HHV-LHV-MW'!KS59/100)*HE124)^2),IF(OR(HJ124="",GX124="",HA124=""),"",(HJ124*(GX124/100)*HA124)^2))</f>
        <v/>
      </c>
      <c r="HL124" s="635" t="str">
        <f>IF(AK124="","",VLOOKUP(AK124,'HHV-LHV-MW'!$A$3:$I$40,9,FALSE))</f>
        <v/>
      </c>
      <c r="HM124" s="875" t="str">
        <f>IF($BW$106=1,     IF(OR(HL124="",'HHV-LHV-MW'!KS59="",HE124=""),"",(HL124*('HHV-LHV-MW'!KS59/100)*HE124)^2),IF(OR(HL124="",GX124="",HA124=""),"",(HL124*(GX124/100)*HA124)^2))</f>
        <v/>
      </c>
      <c r="HN124" s="635" t="str">
        <f>IF(AK124="","",(VLOOKUP(AK124,'HHV-LHV-MW'!$A$3:$F$40,6,FALSE))    )</f>
        <v/>
      </c>
      <c r="HO124" s="875" t="str">
        <f>IF($BW$106=1,     IF(OR(HN124="",'HHV-LHV-MW'!KS59="",HE124=""),"",(HN124*('HHV-LHV-MW'!KS59/100)*HE124)^2),IF(OR(HN124="",GX124="",HA124=""),"",(HN124*(GX124/100)*HA124)^2))</f>
        <v/>
      </c>
      <c r="HP124" s="638" t="str">
        <f>IF($BW$106=1,     IF(OR(HN124="",HL124="",$AL$103="",$AL$103=0,'HHV-LHV-MW'!KS59="",HE124="",$HM$145=""),"", ((HN124*((HL124*('HHV-LHV-MW'!KS59/100))/$AL$103))^2)*((HE124^2)+($HM$145^2))),              IF(OR(HN124="",HL124="",GX124="",HA124="",$HM$145="",$AL$103="",$AL$103=0),"",      ((HN124*((HL124*(GX124/100))/$AL$103))^2)*((HA124^2)+($HM$145^2))             ))</f>
        <v/>
      </c>
      <c r="HQ124" s="889" t="str">
        <f>IF(AQ124="","",VLOOKUP(AQ124,'HHV-LHV-MW'!$A$3:$H$40,4,FALSE))</f>
        <v/>
      </c>
      <c r="HR124" s="889" t="str">
        <f>IF(AQ124="","",VLOOKUP(AQ124,'HHV-LHV-MW'!$A$3:$H$40,5,FALSE))</f>
        <v/>
      </c>
      <c r="HS124" s="890" t="str">
        <f>IF($BW$116="","",((PRODUCT('HHV-LHV-MW'!MP59)+PRODUCT('HHV-LHV-MW'!NB59)+PRODUCT('HHV-LHV-MW'!NN59)+PRODUCT('HHV-LHV-MW'!NZ59))/$BW$116))</f>
        <v/>
      </c>
      <c r="HT124" s="890" t="str">
        <f>IF($BW$116="","",(IF($BW$116=1,"",  (SQRT(  (      (IF('HHV-LHV-MW'!MP59="",0,('HHV-LHV-MW'!MP59-HS124)^2))      +        (IF('HHV-LHV-MW'!NB59="",0,('HHV-LHV-MW'!NB59-HS124)^2))       +        (IF('HHV-LHV-MW'!NN59="",0,('HHV-LHV-MW'!NN59-HS124)^2))          +        (IF('HHV-LHV-MW'!NZ59="",0,('HHV-LHV-MW'!NZ59-HS124)^2))          )     *(1/($BW$116-1))  )))))</f>
        <v/>
      </c>
      <c r="HU124" s="890" t="str">
        <f t="shared" si="132"/>
        <v/>
      </c>
      <c r="HV124" s="890" t="str">
        <f t="shared" si="133"/>
        <v/>
      </c>
      <c r="HW124" s="636" t="str">
        <f>IF('HHV-LHV-MW'!MP59="","",IF(AND('HHV-LHV-MW'!MP59&gt;=0,'HHV-LHV-MW'!MP59&lt;=0.09),2,  IF(AND('HHV-LHV-MW'!MP59&gt;=0.1,'HHV-LHV-MW'!MP59&lt;=0.9),7,  IF(AND('HHV-LHV-MW'!MP59&gt;=1,'HHV-LHV-MW'!MP59&lt;=4.9),10,   IF(AND('HHV-LHV-MW'!MP59&gt;=5,'HHV-LHV-MW'!MP59&lt;=10),12, 15)))))</f>
        <v/>
      </c>
      <c r="HX124" s="636" t="str">
        <f>IF('HHV-LHV-MW'!MP59="","",5*'HHV-LHV-MW'!MP59)</f>
        <v/>
      </c>
      <c r="HY124" s="635" t="str">
        <f t="shared" si="134"/>
        <v/>
      </c>
      <c r="HZ124" s="636" t="str">
        <f>IF(OR(HY124="",'HHV-LHV-MW'!MP59=0),"",HY124/'HHV-LHV-MW'!MP59)</f>
        <v/>
      </c>
      <c r="IA124" s="636" t="str">
        <f>IF(OR(HZ124="",HQ124="",'HHV-LHV-MW'!MP59=""),"",((HZ124*HQ124*('HHV-LHV-MW'!MP59/100))/23.685)^2)</f>
        <v/>
      </c>
      <c r="IB124" s="636" t="str">
        <f>IF(OR(HZ124="",HR124="",'HHV-LHV-MW'!MP59=""),"",((HZ124*HR124*('HHV-LHV-MW'!MP59/100))/23.685)^2)</f>
        <v/>
      </c>
      <c r="IC124" s="639" t="str">
        <f t="shared" si="135"/>
        <v/>
      </c>
      <c r="ID124" s="891" t="str">
        <f t="shared" si="136"/>
        <v/>
      </c>
      <c r="IE124" s="643" t="str">
        <f>IF(AQ124="","",VLOOKUP(AQ124,'HHV-LHV-MW'!$A$3:$H$40,7,FALSE))</f>
        <v/>
      </c>
      <c r="IF124" s="875" t="str">
        <f>IF($BW$116=1,     IF(OR(IE124="",'HHV-LHV-MW'!MP59="",HZ124=""),"",(IE124*('HHV-LHV-MW'!MP59/100)*HZ124)^2),IF(OR(IE124="",HS124="",HV124=""),"",(IE124*(HS124/100)*HV124)^2))</f>
        <v/>
      </c>
      <c r="IG124" s="635" t="str">
        <f>IF(AQ124="","",VLOOKUP(AQ124,'HHV-LHV-MW'!$A$3:$I$40,9,FALSE))</f>
        <v/>
      </c>
      <c r="IH124" s="875" t="str">
        <f>IF($BW$116=1,     IF(OR(IG124="",'HHV-LHV-MW'!MP59="",HZ124=""),"",(IG124*('HHV-LHV-MW'!MP59/100)*HZ124)^2),IF(OR(IG124="",HS124="",HV124=""),"",(IG124*(HS124/100)*HV124)^2))</f>
        <v/>
      </c>
      <c r="II124" s="635" t="str">
        <f>IF(AQ124="","",(VLOOKUP(AQ124,'HHV-LHV-MW'!$A$3:$F$40,6,FALSE))    )</f>
        <v/>
      </c>
      <c r="IJ124" s="875" t="str">
        <f>IF($BW$116=1,     IF(OR(II124="",'HHV-LHV-MW'!MP59="",HZ124=""),"",(II124*('HHV-LHV-MW'!MP59/100)*HZ124)^2),IF(OR(II124="",HS124="",HV124=""),"",(II124*(HS124/100)*HV124)^2))</f>
        <v/>
      </c>
      <c r="IK124" s="638" t="str">
        <f>IF($BW$116=1,     IF(OR(II124="",IG124="",$AR$103="",$AR$103=0,'HHV-LHV-MW'!MP59="",HZ124="",$IH$145=""),"", ((II124*((IG124*('HHV-LHV-MW'!MP59/100))/$AR$103))^2)*((HZ124^2)+($IH$145^2))),              IF(OR(II124="",IG124="",HS124="",HV124="",$IH$145="",$AR$103="",$AR$103=0),"",      ((II124*((IG124*(HS124/100))/$AR$103))^2)*((HV124^2)+($IH$145^2))             ))</f>
        <v/>
      </c>
      <c r="IL124" s="889" t="str">
        <f>IF(AW124="","",VLOOKUP(AW124,'HHV-LHV-MW'!$A$3:$H$40,4,FALSE))</f>
        <v/>
      </c>
      <c r="IM124" s="889" t="str">
        <f>IF(AW124="","",VLOOKUP(AW124,'HHV-LHV-MW'!$A$3:$H$40,5,FALSE))</f>
        <v/>
      </c>
      <c r="IN124" s="890" t="str">
        <f>IF($BW$126="","",((PRODUCT('HHV-LHV-MW'!ON59)+PRODUCT('HHV-LHV-MW'!OZ59)+PRODUCT('HHV-LHV-MW'!PL59)+PRODUCT('HHV-LHV-MW'!PX59))/$BW$126))</f>
        <v/>
      </c>
      <c r="IO124" s="890" t="str">
        <f>IF($BW$126="","",(IF($BW$126=1,"",  (SQRT(  (      (IF('HHV-LHV-MW'!ON59="",0,('HHV-LHV-MW'!ON59-IN124)^2))      +        (IF('HHV-LHV-MW'!OZ59="",0,('HHV-LHV-MW'!OZ59-IN124)^2))       +        (IF('HHV-LHV-MW'!PL59="",0,('HHV-LHV-MW'!PL59-IN124)^2))          +        (IF('HHV-LHV-MW'!PX59="",0,('HHV-LHV-MW'!PX59-IN124)^2))          )     *(1/($BW$126-1))  )))))</f>
        <v/>
      </c>
      <c r="IP124" s="890" t="str">
        <f t="shared" si="137"/>
        <v/>
      </c>
      <c r="IQ124" s="890" t="str">
        <f t="shared" si="138"/>
        <v/>
      </c>
      <c r="IR124" s="636" t="str">
        <f>IF('HHV-LHV-MW'!ON59="","",IF(AND('HHV-LHV-MW'!ON59&gt;=0,'HHV-LHV-MW'!ON59&lt;=0.09),2,  IF(AND('HHV-LHV-MW'!ON59&gt;=0.1,'HHV-LHV-MW'!ON59&lt;=0.9),7,  IF(AND('HHV-LHV-MW'!ON59&gt;=1,'HHV-LHV-MW'!ON59&lt;=4.9),10,   IF(AND('HHV-LHV-MW'!ON59&gt;=5,'HHV-LHV-MW'!ON59&lt;=10),12, 15)))))</f>
        <v/>
      </c>
      <c r="IS124" s="636" t="str">
        <f>IF('HHV-LHV-MW'!ON59="","",5*'HHV-LHV-MW'!ON59)</f>
        <v/>
      </c>
      <c r="IT124" s="635" t="str">
        <f t="shared" si="139"/>
        <v/>
      </c>
      <c r="IU124" s="636" t="str">
        <f>IF(OR(IT124="",'HHV-LHV-MW'!ON59=0),"",IT124/'HHV-LHV-MW'!ON59)</f>
        <v/>
      </c>
      <c r="IV124" s="636" t="str">
        <f>IF(OR(IU124="",IL124="",'HHV-LHV-MW'!ON59=""),"",((IU124*IL124*('HHV-LHV-MW'!ON59/100))/23.685)^2)</f>
        <v/>
      </c>
      <c r="IW124" s="636" t="str">
        <f>IF(OR(IU124="",IM124="",'HHV-LHV-MW'!ON59=""),"",((IU124*IM124*('HHV-LHV-MW'!ON59/100))/23.685)^2)</f>
        <v/>
      </c>
      <c r="IX124" s="639" t="str">
        <f t="shared" si="140"/>
        <v/>
      </c>
      <c r="IY124" s="891" t="str">
        <f t="shared" si="141"/>
        <v/>
      </c>
      <c r="IZ124" s="643" t="str">
        <f>IF(AW124="","",VLOOKUP(AW124,'HHV-LHV-MW'!$A$3:$H$40,7,FALSE))</f>
        <v/>
      </c>
      <c r="JA124" s="875" t="str">
        <f>IF($BW$126=1,     IF(OR(IZ124="",'HHV-LHV-MW'!ON59="",IU124=""),"",(IZ124*('HHV-LHV-MW'!ON59/100)*IU124)^2),IF(OR(IZ124="",IN124="",IQ124=""),"",(IZ124*(IN124/100)*IQ124)^2))</f>
        <v/>
      </c>
      <c r="JB124" s="635" t="str">
        <f>IF(AW124="","",VLOOKUP(AW124,'HHV-LHV-MW'!$A$3:$I$40,9,FALSE))</f>
        <v/>
      </c>
      <c r="JC124" s="875" t="str">
        <f>IF($BW$126=1,     IF(OR(JB124="",'HHV-LHV-MW'!ON59="",IU124=""),"",(JB124*('HHV-LHV-MW'!ON59/100)*IU124)^2),IF(OR(JB124="",IN124="",IQ124=""),"",(JB124*(IN124/100)*IQ124)^2))</f>
        <v/>
      </c>
      <c r="JD124" s="635" t="str">
        <f>IF(AW124="","",(VLOOKUP(AW124,'HHV-LHV-MW'!$A$3:$F$40,6,FALSE))    )</f>
        <v/>
      </c>
      <c r="JE124" s="875" t="str">
        <f>IF($BW$126=1,     IF(OR(JD124="",'HHV-LHV-MW'!ON59="",IU124=""),"",(JD124*('HHV-LHV-MW'!ON59/100)*IU124)^2),IF(OR(JD124="",IN124="",IQ124=""),"",(JD124*(IN124/100)*IQ124)^2))</f>
        <v/>
      </c>
      <c r="JF124" s="638" t="str">
        <f>IF($BW$126=1,     IF(OR(JD124="",JB124="",$AX$103="",$AX$103=0,'HHV-LHV-MW'!ON59="",IU124="",$JC$145=""),"", ((JD124*((JB124*('HHV-LHV-MW'!ON59/100))/$AX$103))^2)*((IU124^2)+($JC$145^2))),              IF(OR(JD124="",JB124="",IN124="",IQ124="",$JC$145="",$AX$103="",$AX$103=0),"",      ((JD124*((JB124*(IN124/100))/$AX$103))^2)*((IQ124^2)+($JC$145^2))             ))</f>
        <v/>
      </c>
      <c r="JG124" s="889" t="str">
        <f>IF(BC124="","",VLOOKUP(BC124,'HHV-LHV-MW'!$A$3:$H$40,4,FALSE))</f>
        <v/>
      </c>
      <c r="JH124" s="889" t="str">
        <f>IF(BC124="","",VLOOKUP(BC124,'HHV-LHV-MW'!$A$3:$H$40,5,FALSE))</f>
        <v/>
      </c>
      <c r="JI124" s="890" t="str">
        <f>IF($BW$136="","",((PRODUCT('HHV-LHV-MW'!QK59)+PRODUCT('HHV-LHV-MW'!QW59)+PRODUCT('HHV-LHV-MW'!RI59)+PRODUCT('HHV-LHV-MW'!RU59))/$BW$136))</f>
        <v/>
      </c>
      <c r="JJ124" s="890" t="str">
        <f>IF($BW$136="","",(IF($BW$136=1,"",  (SQRT(  (      (IF('HHV-LHV-MW'!QK59="",0,('HHV-LHV-MW'!QK59-JI124)^2))      +        (IF('HHV-LHV-MW'!QW59="",0,('HHV-LHV-MW'!QW59-JI124)^2))       +        (IF('HHV-LHV-MW'!RI59="",0,('HHV-LHV-MW'!RI59-JI124)^2))          +        (IF('HHV-LHV-MW'!RU59="",0,('HHV-LHV-MW'!RU59-JI124)^2))          )     *(1/($BW$136-1))  )))))</f>
        <v/>
      </c>
      <c r="JK124" s="890" t="str">
        <f t="shared" si="142"/>
        <v/>
      </c>
      <c r="JL124" s="890" t="str">
        <f t="shared" si="143"/>
        <v/>
      </c>
      <c r="JM124" s="636" t="str">
        <f>IF('HHV-LHV-MW'!QK59="","",IF(AND('HHV-LHV-MW'!QK59&gt;=0,'HHV-LHV-MW'!QK59&lt;=0.09),2,  IF(AND('HHV-LHV-MW'!QK59&gt;=0.1,'HHV-LHV-MW'!QK59&lt;=0.9),7,  IF(AND('HHV-LHV-MW'!QK59&gt;=1,'HHV-LHV-MW'!QK59&lt;=4.9),10,   IF(AND('HHV-LHV-MW'!QK59&gt;=5,'HHV-LHV-MW'!QK59&lt;=10),12, 15)))))</f>
        <v/>
      </c>
      <c r="JN124" s="636" t="str">
        <f>IF('HHV-LHV-MW'!QK59="","",5*'HHV-LHV-MW'!QK59)</f>
        <v/>
      </c>
      <c r="JO124" s="635" t="str">
        <f t="shared" si="144"/>
        <v/>
      </c>
      <c r="JP124" s="636" t="str">
        <f>IF(OR(JO124="",'HHV-LHV-MW'!QK59=0),"",JO124/'HHV-LHV-MW'!QK59)</f>
        <v/>
      </c>
      <c r="JQ124" s="636" t="str">
        <f>IF(OR(JP124="",JG124="",'HHV-LHV-MW'!QK59=""),"",((JP124*JG124*('HHV-LHV-MW'!QK59/100))/23.685)^2)</f>
        <v/>
      </c>
      <c r="JR124" s="636" t="str">
        <f>IF(OR(JP124="",JH124="",'HHV-LHV-MW'!QK59=""),"",((JP124*JH124*('HHV-LHV-MW'!QK59/100))/23.685)^2)</f>
        <v/>
      </c>
      <c r="JS124" s="639" t="str">
        <f t="shared" si="145"/>
        <v/>
      </c>
      <c r="JT124" s="891" t="str">
        <f t="shared" si="146"/>
        <v/>
      </c>
      <c r="JU124" s="643" t="str">
        <f>IF(BC124="","",VLOOKUP(BC124,'HHV-LHV-MW'!$A$3:$H$40,7,FALSE))</f>
        <v/>
      </c>
      <c r="JV124" s="875" t="str">
        <f>IF($BW$136=1,     IF(OR(JU124="",'HHV-LHV-MW'!QK59="",JP124=""),"",(JU124*('HHV-LHV-MW'!QK59/100)*JP124)^2),IF(OR(JU124="",JI124="",JL124=""),"",(JU124*(JI124/100)*JL124)^2))</f>
        <v/>
      </c>
      <c r="JW124" s="635" t="str">
        <f>IF(BC124="","",VLOOKUP(BC124,'HHV-LHV-MW'!$A$3:$I$40,9,FALSE))</f>
        <v/>
      </c>
      <c r="JX124" s="875" t="str">
        <f>IF($BW$136=1,     IF(OR(JW124="",'HHV-LHV-MW'!QK59="",JP124=""),"",(JW124*('HHV-LHV-MW'!QK59/100)*JP124)^2),IF(OR(JW124="",JI124="",JL124=""),"",(JW124*(JI124/100)*JL124)^2))</f>
        <v/>
      </c>
      <c r="JY124" s="635" t="str">
        <f>IF(BC124="","",(VLOOKUP(BC124,'HHV-LHV-MW'!$A$3:$F$40,6,FALSE))    )</f>
        <v/>
      </c>
      <c r="JZ124" s="875" t="str">
        <f>IF($BW$136=1,     IF(OR(JY124="",'HHV-LHV-MW'!QK59="",JP124=""),"",(JY124*('HHV-LHV-MW'!QK59/100)*JP124)^2),IF(OR(JY124="",JI124="",JL124=""),"",(JY124*(JI124/100)*JL124)^2))</f>
        <v/>
      </c>
      <c r="KA124" s="638" t="str">
        <f>IF($BW$136=1,     IF(OR(JY124="",JW124="",$BD$103="",$BD$103=0,'HHV-LHV-MW'!QK59="",JP124="",$JX$145=""),"", ((JY124*((JW124*('HHV-LHV-MW'!QK59/100))/$BD$103))^2)*((JP124^2)+($JX$145^2))),              IF(OR(JY124="",JW124="",JI124="",JL124="",$JX$145="",$BD$103="",$BD$103=0),"",      ((JY124*((JW124*(JI124/100))/$BD$103))^2)*((JL124^2)+($JX$145^2))             ))</f>
        <v/>
      </c>
      <c r="KB124" s="874"/>
      <c r="KC124" s="874"/>
      <c r="KD124" s="874"/>
      <c r="KE124" s="874"/>
      <c r="KF124" s="874"/>
      <c r="KG124" s="874"/>
      <c r="KH124" s="865"/>
      <c r="KI124" s="865"/>
      <c r="KJ124" s="865"/>
      <c r="KK124" s="865"/>
      <c r="KL124" s="865"/>
      <c r="KM124" s="865"/>
      <c r="KN124" s="865"/>
      <c r="KO124" s="865"/>
      <c r="KP124" s="865"/>
      <c r="KQ124" s="865"/>
      <c r="KR124" s="865"/>
      <c r="KS124" s="865"/>
      <c r="KT124" s="865"/>
      <c r="KU124" s="865"/>
      <c r="KV124" s="865"/>
      <c r="KW124" s="865"/>
      <c r="KX124" s="865"/>
      <c r="KY124" s="865"/>
      <c r="KZ124" s="865"/>
      <c r="LA124" s="865"/>
      <c r="LB124" s="865"/>
      <c r="LC124" s="865"/>
      <c r="LD124" s="865"/>
      <c r="LE124" s="865"/>
      <c r="LF124" s="865"/>
    </row>
    <row r="125" spans="1:318" ht="21" thickBot="1">
      <c r="A125" s="864"/>
      <c r="B125" s="502"/>
      <c r="C125" s="502"/>
      <c r="D125" s="502"/>
      <c r="E125" s="502"/>
      <c r="F125" s="511"/>
      <c r="G125" s="864"/>
      <c r="H125" s="502"/>
      <c r="I125" s="502"/>
      <c r="J125" s="502"/>
      <c r="K125" s="502"/>
      <c r="L125" s="511"/>
      <c r="M125" s="864"/>
      <c r="N125" s="502"/>
      <c r="O125" s="502"/>
      <c r="P125" s="502"/>
      <c r="Q125" s="502"/>
      <c r="R125" s="511"/>
      <c r="S125" s="864"/>
      <c r="T125" s="502"/>
      <c r="U125" s="502"/>
      <c r="V125" s="502"/>
      <c r="W125" s="502"/>
      <c r="X125" s="511"/>
      <c r="Y125" s="864"/>
      <c r="Z125" s="502"/>
      <c r="AA125" s="502"/>
      <c r="AB125" s="502"/>
      <c r="AC125" s="502"/>
      <c r="AD125" s="511"/>
      <c r="AE125" s="864"/>
      <c r="AF125" s="502"/>
      <c r="AG125" s="502"/>
      <c r="AH125" s="502"/>
      <c r="AI125" s="502"/>
      <c r="AJ125" s="511"/>
      <c r="AK125" s="864"/>
      <c r="AL125" s="502"/>
      <c r="AM125" s="502"/>
      <c r="AN125" s="502"/>
      <c r="AO125" s="502"/>
      <c r="AP125" s="511"/>
      <c r="AQ125" s="864"/>
      <c r="AR125" s="502"/>
      <c r="AS125" s="502"/>
      <c r="AT125" s="502"/>
      <c r="AU125" s="502"/>
      <c r="AV125" s="511"/>
      <c r="AW125" s="864"/>
      <c r="AX125" s="502"/>
      <c r="AY125" s="502"/>
      <c r="AZ125" s="502"/>
      <c r="BA125" s="502"/>
      <c r="BB125" s="511"/>
      <c r="BC125" s="864"/>
      <c r="BD125" s="502"/>
      <c r="BE125" s="502"/>
      <c r="BF125" s="502"/>
      <c r="BG125" s="502"/>
      <c r="BH125" s="865"/>
      <c r="BI125" s="865"/>
      <c r="BJ125" s="2527" t="s">
        <v>332</v>
      </c>
      <c r="BK125" s="2528"/>
      <c r="BL125" s="2528"/>
      <c r="BM125" s="2528"/>
      <c r="BN125" s="2528"/>
      <c r="BO125" s="2528"/>
      <c r="BP125" s="2529"/>
      <c r="BQ125" s="865"/>
      <c r="BR125" s="2527" t="s">
        <v>939</v>
      </c>
      <c r="BS125" s="2528"/>
      <c r="BT125" s="2528"/>
      <c r="BU125" s="2528"/>
      <c r="BV125" s="2528"/>
      <c r="BW125" s="2528"/>
      <c r="BX125" s="2529"/>
      <c r="BY125" s="874"/>
      <c r="BZ125" s="888" t="str">
        <f>IF(A125="","",VLOOKUP(A125,'HHV-LHV-MW'!$A$3:$H$40,4,FALSE))</f>
        <v/>
      </c>
      <c r="CA125" s="889" t="str">
        <f>IF(A125="","",VLOOKUP(A125,'HHV-LHV-MW'!$A$3:$H$40,5,FALSE))</f>
        <v/>
      </c>
      <c r="CB125" s="890" t="str">
        <f>IF($BO$96="","",((PRODUCT('HHV-LHV-MW'!K60)+PRODUCT('HHV-LHV-MW'!W60)+PRODUCT('HHV-LHV-MW'!AI60)+PRODUCT('HHV-LHV-MW'!AU60))/$BO$96))</f>
        <v/>
      </c>
      <c r="CC125" s="890" t="str">
        <f>IF($BO$96="","",(IF($BO$96=1,"",  (SQRT(  (      (IF('HHV-LHV-MW'!K60="",0,('HHV-LHV-MW'!K60-CB125)^2))      +        (IF('HHV-LHV-MW'!W60="",0,('HHV-LHV-MW'!W60-CB125)^2))       +        (IF('HHV-LHV-MW'!AI60="",0,('HHV-LHV-MW'!AI60-CB125)^2))          +        (IF('HHV-LHV-MW'!AU60="",0,('HHV-LHV-MW'!AU60-CB125)^2))          )     *(1/($BO$96-1))  )))))</f>
        <v/>
      </c>
      <c r="CD125" s="890" t="str">
        <f t="shared" si="97"/>
        <v/>
      </c>
      <c r="CE125" s="890" t="str">
        <f t="shared" si="98"/>
        <v/>
      </c>
      <c r="CF125" s="636" t="str">
        <f>IF('HHV-LHV-MW'!K60="","",IF(AND('HHV-LHV-MW'!K60&gt;=0,'HHV-LHV-MW'!K60&lt;=0.09),2,  IF(AND('HHV-LHV-MW'!K60&gt;=0.1,'HHV-LHV-MW'!K60&lt;=0.9),7,  IF(AND('HHV-LHV-MW'!K60&gt;=1,'HHV-LHV-MW'!K60&lt;=4.9),10,   IF(AND('HHV-LHV-MW'!K60&gt;=5,'HHV-LHV-MW'!K60&lt;=10),12, 15)))))</f>
        <v/>
      </c>
      <c r="CG125" s="636" t="str">
        <f>IF('HHV-LHV-MW'!K60="","",5*'HHV-LHV-MW'!K60)</f>
        <v/>
      </c>
      <c r="CH125" s="635" t="str">
        <f t="shared" si="99"/>
        <v/>
      </c>
      <c r="CI125" s="636" t="str">
        <f>IF(OR(CH125="",'HHV-LHV-MW'!K60=0),"",CH125/'HHV-LHV-MW'!K60)</f>
        <v/>
      </c>
      <c r="CJ125" s="636" t="str">
        <f>IF(OR(CI125="",BZ125="",'HHV-LHV-MW'!K60=""),"",((CI125*BZ125*('HHV-LHV-MW'!K60/100))/23.685)^2)</f>
        <v/>
      </c>
      <c r="CK125" s="636" t="str">
        <f>IF(OR(CI125="",CA125="",'HHV-LHV-MW'!K60=""),"",((CI125*CA125*('HHV-LHV-MW'!K60/100))/23.685)^2)</f>
        <v/>
      </c>
      <c r="CL125" s="639" t="str">
        <f t="shared" si="100"/>
        <v/>
      </c>
      <c r="CM125" s="892" t="str">
        <f t="shared" si="101"/>
        <v/>
      </c>
      <c r="CN125" s="639" t="str">
        <f>IF(A125="","",VLOOKUP(A125,'HHV-LHV-MW'!$A$3:$H$40,7,FALSE))</f>
        <v/>
      </c>
      <c r="CO125" s="636" t="str">
        <f>IF($BO$96=1,     IF(OR(CN125="",'HHV-LHV-MW'!K60="",CI125=""),"",(CN125*('HHV-LHV-MW'!K60/100)*CI125)^2),IF(OR(CN125="",CB125="",CE125=""),"",(CN125*(CB125/100)*CE125)^2))</f>
        <v/>
      </c>
      <c r="CP125" s="635" t="str">
        <f>IF(A125="","",VLOOKUP(A125,'HHV-LHV-MW'!$A$3:$I$40,9,FALSE))</f>
        <v/>
      </c>
      <c r="CQ125" s="636" t="str">
        <f>IF($BO$96=1,     IF(OR(CP125="",'HHV-LHV-MW'!K60="",CI125=""),"",(CP125*('HHV-LHV-MW'!K60/100)*CI125)^2),IF(OR(CP125="",CB125="",CE125=""),"",(CP125*(CB125/100)*CE125)^2))</f>
        <v/>
      </c>
      <c r="CR125" s="636" t="str">
        <f>IF(A125="","",(VLOOKUP(A125,'HHV-LHV-MW'!$A$3:$F$40,6,FALSE))    )</f>
        <v/>
      </c>
      <c r="CS125" s="636" t="str">
        <f>IF($BO$96=1,     IF(OR(CR125="",'HHV-LHV-MW'!K60="",CI125=""),"",(CR125*('HHV-LHV-MW'!K60/100)*CI125)^2),IF(OR(CR125="",CB125="",CE125=""),"",(CR125*(CB125/100)*CE125)^2))</f>
        <v/>
      </c>
      <c r="CT125" s="640" t="str">
        <f>IF($BO$96=1,     IF(OR(CR125="",CP125="",$B$103="",$B$103=0,'HHV-LHV-MW'!K60="",CI125="",$CQ$145=""),"", ((CR125*((CP125*('HHV-LHV-MW'!K60/100))/$B$103))^2)*((CI125^2)+($CQ$145^2))),              IF(OR(CR125="",CP125="",CB125="",CE125="",$CQ$145="",$B$103="",$B$103=0),"",      ((CR125*((CP125*(CB125/100))/$B$103))^2)*((CE125^2)+($CQ$145^2))             ))</f>
        <v/>
      </c>
      <c r="CU125" s="889" t="str">
        <f>IF(G125="","",VLOOKUP(G125,'HHV-LHV-MW'!$A$3:$H$40,4,FALSE))</f>
        <v/>
      </c>
      <c r="CV125" s="889" t="str">
        <f>IF(G125="","",VLOOKUP(G125,'HHV-LHV-MW'!$A$3:$H$40,5,FALSE))</f>
        <v/>
      </c>
      <c r="CW125" s="890" t="str">
        <f>IF($BO$106="","",((PRODUCT('HHV-LHV-MW'!BH60)+PRODUCT('HHV-LHV-MW'!BT60)+PRODUCT('HHV-LHV-MW'!CF60)+PRODUCT('HHV-LHV-MW'!CR60))/$BO$106))</f>
        <v/>
      </c>
      <c r="CX125" s="890" t="str">
        <f>IF($BO$106="","",(IF($BO$106=1,"",  (SQRT(  (      (IF('HHV-LHV-MW'!BH60="",0,('HHV-LHV-MW'!BH60-CW125)^2))      +        (IF('HHV-LHV-MW'!BT60="",0,('HHV-LHV-MW'!BT60-CW125)^2))       +        (IF('HHV-LHV-MW'!CF60="",0,('HHV-LHV-MW'!CF60-CW125)^2))          +        (IF('HHV-LHV-MW'!CR60="",0,('HHV-LHV-MW'!CR60-CW125)^2))          )     *(1/($BO$106-1))  )))))</f>
        <v/>
      </c>
      <c r="CY125" s="890" t="str">
        <f t="shared" si="102"/>
        <v/>
      </c>
      <c r="CZ125" s="890" t="str">
        <f t="shared" si="103"/>
        <v/>
      </c>
      <c r="DA125" s="636" t="str">
        <f>IF('HHV-LHV-MW'!BH60="","",IF(AND('HHV-LHV-MW'!BH60&gt;=0,'HHV-LHV-MW'!BH60&lt;=0.09),2,  IF(AND('HHV-LHV-MW'!BH60&gt;=0.1,'HHV-LHV-MW'!BH60&lt;=0.9),7,  IF(AND('HHV-LHV-MW'!BH60&gt;=1,'HHV-LHV-MW'!BH60&lt;=4.9),10,   IF(AND('HHV-LHV-MW'!BH60&gt;=5,'HHV-LHV-MW'!BH60&lt;=10),12, 15)))))</f>
        <v/>
      </c>
      <c r="DB125" s="636" t="str">
        <f>IF('HHV-LHV-MW'!BH60="","",5*'HHV-LHV-MW'!BH60)</f>
        <v/>
      </c>
      <c r="DC125" s="635" t="str">
        <f t="shared" si="104"/>
        <v/>
      </c>
      <c r="DD125" s="636" t="str">
        <f>IF(OR(DC125="",'HHV-LHV-MW'!BH60=0),"",DC125/'HHV-LHV-MW'!BH60)</f>
        <v/>
      </c>
      <c r="DE125" s="635" t="str">
        <f>IF(OR(DD125="",CU125="",'HHV-LHV-MW'!BH60=""),"",((DD125*CU125*('HHV-LHV-MW'!BH60/100))/23.685)^2)</f>
        <v/>
      </c>
      <c r="DF125" s="636" t="str">
        <f>IF(OR(DD125="",CV125="",'HHV-LHV-MW'!BH60=""),"",((DD125*CV125*('HHV-LHV-MW'!BH60/100))/23.685)^2)</f>
        <v/>
      </c>
      <c r="DG125" s="639" t="str">
        <f t="shared" si="105"/>
        <v/>
      </c>
      <c r="DH125" s="891" t="str">
        <f t="shared" si="106"/>
        <v/>
      </c>
      <c r="DI125" s="635" t="str">
        <f>IF(G125="","",VLOOKUP(G125,'HHV-LHV-MW'!$A$3:$H$40,7,FALSE))</f>
        <v/>
      </c>
      <c r="DJ125" s="875" t="str">
        <f>IF($BO$106=1,     IF(OR(DI125="",'HHV-LHV-MW'!BH60="",DD125=""),"",(DI125*('HHV-LHV-MW'!BH60/100)*DD125)^2),IF(OR(DI125="",CW125="",CZ125=""),"",(DI125*(CW125/100)*CZ125)^2))</f>
        <v/>
      </c>
      <c r="DK125" s="635" t="str">
        <f>IF(G125="","",VLOOKUP(G125,'HHV-LHV-MW'!$A$3:$I$40,9,FALSE))</f>
        <v/>
      </c>
      <c r="DL125" s="875" t="str">
        <f>IF($BO$106=1,     IF(OR(DK125="",'HHV-LHV-MW'!BH60="",DD125=""),"",(DK125*('HHV-LHV-MW'!BH60/100)*DD125)^2),IF(OR(DK125="",CW125="",CZ125=""),"",(DK125*(CW125/100)*CZ125)^2))</f>
        <v/>
      </c>
      <c r="DM125" s="635" t="str">
        <f>IF(G125="","",(VLOOKUP(G125,'HHV-LHV-MW'!$A$3:$F$40,6,FALSE))    )</f>
        <v/>
      </c>
      <c r="DN125" s="875" t="str">
        <f>IF($BO$106=1,     IF(OR(DM125="",'HHV-LHV-MW'!BH60="",DD125=""),"",(DM125*('HHV-LHV-MW'!BH60/100)*DD125)^2),IF(OR(DM125="",CW125="",CZ125=""),"",(DM125*(CW125/100)*CZ125)^2))</f>
        <v/>
      </c>
      <c r="DO125" s="638" t="str">
        <f>IF($BO$106=1,     IF(OR(DM125="",DK125="",$H$103="",$H$103=0,'HHV-LHV-MW'!BH60="",DD125="",$DL$145=""),"", ((DM125*((DK125*('HHV-LHV-MW'!BH60/100))/$H$103))^2)*((DD125^2)+($DL$145^2))),              IF(OR(DM125="",DK125="",CW125="",CZ125="",$DL$145="",$H$103="",$H$103=0),"",      ((DM125*((DK125*(CW125/100))/$H$103))^2)*((CZ125^2)+($DL$145^2))             ))</f>
        <v/>
      </c>
      <c r="DP125" s="889" t="str">
        <f>IF(M125="","",VLOOKUP(M125,'HHV-LHV-MW'!$A$3:$H$40,4,FALSE))</f>
        <v/>
      </c>
      <c r="DQ125" s="889" t="str">
        <f>IF(M125="","",VLOOKUP(M125,'HHV-LHV-MW'!$A$3:$H$40,5,FALSE))</f>
        <v/>
      </c>
      <c r="DR125" s="890" t="str">
        <f>IF($BO$116="","",((PRODUCT('HHV-LHV-MW'!DE60)+PRODUCT('HHV-LHV-MW'!DQ60)+PRODUCT('HHV-LHV-MW'!EC60)+PRODUCT('HHV-LHV-MW'!EO60))/$BO$116))</f>
        <v/>
      </c>
      <c r="DS125" s="890" t="str">
        <f>IF($BO$116="","",(IF($BO$116=1,"",  (SQRT(  (      (IF('HHV-LHV-MW'!DE60="",0,('HHV-LHV-MW'!DE60-DR125)^2))      +        (IF('HHV-LHV-MW'!DQ60="",0,('HHV-LHV-MW'!DQ60-DR125)^2))       +        (IF('HHV-LHV-MW'!EC60="",0,('HHV-LHV-MW'!EC60-DR125)^2))          +        (IF('HHV-LHV-MW'!EO60="",0,('HHV-LHV-MW'!EO60-DR125)^2))          )     *(1/($BO$116-1))  )))))</f>
        <v/>
      </c>
      <c r="DT125" s="890" t="str">
        <f t="shared" si="107"/>
        <v/>
      </c>
      <c r="DU125" s="890" t="str">
        <f t="shared" si="108"/>
        <v/>
      </c>
      <c r="DV125" s="636" t="str">
        <f>IF('HHV-LHV-MW'!DE60="","",IF(AND('HHV-LHV-MW'!DE60&gt;=0,'HHV-LHV-MW'!DE60&lt;=0.09),2,  IF(AND('HHV-LHV-MW'!DE60&gt;=0.1,'HHV-LHV-MW'!DE60&lt;=0.9),7,  IF(AND('HHV-LHV-MW'!DE60&gt;=1,'HHV-LHV-MW'!DE60&lt;=4.9),10,   IF(AND('HHV-LHV-MW'!DE60&gt;=5,'HHV-LHV-MW'!DE60&lt;=10),12, 15)))))</f>
        <v/>
      </c>
      <c r="DW125" s="636" t="str">
        <f>IF('HHV-LHV-MW'!DE60="","",5*'HHV-LHV-MW'!DE60)</f>
        <v/>
      </c>
      <c r="DX125" s="635" t="str">
        <f t="shared" si="109"/>
        <v/>
      </c>
      <c r="DY125" s="636" t="str">
        <f>IF(OR(DX125="",'HHV-LHV-MW'!DE60=0),"",DX125/'HHV-LHV-MW'!DE60)</f>
        <v/>
      </c>
      <c r="DZ125" s="636" t="str">
        <f>IF(OR(DY125="",DP125="",'HHV-LHV-MW'!DE60=""),"",((DY125*DP125*('HHV-LHV-MW'!DE60/100))/23.685)^2)</f>
        <v/>
      </c>
      <c r="EA125" s="636" t="str">
        <f>IF(OR(DY125="",DQ125="",'HHV-LHV-MW'!DE60=""),"",((DY125*DQ125*('HHV-LHV-MW'!DE60/100))/23.685)^2)</f>
        <v/>
      </c>
      <c r="EB125" s="639" t="str">
        <f t="shared" si="110"/>
        <v/>
      </c>
      <c r="EC125" s="891" t="str">
        <f t="shared" si="111"/>
        <v/>
      </c>
      <c r="ED125" s="643" t="str">
        <f>IF(M125="","",VLOOKUP(M125,'HHV-LHV-MW'!$A$3:$H$40,7,FALSE))</f>
        <v/>
      </c>
      <c r="EE125" s="875" t="str">
        <f>IF($BO$116=1,     IF(OR(ED125="",'HHV-LHV-MW'!DE60="",DY125=""),"",(ED125*('HHV-LHV-MW'!DE60/100)*DY125)^2),IF(OR(ED125="",DR125="",DU125=""),"",(ED125*(DR125/100)*DU125)^2))</f>
        <v/>
      </c>
      <c r="EF125" s="635" t="str">
        <f>IF(M125="","",VLOOKUP(M125,'HHV-LHV-MW'!$A$3:$I$40,9,FALSE))</f>
        <v/>
      </c>
      <c r="EG125" s="875" t="str">
        <f>IF($BO$116=1,     IF(OR(EF125="",'HHV-LHV-MW'!DE60="",DY125=""),"",(EF125*('HHV-LHV-MW'!DE60/100)*DY125)^2),IF(OR(EF125="",DR125="",DU125=""),"",(EF125*(DR125/100)*DU125)^2))</f>
        <v/>
      </c>
      <c r="EH125" s="635" t="str">
        <f>IF(M125="","",(VLOOKUP(M125,'HHV-LHV-MW'!$A$3:$F$40,6,FALSE))    )</f>
        <v/>
      </c>
      <c r="EI125" s="875" t="str">
        <f>IF($BO$116=1,     IF(OR(EH125="",'HHV-LHV-MW'!DE60="",DY125=""),"",(EH125*('HHV-LHV-MW'!DE60/100)*DY125)^2),IF(OR(EH125="",DR125="",DU125=""),"",(EH125*(DR125/100)*DU125)^2))</f>
        <v/>
      </c>
      <c r="EJ125" s="638" t="str">
        <f>IF($BO$116=1,     IF(OR(EH125="",EF125="",$N$103="",$N$103=0,'HHV-LHV-MW'!DE60="",DY125="",$EG$145=""),"", ((EH125*((EF125*('HHV-LHV-MW'!DE60/100))/$N$103))^2)*((DY125^2)+($EG$145^2))),              IF(OR(EH125="",EF125="",DR125="",DU125="",$EG$145="",$N$103="",$N$103=0),"",      ((EH125*((EF125*(DR125/100))/$N$103))^2)*((DU125^2)+($EG$145^2))             ))</f>
        <v/>
      </c>
      <c r="EK125" s="889" t="str">
        <f>IF(S125="","",VLOOKUP(S125,'HHV-LHV-MW'!$A$3:$H$40,4,FALSE))</f>
        <v/>
      </c>
      <c r="EL125" s="889" t="str">
        <f>IF(S125="","",VLOOKUP(S125,'HHV-LHV-MW'!$A$3:$H$40,5,FALSE))</f>
        <v/>
      </c>
      <c r="EM125" s="890" t="str">
        <f>IF($BO$126="","",((PRODUCT('HHV-LHV-MW'!FB60)+PRODUCT('HHV-LHV-MW'!FN60)+PRODUCT('HHV-LHV-MW'!FZ60)+PRODUCT('HHV-LHV-MW'!GL60))/$BO$126))</f>
        <v/>
      </c>
      <c r="EN125" s="890" t="str">
        <f>IF($BO$126="","",(IF($BO$126=1,"",  (SQRT(  (      (IF('HHV-LHV-MW'!FB60="",0,('HHV-LHV-MW'!FB60-EM125)^2))      +        (IF('HHV-LHV-MW'!FN60="",0,('HHV-LHV-MW'!FN60-EM125)^2))       +        (IF('HHV-LHV-MW'!FZ60="",0,('HHV-LHV-MW'!FZ60-EM125)^2))          +        (IF('HHV-LHV-MW'!GL60="",0,('HHV-LHV-MW'!GL60-EM125)^2))          )     *(1/($BO$126-1))  )))))</f>
        <v/>
      </c>
      <c r="EO125" s="890" t="str">
        <f t="shared" si="112"/>
        <v/>
      </c>
      <c r="EP125" s="890" t="str">
        <f t="shared" si="113"/>
        <v/>
      </c>
      <c r="EQ125" s="636" t="str">
        <f>IF('HHV-LHV-MW'!FB60="","",IF(AND('HHV-LHV-MW'!FB60&gt;=0,'HHV-LHV-MW'!FB60&lt;=0.09),2,  IF(AND('HHV-LHV-MW'!FB60&gt;=0.1,'HHV-LHV-MW'!FB60&lt;=0.9),7,  IF(AND('HHV-LHV-MW'!FB60&gt;=1,'HHV-LHV-MW'!FB60&lt;=4.9),10,   IF(AND('HHV-LHV-MW'!FB60&gt;=5,'HHV-LHV-MW'!FB60&lt;=10),12, 15)))))</f>
        <v/>
      </c>
      <c r="ER125" s="636" t="str">
        <f>IF('HHV-LHV-MW'!FB60="","",5*'HHV-LHV-MW'!FB60)</f>
        <v/>
      </c>
      <c r="ES125" s="635" t="str">
        <f t="shared" si="114"/>
        <v/>
      </c>
      <c r="ET125" s="636" t="str">
        <f>IF(OR(ES125="",'HHV-LHV-MW'!FB60=0),"",ES125/'HHV-LHV-MW'!FB60)</f>
        <v/>
      </c>
      <c r="EU125" s="636" t="str">
        <f>IF(OR(ET125="",EK125="",'HHV-LHV-MW'!FB60=""),"",((ET125*EK125*('HHV-LHV-MW'!FB60/100))/23.685)^2)</f>
        <v/>
      </c>
      <c r="EV125" s="636" t="str">
        <f>IF(OR(ET125="",EL125="",'HHV-LHV-MW'!FB60=""),"",((ET125*EL125*('HHV-LHV-MW'!FB60/100))/23.685)^2)</f>
        <v/>
      </c>
      <c r="EW125" s="639" t="str">
        <f t="shared" si="115"/>
        <v/>
      </c>
      <c r="EX125" s="891" t="str">
        <f t="shared" si="116"/>
        <v/>
      </c>
      <c r="EY125" s="643" t="str">
        <f>IF(S125="","",VLOOKUP(S125,'HHV-LHV-MW'!$A$3:$H$40,7,FALSE))</f>
        <v/>
      </c>
      <c r="EZ125" s="875" t="str">
        <f>IF($BO$126=1,     IF(OR(EY125="",'HHV-LHV-MW'!FB60="",ET125=""),"",(EY125*('HHV-LHV-MW'!FB60/100)*ET125)^2),IF(OR(EY125="",EM125="",EP125=""),"",(EY125*(EM125/100)*EP125)^2))</f>
        <v/>
      </c>
      <c r="FA125" s="635" t="str">
        <f>IF(S125="","",VLOOKUP(S125,'HHV-LHV-MW'!$A$3:$I$40,9,FALSE))</f>
        <v/>
      </c>
      <c r="FB125" s="875" t="str">
        <f>IF($BO$126=1,     IF(OR(FA125="",'HHV-LHV-MW'!FB60="",ET125=""),"",(FA125*('HHV-LHV-MW'!FB60/100)*ET125)^2),IF(OR(FA125="",EM125="",EP125=""),"",(FA125*(EM125/100)*EP125)^2))</f>
        <v/>
      </c>
      <c r="FC125" s="635" t="str">
        <f>IF(S125="","",(VLOOKUP(S125,'HHV-LHV-MW'!$A$3:$F$40,6,FALSE))    )</f>
        <v/>
      </c>
      <c r="FD125" s="875" t="str">
        <f>IF($BO$126=1,     IF(OR(FC125="",'HHV-LHV-MW'!FB60="",ET125=""),"",(FC125*('HHV-LHV-MW'!FB60/100)*ET125)^2),IF(OR(FC125="",EM125="",EP125=""),"",(FC125*(EM125/100)*EP125)^2))</f>
        <v/>
      </c>
      <c r="FE125" s="638" t="str">
        <f>IF($BO$126=1,     IF(OR(FC125="",FA125="",$T$103="",$T$103=0,'HHV-LHV-MW'!FB60="",ET125="",$FB$145=""),"", ((FC125*((FA125*('HHV-LHV-MW'!FB60/100))/$T$103))^2)*((ET125^2)+($FB$145^2))),              IF(OR(FC125="",FA125="",EM125="",EP125="",$FB$145="",$T$103="",$T$103=0),"",      ((FC125*((FA125*(EM125/100))/$T$103))^2)*((EP125^2)+($FB$145^2))             ))</f>
        <v/>
      </c>
      <c r="FF125" s="889" t="str">
        <f>IF(Y125="","",VLOOKUP(Y125,'HHV-LHV-MW'!$A$3:$H$40,4,FALSE))</f>
        <v/>
      </c>
      <c r="FG125" s="889" t="str">
        <f>IF(Y125="","",VLOOKUP(Y125,'HHV-LHV-MW'!$A$3:$H$40,5,FALSE))</f>
        <v/>
      </c>
      <c r="FH125" s="890" t="str">
        <f>IF($BO$136="","",((PRODUCT('HHV-LHV-MW'!GY60)+PRODUCT('HHV-LHV-MW'!HK60)+PRODUCT('HHV-LHV-MW'!HW60)+PRODUCT('HHV-LHV-MW'!II60))/$BO$136))</f>
        <v/>
      </c>
      <c r="FI125" s="890" t="str">
        <f>IF($BO$136="","",(IF($BO$136=1,"",  (SQRT(  (      (IF('HHV-LHV-MW'!GY60="",0,('HHV-LHV-MW'!GY60-FH125)^2))      +        (IF('HHV-LHV-MW'!HK60="",0,('HHV-LHV-MW'!HK60-FH125)^2))       +        (IF('HHV-LHV-MW'!HW60="",0,('HHV-LHV-MW'!HW60-FH125)^2))          +        (IF('HHV-LHV-MW'!II60="",0,('HHV-LHV-MW'!II60-FH125)^2))          )     *(1/($BO$136-1))  )))))</f>
        <v/>
      </c>
      <c r="FJ125" s="890" t="str">
        <f t="shared" si="117"/>
        <v/>
      </c>
      <c r="FK125" s="890" t="str">
        <f t="shared" si="118"/>
        <v/>
      </c>
      <c r="FL125" s="636" t="str">
        <f>IF('HHV-LHV-MW'!GY60="","",IF(AND('HHV-LHV-MW'!GY60&gt;=0,'HHV-LHV-MW'!GY60&lt;=0.09),2,  IF(AND('HHV-LHV-MW'!GY60&gt;=0.1,'HHV-LHV-MW'!GY60&lt;=0.9),7,  IF(AND('HHV-LHV-MW'!GY60&gt;=1,'HHV-LHV-MW'!GY60&lt;=4.9),10,   IF(AND('HHV-LHV-MW'!GY60&gt;=5,'HHV-LHV-MW'!GY60&lt;=10),12, 15)))))</f>
        <v/>
      </c>
      <c r="FM125" s="636" t="str">
        <f>IF('HHV-LHV-MW'!GY60="","",5*'HHV-LHV-MW'!GY60)</f>
        <v/>
      </c>
      <c r="FN125" s="635" t="str">
        <f t="shared" si="119"/>
        <v/>
      </c>
      <c r="FO125" s="636" t="str">
        <f>IF(OR(FN125="",'HHV-LHV-MW'!GY60=0),"",FN125/'HHV-LHV-MW'!GY60)</f>
        <v/>
      </c>
      <c r="FP125" s="636" t="str">
        <f>IF(OR(FO125="",FF125="",'HHV-LHV-MW'!GY60=""),"",((FO125*FF125*('HHV-LHV-MW'!GY60/100))/23.685)^2)</f>
        <v/>
      </c>
      <c r="FQ125" s="636" t="str">
        <f>IF(OR(FO125="",FG125="",'HHV-LHV-MW'!GY60=""),"",((FO125*FG125*('HHV-LHV-MW'!GY60/100))/23.685)^2)</f>
        <v/>
      </c>
      <c r="FR125" s="639" t="str">
        <f t="shared" si="120"/>
        <v/>
      </c>
      <c r="FS125" s="891" t="str">
        <f t="shared" si="121"/>
        <v/>
      </c>
      <c r="FT125" s="643" t="str">
        <f>IF(Y125="","",VLOOKUP(Y125,'HHV-LHV-MW'!$A$3:$H$40,7,FALSE))</f>
        <v/>
      </c>
      <c r="FU125" s="875" t="str">
        <f>IF($BO$136=1,     IF(OR(FT125="",'HHV-LHV-MW'!GY60="",FO125=""),"",(FT125*('HHV-LHV-MW'!GY60/100)*FO125)^2),IF(OR(FT125="",FH125="",FK125=""),"",(FT125*(FH125/100)*FK125)^2))</f>
        <v/>
      </c>
      <c r="FV125" s="635" t="str">
        <f>IF(Y125="","",VLOOKUP(Y125,'HHV-LHV-MW'!$A$3:$I$40,9,FALSE))</f>
        <v/>
      </c>
      <c r="FW125" s="875" t="str">
        <f>IF($BO$136=1,     IF(OR(FV125="",'HHV-LHV-MW'!GY60="",FO125=""),"",(FV125*('HHV-LHV-MW'!GY60/100)*FO125)^2),IF(OR(FV125="",FH125="",FK125=""),"",(FV125*(FH125/100)*FK125)^2))</f>
        <v/>
      </c>
      <c r="FX125" s="635" t="str">
        <f>IF(Y125="","",(VLOOKUP(Y125,'HHV-LHV-MW'!$A$3:$F$40,6,FALSE))    )</f>
        <v/>
      </c>
      <c r="FY125" s="875" t="str">
        <f>IF($BO$136=1,     IF(OR(FX125="",'HHV-LHV-MW'!GY60="",FO125=""),"",(FX125*('HHV-LHV-MW'!GY60/100)*FO125)^2),IF(OR(FX125="",FH125="",FK125=""),"",(FX125*(FH125/100)*FK125)^2))</f>
        <v/>
      </c>
      <c r="FZ125" s="638" t="str">
        <f>IF($BO$136=1,     IF(OR(FX125="",FV125="",$Z$103="",$Z$103=0,'HHV-LHV-MW'!GY60="",FO125="",$FW$145=""),"", ((FX125*((FV125*('HHV-LHV-MW'!GY60/100))/$Z$103))^2)*((FO125^2)+($FW$145^2))),              IF(OR(FX125="",FV125="",FH125="",FK125="",$FW$145="",$Z$103="",$Z$103=0),"",      ((FX125*((FV125*(FH125/100))/$Z$103))^2)*((FK125^2)+($FW$145^2))             ))</f>
        <v/>
      </c>
      <c r="GA125" s="889" t="str">
        <f>IF(AE125="","",VLOOKUP(AE125,'HHV-LHV-MW'!$A$3:$H$40,4,FALSE))</f>
        <v/>
      </c>
      <c r="GB125" s="889" t="str">
        <f>IF(AE125="","",VLOOKUP(AE125,'HHV-LHV-MW'!$A$3:$H$40,5,FALSE))</f>
        <v/>
      </c>
      <c r="GC125" s="890" t="str">
        <f>IF($BW$96="","",((PRODUCT('HHV-LHV-MW'!IV60)+PRODUCT('HHV-LHV-MW'!JH60)+PRODUCT('HHV-LHV-MW'!JT60)+PRODUCT('HHV-LHV-MW'!KF60))/$BW$96))</f>
        <v/>
      </c>
      <c r="GD125" s="890" t="str">
        <f>IF($BW$96="","",(IF($BW$96=1,"",  (SQRT(  (      (IF('HHV-LHV-MW'!IV60="",0,('HHV-LHV-MW'!IV60-GC125)^2))      +        (IF('HHV-LHV-MW'!JH60="",0,('HHV-LHV-MW'!JH60-GC125)^2))       +        (IF('HHV-LHV-MW'!JT60="",0,('HHV-LHV-MW'!JT60-GC125)^2))          +        (IF('HHV-LHV-MW'!KF60="",0,('HHV-LHV-MW'!KF60-GC125)^2))          )     *(1/($BW$96-1))  )))))</f>
        <v/>
      </c>
      <c r="GE125" s="890" t="str">
        <f t="shared" si="122"/>
        <v/>
      </c>
      <c r="GF125" s="890" t="str">
        <f t="shared" si="123"/>
        <v/>
      </c>
      <c r="GG125" s="636" t="str">
        <f>IF('HHV-LHV-MW'!IV60="","",IF(AND('HHV-LHV-MW'!IV60&gt;=0,'HHV-LHV-MW'!IV60&lt;=0.09),2,  IF(AND('HHV-LHV-MW'!IV60&gt;=0.1,'HHV-LHV-MW'!IV60&lt;=0.9),7,  IF(AND('HHV-LHV-MW'!IV60&gt;=1,'HHV-LHV-MW'!IV60&lt;=4.9),10,   IF(AND('HHV-LHV-MW'!IV60&gt;=5,'HHV-LHV-MW'!IV60&lt;=10),12, 15)))))</f>
        <v/>
      </c>
      <c r="GH125" s="636" t="str">
        <f>IF('HHV-LHV-MW'!IV60="","",5*'HHV-LHV-MW'!IV60)</f>
        <v/>
      </c>
      <c r="GI125" s="635" t="str">
        <f t="shared" si="124"/>
        <v/>
      </c>
      <c r="GJ125" s="636" t="str">
        <f>IF(OR(GI125="",'HHV-LHV-MW'!IV60=0),"",GI125/'HHV-LHV-MW'!IV60)</f>
        <v/>
      </c>
      <c r="GK125" s="636" t="str">
        <f>IF(OR(GJ125="",GA125="",'HHV-LHV-MW'!IV60=""),"",((GJ125*GA125*('HHV-LHV-MW'!IV60/100))/23.685)^2)</f>
        <v/>
      </c>
      <c r="GL125" s="636" t="str">
        <f>IF(OR(GJ125="",GB125="",'HHV-LHV-MW'!IV60=""),"",((GJ125*GB125*('HHV-LHV-MW'!IV60/100))/23.685)^2)</f>
        <v/>
      </c>
      <c r="GM125" s="639" t="str">
        <f t="shared" si="125"/>
        <v/>
      </c>
      <c r="GN125" s="891" t="str">
        <f t="shared" si="126"/>
        <v/>
      </c>
      <c r="GO125" s="643" t="str">
        <f>IF(AE125="","",VLOOKUP(AE125,'HHV-LHV-MW'!$A$3:$H$40,7,FALSE))</f>
        <v/>
      </c>
      <c r="GP125" s="875" t="str">
        <f>IF($BW$96=1,     IF(OR(GO125="",'HHV-LHV-MW'!IV60="",GJ125=""),"",(GO125*('HHV-LHV-MW'!IV60/100)*GJ125)^2),IF(OR(GO125="",GC125="",GF125=""),"",(GO125*(GC125/100)*GF125)^2))</f>
        <v/>
      </c>
      <c r="GQ125" s="635" t="str">
        <f>IF(AE125="","",VLOOKUP(AE125,'HHV-LHV-MW'!$A$3:$I$40,9,FALSE))</f>
        <v/>
      </c>
      <c r="GR125" s="875" t="str">
        <f>IF($BW$96=1,     IF(OR(GQ125="",'HHV-LHV-MW'!IV60="",GJ125=""),"",(GQ125*('HHV-LHV-MW'!IV60/100)*GJ125)^2),IF(OR(GQ125="",GC125="",GF125=""),"",(GQ125*(GC125/100)*GF125)^2))</f>
        <v/>
      </c>
      <c r="GS125" s="635" t="str">
        <f>IF(AE125="","",(VLOOKUP(AE125,'HHV-LHV-MW'!$A$3:$F$40,6,FALSE))    )</f>
        <v/>
      </c>
      <c r="GT125" s="875" t="str">
        <f>IF($BW$96=1,     IF(OR(GS125="",'HHV-LHV-MW'!IV60="",GJ125=""),"",(GS125*('HHV-LHV-MW'!IV60/100)*GJ125)^2),IF(OR(GS125="",GC125="",GF125=""),"",(GS125*(GC125/100)*GF125)^2))</f>
        <v/>
      </c>
      <c r="GU125" s="638" t="str">
        <f>IF($BW$96=1,     IF(OR(GS125="",GQ125="",$AF$103="",$AF$103=0,'HHV-LHV-MW'!IV60="",GJ125="",$GR$145=""),"", ((GS125*((GQ125*('HHV-LHV-MW'!IV60/100))/$AF$103))^2)*((GJ125^2)+($GR$145^2))),              IF(OR(GS125="",GQ125="",GC125="",GF125="",$GR$145="",$AF$103="",$AF$103=0),"",      ((GS125*((GQ125*(GC125/100))/$AF$103))^2)*((GF125^2)+($GR$145^2))             ))</f>
        <v/>
      </c>
      <c r="GV125" s="889" t="str">
        <f>IF(AK125="","",VLOOKUP(AK125,'HHV-LHV-MW'!$A$3:$H$40,4,FALSE))</f>
        <v/>
      </c>
      <c r="GW125" s="889" t="str">
        <f>IF(AK125="","",VLOOKUP(AK125,'HHV-LHV-MW'!$A$3:$H$40,5,FALSE))</f>
        <v/>
      </c>
      <c r="GX125" s="890" t="str">
        <f>IF($BW$106="","",((PRODUCT('HHV-LHV-MW'!KS60)+PRODUCT('HHV-LHV-MW'!LE60)+PRODUCT('HHV-LHV-MW'!LQ60)+PRODUCT('HHV-LHV-MW'!MC60))/$BW$106))</f>
        <v/>
      </c>
      <c r="GY125" s="890" t="str">
        <f>IF($BW$106="","",(IF($BW$106=1,"",  (SQRT(  (      (IF('HHV-LHV-MW'!KS60="",0,('HHV-LHV-MW'!KS60-GX125)^2))      +        (IF('HHV-LHV-MW'!LE60="",0,('HHV-LHV-MW'!LE60-GX125)^2))       +        (IF('HHV-LHV-MW'!LQ60="",0,('HHV-LHV-MW'!LQ60-GX125)^2))          +        (IF('HHV-LHV-MW'!MC60="",0,('HHV-LHV-MW'!MC60-GX125)^2))          )     *(1/($BW$106-1))  )))))</f>
        <v/>
      </c>
      <c r="GZ125" s="890" t="str">
        <f t="shared" si="127"/>
        <v/>
      </c>
      <c r="HA125" s="890" t="str">
        <f t="shared" si="128"/>
        <v/>
      </c>
      <c r="HB125" s="636" t="str">
        <f>IF('HHV-LHV-MW'!KS60="","",IF(AND('HHV-LHV-MW'!KS60&gt;=0,'HHV-LHV-MW'!KS60&lt;=0.09),2,  IF(AND('HHV-LHV-MW'!KS60&gt;=0.1,'HHV-LHV-MW'!KS60&lt;=0.9),7,  IF(AND('HHV-LHV-MW'!KS60&gt;=1,'HHV-LHV-MW'!KS60&lt;=4.9),10,   IF(AND('HHV-LHV-MW'!KS60&gt;=5,'HHV-LHV-MW'!KS60&lt;=10),12, 15)))))</f>
        <v/>
      </c>
      <c r="HC125" s="636" t="str">
        <f>IF('HHV-LHV-MW'!KS60="","",5*'HHV-LHV-MW'!KS60)</f>
        <v/>
      </c>
      <c r="HD125" s="635" t="str">
        <f t="shared" si="129"/>
        <v/>
      </c>
      <c r="HE125" s="636" t="str">
        <f>IF(OR(HD125="",'HHV-LHV-MW'!KS60=0),"",HD125/'HHV-LHV-MW'!KS60)</f>
        <v/>
      </c>
      <c r="HF125" s="636" t="str">
        <f>IF(OR(HE125="",GV125="",'HHV-LHV-MW'!KS60=""),"",((HE125*GV125*('HHV-LHV-MW'!KS60/100))/23.685)^2)</f>
        <v/>
      </c>
      <c r="HG125" s="636" t="str">
        <f>IF(OR(HE125="",GW125="",'HHV-LHV-MW'!KS60=""),"",((HE125*GW125*('HHV-LHV-MW'!KS60/100))/23.685)^2)</f>
        <v/>
      </c>
      <c r="HH125" s="639" t="str">
        <f t="shared" si="130"/>
        <v/>
      </c>
      <c r="HI125" s="891" t="str">
        <f t="shared" si="131"/>
        <v/>
      </c>
      <c r="HJ125" s="643" t="str">
        <f>IF(AK125="","",VLOOKUP(AK125,'HHV-LHV-MW'!$A$3:$H$40,7,FALSE))</f>
        <v/>
      </c>
      <c r="HK125" s="875" t="str">
        <f>IF($BW$106=1,     IF(OR(HJ125="",'HHV-LHV-MW'!KS60="",HE125=""),"",(HJ125*('HHV-LHV-MW'!KS60/100)*HE125)^2),IF(OR(HJ125="",GX125="",HA125=""),"",(HJ125*(GX125/100)*HA125)^2))</f>
        <v/>
      </c>
      <c r="HL125" s="635" t="str">
        <f>IF(AK125="","",VLOOKUP(AK125,'HHV-LHV-MW'!$A$3:$I$40,9,FALSE))</f>
        <v/>
      </c>
      <c r="HM125" s="875" t="str">
        <f>IF($BW$106=1,     IF(OR(HL125="",'HHV-LHV-MW'!KS60="",HE125=""),"",(HL125*('HHV-LHV-MW'!KS60/100)*HE125)^2),IF(OR(HL125="",GX125="",HA125=""),"",(HL125*(GX125/100)*HA125)^2))</f>
        <v/>
      </c>
      <c r="HN125" s="635" t="str">
        <f>IF(AK125="","",(VLOOKUP(AK125,'HHV-LHV-MW'!$A$3:$F$40,6,FALSE))    )</f>
        <v/>
      </c>
      <c r="HO125" s="875" t="str">
        <f>IF($BW$106=1,     IF(OR(HN125="",'HHV-LHV-MW'!KS60="",HE125=""),"",(HN125*('HHV-LHV-MW'!KS60/100)*HE125)^2),IF(OR(HN125="",GX125="",HA125=""),"",(HN125*(GX125/100)*HA125)^2))</f>
        <v/>
      </c>
      <c r="HP125" s="638" t="str">
        <f>IF($BW$106=1,     IF(OR(HN125="",HL125="",$AL$103="",$AL$103=0,'HHV-LHV-MW'!KS60="",HE125="",$HM$145=""),"", ((HN125*((HL125*('HHV-LHV-MW'!KS60/100))/$AL$103))^2)*((HE125^2)+($HM$145^2))),              IF(OR(HN125="",HL125="",GX125="",HA125="",$HM$145="",$AL$103="",$AL$103=0),"",      ((HN125*((HL125*(GX125/100))/$AL$103))^2)*((HA125^2)+($HM$145^2))             ))</f>
        <v/>
      </c>
      <c r="HQ125" s="889" t="str">
        <f>IF(AQ125="","",VLOOKUP(AQ125,'HHV-LHV-MW'!$A$3:$H$40,4,FALSE))</f>
        <v/>
      </c>
      <c r="HR125" s="889" t="str">
        <f>IF(AQ125="","",VLOOKUP(AQ125,'HHV-LHV-MW'!$A$3:$H$40,5,FALSE))</f>
        <v/>
      </c>
      <c r="HS125" s="890" t="str">
        <f>IF($BW$116="","",((PRODUCT('HHV-LHV-MW'!MP60)+PRODUCT('HHV-LHV-MW'!NB60)+PRODUCT('HHV-LHV-MW'!NN60)+PRODUCT('HHV-LHV-MW'!NZ60))/$BW$116))</f>
        <v/>
      </c>
      <c r="HT125" s="890" t="str">
        <f>IF($BW$116="","",(IF($BW$116=1,"",  (SQRT(  (      (IF('HHV-LHV-MW'!MP60="",0,('HHV-LHV-MW'!MP60-HS125)^2))      +        (IF('HHV-LHV-MW'!NB60="",0,('HHV-LHV-MW'!NB60-HS125)^2))       +        (IF('HHV-LHV-MW'!NN60="",0,('HHV-LHV-MW'!NN60-HS125)^2))          +        (IF('HHV-LHV-MW'!NZ60="",0,('HHV-LHV-MW'!NZ60-HS125)^2))          )     *(1/($BW$116-1))  )))))</f>
        <v/>
      </c>
      <c r="HU125" s="890" t="str">
        <f t="shared" si="132"/>
        <v/>
      </c>
      <c r="HV125" s="890" t="str">
        <f t="shared" si="133"/>
        <v/>
      </c>
      <c r="HW125" s="636" t="str">
        <f>IF('HHV-LHV-MW'!MP60="","",IF(AND('HHV-LHV-MW'!MP60&gt;=0,'HHV-LHV-MW'!MP60&lt;=0.09),2,  IF(AND('HHV-LHV-MW'!MP60&gt;=0.1,'HHV-LHV-MW'!MP60&lt;=0.9),7,  IF(AND('HHV-LHV-MW'!MP60&gt;=1,'HHV-LHV-MW'!MP60&lt;=4.9),10,   IF(AND('HHV-LHV-MW'!MP60&gt;=5,'HHV-LHV-MW'!MP60&lt;=10),12, 15)))))</f>
        <v/>
      </c>
      <c r="HX125" s="636" t="str">
        <f>IF('HHV-LHV-MW'!MP60="","",5*'HHV-LHV-MW'!MP60)</f>
        <v/>
      </c>
      <c r="HY125" s="635" t="str">
        <f t="shared" si="134"/>
        <v/>
      </c>
      <c r="HZ125" s="636" t="str">
        <f>IF(OR(HY125="",'HHV-LHV-MW'!MP60=0),"",HY125/'HHV-LHV-MW'!MP60)</f>
        <v/>
      </c>
      <c r="IA125" s="636" t="str">
        <f>IF(OR(HZ125="",HQ125="",'HHV-LHV-MW'!MP60=""),"",((HZ125*HQ125*('HHV-LHV-MW'!MP60/100))/23.685)^2)</f>
        <v/>
      </c>
      <c r="IB125" s="636" t="str">
        <f>IF(OR(HZ125="",HR125="",'HHV-LHV-MW'!MP60=""),"",((HZ125*HR125*('HHV-LHV-MW'!MP60/100))/23.685)^2)</f>
        <v/>
      </c>
      <c r="IC125" s="639" t="str">
        <f t="shared" si="135"/>
        <v/>
      </c>
      <c r="ID125" s="891" t="str">
        <f t="shared" si="136"/>
        <v/>
      </c>
      <c r="IE125" s="643" t="str">
        <f>IF(AQ125="","",VLOOKUP(AQ125,'HHV-LHV-MW'!$A$3:$H$40,7,FALSE))</f>
        <v/>
      </c>
      <c r="IF125" s="875" t="str">
        <f>IF($BW$116=1,     IF(OR(IE125="",'HHV-LHV-MW'!MP60="",HZ125=""),"",(IE125*('HHV-LHV-MW'!MP60/100)*HZ125)^2),IF(OR(IE125="",HS125="",HV125=""),"",(IE125*(HS125/100)*HV125)^2))</f>
        <v/>
      </c>
      <c r="IG125" s="635" t="str">
        <f>IF(AQ125="","",VLOOKUP(AQ125,'HHV-LHV-MW'!$A$3:$I$40,9,FALSE))</f>
        <v/>
      </c>
      <c r="IH125" s="875" t="str">
        <f>IF($BW$116=1,     IF(OR(IG125="",'HHV-LHV-MW'!MP60="",HZ125=""),"",(IG125*('HHV-LHV-MW'!MP60/100)*HZ125)^2),IF(OR(IG125="",HS125="",HV125=""),"",(IG125*(HS125/100)*HV125)^2))</f>
        <v/>
      </c>
      <c r="II125" s="635" t="str">
        <f>IF(AQ125="","",(VLOOKUP(AQ125,'HHV-LHV-MW'!$A$3:$F$40,6,FALSE))    )</f>
        <v/>
      </c>
      <c r="IJ125" s="875" t="str">
        <f>IF($BW$116=1,     IF(OR(II125="",'HHV-LHV-MW'!MP60="",HZ125=""),"",(II125*('HHV-LHV-MW'!MP60/100)*HZ125)^2),IF(OR(II125="",HS125="",HV125=""),"",(II125*(HS125/100)*HV125)^2))</f>
        <v/>
      </c>
      <c r="IK125" s="638" t="str">
        <f>IF($BW$116=1,     IF(OR(II125="",IG125="",$AR$103="",$AR$103=0,'HHV-LHV-MW'!MP60="",HZ125="",$IH$145=""),"", ((II125*((IG125*('HHV-LHV-MW'!MP60/100))/$AR$103))^2)*((HZ125^2)+($IH$145^2))),              IF(OR(II125="",IG125="",HS125="",HV125="",$IH$145="",$AR$103="",$AR$103=0),"",      ((II125*((IG125*(HS125/100))/$AR$103))^2)*((HV125^2)+($IH$145^2))             ))</f>
        <v/>
      </c>
      <c r="IL125" s="889" t="str">
        <f>IF(AW125="","",VLOOKUP(AW125,'HHV-LHV-MW'!$A$3:$H$40,4,FALSE))</f>
        <v/>
      </c>
      <c r="IM125" s="889" t="str">
        <f>IF(AW125="","",VLOOKUP(AW125,'HHV-LHV-MW'!$A$3:$H$40,5,FALSE))</f>
        <v/>
      </c>
      <c r="IN125" s="890" t="str">
        <f>IF($BW$126="","",((PRODUCT('HHV-LHV-MW'!ON60)+PRODUCT('HHV-LHV-MW'!OZ60)+PRODUCT('HHV-LHV-MW'!PL60)+PRODUCT('HHV-LHV-MW'!PX60))/$BW$126))</f>
        <v/>
      </c>
      <c r="IO125" s="890" t="str">
        <f>IF($BW$126="","",(IF($BW$126=1,"",  (SQRT(  (      (IF('HHV-LHV-MW'!ON60="",0,('HHV-LHV-MW'!ON60-IN125)^2))      +        (IF('HHV-LHV-MW'!OZ60="",0,('HHV-LHV-MW'!OZ60-IN125)^2))       +        (IF('HHV-LHV-MW'!PL60="",0,('HHV-LHV-MW'!PL60-IN125)^2))          +        (IF('HHV-LHV-MW'!PX60="",0,('HHV-LHV-MW'!PX60-IN125)^2))          )     *(1/($BW$126-1))  )))))</f>
        <v/>
      </c>
      <c r="IP125" s="890" t="str">
        <f t="shared" si="137"/>
        <v/>
      </c>
      <c r="IQ125" s="890" t="str">
        <f t="shared" si="138"/>
        <v/>
      </c>
      <c r="IR125" s="636" t="str">
        <f>IF('HHV-LHV-MW'!ON60="","",IF(AND('HHV-LHV-MW'!ON60&gt;=0,'HHV-LHV-MW'!ON60&lt;=0.09),2,  IF(AND('HHV-LHV-MW'!ON60&gt;=0.1,'HHV-LHV-MW'!ON60&lt;=0.9),7,  IF(AND('HHV-LHV-MW'!ON60&gt;=1,'HHV-LHV-MW'!ON60&lt;=4.9),10,   IF(AND('HHV-LHV-MW'!ON60&gt;=5,'HHV-LHV-MW'!ON60&lt;=10),12, 15)))))</f>
        <v/>
      </c>
      <c r="IS125" s="636" t="str">
        <f>IF('HHV-LHV-MW'!ON60="","",5*'HHV-LHV-MW'!ON60)</f>
        <v/>
      </c>
      <c r="IT125" s="635" t="str">
        <f t="shared" si="139"/>
        <v/>
      </c>
      <c r="IU125" s="636" t="str">
        <f>IF(OR(IT125="",'HHV-LHV-MW'!ON60=0),"",IT125/'HHV-LHV-MW'!ON60)</f>
        <v/>
      </c>
      <c r="IV125" s="636" t="str">
        <f>IF(OR(IU125="",IL125="",'HHV-LHV-MW'!ON60=""),"",((IU125*IL125*('HHV-LHV-MW'!ON60/100))/23.685)^2)</f>
        <v/>
      </c>
      <c r="IW125" s="636" t="str">
        <f>IF(OR(IU125="",IM125="",'HHV-LHV-MW'!ON60=""),"",((IU125*IM125*('HHV-LHV-MW'!ON60/100))/23.685)^2)</f>
        <v/>
      </c>
      <c r="IX125" s="639" t="str">
        <f t="shared" si="140"/>
        <v/>
      </c>
      <c r="IY125" s="891" t="str">
        <f t="shared" si="141"/>
        <v/>
      </c>
      <c r="IZ125" s="643" t="str">
        <f>IF(AW125="","",VLOOKUP(AW125,'HHV-LHV-MW'!$A$3:$H$40,7,FALSE))</f>
        <v/>
      </c>
      <c r="JA125" s="875" t="str">
        <f>IF($BW$126=1,     IF(OR(IZ125="",'HHV-LHV-MW'!ON60="",IU125=""),"",(IZ125*('HHV-LHV-MW'!ON60/100)*IU125)^2),IF(OR(IZ125="",IN125="",IQ125=""),"",(IZ125*(IN125/100)*IQ125)^2))</f>
        <v/>
      </c>
      <c r="JB125" s="635" t="str">
        <f>IF(AW125="","",VLOOKUP(AW125,'HHV-LHV-MW'!$A$3:$I$40,9,FALSE))</f>
        <v/>
      </c>
      <c r="JC125" s="875" t="str">
        <f>IF($BW$126=1,     IF(OR(JB125="",'HHV-LHV-MW'!ON60="",IU125=""),"",(JB125*('HHV-LHV-MW'!ON60/100)*IU125)^2),IF(OR(JB125="",IN125="",IQ125=""),"",(JB125*(IN125/100)*IQ125)^2))</f>
        <v/>
      </c>
      <c r="JD125" s="635" t="str">
        <f>IF(AW125="","",(VLOOKUP(AW125,'HHV-LHV-MW'!$A$3:$F$40,6,FALSE))    )</f>
        <v/>
      </c>
      <c r="JE125" s="875" t="str">
        <f>IF($BW$126=1,     IF(OR(JD125="",'HHV-LHV-MW'!ON60="",IU125=""),"",(JD125*('HHV-LHV-MW'!ON60/100)*IU125)^2),IF(OR(JD125="",IN125="",IQ125=""),"",(JD125*(IN125/100)*IQ125)^2))</f>
        <v/>
      </c>
      <c r="JF125" s="638" t="str">
        <f>IF($BW$126=1,     IF(OR(JD125="",JB125="",$AX$103="",$AX$103=0,'HHV-LHV-MW'!ON60="",IU125="",$JC$145=""),"", ((JD125*((JB125*('HHV-LHV-MW'!ON60/100))/$AX$103))^2)*((IU125^2)+($JC$145^2))),              IF(OR(JD125="",JB125="",IN125="",IQ125="",$JC$145="",$AX$103="",$AX$103=0),"",      ((JD125*((JB125*(IN125/100))/$AX$103))^2)*((IQ125^2)+($JC$145^2))             ))</f>
        <v/>
      </c>
      <c r="JG125" s="889" t="str">
        <f>IF(BC125="","",VLOOKUP(BC125,'HHV-LHV-MW'!$A$3:$H$40,4,FALSE))</f>
        <v/>
      </c>
      <c r="JH125" s="889" t="str">
        <f>IF(BC125="","",VLOOKUP(BC125,'HHV-LHV-MW'!$A$3:$H$40,5,FALSE))</f>
        <v/>
      </c>
      <c r="JI125" s="890" t="str">
        <f>IF($BW$136="","",((PRODUCT('HHV-LHV-MW'!QK60)+PRODUCT('HHV-LHV-MW'!QW60)+PRODUCT('HHV-LHV-MW'!RI60)+PRODUCT('HHV-LHV-MW'!RU60))/$BW$136))</f>
        <v/>
      </c>
      <c r="JJ125" s="890" t="str">
        <f>IF($BW$136="","",(IF($BW$136=1,"",  (SQRT(  (      (IF('HHV-LHV-MW'!QK60="",0,('HHV-LHV-MW'!QK60-JI125)^2))      +        (IF('HHV-LHV-MW'!QW60="",0,('HHV-LHV-MW'!QW60-JI125)^2))       +        (IF('HHV-LHV-MW'!RI60="",0,('HHV-LHV-MW'!RI60-JI125)^2))          +        (IF('HHV-LHV-MW'!RU60="",0,('HHV-LHV-MW'!RU60-JI125)^2))          )     *(1/($BW$136-1))  )))))</f>
        <v/>
      </c>
      <c r="JK125" s="890" t="str">
        <f t="shared" si="142"/>
        <v/>
      </c>
      <c r="JL125" s="890" t="str">
        <f t="shared" si="143"/>
        <v/>
      </c>
      <c r="JM125" s="636" t="str">
        <f>IF('HHV-LHV-MW'!QK60="","",IF(AND('HHV-LHV-MW'!QK60&gt;=0,'HHV-LHV-MW'!QK60&lt;=0.09),2,  IF(AND('HHV-LHV-MW'!QK60&gt;=0.1,'HHV-LHV-MW'!QK60&lt;=0.9),7,  IF(AND('HHV-LHV-MW'!QK60&gt;=1,'HHV-LHV-MW'!QK60&lt;=4.9),10,   IF(AND('HHV-LHV-MW'!QK60&gt;=5,'HHV-LHV-MW'!QK60&lt;=10),12, 15)))))</f>
        <v/>
      </c>
      <c r="JN125" s="636" t="str">
        <f>IF('HHV-LHV-MW'!QK60="","",5*'HHV-LHV-MW'!QK60)</f>
        <v/>
      </c>
      <c r="JO125" s="635" t="str">
        <f t="shared" si="144"/>
        <v/>
      </c>
      <c r="JP125" s="636" t="str">
        <f>IF(OR(JO125="",'HHV-LHV-MW'!QK60=0),"",JO125/'HHV-LHV-MW'!QK60)</f>
        <v/>
      </c>
      <c r="JQ125" s="636" t="str">
        <f>IF(OR(JP125="",JG125="",'HHV-LHV-MW'!QK60=""),"",((JP125*JG125*('HHV-LHV-MW'!QK60/100))/23.685)^2)</f>
        <v/>
      </c>
      <c r="JR125" s="636" t="str">
        <f>IF(OR(JP125="",JH125="",'HHV-LHV-MW'!QK60=""),"",((JP125*JH125*('HHV-LHV-MW'!QK60/100))/23.685)^2)</f>
        <v/>
      </c>
      <c r="JS125" s="639" t="str">
        <f t="shared" si="145"/>
        <v/>
      </c>
      <c r="JT125" s="891" t="str">
        <f t="shared" si="146"/>
        <v/>
      </c>
      <c r="JU125" s="643" t="str">
        <f>IF(BC125="","",VLOOKUP(BC125,'HHV-LHV-MW'!$A$3:$H$40,7,FALSE))</f>
        <v/>
      </c>
      <c r="JV125" s="875" t="str">
        <f>IF($BW$136=1,     IF(OR(JU125="",'HHV-LHV-MW'!QK60="",JP125=""),"",(JU125*('HHV-LHV-MW'!QK60/100)*JP125)^2),IF(OR(JU125="",JI125="",JL125=""),"",(JU125*(JI125/100)*JL125)^2))</f>
        <v/>
      </c>
      <c r="JW125" s="635" t="str">
        <f>IF(BC125="","",VLOOKUP(BC125,'HHV-LHV-MW'!$A$3:$I$40,9,FALSE))</f>
        <v/>
      </c>
      <c r="JX125" s="875" t="str">
        <f>IF($BW$136=1,     IF(OR(JW125="",'HHV-LHV-MW'!QK60="",JP125=""),"",(JW125*('HHV-LHV-MW'!QK60/100)*JP125)^2),IF(OR(JW125="",JI125="",JL125=""),"",(JW125*(JI125/100)*JL125)^2))</f>
        <v/>
      </c>
      <c r="JY125" s="635" t="str">
        <f>IF(BC125="","",(VLOOKUP(BC125,'HHV-LHV-MW'!$A$3:$F$40,6,FALSE))    )</f>
        <v/>
      </c>
      <c r="JZ125" s="875" t="str">
        <f>IF($BW$136=1,     IF(OR(JY125="",'HHV-LHV-MW'!QK60="",JP125=""),"",(JY125*('HHV-LHV-MW'!QK60/100)*JP125)^2),IF(OR(JY125="",JI125="",JL125=""),"",(JY125*(JI125/100)*JL125)^2))</f>
        <v/>
      </c>
      <c r="KA125" s="638" t="str">
        <f>IF($BW$136=1,     IF(OR(JY125="",JW125="",$BD$103="",$BD$103=0,'HHV-LHV-MW'!QK60="",JP125="",$JX$145=""),"", ((JY125*((JW125*('HHV-LHV-MW'!QK60/100))/$BD$103))^2)*((JP125^2)+($JX$145^2))),              IF(OR(JY125="",JW125="",JI125="",JL125="",$JX$145="",$BD$103="",$BD$103=0),"",      ((JY125*((JW125*(JI125/100))/$BD$103))^2)*((JL125^2)+($JX$145^2))             ))</f>
        <v/>
      </c>
      <c r="KB125" s="874"/>
      <c r="KC125" s="874"/>
      <c r="KD125" s="874"/>
      <c r="KE125" s="874"/>
      <c r="KF125" s="874"/>
      <c r="KG125" s="874"/>
      <c r="KH125" s="865"/>
      <c r="KI125" s="865"/>
      <c r="KJ125" s="865"/>
      <c r="KK125" s="865"/>
      <c r="KL125" s="865"/>
      <c r="KM125" s="865"/>
      <c r="KN125" s="865"/>
      <c r="KO125" s="865"/>
      <c r="KP125" s="865"/>
      <c r="KQ125" s="865"/>
      <c r="KR125" s="865"/>
      <c r="KS125" s="865"/>
      <c r="KT125" s="865"/>
      <c r="KU125" s="865"/>
      <c r="KV125" s="865"/>
      <c r="KW125" s="865"/>
      <c r="KX125" s="865"/>
      <c r="KY125" s="865"/>
      <c r="KZ125" s="865"/>
      <c r="LA125" s="865"/>
      <c r="LB125" s="865"/>
      <c r="LC125" s="865"/>
      <c r="LD125" s="865"/>
      <c r="LE125" s="865"/>
      <c r="LF125" s="865"/>
    </row>
    <row r="126" spans="1:318" ht="19.2" thickBot="1">
      <c r="A126" s="864"/>
      <c r="B126" s="502"/>
      <c r="C126" s="502"/>
      <c r="D126" s="502"/>
      <c r="E126" s="502"/>
      <c r="F126" s="511"/>
      <c r="G126" s="864"/>
      <c r="H126" s="502"/>
      <c r="I126" s="502"/>
      <c r="J126" s="502"/>
      <c r="K126" s="502"/>
      <c r="L126" s="511"/>
      <c r="M126" s="864"/>
      <c r="N126" s="502"/>
      <c r="O126" s="502"/>
      <c r="P126" s="502"/>
      <c r="Q126" s="502"/>
      <c r="R126" s="511"/>
      <c r="S126" s="864"/>
      <c r="T126" s="502"/>
      <c r="U126" s="502"/>
      <c r="V126" s="502"/>
      <c r="W126" s="502"/>
      <c r="X126" s="511"/>
      <c r="Y126" s="864"/>
      <c r="Z126" s="502"/>
      <c r="AA126" s="502"/>
      <c r="AB126" s="502"/>
      <c r="AC126" s="502"/>
      <c r="AD126" s="511"/>
      <c r="AE126" s="864"/>
      <c r="AF126" s="502"/>
      <c r="AG126" s="502"/>
      <c r="AH126" s="502"/>
      <c r="AI126" s="502"/>
      <c r="AJ126" s="511"/>
      <c r="AK126" s="864"/>
      <c r="AL126" s="502"/>
      <c r="AM126" s="502"/>
      <c r="AN126" s="502"/>
      <c r="AO126" s="502"/>
      <c r="AP126" s="511"/>
      <c r="AQ126" s="864"/>
      <c r="AR126" s="502"/>
      <c r="AS126" s="502"/>
      <c r="AT126" s="502"/>
      <c r="AU126" s="502"/>
      <c r="AV126" s="511"/>
      <c r="AW126" s="864"/>
      <c r="AX126" s="502"/>
      <c r="AY126" s="502"/>
      <c r="AZ126" s="502"/>
      <c r="BA126" s="502"/>
      <c r="BB126" s="511"/>
      <c r="BC126" s="864"/>
      <c r="BD126" s="502"/>
      <c r="BE126" s="502"/>
      <c r="BF126" s="502"/>
      <c r="BG126" s="502"/>
      <c r="BH126" s="865"/>
      <c r="BI126" s="865"/>
      <c r="BJ126" s="1143" t="s">
        <v>1468</v>
      </c>
      <c r="BK126" s="2481"/>
      <c r="BL126" s="2481"/>
      <c r="BM126" s="2481"/>
      <c r="BN126" s="1144"/>
      <c r="BO126" s="2439"/>
      <c r="BP126" s="2439"/>
      <c r="BQ126" s="865"/>
      <c r="BR126" s="1143" t="s">
        <v>1468</v>
      </c>
      <c r="BS126" s="2481"/>
      <c r="BT126" s="2481"/>
      <c r="BU126" s="2481"/>
      <c r="BV126" s="1144"/>
      <c r="BW126" s="2439"/>
      <c r="BX126" s="2439"/>
      <c r="BY126" s="874"/>
      <c r="BZ126" s="888" t="str">
        <f>IF(A126="","",VLOOKUP(A126,'HHV-LHV-MW'!$A$3:$H$40,4,FALSE))</f>
        <v/>
      </c>
      <c r="CA126" s="889" t="str">
        <f>IF(A126="","",VLOOKUP(A126,'HHV-LHV-MW'!$A$3:$H$40,5,FALSE))</f>
        <v/>
      </c>
      <c r="CB126" s="890" t="str">
        <f>IF($BO$96="","",((PRODUCT('HHV-LHV-MW'!K61)+PRODUCT('HHV-LHV-MW'!W61)+PRODUCT('HHV-LHV-MW'!AI61)+PRODUCT('HHV-LHV-MW'!AU61))/$BO$96))</f>
        <v/>
      </c>
      <c r="CC126" s="890" t="str">
        <f>IF($BO$96="","",(IF($BO$96=1,"",  (SQRT(  (      (IF('HHV-LHV-MW'!K61="",0,('HHV-LHV-MW'!K61-CB126)^2))      +        (IF('HHV-LHV-MW'!W61="",0,('HHV-LHV-MW'!W61-CB126)^2))       +        (IF('HHV-LHV-MW'!AI61="",0,('HHV-LHV-MW'!AI61-CB126)^2))          +        (IF('HHV-LHV-MW'!AU61="",0,('HHV-LHV-MW'!AU61-CB126)^2))          )     *(1/($BO$96-1))  )))))</f>
        <v/>
      </c>
      <c r="CD126" s="890" t="str">
        <f t="shared" si="97"/>
        <v/>
      </c>
      <c r="CE126" s="890" t="str">
        <f t="shared" si="98"/>
        <v/>
      </c>
      <c r="CF126" s="636" t="str">
        <f>IF('HHV-LHV-MW'!K61="","",IF(AND('HHV-LHV-MW'!K61&gt;=0,'HHV-LHV-MW'!K61&lt;=0.09),2,  IF(AND('HHV-LHV-MW'!K61&gt;=0.1,'HHV-LHV-MW'!K61&lt;=0.9),7,  IF(AND('HHV-LHV-MW'!K61&gt;=1,'HHV-LHV-MW'!K61&lt;=4.9),10,   IF(AND('HHV-LHV-MW'!K61&gt;=5,'HHV-LHV-MW'!K61&lt;=10),12, 15)))))</f>
        <v/>
      </c>
      <c r="CG126" s="636" t="str">
        <f>IF('HHV-LHV-MW'!K61="","",5*'HHV-LHV-MW'!K61)</f>
        <v/>
      </c>
      <c r="CH126" s="635" t="str">
        <f t="shared" si="99"/>
        <v/>
      </c>
      <c r="CI126" s="636" t="str">
        <f>IF(OR(CH126="",'HHV-LHV-MW'!K61=0),"",CH126/'HHV-LHV-MW'!K61)</f>
        <v/>
      </c>
      <c r="CJ126" s="636" t="str">
        <f>IF(OR(CI126="",BZ126="",'HHV-LHV-MW'!K61=""),"",((CI126*BZ126*('HHV-LHV-MW'!K61/100))/23.685)^2)</f>
        <v/>
      </c>
      <c r="CK126" s="636" t="str">
        <f>IF(OR(CI126="",CA126="",'HHV-LHV-MW'!K61=""),"",((CI126*CA126*('HHV-LHV-MW'!K61/100))/23.685)^2)</f>
        <v/>
      </c>
      <c r="CL126" s="639" t="str">
        <f t="shared" si="100"/>
        <v/>
      </c>
      <c r="CM126" s="892" t="str">
        <f t="shared" si="101"/>
        <v/>
      </c>
      <c r="CN126" s="639" t="str">
        <f>IF(A126="","",VLOOKUP(A126,'HHV-LHV-MW'!$A$3:$H$40,7,FALSE))</f>
        <v/>
      </c>
      <c r="CO126" s="636" t="str">
        <f>IF($BO$96=1,     IF(OR(CN126="",'HHV-LHV-MW'!K61="",CI126=""),"",(CN126*('HHV-LHV-MW'!K61/100)*CI126)^2),IF(OR(CN126="",CB126="",CE126=""),"",(CN126*(CB126/100)*CE126)^2))</f>
        <v/>
      </c>
      <c r="CP126" s="635" t="str">
        <f>IF(A126="","",VLOOKUP(A126,'HHV-LHV-MW'!$A$3:$I$40,9,FALSE))</f>
        <v/>
      </c>
      <c r="CQ126" s="636" t="str">
        <f>IF($BO$96=1,     IF(OR(CP126="",'HHV-LHV-MW'!K61="",CI126=""),"",(CP126*('HHV-LHV-MW'!K61/100)*CI126)^2),IF(OR(CP126="",CB126="",CE126=""),"",(CP126*(CB126/100)*CE126)^2))</f>
        <v/>
      </c>
      <c r="CR126" s="636" t="str">
        <f>IF(A126="","",(VLOOKUP(A126,'HHV-LHV-MW'!$A$3:$F$40,6,FALSE))    )</f>
        <v/>
      </c>
      <c r="CS126" s="636" t="str">
        <f>IF($BO$96=1,     IF(OR(CR126="",'HHV-LHV-MW'!K61="",CI126=""),"",(CR126*('HHV-LHV-MW'!K61/100)*CI126)^2),IF(OR(CR126="",CB126="",CE126=""),"",(CR126*(CB126/100)*CE126)^2))</f>
        <v/>
      </c>
      <c r="CT126" s="640" t="str">
        <f>IF($BO$96=1,     IF(OR(CR126="",CP126="",$B$103="",$B$103=0,'HHV-LHV-MW'!K61="",CI126="",$CQ$145=""),"", ((CR126*((CP126*('HHV-LHV-MW'!K61/100))/$B$103))^2)*((CI126^2)+($CQ$145^2))),              IF(OR(CR126="",CP126="",CB126="",CE126="",$CQ$145="",$B$103="",$B$103=0),"",      ((CR126*((CP126*(CB126/100))/$B$103))^2)*((CE126^2)+($CQ$145^2))             ))</f>
        <v/>
      </c>
      <c r="CU126" s="889" t="str">
        <f>IF(G126="","",VLOOKUP(G126,'HHV-LHV-MW'!$A$3:$H$40,4,FALSE))</f>
        <v/>
      </c>
      <c r="CV126" s="889" t="str">
        <f>IF(G126="","",VLOOKUP(G126,'HHV-LHV-MW'!$A$3:$H$40,5,FALSE))</f>
        <v/>
      </c>
      <c r="CW126" s="890" t="str">
        <f>IF($BO$106="","",((PRODUCT('HHV-LHV-MW'!BH61)+PRODUCT('HHV-LHV-MW'!BT61)+PRODUCT('HHV-LHV-MW'!CF61)+PRODUCT('HHV-LHV-MW'!CR61))/$BO$106))</f>
        <v/>
      </c>
      <c r="CX126" s="890" t="str">
        <f>IF($BO$106="","",(IF($BO$106=1,"",  (SQRT(  (      (IF('HHV-LHV-MW'!BH61="",0,('HHV-LHV-MW'!BH61-CW126)^2))      +        (IF('HHV-LHV-MW'!BT61="",0,('HHV-LHV-MW'!BT61-CW126)^2))       +        (IF('HHV-LHV-MW'!CF61="",0,('HHV-LHV-MW'!CF61-CW126)^2))          +        (IF('HHV-LHV-MW'!CR61="",0,('HHV-LHV-MW'!CR61-CW126)^2))          )     *(1/($BO$106-1))  )))))</f>
        <v/>
      </c>
      <c r="CY126" s="890" t="str">
        <f t="shared" si="102"/>
        <v/>
      </c>
      <c r="CZ126" s="890" t="str">
        <f t="shared" si="103"/>
        <v/>
      </c>
      <c r="DA126" s="636" t="str">
        <f>IF('HHV-LHV-MW'!BH61="","",IF(AND('HHV-LHV-MW'!BH61&gt;=0,'HHV-LHV-MW'!BH61&lt;=0.09),2,  IF(AND('HHV-LHV-MW'!BH61&gt;=0.1,'HHV-LHV-MW'!BH61&lt;=0.9),7,  IF(AND('HHV-LHV-MW'!BH61&gt;=1,'HHV-LHV-MW'!BH61&lt;=4.9),10,   IF(AND('HHV-LHV-MW'!BH61&gt;=5,'HHV-LHV-MW'!BH61&lt;=10),12, 15)))))</f>
        <v/>
      </c>
      <c r="DB126" s="636" t="str">
        <f>IF('HHV-LHV-MW'!BH61="","",5*'HHV-LHV-MW'!BH61)</f>
        <v/>
      </c>
      <c r="DC126" s="635" t="str">
        <f t="shared" si="104"/>
        <v/>
      </c>
      <c r="DD126" s="636" t="str">
        <f>IF(OR(DC126="",'HHV-LHV-MW'!BH61=0),"",DC126/'HHV-LHV-MW'!BH61)</f>
        <v/>
      </c>
      <c r="DE126" s="635" t="str">
        <f>IF(OR(DD126="",CU126="",'HHV-LHV-MW'!BH61=""),"",((DD126*CU126*('HHV-LHV-MW'!BH61/100))/23.685)^2)</f>
        <v/>
      </c>
      <c r="DF126" s="636" t="str">
        <f>IF(OR(DD126="",CV126="",'HHV-LHV-MW'!BH61=""),"",((DD126*CV126*('HHV-LHV-MW'!BH61/100))/23.685)^2)</f>
        <v/>
      </c>
      <c r="DG126" s="639" t="str">
        <f t="shared" si="105"/>
        <v/>
      </c>
      <c r="DH126" s="891" t="str">
        <f t="shared" si="106"/>
        <v/>
      </c>
      <c r="DI126" s="635" t="str">
        <f>IF(G126="","",VLOOKUP(G126,'HHV-LHV-MW'!$A$3:$H$40,7,FALSE))</f>
        <v/>
      </c>
      <c r="DJ126" s="875" t="str">
        <f>IF($BO$106=1,     IF(OR(DI126="",'HHV-LHV-MW'!BH61="",DD126=""),"",(DI126*('HHV-LHV-MW'!BH61/100)*DD126)^2),IF(OR(DI126="",CW126="",CZ126=""),"",(DI126*(CW126/100)*CZ126)^2))</f>
        <v/>
      </c>
      <c r="DK126" s="635" t="str">
        <f>IF(G126="","",VLOOKUP(G126,'HHV-LHV-MW'!$A$3:$I$40,9,FALSE))</f>
        <v/>
      </c>
      <c r="DL126" s="875" t="str">
        <f>IF($BO$106=1,     IF(OR(DK126="",'HHV-LHV-MW'!BH61="",DD126=""),"",(DK126*('HHV-LHV-MW'!BH61/100)*DD126)^2),IF(OR(DK126="",CW126="",CZ126=""),"",(DK126*(CW126/100)*CZ126)^2))</f>
        <v/>
      </c>
      <c r="DM126" s="635" t="str">
        <f>IF(G126="","",(VLOOKUP(G126,'HHV-LHV-MW'!$A$3:$F$40,6,FALSE))    )</f>
        <v/>
      </c>
      <c r="DN126" s="875" t="str">
        <f>IF($BO$106=1,     IF(OR(DM126="",'HHV-LHV-MW'!BH61="",DD126=""),"",(DM126*('HHV-LHV-MW'!BH61/100)*DD126)^2),IF(OR(DM126="",CW126="",CZ126=""),"",(DM126*(CW126/100)*CZ126)^2))</f>
        <v/>
      </c>
      <c r="DO126" s="638" t="str">
        <f>IF($BO$106=1,     IF(OR(DM126="",DK126="",$H$103="",$H$103=0,'HHV-LHV-MW'!BH61="",DD126="",$DL$145=""),"", ((DM126*((DK126*('HHV-LHV-MW'!BH61/100))/$H$103))^2)*((DD126^2)+($DL$145^2))),              IF(OR(DM126="",DK126="",CW126="",CZ126="",$DL$145="",$H$103="",$H$103=0),"",      ((DM126*((DK126*(CW126/100))/$H$103))^2)*((CZ126^2)+($DL$145^2))             ))</f>
        <v/>
      </c>
      <c r="DP126" s="889" t="str">
        <f>IF(M126="","",VLOOKUP(M126,'HHV-LHV-MW'!$A$3:$H$40,4,FALSE))</f>
        <v/>
      </c>
      <c r="DQ126" s="889" t="str">
        <f>IF(M126="","",VLOOKUP(M126,'HHV-LHV-MW'!$A$3:$H$40,5,FALSE))</f>
        <v/>
      </c>
      <c r="DR126" s="890" t="str">
        <f>IF($BO$116="","",((PRODUCT('HHV-LHV-MW'!DE61)+PRODUCT('HHV-LHV-MW'!DQ61)+PRODUCT('HHV-LHV-MW'!EC61)+PRODUCT('HHV-LHV-MW'!EO61))/$BO$116))</f>
        <v/>
      </c>
      <c r="DS126" s="890" t="str">
        <f>IF($BO$116="","",(IF($BO$116=1,"",  (SQRT(  (      (IF('HHV-LHV-MW'!DE61="",0,('HHV-LHV-MW'!DE61-DR126)^2))      +        (IF('HHV-LHV-MW'!DQ61="",0,('HHV-LHV-MW'!DQ61-DR126)^2))       +        (IF('HHV-LHV-MW'!EC61="",0,('HHV-LHV-MW'!EC61-DR126)^2))          +        (IF('HHV-LHV-MW'!EO61="",0,('HHV-LHV-MW'!EO61-DR126)^2))          )     *(1/($BO$116-1))  )))))</f>
        <v/>
      </c>
      <c r="DT126" s="890" t="str">
        <f t="shared" si="107"/>
        <v/>
      </c>
      <c r="DU126" s="890" t="str">
        <f t="shared" si="108"/>
        <v/>
      </c>
      <c r="DV126" s="636" t="str">
        <f>IF('HHV-LHV-MW'!DE61="","",IF(AND('HHV-LHV-MW'!DE61&gt;=0,'HHV-LHV-MW'!DE61&lt;=0.09),2,  IF(AND('HHV-LHV-MW'!DE61&gt;=0.1,'HHV-LHV-MW'!DE61&lt;=0.9),7,  IF(AND('HHV-LHV-MW'!DE61&gt;=1,'HHV-LHV-MW'!DE61&lt;=4.9),10,   IF(AND('HHV-LHV-MW'!DE61&gt;=5,'HHV-LHV-MW'!DE61&lt;=10),12, 15)))))</f>
        <v/>
      </c>
      <c r="DW126" s="636" t="str">
        <f>IF('HHV-LHV-MW'!DE61="","",5*'HHV-LHV-MW'!DE61)</f>
        <v/>
      </c>
      <c r="DX126" s="635" t="str">
        <f t="shared" si="109"/>
        <v/>
      </c>
      <c r="DY126" s="636" t="str">
        <f>IF(OR(DX126="",'HHV-LHV-MW'!DE61=0),"",DX126/'HHV-LHV-MW'!DE61)</f>
        <v/>
      </c>
      <c r="DZ126" s="636" t="str">
        <f>IF(OR(DY126="",DP126="",'HHV-LHV-MW'!DE61=""),"",((DY126*DP126*('HHV-LHV-MW'!DE61/100))/23.685)^2)</f>
        <v/>
      </c>
      <c r="EA126" s="636" t="str">
        <f>IF(OR(DY126="",DQ126="",'HHV-LHV-MW'!DE61=""),"",((DY126*DQ126*('HHV-LHV-MW'!DE61/100))/23.685)^2)</f>
        <v/>
      </c>
      <c r="EB126" s="639" t="str">
        <f t="shared" si="110"/>
        <v/>
      </c>
      <c r="EC126" s="891" t="str">
        <f t="shared" si="111"/>
        <v/>
      </c>
      <c r="ED126" s="643" t="str">
        <f>IF(M126="","",VLOOKUP(M126,'HHV-LHV-MW'!$A$3:$H$40,7,FALSE))</f>
        <v/>
      </c>
      <c r="EE126" s="875" t="str">
        <f>IF($BO$116=1,     IF(OR(ED126="",'HHV-LHV-MW'!DE61="",DY126=""),"",(ED126*('HHV-LHV-MW'!DE61/100)*DY126)^2),IF(OR(ED126="",DR126="",DU126=""),"",(ED126*(DR126/100)*DU126)^2))</f>
        <v/>
      </c>
      <c r="EF126" s="635" t="str">
        <f>IF(M126="","",VLOOKUP(M126,'HHV-LHV-MW'!$A$3:$I$40,9,FALSE))</f>
        <v/>
      </c>
      <c r="EG126" s="875" t="str">
        <f>IF($BO$116=1,     IF(OR(EF126="",'HHV-LHV-MW'!DE61="",DY126=""),"",(EF126*('HHV-LHV-MW'!DE61/100)*DY126)^2),IF(OR(EF126="",DR126="",DU126=""),"",(EF126*(DR126/100)*DU126)^2))</f>
        <v/>
      </c>
      <c r="EH126" s="635" t="str">
        <f>IF(M126="","",(VLOOKUP(M126,'HHV-LHV-MW'!$A$3:$F$40,6,FALSE))    )</f>
        <v/>
      </c>
      <c r="EI126" s="875" t="str">
        <f>IF($BO$116=1,     IF(OR(EH126="",'HHV-LHV-MW'!DE61="",DY126=""),"",(EH126*('HHV-LHV-MW'!DE61/100)*DY126)^2),IF(OR(EH126="",DR126="",DU126=""),"",(EH126*(DR126/100)*DU126)^2))</f>
        <v/>
      </c>
      <c r="EJ126" s="638" t="str">
        <f>IF($BO$116=1,     IF(OR(EH126="",EF126="",$N$103="",$N$103=0,'HHV-LHV-MW'!DE61="",DY126="",$EG$145=""),"", ((EH126*((EF126*('HHV-LHV-MW'!DE61/100))/$N$103))^2)*((DY126^2)+($EG$145^2))),              IF(OR(EH126="",EF126="",DR126="",DU126="",$EG$145="",$N$103="",$N$103=0),"",      ((EH126*((EF126*(DR126/100))/$N$103))^2)*((DU126^2)+($EG$145^2))             ))</f>
        <v/>
      </c>
      <c r="EK126" s="889" t="str">
        <f>IF(S126="","",VLOOKUP(S126,'HHV-LHV-MW'!$A$3:$H$40,4,FALSE))</f>
        <v/>
      </c>
      <c r="EL126" s="889" t="str">
        <f>IF(S126="","",VLOOKUP(S126,'HHV-LHV-MW'!$A$3:$H$40,5,FALSE))</f>
        <v/>
      </c>
      <c r="EM126" s="890" t="str">
        <f>IF($BO$126="","",((PRODUCT('HHV-LHV-MW'!FB61)+PRODUCT('HHV-LHV-MW'!FN61)+PRODUCT('HHV-LHV-MW'!FZ61)+PRODUCT('HHV-LHV-MW'!GL61))/$BO$126))</f>
        <v/>
      </c>
      <c r="EN126" s="890" t="str">
        <f>IF($BO$126="","",(IF($BO$126=1,"",  (SQRT(  (      (IF('HHV-LHV-MW'!FB61="",0,('HHV-LHV-MW'!FB61-EM126)^2))      +        (IF('HHV-LHV-MW'!FN61="",0,('HHV-LHV-MW'!FN61-EM126)^2))       +        (IF('HHV-LHV-MW'!FZ61="",0,('HHV-LHV-MW'!FZ61-EM126)^2))          +        (IF('HHV-LHV-MW'!GL61="",0,('HHV-LHV-MW'!GL61-EM126)^2))          )     *(1/($BO$126-1))  )))))</f>
        <v/>
      </c>
      <c r="EO126" s="890" t="str">
        <f t="shared" si="112"/>
        <v/>
      </c>
      <c r="EP126" s="890" t="str">
        <f t="shared" si="113"/>
        <v/>
      </c>
      <c r="EQ126" s="636" t="str">
        <f>IF('HHV-LHV-MW'!FB61="","",IF(AND('HHV-LHV-MW'!FB61&gt;=0,'HHV-LHV-MW'!FB61&lt;=0.09),2,  IF(AND('HHV-LHV-MW'!FB61&gt;=0.1,'HHV-LHV-MW'!FB61&lt;=0.9),7,  IF(AND('HHV-LHV-MW'!FB61&gt;=1,'HHV-LHV-MW'!FB61&lt;=4.9),10,   IF(AND('HHV-LHV-MW'!FB61&gt;=5,'HHV-LHV-MW'!FB61&lt;=10),12, 15)))))</f>
        <v/>
      </c>
      <c r="ER126" s="636" t="str">
        <f>IF('HHV-LHV-MW'!FB61="","",5*'HHV-LHV-MW'!FB61)</f>
        <v/>
      </c>
      <c r="ES126" s="635" t="str">
        <f t="shared" si="114"/>
        <v/>
      </c>
      <c r="ET126" s="636" t="str">
        <f>IF(OR(ES126="",'HHV-LHV-MW'!FB61=0),"",ES126/'HHV-LHV-MW'!FB61)</f>
        <v/>
      </c>
      <c r="EU126" s="636" t="str">
        <f>IF(OR(ET126="",EK126="",'HHV-LHV-MW'!FB61=""),"",((ET126*EK126*('HHV-LHV-MW'!FB61/100))/23.685)^2)</f>
        <v/>
      </c>
      <c r="EV126" s="636" t="str">
        <f>IF(OR(ET126="",EL126="",'HHV-LHV-MW'!FB61=""),"",((ET126*EL126*('HHV-LHV-MW'!FB61/100))/23.685)^2)</f>
        <v/>
      </c>
      <c r="EW126" s="639" t="str">
        <f t="shared" si="115"/>
        <v/>
      </c>
      <c r="EX126" s="891" t="str">
        <f t="shared" si="116"/>
        <v/>
      </c>
      <c r="EY126" s="643" t="str">
        <f>IF(S126="","",VLOOKUP(S126,'HHV-LHV-MW'!$A$3:$H$40,7,FALSE))</f>
        <v/>
      </c>
      <c r="EZ126" s="875" t="str">
        <f>IF($BO$126=1,     IF(OR(EY126="",'HHV-LHV-MW'!FB61="",ET126=""),"",(EY126*('HHV-LHV-MW'!FB61/100)*ET126)^2),IF(OR(EY126="",EM126="",EP126=""),"",(EY126*(EM126/100)*EP126)^2))</f>
        <v/>
      </c>
      <c r="FA126" s="635" t="str">
        <f>IF(S126="","",VLOOKUP(S126,'HHV-LHV-MW'!$A$3:$I$40,9,FALSE))</f>
        <v/>
      </c>
      <c r="FB126" s="875" t="str">
        <f>IF($BO$126=1,     IF(OR(FA126="",'HHV-LHV-MW'!FB61="",ET126=""),"",(FA126*('HHV-LHV-MW'!FB61/100)*ET126)^2),IF(OR(FA126="",EM126="",EP126=""),"",(FA126*(EM126/100)*EP126)^2))</f>
        <v/>
      </c>
      <c r="FC126" s="635" t="str">
        <f>IF(S126="","",(VLOOKUP(S126,'HHV-LHV-MW'!$A$3:$F$40,6,FALSE))    )</f>
        <v/>
      </c>
      <c r="FD126" s="875" t="str">
        <f>IF($BO$126=1,     IF(OR(FC126="",'HHV-LHV-MW'!FB61="",ET126=""),"",(FC126*('HHV-LHV-MW'!FB61/100)*ET126)^2),IF(OR(FC126="",EM126="",EP126=""),"",(FC126*(EM126/100)*EP126)^2))</f>
        <v/>
      </c>
      <c r="FE126" s="638" t="str">
        <f>IF($BO$126=1,     IF(OR(FC126="",FA126="",$T$103="",$T$103=0,'HHV-LHV-MW'!FB61="",ET126="",$FB$145=""),"", ((FC126*((FA126*('HHV-LHV-MW'!FB61/100))/$T$103))^2)*((ET126^2)+($FB$145^2))),              IF(OR(FC126="",FA126="",EM126="",EP126="",$FB$145="",$T$103="",$T$103=0),"",      ((FC126*((FA126*(EM126/100))/$T$103))^2)*((EP126^2)+($FB$145^2))             ))</f>
        <v/>
      </c>
      <c r="FF126" s="889" t="str">
        <f>IF(Y126="","",VLOOKUP(Y126,'HHV-LHV-MW'!$A$3:$H$40,4,FALSE))</f>
        <v/>
      </c>
      <c r="FG126" s="889" t="str">
        <f>IF(Y126="","",VLOOKUP(Y126,'HHV-LHV-MW'!$A$3:$H$40,5,FALSE))</f>
        <v/>
      </c>
      <c r="FH126" s="890" t="str">
        <f>IF($BO$136="","",((PRODUCT('HHV-LHV-MW'!GY61)+PRODUCT('HHV-LHV-MW'!HK61)+PRODUCT('HHV-LHV-MW'!HW61)+PRODUCT('HHV-LHV-MW'!II61))/$BO$136))</f>
        <v/>
      </c>
      <c r="FI126" s="890" t="str">
        <f>IF($BO$136="","",(IF($BO$136=1,"",  (SQRT(  (      (IF('HHV-LHV-MW'!GY61="",0,('HHV-LHV-MW'!GY61-FH126)^2))      +        (IF('HHV-LHV-MW'!HK61="",0,('HHV-LHV-MW'!HK61-FH126)^2))       +        (IF('HHV-LHV-MW'!HW61="",0,('HHV-LHV-MW'!HW61-FH126)^2))          +        (IF('HHV-LHV-MW'!II61="",0,('HHV-LHV-MW'!II61-FH126)^2))          )     *(1/($BO$136-1))  )))))</f>
        <v/>
      </c>
      <c r="FJ126" s="890" t="str">
        <f t="shared" si="117"/>
        <v/>
      </c>
      <c r="FK126" s="890" t="str">
        <f t="shared" si="118"/>
        <v/>
      </c>
      <c r="FL126" s="636" t="str">
        <f>IF('HHV-LHV-MW'!GY61="","",IF(AND('HHV-LHV-MW'!GY61&gt;=0,'HHV-LHV-MW'!GY61&lt;=0.09),2,  IF(AND('HHV-LHV-MW'!GY61&gt;=0.1,'HHV-LHV-MW'!GY61&lt;=0.9),7,  IF(AND('HHV-LHV-MW'!GY61&gt;=1,'HHV-LHV-MW'!GY61&lt;=4.9),10,   IF(AND('HHV-LHV-MW'!GY61&gt;=5,'HHV-LHV-MW'!GY61&lt;=10),12, 15)))))</f>
        <v/>
      </c>
      <c r="FM126" s="636" t="str">
        <f>IF('HHV-LHV-MW'!GY61="","",5*'HHV-LHV-MW'!GY61)</f>
        <v/>
      </c>
      <c r="FN126" s="635" t="str">
        <f t="shared" si="119"/>
        <v/>
      </c>
      <c r="FO126" s="636" t="str">
        <f>IF(OR(FN126="",'HHV-LHV-MW'!GY61=0),"",FN126/'HHV-LHV-MW'!GY61)</f>
        <v/>
      </c>
      <c r="FP126" s="636" t="str">
        <f>IF(OR(FO126="",FF126="",'HHV-LHV-MW'!GY61=""),"",((FO126*FF126*('HHV-LHV-MW'!GY61/100))/23.685)^2)</f>
        <v/>
      </c>
      <c r="FQ126" s="636" t="str">
        <f>IF(OR(FO126="",FG126="",'HHV-LHV-MW'!GY61=""),"",((FO126*FG126*('HHV-LHV-MW'!GY61/100))/23.685)^2)</f>
        <v/>
      </c>
      <c r="FR126" s="639" t="str">
        <f t="shared" si="120"/>
        <v/>
      </c>
      <c r="FS126" s="891" t="str">
        <f t="shared" si="121"/>
        <v/>
      </c>
      <c r="FT126" s="643" t="str">
        <f>IF(Y126="","",VLOOKUP(Y126,'HHV-LHV-MW'!$A$3:$H$40,7,FALSE))</f>
        <v/>
      </c>
      <c r="FU126" s="875" t="str">
        <f>IF($BO$136=1,     IF(OR(FT126="",'HHV-LHV-MW'!GY61="",FO126=""),"",(FT126*('HHV-LHV-MW'!GY61/100)*FO126)^2),IF(OR(FT126="",FH126="",FK126=""),"",(FT126*(FH126/100)*FK126)^2))</f>
        <v/>
      </c>
      <c r="FV126" s="635" t="str">
        <f>IF(Y126="","",VLOOKUP(Y126,'HHV-LHV-MW'!$A$3:$I$40,9,FALSE))</f>
        <v/>
      </c>
      <c r="FW126" s="875" t="str">
        <f>IF($BO$136=1,     IF(OR(FV126="",'HHV-LHV-MW'!GY61="",FO126=""),"",(FV126*('HHV-LHV-MW'!GY61/100)*FO126)^2),IF(OR(FV126="",FH126="",FK126=""),"",(FV126*(FH126/100)*FK126)^2))</f>
        <v/>
      </c>
      <c r="FX126" s="635" t="str">
        <f>IF(Y126="","",(VLOOKUP(Y126,'HHV-LHV-MW'!$A$3:$F$40,6,FALSE))    )</f>
        <v/>
      </c>
      <c r="FY126" s="875" t="str">
        <f>IF($BO$136=1,     IF(OR(FX126="",'HHV-LHV-MW'!GY61="",FO126=""),"",(FX126*('HHV-LHV-MW'!GY61/100)*FO126)^2),IF(OR(FX126="",FH126="",FK126=""),"",(FX126*(FH126/100)*FK126)^2))</f>
        <v/>
      </c>
      <c r="FZ126" s="638" t="str">
        <f>IF($BO$136=1,     IF(OR(FX126="",FV126="",$Z$103="",$Z$103=0,'HHV-LHV-MW'!GY61="",FO126="",$FW$145=""),"", ((FX126*((FV126*('HHV-LHV-MW'!GY61/100))/$Z$103))^2)*((FO126^2)+($FW$145^2))),              IF(OR(FX126="",FV126="",FH126="",FK126="",$FW$145="",$Z$103="",$Z$103=0),"",      ((FX126*((FV126*(FH126/100))/$Z$103))^2)*((FK126^2)+($FW$145^2))             ))</f>
        <v/>
      </c>
      <c r="GA126" s="889" t="str">
        <f>IF(AE126="","",VLOOKUP(AE126,'HHV-LHV-MW'!$A$3:$H$40,4,FALSE))</f>
        <v/>
      </c>
      <c r="GB126" s="889" t="str">
        <f>IF(AE126="","",VLOOKUP(AE126,'HHV-LHV-MW'!$A$3:$H$40,5,FALSE))</f>
        <v/>
      </c>
      <c r="GC126" s="890" t="str">
        <f>IF($BW$96="","",((PRODUCT('HHV-LHV-MW'!IV61)+PRODUCT('HHV-LHV-MW'!JH61)+PRODUCT('HHV-LHV-MW'!JT61)+PRODUCT('HHV-LHV-MW'!KF61))/$BW$96))</f>
        <v/>
      </c>
      <c r="GD126" s="890" t="str">
        <f>IF($BW$96="","",(IF($BW$96=1,"",  (SQRT(  (      (IF('HHV-LHV-MW'!IV61="",0,('HHV-LHV-MW'!IV61-GC126)^2))      +        (IF('HHV-LHV-MW'!JH61="",0,('HHV-LHV-MW'!JH61-GC126)^2))       +        (IF('HHV-LHV-MW'!JT61="",0,('HHV-LHV-MW'!JT61-GC126)^2))          +        (IF('HHV-LHV-MW'!KF61="",0,('HHV-LHV-MW'!KF61-GC126)^2))          )     *(1/($BW$96-1))  )))))</f>
        <v/>
      </c>
      <c r="GE126" s="890" t="str">
        <f t="shared" si="122"/>
        <v/>
      </c>
      <c r="GF126" s="890" t="str">
        <f t="shared" si="123"/>
        <v/>
      </c>
      <c r="GG126" s="636" t="str">
        <f>IF('HHV-LHV-MW'!IV61="","",IF(AND('HHV-LHV-MW'!IV61&gt;=0,'HHV-LHV-MW'!IV61&lt;=0.09),2,  IF(AND('HHV-LHV-MW'!IV61&gt;=0.1,'HHV-LHV-MW'!IV61&lt;=0.9),7,  IF(AND('HHV-LHV-MW'!IV61&gt;=1,'HHV-LHV-MW'!IV61&lt;=4.9),10,   IF(AND('HHV-LHV-MW'!IV61&gt;=5,'HHV-LHV-MW'!IV61&lt;=10),12, 15)))))</f>
        <v/>
      </c>
      <c r="GH126" s="636" t="str">
        <f>IF('HHV-LHV-MW'!IV61="","",5*'HHV-LHV-MW'!IV61)</f>
        <v/>
      </c>
      <c r="GI126" s="635" t="str">
        <f t="shared" si="124"/>
        <v/>
      </c>
      <c r="GJ126" s="636" t="str">
        <f>IF(OR(GI126="",'HHV-LHV-MW'!IV61=0),"",GI126/'HHV-LHV-MW'!IV61)</f>
        <v/>
      </c>
      <c r="GK126" s="636" t="str">
        <f>IF(OR(GJ126="",GA126="",'HHV-LHV-MW'!IV61=""),"",((GJ126*GA126*('HHV-LHV-MW'!IV61/100))/23.685)^2)</f>
        <v/>
      </c>
      <c r="GL126" s="636" t="str">
        <f>IF(OR(GJ126="",GB126="",'HHV-LHV-MW'!IV61=""),"",((GJ126*GB126*('HHV-LHV-MW'!IV61/100))/23.685)^2)</f>
        <v/>
      </c>
      <c r="GM126" s="639" t="str">
        <f t="shared" si="125"/>
        <v/>
      </c>
      <c r="GN126" s="891" t="str">
        <f t="shared" si="126"/>
        <v/>
      </c>
      <c r="GO126" s="643" t="str">
        <f>IF(AE126="","",VLOOKUP(AE126,'HHV-LHV-MW'!$A$3:$H$40,7,FALSE))</f>
        <v/>
      </c>
      <c r="GP126" s="875" t="str">
        <f>IF($BW$96=1,     IF(OR(GO126="",'HHV-LHV-MW'!IV61="",GJ126=""),"",(GO126*('HHV-LHV-MW'!IV61/100)*GJ126)^2),IF(OR(GO126="",GC126="",GF126=""),"",(GO126*(GC126/100)*GF126)^2))</f>
        <v/>
      </c>
      <c r="GQ126" s="635" t="str">
        <f>IF(AE126="","",VLOOKUP(AE126,'HHV-LHV-MW'!$A$3:$I$40,9,FALSE))</f>
        <v/>
      </c>
      <c r="GR126" s="875" t="str">
        <f>IF($BW$96=1,     IF(OR(GQ126="",'HHV-LHV-MW'!IV61="",GJ126=""),"",(GQ126*('HHV-LHV-MW'!IV61/100)*GJ126)^2),IF(OR(GQ126="",GC126="",GF126=""),"",(GQ126*(GC126/100)*GF126)^2))</f>
        <v/>
      </c>
      <c r="GS126" s="635" t="str">
        <f>IF(AE126="","",(VLOOKUP(AE126,'HHV-LHV-MW'!$A$3:$F$40,6,FALSE))    )</f>
        <v/>
      </c>
      <c r="GT126" s="875" t="str">
        <f>IF($BW$96=1,     IF(OR(GS126="",'HHV-LHV-MW'!IV61="",GJ126=""),"",(GS126*('HHV-LHV-MW'!IV61/100)*GJ126)^2),IF(OR(GS126="",GC126="",GF126=""),"",(GS126*(GC126/100)*GF126)^2))</f>
        <v/>
      </c>
      <c r="GU126" s="638" t="str">
        <f>IF($BW$96=1,     IF(OR(GS126="",GQ126="",$AF$103="",$AF$103=0,'HHV-LHV-MW'!IV61="",GJ126="",$GR$145=""),"", ((GS126*((GQ126*('HHV-LHV-MW'!IV61/100))/$AF$103))^2)*((GJ126^2)+($GR$145^2))),              IF(OR(GS126="",GQ126="",GC126="",GF126="",$GR$145="",$AF$103="",$AF$103=0),"",      ((GS126*((GQ126*(GC126/100))/$AF$103))^2)*((GF126^2)+($GR$145^2))             ))</f>
        <v/>
      </c>
      <c r="GV126" s="889" t="str">
        <f>IF(AK126="","",VLOOKUP(AK126,'HHV-LHV-MW'!$A$3:$H$40,4,FALSE))</f>
        <v/>
      </c>
      <c r="GW126" s="889" t="str">
        <f>IF(AK126="","",VLOOKUP(AK126,'HHV-LHV-MW'!$A$3:$H$40,5,FALSE))</f>
        <v/>
      </c>
      <c r="GX126" s="890" t="str">
        <f>IF($BW$106="","",((PRODUCT('HHV-LHV-MW'!KS61)+PRODUCT('HHV-LHV-MW'!LE61)+PRODUCT('HHV-LHV-MW'!LQ61)+PRODUCT('HHV-LHV-MW'!MC61))/$BW$106))</f>
        <v/>
      </c>
      <c r="GY126" s="890" t="str">
        <f>IF($BW$106="","",(IF($BW$106=1,"",  (SQRT(  (      (IF('HHV-LHV-MW'!KS61="",0,('HHV-LHV-MW'!KS61-GX126)^2))      +        (IF('HHV-LHV-MW'!LE61="",0,('HHV-LHV-MW'!LE61-GX126)^2))       +        (IF('HHV-LHV-MW'!LQ61="",0,('HHV-LHV-MW'!LQ61-GX126)^2))          +        (IF('HHV-LHV-MW'!MC61="",0,('HHV-LHV-MW'!MC61-GX126)^2))          )     *(1/($BW$106-1))  )))))</f>
        <v/>
      </c>
      <c r="GZ126" s="890" t="str">
        <f t="shared" si="127"/>
        <v/>
      </c>
      <c r="HA126" s="890" t="str">
        <f t="shared" si="128"/>
        <v/>
      </c>
      <c r="HB126" s="636" t="str">
        <f>IF('HHV-LHV-MW'!KS61="","",IF(AND('HHV-LHV-MW'!KS61&gt;=0,'HHV-LHV-MW'!KS61&lt;=0.09),2,  IF(AND('HHV-LHV-MW'!KS61&gt;=0.1,'HHV-LHV-MW'!KS61&lt;=0.9),7,  IF(AND('HHV-LHV-MW'!KS61&gt;=1,'HHV-LHV-MW'!KS61&lt;=4.9),10,   IF(AND('HHV-LHV-MW'!KS61&gt;=5,'HHV-LHV-MW'!KS61&lt;=10),12, 15)))))</f>
        <v/>
      </c>
      <c r="HC126" s="636" t="str">
        <f>IF('HHV-LHV-MW'!KS61="","",5*'HHV-LHV-MW'!KS61)</f>
        <v/>
      </c>
      <c r="HD126" s="635" t="str">
        <f t="shared" si="129"/>
        <v/>
      </c>
      <c r="HE126" s="636" t="str">
        <f>IF(OR(HD126="",'HHV-LHV-MW'!KS61=0),"",HD126/'HHV-LHV-MW'!KS61)</f>
        <v/>
      </c>
      <c r="HF126" s="636" t="str">
        <f>IF(OR(HE126="",GV126="",'HHV-LHV-MW'!KS61=""),"",((HE126*GV126*('HHV-LHV-MW'!KS61/100))/23.685)^2)</f>
        <v/>
      </c>
      <c r="HG126" s="636" t="str">
        <f>IF(OR(HE126="",GW126="",'HHV-LHV-MW'!KS61=""),"",((HE126*GW126*('HHV-LHV-MW'!KS61/100))/23.685)^2)</f>
        <v/>
      </c>
      <c r="HH126" s="639" t="str">
        <f t="shared" si="130"/>
        <v/>
      </c>
      <c r="HI126" s="891" t="str">
        <f t="shared" si="131"/>
        <v/>
      </c>
      <c r="HJ126" s="643" t="str">
        <f>IF(AK126="","",VLOOKUP(AK126,'HHV-LHV-MW'!$A$3:$H$40,7,FALSE))</f>
        <v/>
      </c>
      <c r="HK126" s="875" t="str">
        <f>IF($BW$106=1,     IF(OR(HJ126="",'HHV-LHV-MW'!KS61="",HE126=""),"",(HJ126*('HHV-LHV-MW'!KS61/100)*HE126)^2),IF(OR(HJ126="",GX126="",HA126=""),"",(HJ126*(GX126/100)*HA126)^2))</f>
        <v/>
      </c>
      <c r="HL126" s="635" t="str">
        <f>IF(AK126="","",VLOOKUP(AK126,'HHV-LHV-MW'!$A$3:$I$40,9,FALSE))</f>
        <v/>
      </c>
      <c r="HM126" s="875" t="str">
        <f>IF($BW$106=1,     IF(OR(HL126="",'HHV-LHV-MW'!KS61="",HE126=""),"",(HL126*('HHV-LHV-MW'!KS61/100)*HE126)^2),IF(OR(HL126="",GX126="",HA126=""),"",(HL126*(GX126/100)*HA126)^2))</f>
        <v/>
      </c>
      <c r="HN126" s="635" t="str">
        <f>IF(AK126="","",(VLOOKUP(AK126,'HHV-LHV-MW'!$A$3:$F$40,6,FALSE))    )</f>
        <v/>
      </c>
      <c r="HO126" s="875" t="str">
        <f>IF($BW$106=1,     IF(OR(HN126="",'HHV-LHV-MW'!KS61="",HE126=""),"",(HN126*('HHV-LHV-MW'!KS61/100)*HE126)^2),IF(OR(HN126="",GX126="",HA126=""),"",(HN126*(GX126/100)*HA126)^2))</f>
        <v/>
      </c>
      <c r="HP126" s="638" t="str">
        <f>IF($BW$106=1,     IF(OR(HN126="",HL126="",$AL$103="",$AL$103=0,'HHV-LHV-MW'!KS61="",HE126="",$HM$145=""),"", ((HN126*((HL126*('HHV-LHV-MW'!KS61/100))/$AL$103))^2)*((HE126^2)+($HM$145^2))),              IF(OR(HN126="",HL126="",GX126="",HA126="",$HM$145="",$AL$103="",$AL$103=0),"",      ((HN126*((HL126*(GX126/100))/$AL$103))^2)*((HA126^2)+($HM$145^2))             ))</f>
        <v/>
      </c>
      <c r="HQ126" s="889" t="str">
        <f>IF(AQ126="","",VLOOKUP(AQ126,'HHV-LHV-MW'!$A$3:$H$40,4,FALSE))</f>
        <v/>
      </c>
      <c r="HR126" s="889" t="str">
        <f>IF(AQ126="","",VLOOKUP(AQ126,'HHV-LHV-MW'!$A$3:$H$40,5,FALSE))</f>
        <v/>
      </c>
      <c r="HS126" s="890" t="str">
        <f>IF($BW$116="","",((PRODUCT('HHV-LHV-MW'!MP61)+PRODUCT('HHV-LHV-MW'!NB61)+PRODUCT('HHV-LHV-MW'!NN61)+PRODUCT('HHV-LHV-MW'!NZ61))/$BW$116))</f>
        <v/>
      </c>
      <c r="HT126" s="890" t="str">
        <f>IF($BW$116="","",(IF($BW$116=1,"",  (SQRT(  (      (IF('HHV-LHV-MW'!MP61="",0,('HHV-LHV-MW'!MP61-HS126)^2))      +        (IF('HHV-LHV-MW'!NB61="",0,('HHV-LHV-MW'!NB61-HS126)^2))       +        (IF('HHV-LHV-MW'!NN61="",0,('HHV-LHV-MW'!NN61-HS126)^2))          +        (IF('HHV-LHV-MW'!NZ61="",0,('HHV-LHV-MW'!NZ61-HS126)^2))          )     *(1/($BW$116-1))  )))))</f>
        <v/>
      </c>
      <c r="HU126" s="890" t="str">
        <f t="shared" si="132"/>
        <v/>
      </c>
      <c r="HV126" s="890" t="str">
        <f t="shared" si="133"/>
        <v/>
      </c>
      <c r="HW126" s="636" t="str">
        <f>IF('HHV-LHV-MW'!MP61="","",IF(AND('HHV-LHV-MW'!MP61&gt;=0,'HHV-LHV-MW'!MP61&lt;=0.09),2,  IF(AND('HHV-LHV-MW'!MP61&gt;=0.1,'HHV-LHV-MW'!MP61&lt;=0.9),7,  IF(AND('HHV-LHV-MW'!MP61&gt;=1,'HHV-LHV-MW'!MP61&lt;=4.9),10,   IF(AND('HHV-LHV-MW'!MP61&gt;=5,'HHV-LHV-MW'!MP61&lt;=10),12, 15)))))</f>
        <v/>
      </c>
      <c r="HX126" s="636" t="str">
        <f>IF('HHV-LHV-MW'!MP61="","",5*'HHV-LHV-MW'!MP61)</f>
        <v/>
      </c>
      <c r="HY126" s="635" t="str">
        <f t="shared" si="134"/>
        <v/>
      </c>
      <c r="HZ126" s="636" t="str">
        <f>IF(OR(HY126="",'HHV-LHV-MW'!MP61=0),"",HY126/'HHV-LHV-MW'!MP61)</f>
        <v/>
      </c>
      <c r="IA126" s="636" t="str">
        <f>IF(OR(HZ126="",HQ126="",'HHV-LHV-MW'!MP61=""),"",((HZ126*HQ126*('HHV-LHV-MW'!MP61/100))/23.685)^2)</f>
        <v/>
      </c>
      <c r="IB126" s="636" t="str">
        <f>IF(OR(HZ126="",HR126="",'HHV-LHV-MW'!MP61=""),"",((HZ126*HR126*('HHV-LHV-MW'!MP61/100))/23.685)^2)</f>
        <v/>
      </c>
      <c r="IC126" s="639" t="str">
        <f t="shared" si="135"/>
        <v/>
      </c>
      <c r="ID126" s="891" t="str">
        <f t="shared" si="136"/>
        <v/>
      </c>
      <c r="IE126" s="643" t="str">
        <f>IF(AQ126="","",VLOOKUP(AQ126,'HHV-LHV-MW'!$A$3:$H$40,7,FALSE))</f>
        <v/>
      </c>
      <c r="IF126" s="875" t="str">
        <f>IF($BW$116=1,     IF(OR(IE126="",'HHV-LHV-MW'!MP61="",HZ126=""),"",(IE126*('HHV-LHV-MW'!MP61/100)*HZ126)^2),IF(OR(IE126="",HS126="",HV126=""),"",(IE126*(HS126/100)*HV126)^2))</f>
        <v/>
      </c>
      <c r="IG126" s="635" t="str">
        <f>IF(AQ126="","",VLOOKUP(AQ126,'HHV-LHV-MW'!$A$3:$I$40,9,FALSE))</f>
        <v/>
      </c>
      <c r="IH126" s="875" t="str">
        <f>IF($BW$116=1,     IF(OR(IG126="",'HHV-LHV-MW'!MP61="",HZ126=""),"",(IG126*('HHV-LHV-MW'!MP61/100)*HZ126)^2),IF(OR(IG126="",HS126="",HV126=""),"",(IG126*(HS126/100)*HV126)^2))</f>
        <v/>
      </c>
      <c r="II126" s="635" t="str">
        <f>IF(AQ126="","",(VLOOKUP(AQ126,'HHV-LHV-MW'!$A$3:$F$40,6,FALSE))    )</f>
        <v/>
      </c>
      <c r="IJ126" s="875" t="str">
        <f>IF($BW$116=1,     IF(OR(II126="",'HHV-LHV-MW'!MP61="",HZ126=""),"",(II126*('HHV-LHV-MW'!MP61/100)*HZ126)^2),IF(OR(II126="",HS126="",HV126=""),"",(II126*(HS126/100)*HV126)^2))</f>
        <v/>
      </c>
      <c r="IK126" s="638" t="str">
        <f>IF($BW$116=1,     IF(OR(II126="",IG126="",$AR$103="",$AR$103=0,'HHV-LHV-MW'!MP61="",HZ126="",$IH$145=""),"", ((II126*((IG126*('HHV-LHV-MW'!MP61/100))/$AR$103))^2)*((HZ126^2)+($IH$145^2))),              IF(OR(II126="",IG126="",HS126="",HV126="",$IH$145="",$AR$103="",$AR$103=0),"",      ((II126*((IG126*(HS126/100))/$AR$103))^2)*((HV126^2)+($IH$145^2))             ))</f>
        <v/>
      </c>
      <c r="IL126" s="889" t="str">
        <f>IF(AW126="","",VLOOKUP(AW126,'HHV-LHV-MW'!$A$3:$H$40,4,FALSE))</f>
        <v/>
      </c>
      <c r="IM126" s="889" t="str">
        <f>IF(AW126="","",VLOOKUP(AW126,'HHV-LHV-MW'!$A$3:$H$40,5,FALSE))</f>
        <v/>
      </c>
      <c r="IN126" s="890" t="str">
        <f>IF($BW$126="","",((PRODUCT('HHV-LHV-MW'!ON61)+PRODUCT('HHV-LHV-MW'!OZ61)+PRODUCT('HHV-LHV-MW'!PL61)+PRODUCT('HHV-LHV-MW'!PX61))/$BW$126))</f>
        <v/>
      </c>
      <c r="IO126" s="890" t="str">
        <f>IF($BW$126="","",(IF($BW$126=1,"",  (SQRT(  (      (IF('HHV-LHV-MW'!ON61="",0,('HHV-LHV-MW'!ON61-IN126)^2))      +        (IF('HHV-LHV-MW'!OZ61="",0,('HHV-LHV-MW'!OZ61-IN126)^2))       +        (IF('HHV-LHV-MW'!PL61="",0,('HHV-LHV-MW'!PL61-IN126)^2))          +        (IF('HHV-LHV-MW'!PX61="",0,('HHV-LHV-MW'!PX61-IN126)^2))          )     *(1/($BW$126-1))  )))))</f>
        <v/>
      </c>
      <c r="IP126" s="890" t="str">
        <f t="shared" si="137"/>
        <v/>
      </c>
      <c r="IQ126" s="890" t="str">
        <f t="shared" si="138"/>
        <v/>
      </c>
      <c r="IR126" s="636" t="str">
        <f>IF('HHV-LHV-MW'!ON61="","",IF(AND('HHV-LHV-MW'!ON61&gt;=0,'HHV-LHV-MW'!ON61&lt;=0.09),2,  IF(AND('HHV-LHV-MW'!ON61&gt;=0.1,'HHV-LHV-MW'!ON61&lt;=0.9),7,  IF(AND('HHV-LHV-MW'!ON61&gt;=1,'HHV-LHV-MW'!ON61&lt;=4.9),10,   IF(AND('HHV-LHV-MW'!ON61&gt;=5,'HHV-LHV-MW'!ON61&lt;=10),12, 15)))))</f>
        <v/>
      </c>
      <c r="IS126" s="636" t="str">
        <f>IF('HHV-LHV-MW'!ON61="","",5*'HHV-LHV-MW'!ON61)</f>
        <v/>
      </c>
      <c r="IT126" s="635" t="str">
        <f t="shared" si="139"/>
        <v/>
      </c>
      <c r="IU126" s="636" t="str">
        <f>IF(OR(IT126="",'HHV-LHV-MW'!ON61=0),"",IT126/'HHV-LHV-MW'!ON61)</f>
        <v/>
      </c>
      <c r="IV126" s="636" t="str">
        <f>IF(OR(IU126="",IL126="",'HHV-LHV-MW'!ON61=""),"",((IU126*IL126*('HHV-LHV-MW'!ON61/100))/23.685)^2)</f>
        <v/>
      </c>
      <c r="IW126" s="636" t="str">
        <f>IF(OR(IU126="",IM126="",'HHV-LHV-MW'!ON61=""),"",((IU126*IM126*('HHV-LHV-MW'!ON61/100))/23.685)^2)</f>
        <v/>
      </c>
      <c r="IX126" s="639" t="str">
        <f t="shared" si="140"/>
        <v/>
      </c>
      <c r="IY126" s="891" t="str">
        <f t="shared" si="141"/>
        <v/>
      </c>
      <c r="IZ126" s="643" t="str">
        <f>IF(AW126="","",VLOOKUP(AW126,'HHV-LHV-MW'!$A$3:$H$40,7,FALSE))</f>
        <v/>
      </c>
      <c r="JA126" s="875" t="str">
        <f>IF($BW$126=1,     IF(OR(IZ126="",'HHV-LHV-MW'!ON61="",IU126=""),"",(IZ126*('HHV-LHV-MW'!ON61/100)*IU126)^2),IF(OR(IZ126="",IN126="",IQ126=""),"",(IZ126*(IN126/100)*IQ126)^2))</f>
        <v/>
      </c>
      <c r="JB126" s="635" t="str">
        <f>IF(AW126="","",VLOOKUP(AW126,'HHV-LHV-MW'!$A$3:$I$40,9,FALSE))</f>
        <v/>
      </c>
      <c r="JC126" s="875" t="str">
        <f>IF($BW$126=1,     IF(OR(JB126="",'HHV-LHV-MW'!ON61="",IU126=""),"",(JB126*('HHV-LHV-MW'!ON61/100)*IU126)^2),IF(OR(JB126="",IN126="",IQ126=""),"",(JB126*(IN126/100)*IQ126)^2))</f>
        <v/>
      </c>
      <c r="JD126" s="635" t="str">
        <f>IF(AW126="","",(VLOOKUP(AW126,'HHV-LHV-MW'!$A$3:$F$40,6,FALSE))    )</f>
        <v/>
      </c>
      <c r="JE126" s="875" t="str">
        <f>IF($BW$126=1,     IF(OR(JD126="",'HHV-LHV-MW'!ON61="",IU126=""),"",(JD126*('HHV-LHV-MW'!ON61/100)*IU126)^2),IF(OR(JD126="",IN126="",IQ126=""),"",(JD126*(IN126/100)*IQ126)^2))</f>
        <v/>
      </c>
      <c r="JF126" s="638" t="str">
        <f>IF($BW$126=1,     IF(OR(JD126="",JB126="",$AX$103="",$AX$103=0,'HHV-LHV-MW'!ON61="",IU126="",$JC$145=""),"", ((JD126*((JB126*('HHV-LHV-MW'!ON61/100))/$AX$103))^2)*((IU126^2)+($JC$145^2))),              IF(OR(JD126="",JB126="",IN126="",IQ126="",$JC$145="",$AX$103="",$AX$103=0),"",      ((JD126*((JB126*(IN126/100))/$AX$103))^2)*((IQ126^2)+($JC$145^2))             ))</f>
        <v/>
      </c>
      <c r="JG126" s="889" t="str">
        <f>IF(BC126="","",VLOOKUP(BC126,'HHV-LHV-MW'!$A$3:$H$40,4,FALSE))</f>
        <v/>
      </c>
      <c r="JH126" s="889" t="str">
        <f>IF(BC126="","",VLOOKUP(BC126,'HHV-LHV-MW'!$A$3:$H$40,5,FALSE))</f>
        <v/>
      </c>
      <c r="JI126" s="890" t="str">
        <f>IF($BW$136="","",((PRODUCT('HHV-LHV-MW'!QK61)+PRODUCT('HHV-LHV-MW'!QW61)+PRODUCT('HHV-LHV-MW'!RI61)+PRODUCT('HHV-LHV-MW'!RU61))/$BW$136))</f>
        <v/>
      </c>
      <c r="JJ126" s="890" t="str">
        <f>IF($BW$136="","",(IF($BW$136=1,"",  (SQRT(  (      (IF('HHV-LHV-MW'!QK61="",0,('HHV-LHV-MW'!QK61-JI126)^2))      +        (IF('HHV-LHV-MW'!QW61="",0,('HHV-LHV-MW'!QW61-JI126)^2))       +        (IF('HHV-LHV-MW'!RI61="",0,('HHV-LHV-MW'!RI61-JI126)^2))          +        (IF('HHV-LHV-MW'!RU61="",0,('HHV-LHV-MW'!RU61-JI126)^2))          )     *(1/($BW$136-1))  )))))</f>
        <v/>
      </c>
      <c r="JK126" s="890" t="str">
        <f t="shared" si="142"/>
        <v/>
      </c>
      <c r="JL126" s="890" t="str">
        <f t="shared" si="143"/>
        <v/>
      </c>
      <c r="JM126" s="636" t="str">
        <f>IF('HHV-LHV-MW'!QK61="","",IF(AND('HHV-LHV-MW'!QK61&gt;=0,'HHV-LHV-MW'!QK61&lt;=0.09),2,  IF(AND('HHV-LHV-MW'!QK61&gt;=0.1,'HHV-LHV-MW'!QK61&lt;=0.9),7,  IF(AND('HHV-LHV-MW'!QK61&gt;=1,'HHV-LHV-MW'!QK61&lt;=4.9),10,   IF(AND('HHV-LHV-MW'!QK61&gt;=5,'HHV-LHV-MW'!QK61&lt;=10),12, 15)))))</f>
        <v/>
      </c>
      <c r="JN126" s="636" t="str">
        <f>IF('HHV-LHV-MW'!QK61="","",5*'HHV-LHV-MW'!QK61)</f>
        <v/>
      </c>
      <c r="JO126" s="635" t="str">
        <f t="shared" si="144"/>
        <v/>
      </c>
      <c r="JP126" s="636" t="str">
        <f>IF(OR(JO126="",'HHV-LHV-MW'!QK61=0),"",JO126/'HHV-LHV-MW'!QK61)</f>
        <v/>
      </c>
      <c r="JQ126" s="636" t="str">
        <f>IF(OR(JP126="",JG126="",'HHV-LHV-MW'!QK61=""),"",((JP126*JG126*('HHV-LHV-MW'!QK61/100))/23.685)^2)</f>
        <v/>
      </c>
      <c r="JR126" s="636" t="str">
        <f>IF(OR(JP126="",JH126="",'HHV-LHV-MW'!QK61=""),"",((JP126*JH126*('HHV-LHV-MW'!QK61/100))/23.685)^2)</f>
        <v/>
      </c>
      <c r="JS126" s="639" t="str">
        <f t="shared" si="145"/>
        <v/>
      </c>
      <c r="JT126" s="891" t="str">
        <f t="shared" si="146"/>
        <v/>
      </c>
      <c r="JU126" s="643" t="str">
        <f>IF(BC126="","",VLOOKUP(BC126,'HHV-LHV-MW'!$A$3:$H$40,7,FALSE))</f>
        <v/>
      </c>
      <c r="JV126" s="875" t="str">
        <f>IF($BW$136=1,     IF(OR(JU126="",'HHV-LHV-MW'!QK61="",JP126=""),"",(JU126*('HHV-LHV-MW'!QK61/100)*JP126)^2),IF(OR(JU126="",JI126="",JL126=""),"",(JU126*(JI126/100)*JL126)^2))</f>
        <v/>
      </c>
      <c r="JW126" s="635" t="str">
        <f>IF(BC126="","",VLOOKUP(BC126,'HHV-LHV-MW'!$A$3:$I$40,9,FALSE))</f>
        <v/>
      </c>
      <c r="JX126" s="875" t="str">
        <f>IF($BW$136=1,     IF(OR(JW126="",'HHV-LHV-MW'!QK61="",JP126=""),"",(JW126*('HHV-LHV-MW'!QK61/100)*JP126)^2),IF(OR(JW126="",JI126="",JL126=""),"",(JW126*(JI126/100)*JL126)^2))</f>
        <v/>
      </c>
      <c r="JY126" s="635" t="str">
        <f>IF(BC126="","",(VLOOKUP(BC126,'HHV-LHV-MW'!$A$3:$F$40,6,FALSE))    )</f>
        <v/>
      </c>
      <c r="JZ126" s="875" t="str">
        <f>IF($BW$136=1,     IF(OR(JY126="",'HHV-LHV-MW'!QK61="",JP126=""),"",(JY126*('HHV-LHV-MW'!QK61/100)*JP126)^2),IF(OR(JY126="",JI126="",JL126=""),"",(JY126*(JI126/100)*JL126)^2))</f>
        <v/>
      </c>
      <c r="KA126" s="638" t="str">
        <f>IF($BW$136=1,     IF(OR(JY126="",JW126="",$BD$103="",$BD$103=0,'HHV-LHV-MW'!QK61="",JP126="",$JX$145=""),"", ((JY126*((JW126*('HHV-LHV-MW'!QK61/100))/$BD$103))^2)*((JP126^2)+($JX$145^2))),              IF(OR(JY126="",JW126="",JI126="",JL126="",$JX$145="",$BD$103="",$BD$103=0),"",      ((JY126*((JW126*(JI126/100))/$BD$103))^2)*((JL126^2)+($JX$145^2))             ))</f>
        <v/>
      </c>
      <c r="KB126" s="874"/>
      <c r="KC126" s="874"/>
      <c r="KD126" s="874"/>
      <c r="KE126" s="874"/>
      <c r="KF126" s="874"/>
      <c r="KG126" s="874"/>
      <c r="KH126" s="865"/>
      <c r="KI126" s="865"/>
      <c r="KJ126" s="865"/>
      <c r="KK126" s="865"/>
      <c r="KL126" s="865"/>
      <c r="KM126" s="865"/>
      <c r="KN126" s="865"/>
      <c r="KO126" s="865"/>
      <c r="KP126" s="865"/>
      <c r="KQ126" s="865"/>
      <c r="KR126" s="865"/>
      <c r="KS126" s="865"/>
      <c r="KT126" s="865"/>
      <c r="KU126" s="865"/>
      <c r="KV126" s="865"/>
      <c r="KW126" s="865"/>
      <c r="KX126" s="865"/>
      <c r="KY126" s="865"/>
      <c r="KZ126" s="865"/>
      <c r="LA126" s="865"/>
      <c r="LB126" s="865"/>
      <c r="LC126" s="865"/>
      <c r="LD126" s="865"/>
      <c r="LE126" s="865"/>
      <c r="LF126" s="865"/>
    </row>
    <row r="127" spans="1:318" ht="21" thickBot="1">
      <c r="A127" s="864"/>
      <c r="B127" s="502"/>
      <c r="C127" s="502"/>
      <c r="D127" s="502"/>
      <c r="E127" s="502"/>
      <c r="F127" s="511"/>
      <c r="G127" s="864"/>
      <c r="H127" s="502"/>
      <c r="I127" s="502"/>
      <c r="J127" s="502"/>
      <c r="K127" s="502"/>
      <c r="L127" s="511"/>
      <c r="M127" s="864"/>
      <c r="N127" s="502"/>
      <c r="O127" s="502"/>
      <c r="P127" s="502"/>
      <c r="Q127" s="502"/>
      <c r="R127" s="511"/>
      <c r="S127" s="864"/>
      <c r="T127" s="502"/>
      <c r="U127" s="502"/>
      <c r="V127" s="502"/>
      <c r="W127" s="502"/>
      <c r="X127" s="511"/>
      <c r="Y127" s="864"/>
      <c r="Z127" s="502"/>
      <c r="AA127" s="502"/>
      <c r="AB127" s="502"/>
      <c r="AC127" s="502"/>
      <c r="AD127" s="511"/>
      <c r="AE127" s="864"/>
      <c r="AF127" s="502"/>
      <c r="AG127" s="502"/>
      <c r="AH127" s="502"/>
      <c r="AI127" s="502"/>
      <c r="AJ127" s="511"/>
      <c r="AK127" s="864"/>
      <c r="AL127" s="502"/>
      <c r="AM127" s="502"/>
      <c r="AN127" s="502"/>
      <c r="AO127" s="502"/>
      <c r="AP127" s="511"/>
      <c r="AQ127" s="864"/>
      <c r="AR127" s="502"/>
      <c r="AS127" s="502"/>
      <c r="AT127" s="502"/>
      <c r="AU127" s="502"/>
      <c r="AV127" s="511"/>
      <c r="AW127" s="864"/>
      <c r="AX127" s="502"/>
      <c r="AY127" s="502"/>
      <c r="AZ127" s="502"/>
      <c r="BA127" s="502"/>
      <c r="BB127" s="511"/>
      <c r="BC127" s="864"/>
      <c r="BD127" s="502"/>
      <c r="BE127" s="502"/>
      <c r="BF127" s="502"/>
      <c r="BG127" s="502"/>
      <c r="BH127" s="865"/>
      <c r="BI127" s="865"/>
      <c r="BJ127" s="2491" t="str">
        <f>IF(BF126="واقعي","نتايج عدم قطعيت بر اساس اطلاعات واقعي تركيب درصدهاي وارد شده:","")</f>
        <v/>
      </c>
      <c r="BK127" s="2492"/>
      <c r="BL127" s="2492"/>
      <c r="BM127" s="2492"/>
      <c r="BN127" s="2492"/>
      <c r="BO127" s="2492"/>
      <c r="BP127" s="2493"/>
      <c r="BQ127" s="865"/>
      <c r="BR127" s="2491" t="str">
        <f>IF(BN126="واقعي","نتايج عدم قطعيت بر اساس اطلاعات واقعي تركيب درصدهاي وارد شده:","")</f>
        <v/>
      </c>
      <c r="BS127" s="2492"/>
      <c r="BT127" s="2492"/>
      <c r="BU127" s="2492"/>
      <c r="BV127" s="2492"/>
      <c r="BW127" s="2492"/>
      <c r="BX127" s="2493"/>
      <c r="BY127" s="874"/>
      <c r="BZ127" s="888" t="str">
        <f>IF(A127="","",VLOOKUP(A127,'HHV-LHV-MW'!$A$3:$H$40,4,FALSE))</f>
        <v/>
      </c>
      <c r="CA127" s="889" t="str">
        <f>IF(A127="","",VLOOKUP(A127,'HHV-LHV-MW'!$A$3:$H$40,5,FALSE))</f>
        <v/>
      </c>
      <c r="CB127" s="890" t="str">
        <f>IF($BO$96="","",((PRODUCT('HHV-LHV-MW'!K62)+PRODUCT('HHV-LHV-MW'!W62)+PRODUCT('HHV-LHV-MW'!AI62)+PRODUCT('HHV-LHV-MW'!AU62))/$BO$96))</f>
        <v/>
      </c>
      <c r="CC127" s="890" t="str">
        <f>IF($BO$96="","",(IF($BO$96=1,"",  (SQRT(  (      (IF('HHV-LHV-MW'!K62="",0,('HHV-LHV-MW'!K62-CB127)^2))      +        (IF('HHV-LHV-MW'!W62="",0,('HHV-LHV-MW'!W62-CB127)^2))       +        (IF('HHV-LHV-MW'!AI62="",0,('HHV-LHV-MW'!AI62-CB127)^2))          +        (IF('HHV-LHV-MW'!AU62="",0,('HHV-LHV-MW'!AU62-CB127)^2))          )     *(1/($BO$96-1))  )))))</f>
        <v/>
      </c>
      <c r="CD127" s="890" t="str">
        <f t="shared" si="97"/>
        <v/>
      </c>
      <c r="CE127" s="890" t="str">
        <f t="shared" si="98"/>
        <v/>
      </c>
      <c r="CF127" s="636" t="str">
        <f>IF('HHV-LHV-MW'!K62="","",IF(AND('HHV-LHV-MW'!K62&gt;=0,'HHV-LHV-MW'!K62&lt;=0.09),2,  IF(AND('HHV-LHV-MW'!K62&gt;=0.1,'HHV-LHV-MW'!K62&lt;=0.9),7,  IF(AND('HHV-LHV-MW'!K62&gt;=1,'HHV-LHV-MW'!K62&lt;=4.9),10,   IF(AND('HHV-LHV-MW'!K62&gt;=5,'HHV-LHV-MW'!K62&lt;=10),12, 15)))))</f>
        <v/>
      </c>
      <c r="CG127" s="636" t="str">
        <f>IF('HHV-LHV-MW'!K62="","",5*'HHV-LHV-MW'!K62)</f>
        <v/>
      </c>
      <c r="CH127" s="635" t="str">
        <f t="shared" si="99"/>
        <v/>
      </c>
      <c r="CI127" s="636" t="str">
        <f>IF(OR(CH127="",'HHV-LHV-MW'!K62=0),"",CH127/'HHV-LHV-MW'!K62)</f>
        <v/>
      </c>
      <c r="CJ127" s="636" t="str">
        <f>IF(OR(CI127="",BZ127="",'HHV-LHV-MW'!K62=""),"",((CI127*BZ127*('HHV-LHV-MW'!K62/100))/23.685)^2)</f>
        <v/>
      </c>
      <c r="CK127" s="636" t="str">
        <f>IF(OR(CI127="",CA127="",'HHV-LHV-MW'!K62=""),"",((CI127*CA127*('HHV-LHV-MW'!K62/100))/23.685)^2)</f>
        <v/>
      </c>
      <c r="CL127" s="639" t="str">
        <f t="shared" si="100"/>
        <v/>
      </c>
      <c r="CM127" s="892" t="str">
        <f t="shared" si="101"/>
        <v/>
      </c>
      <c r="CN127" s="639" t="str">
        <f>IF(A127="","",VLOOKUP(A127,'HHV-LHV-MW'!$A$3:$H$40,7,FALSE))</f>
        <v/>
      </c>
      <c r="CO127" s="636" t="str">
        <f>IF($BO$96=1,     IF(OR(CN127="",'HHV-LHV-MW'!K62="",CI127=""),"",(CN127*('HHV-LHV-MW'!K62/100)*CI127)^2),IF(OR(CN127="",CB127="",CE127=""),"",(CN127*(CB127/100)*CE127)^2))</f>
        <v/>
      </c>
      <c r="CP127" s="635" t="str">
        <f>IF(A127="","",VLOOKUP(A127,'HHV-LHV-MW'!$A$3:$I$40,9,FALSE))</f>
        <v/>
      </c>
      <c r="CQ127" s="636" t="str">
        <f>IF($BO$96=1,     IF(OR(CP127="",'HHV-LHV-MW'!K62="",CI127=""),"",(CP127*('HHV-LHV-MW'!K62/100)*CI127)^2),IF(OR(CP127="",CB127="",CE127=""),"",(CP127*(CB127/100)*CE127)^2))</f>
        <v/>
      </c>
      <c r="CR127" s="636" t="str">
        <f>IF(A127="","",(VLOOKUP(A127,'HHV-LHV-MW'!$A$3:$F$40,6,FALSE))    )</f>
        <v/>
      </c>
      <c r="CS127" s="636" t="str">
        <f>IF($BO$96=1,     IF(OR(CR127="",'HHV-LHV-MW'!K62="",CI127=""),"",(CR127*('HHV-LHV-MW'!K62/100)*CI127)^2),IF(OR(CR127="",CB127="",CE127=""),"",(CR127*(CB127/100)*CE127)^2))</f>
        <v/>
      </c>
      <c r="CT127" s="640" t="str">
        <f>IF($BO$96=1,     IF(OR(CR127="",CP127="",$B$103="",$B$103=0,'HHV-LHV-MW'!K62="",CI127="",$CQ$145=""),"", ((CR127*((CP127*('HHV-LHV-MW'!K62/100))/$B$103))^2)*((CI127^2)+($CQ$145^2))),              IF(OR(CR127="",CP127="",CB127="",CE127="",$CQ$145="",$B$103="",$B$103=0),"",      ((CR127*((CP127*(CB127/100))/$B$103))^2)*((CE127^2)+($CQ$145^2))             ))</f>
        <v/>
      </c>
      <c r="CU127" s="889" t="str">
        <f>IF(G127="","",VLOOKUP(G127,'HHV-LHV-MW'!$A$3:$H$40,4,FALSE))</f>
        <v/>
      </c>
      <c r="CV127" s="889" t="str">
        <f>IF(G127="","",VLOOKUP(G127,'HHV-LHV-MW'!$A$3:$H$40,5,FALSE))</f>
        <v/>
      </c>
      <c r="CW127" s="890" t="str">
        <f>IF($BO$106="","",((PRODUCT('HHV-LHV-MW'!BH62)+PRODUCT('HHV-LHV-MW'!BT62)+PRODUCT('HHV-LHV-MW'!CF62)+PRODUCT('HHV-LHV-MW'!CR62))/$BO$106))</f>
        <v/>
      </c>
      <c r="CX127" s="890" t="str">
        <f>IF($BO$106="","",(IF($BO$106=1,"",  (SQRT(  (      (IF('HHV-LHV-MW'!BH62="",0,('HHV-LHV-MW'!BH62-CW127)^2))      +        (IF('HHV-LHV-MW'!BT62="",0,('HHV-LHV-MW'!BT62-CW127)^2))       +        (IF('HHV-LHV-MW'!CF62="",0,('HHV-LHV-MW'!CF62-CW127)^2))          +        (IF('HHV-LHV-MW'!CR62="",0,('HHV-LHV-MW'!CR62-CW127)^2))          )     *(1/($BO$106-1))  )))))</f>
        <v/>
      </c>
      <c r="CY127" s="890" t="str">
        <f t="shared" si="102"/>
        <v/>
      </c>
      <c r="CZ127" s="890" t="str">
        <f t="shared" si="103"/>
        <v/>
      </c>
      <c r="DA127" s="636" t="str">
        <f>IF('HHV-LHV-MW'!BH62="","",IF(AND('HHV-LHV-MW'!BH62&gt;=0,'HHV-LHV-MW'!BH62&lt;=0.09),2,  IF(AND('HHV-LHV-MW'!BH62&gt;=0.1,'HHV-LHV-MW'!BH62&lt;=0.9),7,  IF(AND('HHV-LHV-MW'!BH62&gt;=1,'HHV-LHV-MW'!BH62&lt;=4.9),10,   IF(AND('HHV-LHV-MW'!BH62&gt;=5,'HHV-LHV-MW'!BH62&lt;=10),12, 15)))))</f>
        <v/>
      </c>
      <c r="DB127" s="636" t="str">
        <f>IF('HHV-LHV-MW'!BH62="","",5*'HHV-LHV-MW'!BH62)</f>
        <v/>
      </c>
      <c r="DC127" s="635" t="str">
        <f t="shared" si="104"/>
        <v/>
      </c>
      <c r="DD127" s="636" t="str">
        <f>IF(OR(DC127="",'HHV-LHV-MW'!BH62=0),"",DC127/'HHV-LHV-MW'!BH62)</f>
        <v/>
      </c>
      <c r="DE127" s="635" t="str">
        <f>IF(OR(DD127="",CU127="",'HHV-LHV-MW'!BH62=""),"",((DD127*CU127*('HHV-LHV-MW'!BH62/100))/23.685)^2)</f>
        <v/>
      </c>
      <c r="DF127" s="636" t="str">
        <f>IF(OR(DD127="",CV127="",'HHV-LHV-MW'!BH62=""),"",((DD127*CV127*('HHV-LHV-MW'!BH62/100))/23.685)^2)</f>
        <v/>
      </c>
      <c r="DG127" s="639" t="str">
        <f t="shared" si="105"/>
        <v/>
      </c>
      <c r="DH127" s="891" t="str">
        <f t="shared" si="106"/>
        <v/>
      </c>
      <c r="DI127" s="635" t="str">
        <f>IF(G127="","",VLOOKUP(G127,'HHV-LHV-MW'!$A$3:$H$40,7,FALSE))</f>
        <v/>
      </c>
      <c r="DJ127" s="875" t="str">
        <f>IF($BO$106=1,     IF(OR(DI127="",'HHV-LHV-MW'!BH62="",DD127=""),"",(DI127*('HHV-LHV-MW'!BH62/100)*DD127)^2),IF(OR(DI127="",CW127="",CZ127=""),"",(DI127*(CW127/100)*CZ127)^2))</f>
        <v/>
      </c>
      <c r="DK127" s="635" t="str">
        <f>IF(G127="","",VLOOKUP(G127,'HHV-LHV-MW'!$A$3:$I$40,9,FALSE))</f>
        <v/>
      </c>
      <c r="DL127" s="875" t="str">
        <f>IF($BO$106=1,     IF(OR(DK127="",'HHV-LHV-MW'!BH62="",DD127=""),"",(DK127*('HHV-LHV-MW'!BH62/100)*DD127)^2),IF(OR(DK127="",CW127="",CZ127=""),"",(DK127*(CW127/100)*CZ127)^2))</f>
        <v/>
      </c>
      <c r="DM127" s="635" t="str">
        <f>IF(G127="","",(VLOOKUP(G127,'HHV-LHV-MW'!$A$3:$F$40,6,FALSE))    )</f>
        <v/>
      </c>
      <c r="DN127" s="875" t="str">
        <f>IF($BO$106=1,     IF(OR(DM127="",'HHV-LHV-MW'!BH62="",DD127=""),"",(DM127*('HHV-LHV-MW'!BH62/100)*DD127)^2),IF(OR(DM127="",CW127="",CZ127=""),"",(DM127*(CW127/100)*CZ127)^2))</f>
        <v/>
      </c>
      <c r="DO127" s="638" t="str">
        <f>IF($BO$106=1,     IF(OR(DM127="",DK127="",$H$103="",$H$103=0,'HHV-LHV-MW'!BH62="",DD127="",$DL$145=""),"", ((DM127*((DK127*('HHV-LHV-MW'!BH62/100))/$H$103))^2)*((DD127^2)+($DL$145^2))),              IF(OR(DM127="",DK127="",CW127="",CZ127="",$DL$145="",$H$103="",$H$103=0),"",      ((DM127*((DK127*(CW127/100))/$H$103))^2)*((CZ127^2)+($DL$145^2))             ))</f>
        <v/>
      </c>
      <c r="DP127" s="889" t="str">
        <f>IF(M127="","",VLOOKUP(M127,'HHV-LHV-MW'!$A$3:$H$40,4,FALSE))</f>
        <v/>
      </c>
      <c r="DQ127" s="889" t="str">
        <f>IF(M127="","",VLOOKUP(M127,'HHV-LHV-MW'!$A$3:$H$40,5,FALSE))</f>
        <v/>
      </c>
      <c r="DR127" s="890" t="str">
        <f>IF($BO$116="","",((PRODUCT('HHV-LHV-MW'!DE62)+PRODUCT('HHV-LHV-MW'!DQ62)+PRODUCT('HHV-LHV-MW'!EC62)+PRODUCT('HHV-LHV-MW'!EO62))/$BO$116))</f>
        <v/>
      </c>
      <c r="DS127" s="890" t="str">
        <f>IF($BO$116="","",(IF($BO$116=1,"",  (SQRT(  (      (IF('HHV-LHV-MW'!DE62="",0,('HHV-LHV-MW'!DE62-DR127)^2))      +        (IF('HHV-LHV-MW'!DQ62="",0,('HHV-LHV-MW'!DQ62-DR127)^2))       +        (IF('HHV-LHV-MW'!EC62="",0,('HHV-LHV-MW'!EC62-DR127)^2))          +        (IF('HHV-LHV-MW'!EO62="",0,('HHV-LHV-MW'!EO62-DR127)^2))          )     *(1/($BO$116-1))  )))))</f>
        <v/>
      </c>
      <c r="DT127" s="890" t="str">
        <f t="shared" si="107"/>
        <v/>
      </c>
      <c r="DU127" s="890" t="str">
        <f t="shared" si="108"/>
        <v/>
      </c>
      <c r="DV127" s="636" t="str">
        <f>IF('HHV-LHV-MW'!DE62="","",IF(AND('HHV-LHV-MW'!DE62&gt;=0,'HHV-LHV-MW'!DE62&lt;=0.09),2,  IF(AND('HHV-LHV-MW'!DE62&gt;=0.1,'HHV-LHV-MW'!DE62&lt;=0.9),7,  IF(AND('HHV-LHV-MW'!DE62&gt;=1,'HHV-LHV-MW'!DE62&lt;=4.9),10,   IF(AND('HHV-LHV-MW'!DE62&gt;=5,'HHV-LHV-MW'!DE62&lt;=10),12, 15)))))</f>
        <v/>
      </c>
      <c r="DW127" s="636" t="str">
        <f>IF('HHV-LHV-MW'!DE62="","",5*'HHV-LHV-MW'!DE62)</f>
        <v/>
      </c>
      <c r="DX127" s="635" t="str">
        <f t="shared" si="109"/>
        <v/>
      </c>
      <c r="DY127" s="636" t="str">
        <f>IF(OR(DX127="",'HHV-LHV-MW'!DE62=0),"",DX127/'HHV-LHV-MW'!DE62)</f>
        <v/>
      </c>
      <c r="DZ127" s="636" t="str">
        <f>IF(OR(DY127="",DP127="",'HHV-LHV-MW'!DE62=""),"",((DY127*DP127*('HHV-LHV-MW'!DE62/100))/23.685)^2)</f>
        <v/>
      </c>
      <c r="EA127" s="636" t="str">
        <f>IF(OR(DY127="",DQ127="",'HHV-LHV-MW'!DE62=""),"",((DY127*DQ127*('HHV-LHV-MW'!DE62/100))/23.685)^2)</f>
        <v/>
      </c>
      <c r="EB127" s="639" t="str">
        <f t="shared" si="110"/>
        <v/>
      </c>
      <c r="EC127" s="891" t="str">
        <f t="shared" si="111"/>
        <v/>
      </c>
      <c r="ED127" s="643" t="str">
        <f>IF(M127="","",VLOOKUP(M127,'HHV-LHV-MW'!$A$3:$H$40,7,FALSE))</f>
        <v/>
      </c>
      <c r="EE127" s="875" t="str">
        <f>IF($BO$116=1,     IF(OR(ED127="",'HHV-LHV-MW'!DE62="",DY127=""),"",(ED127*('HHV-LHV-MW'!DE62/100)*DY127)^2),IF(OR(ED127="",DR127="",DU127=""),"",(ED127*(DR127/100)*DU127)^2))</f>
        <v/>
      </c>
      <c r="EF127" s="635" t="str">
        <f>IF(M127="","",VLOOKUP(M127,'HHV-LHV-MW'!$A$3:$I$40,9,FALSE))</f>
        <v/>
      </c>
      <c r="EG127" s="875" t="str">
        <f>IF($BO$116=1,     IF(OR(EF127="",'HHV-LHV-MW'!DE62="",DY127=""),"",(EF127*('HHV-LHV-MW'!DE62/100)*DY127)^2),IF(OR(EF127="",DR127="",DU127=""),"",(EF127*(DR127/100)*DU127)^2))</f>
        <v/>
      </c>
      <c r="EH127" s="635" t="str">
        <f>IF(M127="","",(VLOOKUP(M127,'HHV-LHV-MW'!$A$3:$F$40,6,FALSE))    )</f>
        <v/>
      </c>
      <c r="EI127" s="875" t="str">
        <f>IF($BO$116=1,     IF(OR(EH127="",'HHV-LHV-MW'!DE62="",DY127=""),"",(EH127*('HHV-LHV-MW'!DE62/100)*DY127)^2),IF(OR(EH127="",DR127="",DU127=""),"",(EH127*(DR127/100)*DU127)^2))</f>
        <v/>
      </c>
      <c r="EJ127" s="638" t="str">
        <f>IF($BO$116=1,     IF(OR(EH127="",EF127="",$N$103="",$N$103=0,'HHV-LHV-MW'!DE62="",DY127="",$EG$145=""),"", ((EH127*((EF127*('HHV-LHV-MW'!DE62/100))/$N$103))^2)*((DY127^2)+($EG$145^2))),              IF(OR(EH127="",EF127="",DR127="",DU127="",$EG$145="",$N$103="",$N$103=0),"",      ((EH127*((EF127*(DR127/100))/$N$103))^2)*((DU127^2)+($EG$145^2))             ))</f>
        <v/>
      </c>
      <c r="EK127" s="889" t="str">
        <f>IF(S127="","",VLOOKUP(S127,'HHV-LHV-MW'!$A$3:$H$40,4,FALSE))</f>
        <v/>
      </c>
      <c r="EL127" s="889" t="str">
        <f>IF(S127="","",VLOOKUP(S127,'HHV-LHV-MW'!$A$3:$H$40,5,FALSE))</f>
        <v/>
      </c>
      <c r="EM127" s="890" t="str">
        <f>IF($BO$126="","",((PRODUCT('HHV-LHV-MW'!FB62)+PRODUCT('HHV-LHV-MW'!FN62)+PRODUCT('HHV-LHV-MW'!FZ62)+PRODUCT('HHV-LHV-MW'!GL62))/$BO$126))</f>
        <v/>
      </c>
      <c r="EN127" s="890" t="str">
        <f>IF($BO$126="","",(IF($BO$126=1,"",  (SQRT(  (      (IF('HHV-LHV-MW'!FB62="",0,('HHV-LHV-MW'!FB62-EM127)^2))      +        (IF('HHV-LHV-MW'!FN62="",0,('HHV-LHV-MW'!FN62-EM127)^2))       +        (IF('HHV-LHV-MW'!FZ62="",0,('HHV-LHV-MW'!FZ62-EM127)^2))          +        (IF('HHV-LHV-MW'!GL62="",0,('HHV-LHV-MW'!GL62-EM127)^2))          )     *(1/($BO$126-1))  )))))</f>
        <v/>
      </c>
      <c r="EO127" s="890" t="str">
        <f t="shared" si="112"/>
        <v/>
      </c>
      <c r="EP127" s="890" t="str">
        <f t="shared" si="113"/>
        <v/>
      </c>
      <c r="EQ127" s="636" t="str">
        <f>IF('HHV-LHV-MW'!FB62="","",IF(AND('HHV-LHV-MW'!FB62&gt;=0,'HHV-LHV-MW'!FB62&lt;=0.09),2,  IF(AND('HHV-LHV-MW'!FB62&gt;=0.1,'HHV-LHV-MW'!FB62&lt;=0.9),7,  IF(AND('HHV-LHV-MW'!FB62&gt;=1,'HHV-LHV-MW'!FB62&lt;=4.9),10,   IF(AND('HHV-LHV-MW'!FB62&gt;=5,'HHV-LHV-MW'!FB62&lt;=10),12, 15)))))</f>
        <v/>
      </c>
      <c r="ER127" s="636" t="str">
        <f>IF('HHV-LHV-MW'!FB62="","",5*'HHV-LHV-MW'!FB62)</f>
        <v/>
      </c>
      <c r="ES127" s="635" t="str">
        <f t="shared" si="114"/>
        <v/>
      </c>
      <c r="ET127" s="636" t="str">
        <f>IF(OR(ES127="",'HHV-LHV-MW'!FB62=0),"",ES127/'HHV-LHV-MW'!FB62)</f>
        <v/>
      </c>
      <c r="EU127" s="636" t="str">
        <f>IF(OR(ET127="",EK127="",'HHV-LHV-MW'!FB62=""),"",((ET127*EK127*('HHV-LHV-MW'!FB62/100))/23.685)^2)</f>
        <v/>
      </c>
      <c r="EV127" s="636" t="str">
        <f>IF(OR(ET127="",EL127="",'HHV-LHV-MW'!FB62=""),"",((ET127*EL127*('HHV-LHV-MW'!FB62/100))/23.685)^2)</f>
        <v/>
      </c>
      <c r="EW127" s="639" t="str">
        <f t="shared" si="115"/>
        <v/>
      </c>
      <c r="EX127" s="891" t="str">
        <f t="shared" si="116"/>
        <v/>
      </c>
      <c r="EY127" s="643" t="str">
        <f>IF(S127="","",VLOOKUP(S127,'HHV-LHV-MW'!$A$3:$H$40,7,FALSE))</f>
        <v/>
      </c>
      <c r="EZ127" s="875" t="str">
        <f>IF($BO$126=1,     IF(OR(EY127="",'HHV-LHV-MW'!FB62="",ET127=""),"",(EY127*('HHV-LHV-MW'!FB62/100)*ET127)^2),IF(OR(EY127="",EM127="",EP127=""),"",(EY127*(EM127/100)*EP127)^2))</f>
        <v/>
      </c>
      <c r="FA127" s="635" t="str">
        <f>IF(S127="","",VLOOKUP(S127,'HHV-LHV-MW'!$A$3:$I$40,9,FALSE))</f>
        <v/>
      </c>
      <c r="FB127" s="875" t="str">
        <f>IF($BO$126=1,     IF(OR(FA127="",'HHV-LHV-MW'!FB62="",ET127=""),"",(FA127*('HHV-LHV-MW'!FB62/100)*ET127)^2),IF(OR(FA127="",EM127="",EP127=""),"",(FA127*(EM127/100)*EP127)^2))</f>
        <v/>
      </c>
      <c r="FC127" s="635" t="str">
        <f>IF(S127="","",(VLOOKUP(S127,'HHV-LHV-MW'!$A$3:$F$40,6,FALSE))    )</f>
        <v/>
      </c>
      <c r="FD127" s="875" t="str">
        <f>IF($BO$126=1,     IF(OR(FC127="",'HHV-LHV-MW'!FB62="",ET127=""),"",(FC127*('HHV-LHV-MW'!FB62/100)*ET127)^2),IF(OR(FC127="",EM127="",EP127=""),"",(FC127*(EM127/100)*EP127)^2))</f>
        <v/>
      </c>
      <c r="FE127" s="638" t="str">
        <f>IF($BO$126=1,     IF(OR(FC127="",FA127="",$T$103="",$T$103=0,'HHV-LHV-MW'!FB62="",ET127="",$FB$145=""),"", ((FC127*((FA127*('HHV-LHV-MW'!FB62/100))/$T$103))^2)*((ET127^2)+($FB$145^2))),              IF(OR(FC127="",FA127="",EM127="",EP127="",$FB$145="",$T$103="",$T$103=0),"",      ((FC127*((FA127*(EM127/100))/$T$103))^2)*((EP127^2)+($FB$145^2))             ))</f>
        <v/>
      </c>
      <c r="FF127" s="889" t="str">
        <f>IF(Y127="","",VLOOKUP(Y127,'HHV-LHV-MW'!$A$3:$H$40,4,FALSE))</f>
        <v/>
      </c>
      <c r="FG127" s="889" t="str">
        <f>IF(Y127="","",VLOOKUP(Y127,'HHV-LHV-MW'!$A$3:$H$40,5,FALSE))</f>
        <v/>
      </c>
      <c r="FH127" s="890" t="str">
        <f>IF($BO$136="","",((PRODUCT('HHV-LHV-MW'!GY62)+PRODUCT('HHV-LHV-MW'!HK62)+PRODUCT('HHV-LHV-MW'!HW62)+PRODUCT('HHV-LHV-MW'!II62))/$BO$136))</f>
        <v/>
      </c>
      <c r="FI127" s="890" t="str">
        <f>IF($BO$136="","",(IF($BO$136=1,"",  (SQRT(  (      (IF('HHV-LHV-MW'!GY62="",0,('HHV-LHV-MW'!GY62-FH127)^2))      +        (IF('HHV-LHV-MW'!HK62="",0,('HHV-LHV-MW'!HK62-FH127)^2))       +        (IF('HHV-LHV-MW'!HW62="",0,('HHV-LHV-MW'!HW62-FH127)^2))          +        (IF('HHV-LHV-MW'!II62="",0,('HHV-LHV-MW'!II62-FH127)^2))          )     *(1/($BO$136-1))  )))))</f>
        <v/>
      </c>
      <c r="FJ127" s="890" t="str">
        <f t="shared" si="117"/>
        <v/>
      </c>
      <c r="FK127" s="890" t="str">
        <f t="shared" si="118"/>
        <v/>
      </c>
      <c r="FL127" s="636" t="str">
        <f>IF('HHV-LHV-MW'!GY62="","",IF(AND('HHV-LHV-MW'!GY62&gt;=0,'HHV-LHV-MW'!GY62&lt;=0.09),2,  IF(AND('HHV-LHV-MW'!GY62&gt;=0.1,'HHV-LHV-MW'!GY62&lt;=0.9),7,  IF(AND('HHV-LHV-MW'!GY62&gt;=1,'HHV-LHV-MW'!GY62&lt;=4.9),10,   IF(AND('HHV-LHV-MW'!GY62&gt;=5,'HHV-LHV-MW'!GY62&lt;=10),12, 15)))))</f>
        <v/>
      </c>
      <c r="FM127" s="636" t="str">
        <f>IF('HHV-LHV-MW'!GY62="","",5*'HHV-LHV-MW'!GY62)</f>
        <v/>
      </c>
      <c r="FN127" s="635" t="str">
        <f t="shared" si="119"/>
        <v/>
      </c>
      <c r="FO127" s="636" t="str">
        <f>IF(OR(FN127="",'HHV-LHV-MW'!GY62=0),"",FN127/'HHV-LHV-MW'!GY62)</f>
        <v/>
      </c>
      <c r="FP127" s="636" t="str">
        <f>IF(OR(FO127="",FF127="",'HHV-LHV-MW'!GY62=""),"",((FO127*FF127*('HHV-LHV-MW'!GY62/100))/23.685)^2)</f>
        <v/>
      </c>
      <c r="FQ127" s="636" t="str">
        <f>IF(OR(FO127="",FG127="",'HHV-LHV-MW'!GY62=""),"",((FO127*FG127*('HHV-LHV-MW'!GY62/100))/23.685)^2)</f>
        <v/>
      </c>
      <c r="FR127" s="639" t="str">
        <f t="shared" si="120"/>
        <v/>
      </c>
      <c r="FS127" s="891" t="str">
        <f t="shared" si="121"/>
        <v/>
      </c>
      <c r="FT127" s="643" t="str">
        <f>IF(Y127="","",VLOOKUP(Y127,'HHV-LHV-MW'!$A$3:$H$40,7,FALSE))</f>
        <v/>
      </c>
      <c r="FU127" s="875" t="str">
        <f>IF($BO$136=1,     IF(OR(FT127="",'HHV-LHV-MW'!GY62="",FO127=""),"",(FT127*('HHV-LHV-MW'!GY62/100)*FO127)^2),IF(OR(FT127="",FH127="",FK127=""),"",(FT127*(FH127/100)*FK127)^2))</f>
        <v/>
      </c>
      <c r="FV127" s="635" t="str">
        <f>IF(Y127="","",VLOOKUP(Y127,'HHV-LHV-MW'!$A$3:$I$40,9,FALSE))</f>
        <v/>
      </c>
      <c r="FW127" s="875" t="str">
        <f>IF($BO$136=1,     IF(OR(FV127="",'HHV-LHV-MW'!GY62="",FO127=""),"",(FV127*('HHV-LHV-MW'!GY62/100)*FO127)^2),IF(OR(FV127="",FH127="",FK127=""),"",(FV127*(FH127/100)*FK127)^2))</f>
        <v/>
      </c>
      <c r="FX127" s="635" t="str">
        <f>IF(Y127="","",(VLOOKUP(Y127,'HHV-LHV-MW'!$A$3:$F$40,6,FALSE))    )</f>
        <v/>
      </c>
      <c r="FY127" s="875" t="str">
        <f>IF($BO$136=1,     IF(OR(FX127="",'HHV-LHV-MW'!GY62="",FO127=""),"",(FX127*('HHV-LHV-MW'!GY62/100)*FO127)^2),IF(OR(FX127="",FH127="",FK127=""),"",(FX127*(FH127/100)*FK127)^2))</f>
        <v/>
      </c>
      <c r="FZ127" s="638" t="str">
        <f>IF($BO$136=1,     IF(OR(FX127="",FV127="",$Z$103="",$Z$103=0,'HHV-LHV-MW'!GY62="",FO127="",$FW$145=""),"", ((FX127*((FV127*('HHV-LHV-MW'!GY62/100))/$Z$103))^2)*((FO127^2)+($FW$145^2))),              IF(OR(FX127="",FV127="",FH127="",FK127="",$FW$145="",$Z$103="",$Z$103=0),"",      ((FX127*((FV127*(FH127/100))/$Z$103))^2)*((FK127^2)+($FW$145^2))             ))</f>
        <v/>
      </c>
      <c r="GA127" s="889" t="str">
        <f>IF(AE127="","",VLOOKUP(AE127,'HHV-LHV-MW'!$A$3:$H$40,4,FALSE))</f>
        <v/>
      </c>
      <c r="GB127" s="889" t="str">
        <f>IF(AE127="","",VLOOKUP(AE127,'HHV-LHV-MW'!$A$3:$H$40,5,FALSE))</f>
        <v/>
      </c>
      <c r="GC127" s="890" t="str">
        <f>IF($BW$96="","",((PRODUCT('HHV-LHV-MW'!IV62)+PRODUCT('HHV-LHV-MW'!JH62)+PRODUCT('HHV-LHV-MW'!JT62)+PRODUCT('HHV-LHV-MW'!KF62))/$BW$96))</f>
        <v/>
      </c>
      <c r="GD127" s="890" t="str">
        <f>IF($BW$96="","",(IF($BW$96=1,"",  (SQRT(  (      (IF('HHV-LHV-MW'!IV62="",0,('HHV-LHV-MW'!IV62-GC127)^2))      +        (IF('HHV-LHV-MW'!JH62="",0,('HHV-LHV-MW'!JH62-GC127)^2))       +        (IF('HHV-LHV-MW'!JT62="",0,('HHV-LHV-MW'!JT62-GC127)^2))          +        (IF('HHV-LHV-MW'!KF62="",0,('HHV-LHV-MW'!KF62-GC127)^2))          )     *(1/($BW$96-1))  )))))</f>
        <v/>
      </c>
      <c r="GE127" s="890" t="str">
        <f t="shared" si="122"/>
        <v/>
      </c>
      <c r="GF127" s="890" t="str">
        <f t="shared" si="123"/>
        <v/>
      </c>
      <c r="GG127" s="636" t="str">
        <f>IF('HHV-LHV-MW'!IV62="","",IF(AND('HHV-LHV-MW'!IV62&gt;=0,'HHV-LHV-MW'!IV62&lt;=0.09),2,  IF(AND('HHV-LHV-MW'!IV62&gt;=0.1,'HHV-LHV-MW'!IV62&lt;=0.9),7,  IF(AND('HHV-LHV-MW'!IV62&gt;=1,'HHV-LHV-MW'!IV62&lt;=4.9),10,   IF(AND('HHV-LHV-MW'!IV62&gt;=5,'HHV-LHV-MW'!IV62&lt;=10),12, 15)))))</f>
        <v/>
      </c>
      <c r="GH127" s="636" t="str">
        <f>IF('HHV-LHV-MW'!IV62="","",5*'HHV-LHV-MW'!IV62)</f>
        <v/>
      </c>
      <c r="GI127" s="635" t="str">
        <f t="shared" si="124"/>
        <v/>
      </c>
      <c r="GJ127" s="636" t="str">
        <f>IF(OR(GI127="",'HHV-LHV-MW'!IV62=0),"",GI127/'HHV-LHV-MW'!IV62)</f>
        <v/>
      </c>
      <c r="GK127" s="636" t="str">
        <f>IF(OR(GJ127="",GA127="",'HHV-LHV-MW'!IV62=""),"",((GJ127*GA127*('HHV-LHV-MW'!IV62/100))/23.685)^2)</f>
        <v/>
      </c>
      <c r="GL127" s="636" t="str">
        <f>IF(OR(GJ127="",GB127="",'HHV-LHV-MW'!IV62=""),"",((GJ127*GB127*('HHV-LHV-MW'!IV62/100))/23.685)^2)</f>
        <v/>
      </c>
      <c r="GM127" s="639" t="str">
        <f t="shared" si="125"/>
        <v/>
      </c>
      <c r="GN127" s="891" t="str">
        <f t="shared" si="126"/>
        <v/>
      </c>
      <c r="GO127" s="643" t="str">
        <f>IF(AE127="","",VLOOKUP(AE127,'HHV-LHV-MW'!$A$3:$H$40,7,FALSE))</f>
        <v/>
      </c>
      <c r="GP127" s="875" t="str">
        <f>IF($BW$96=1,     IF(OR(GO127="",'HHV-LHV-MW'!IV62="",GJ127=""),"",(GO127*('HHV-LHV-MW'!IV62/100)*GJ127)^2),IF(OR(GO127="",GC127="",GF127=""),"",(GO127*(GC127/100)*GF127)^2))</f>
        <v/>
      </c>
      <c r="GQ127" s="635" t="str">
        <f>IF(AE127="","",VLOOKUP(AE127,'HHV-LHV-MW'!$A$3:$I$40,9,FALSE))</f>
        <v/>
      </c>
      <c r="GR127" s="875" t="str">
        <f>IF($BW$96=1,     IF(OR(GQ127="",'HHV-LHV-MW'!IV62="",GJ127=""),"",(GQ127*('HHV-LHV-MW'!IV62/100)*GJ127)^2),IF(OR(GQ127="",GC127="",GF127=""),"",(GQ127*(GC127/100)*GF127)^2))</f>
        <v/>
      </c>
      <c r="GS127" s="635" t="str">
        <f>IF(AE127="","",(VLOOKUP(AE127,'HHV-LHV-MW'!$A$3:$F$40,6,FALSE))    )</f>
        <v/>
      </c>
      <c r="GT127" s="875" t="str">
        <f>IF($BW$96=1,     IF(OR(GS127="",'HHV-LHV-MW'!IV62="",GJ127=""),"",(GS127*('HHV-LHV-MW'!IV62/100)*GJ127)^2),IF(OR(GS127="",GC127="",GF127=""),"",(GS127*(GC127/100)*GF127)^2))</f>
        <v/>
      </c>
      <c r="GU127" s="638" t="str">
        <f>IF($BW$96=1,     IF(OR(GS127="",GQ127="",$AF$103="",$AF$103=0,'HHV-LHV-MW'!IV62="",GJ127="",$GR$145=""),"", ((GS127*((GQ127*('HHV-LHV-MW'!IV62/100))/$AF$103))^2)*((GJ127^2)+($GR$145^2))),              IF(OR(GS127="",GQ127="",GC127="",GF127="",$GR$145="",$AF$103="",$AF$103=0),"",      ((GS127*((GQ127*(GC127/100))/$AF$103))^2)*((GF127^2)+($GR$145^2))             ))</f>
        <v/>
      </c>
      <c r="GV127" s="889" t="str">
        <f>IF(AK127="","",VLOOKUP(AK127,'HHV-LHV-MW'!$A$3:$H$40,4,FALSE))</f>
        <v/>
      </c>
      <c r="GW127" s="889" t="str">
        <f>IF(AK127="","",VLOOKUP(AK127,'HHV-LHV-MW'!$A$3:$H$40,5,FALSE))</f>
        <v/>
      </c>
      <c r="GX127" s="890" t="str">
        <f>IF($BW$106="","",((PRODUCT('HHV-LHV-MW'!KS62)+PRODUCT('HHV-LHV-MW'!LE62)+PRODUCT('HHV-LHV-MW'!LQ62)+PRODUCT('HHV-LHV-MW'!MC62))/$BW$106))</f>
        <v/>
      </c>
      <c r="GY127" s="890" t="str">
        <f>IF($BW$106="","",(IF($BW$106=1,"",  (SQRT(  (      (IF('HHV-LHV-MW'!KS62="",0,('HHV-LHV-MW'!KS62-GX127)^2))      +        (IF('HHV-LHV-MW'!LE62="",0,('HHV-LHV-MW'!LE62-GX127)^2))       +        (IF('HHV-LHV-MW'!LQ62="",0,('HHV-LHV-MW'!LQ62-GX127)^2))          +        (IF('HHV-LHV-MW'!MC62="",0,('HHV-LHV-MW'!MC62-GX127)^2))          )     *(1/($BW$106-1))  )))))</f>
        <v/>
      </c>
      <c r="GZ127" s="890" t="str">
        <f t="shared" si="127"/>
        <v/>
      </c>
      <c r="HA127" s="890" t="str">
        <f t="shared" si="128"/>
        <v/>
      </c>
      <c r="HB127" s="636" t="str">
        <f>IF('HHV-LHV-MW'!KS62="","",IF(AND('HHV-LHV-MW'!KS62&gt;=0,'HHV-LHV-MW'!KS62&lt;=0.09),2,  IF(AND('HHV-LHV-MW'!KS62&gt;=0.1,'HHV-LHV-MW'!KS62&lt;=0.9),7,  IF(AND('HHV-LHV-MW'!KS62&gt;=1,'HHV-LHV-MW'!KS62&lt;=4.9),10,   IF(AND('HHV-LHV-MW'!KS62&gt;=5,'HHV-LHV-MW'!KS62&lt;=10),12, 15)))))</f>
        <v/>
      </c>
      <c r="HC127" s="636" t="str">
        <f>IF('HHV-LHV-MW'!KS62="","",5*'HHV-LHV-MW'!KS62)</f>
        <v/>
      </c>
      <c r="HD127" s="635" t="str">
        <f t="shared" si="129"/>
        <v/>
      </c>
      <c r="HE127" s="636" t="str">
        <f>IF(OR(HD127="",'HHV-LHV-MW'!KS62=0),"",HD127/'HHV-LHV-MW'!KS62)</f>
        <v/>
      </c>
      <c r="HF127" s="636" t="str">
        <f>IF(OR(HE127="",GV127="",'HHV-LHV-MW'!KS62=""),"",((HE127*GV127*('HHV-LHV-MW'!KS62/100))/23.685)^2)</f>
        <v/>
      </c>
      <c r="HG127" s="636" t="str">
        <f>IF(OR(HE127="",GW127="",'HHV-LHV-MW'!KS62=""),"",((HE127*GW127*('HHV-LHV-MW'!KS62/100))/23.685)^2)</f>
        <v/>
      </c>
      <c r="HH127" s="639" t="str">
        <f t="shared" si="130"/>
        <v/>
      </c>
      <c r="HI127" s="891" t="str">
        <f t="shared" si="131"/>
        <v/>
      </c>
      <c r="HJ127" s="643" t="str">
        <f>IF(AK127="","",VLOOKUP(AK127,'HHV-LHV-MW'!$A$3:$H$40,7,FALSE))</f>
        <v/>
      </c>
      <c r="HK127" s="875" t="str">
        <f>IF($BW$106=1,     IF(OR(HJ127="",'HHV-LHV-MW'!KS62="",HE127=""),"",(HJ127*('HHV-LHV-MW'!KS62/100)*HE127)^2),IF(OR(HJ127="",GX127="",HA127=""),"",(HJ127*(GX127/100)*HA127)^2))</f>
        <v/>
      </c>
      <c r="HL127" s="635" t="str">
        <f>IF(AK127="","",VLOOKUP(AK127,'HHV-LHV-MW'!$A$3:$I$40,9,FALSE))</f>
        <v/>
      </c>
      <c r="HM127" s="875" t="str">
        <f>IF($BW$106=1,     IF(OR(HL127="",'HHV-LHV-MW'!KS62="",HE127=""),"",(HL127*('HHV-LHV-MW'!KS62/100)*HE127)^2),IF(OR(HL127="",GX127="",HA127=""),"",(HL127*(GX127/100)*HA127)^2))</f>
        <v/>
      </c>
      <c r="HN127" s="635" t="str">
        <f>IF(AK127="","",(VLOOKUP(AK127,'HHV-LHV-MW'!$A$3:$F$40,6,FALSE))    )</f>
        <v/>
      </c>
      <c r="HO127" s="875" t="str">
        <f>IF($BW$106=1,     IF(OR(HN127="",'HHV-LHV-MW'!KS62="",HE127=""),"",(HN127*('HHV-LHV-MW'!KS62/100)*HE127)^2),IF(OR(HN127="",GX127="",HA127=""),"",(HN127*(GX127/100)*HA127)^2))</f>
        <v/>
      </c>
      <c r="HP127" s="638" t="str">
        <f>IF($BW$106=1,     IF(OR(HN127="",HL127="",$AL$103="",$AL$103=0,'HHV-LHV-MW'!KS62="",HE127="",$HM$145=""),"", ((HN127*((HL127*('HHV-LHV-MW'!KS62/100))/$AL$103))^2)*((HE127^2)+($HM$145^2))),              IF(OR(HN127="",HL127="",GX127="",HA127="",$HM$145="",$AL$103="",$AL$103=0),"",      ((HN127*((HL127*(GX127/100))/$AL$103))^2)*((HA127^2)+($HM$145^2))             ))</f>
        <v/>
      </c>
      <c r="HQ127" s="889" t="str">
        <f>IF(AQ127="","",VLOOKUP(AQ127,'HHV-LHV-MW'!$A$3:$H$40,4,FALSE))</f>
        <v/>
      </c>
      <c r="HR127" s="889" t="str">
        <f>IF(AQ127="","",VLOOKUP(AQ127,'HHV-LHV-MW'!$A$3:$H$40,5,FALSE))</f>
        <v/>
      </c>
      <c r="HS127" s="890" t="str">
        <f>IF($BW$116="","",((PRODUCT('HHV-LHV-MW'!MP62)+PRODUCT('HHV-LHV-MW'!NB62)+PRODUCT('HHV-LHV-MW'!NN62)+PRODUCT('HHV-LHV-MW'!NZ62))/$BW$116))</f>
        <v/>
      </c>
      <c r="HT127" s="890" t="str">
        <f>IF($BW$116="","",(IF($BW$116=1,"",  (SQRT(  (      (IF('HHV-LHV-MW'!MP62="",0,('HHV-LHV-MW'!MP62-HS127)^2))      +        (IF('HHV-LHV-MW'!NB62="",0,('HHV-LHV-MW'!NB62-HS127)^2))       +        (IF('HHV-LHV-MW'!NN62="",0,('HHV-LHV-MW'!NN62-HS127)^2))          +        (IF('HHV-LHV-MW'!NZ62="",0,('HHV-LHV-MW'!NZ62-HS127)^2))          )     *(1/($BW$116-1))  )))))</f>
        <v/>
      </c>
      <c r="HU127" s="890" t="str">
        <f t="shared" si="132"/>
        <v/>
      </c>
      <c r="HV127" s="890" t="str">
        <f t="shared" si="133"/>
        <v/>
      </c>
      <c r="HW127" s="636" t="str">
        <f>IF('HHV-LHV-MW'!MP62="","",IF(AND('HHV-LHV-MW'!MP62&gt;=0,'HHV-LHV-MW'!MP62&lt;=0.09),2,  IF(AND('HHV-LHV-MW'!MP62&gt;=0.1,'HHV-LHV-MW'!MP62&lt;=0.9),7,  IF(AND('HHV-LHV-MW'!MP62&gt;=1,'HHV-LHV-MW'!MP62&lt;=4.9),10,   IF(AND('HHV-LHV-MW'!MP62&gt;=5,'HHV-LHV-MW'!MP62&lt;=10),12, 15)))))</f>
        <v/>
      </c>
      <c r="HX127" s="636" t="str">
        <f>IF('HHV-LHV-MW'!MP62="","",5*'HHV-LHV-MW'!MP62)</f>
        <v/>
      </c>
      <c r="HY127" s="635" t="str">
        <f t="shared" si="134"/>
        <v/>
      </c>
      <c r="HZ127" s="636" t="str">
        <f>IF(OR(HY127="",'HHV-LHV-MW'!MP62=0),"",HY127/'HHV-LHV-MW'!MP62)</f>
        <v/>
      </c>
      <c r="IA127" s="636" t="str">
        <f>IF(OR(HZ127="",HQ127="",'HHV-LHV-MW'!MP62=""),"",((HZ127*HQ127*('HHV-LHV-MW'!MP62/100))/23.685)^2)</f>
        <v/>
      </c>
      <c r="IB127" s="636" t="str">
        <f>IF(OR(HZ127="",HR127="",'HHV-LHV-MW'!MP62=""),"",((HZ127*HR127*('HHV-LHV-MW'!MP62/100))/23.685)^2)</f>
        <v/>
      </c>
      <c r="IC127" s="639" t="str">
        <f t="shared" si="135"/>
        <v/>
      </c>
      <c r="ID127" s="891" t="str">
        <f t="shared" si="136"/>
        <v/>
      </c>
      <c r="IE127" s="643" t="str">
        <f>IF(AQ127="","",VLOOKUP(AQ127,'HHV-LHV-MW'!$A$3:$H$40,7,FALSE))</f>
        <v/>
      </c>
      <c r="IF127" s="875" t="str">
        <f>IF($BW$116=1,     IF(OR(IE127="",'HHV-LHV-MW'!MP62="",HZ127=""),"",(IE127*('HHV-LHV-MW'!MP62/100)*HZ127)^2),IF(OR(IE127="",HS127="",HV127=""),"",(IE127*(HS127/100)*HV127)^2))</f>
        <v/>
      </c>
      <c r="IG127" s="635" t="str">
        <f>IF(AQ127="","",VLOOKUP(AQ127,'HHV-LHV-MW'!$A$3:$I$40,9,FALSE))</f>
        <v/>
      </c>
      <c r="IH127" s="875" t="str">
        <f>IF($BW$116=1,     IF(OR(IG127="",'HHV-LHV-MW'!MP62="",HZ127=""),"",(IG127*('HHV-LHV-MW'!MP62/100)*HZ127)^2),IF(OR(IG127="",HS127="",HV127=""),"",(IG127*(HS127/100)*HV127)^2))</f>
        <v/>
      </c>
      <c r="II127" s="635" t="str">
        <f>IF(AQ127="","",(VLOOKUP(AQ127,'HHV-LHV-MW'!$A$3:$F$40,6,FALSE))    )</f>
        <v/>
      </c>
      <c r="IJ127" s="875" t="str">
        <f>IF($BW$116=1,     IF(OR(II127="",'HHV-LHV-MW'!MP62="",HZ127=""),"",(II127*('HHV-LHV-MW'!MP62/100)*HZ127)^2),IF(OR(II127="",HS127="",HV127=""),"",(II127*(HS127/100)*HV127)^2))</f>
        <v/>
      </c>
      <c r="IK127" s="638" t="str">
        <f>IF($BW$116=1,     IF(OR(II127="",IG127="",$AR$103="",$AR$103=0,'HHV-LHV-MW'!MP62="",HZ127="",$IH$145=""),"", ((II127*((IG127*('HHV-LHV-MW'!MP62/100))/$AR$103))^2)*((HZ127^2)+($IH$145^2))),              IF(OR(II127="",IG127="",HS127="",HV127="",$IH$145="",$AR$103="",$AR$103=0),"",      ((II127*((IG127*(HS127/100))/$AR$103))^2)*((HV127^2)+($IH$145^2))             ))</f>
        <v/>
      </c>
      <c r="IL127" s="889" t="str">
        <f>IF(AW127="","",VLOOKUP(AW127,'HHV-LHV-MW'!$A$3:$H$40,4,FALSE))</f>
        <v/>
      </c>
      <c r="IM127" s="889" t="str">
        <f>IF(AW127="","",VLOOKUP(AW127,'HHV-LHV-MW'!$A$3:$H$40,5,FALSE))</f>
        <v/>
      </c>
      <c r="IN127" s="890" t="str">
        <f>IF($BW$126="","",((PRODUCT('HHV-LHV-MW'!ON62)+PRODUCT('HHV-LHV-MW'!OZ62)+PRODUCT('HHV-LHV-MW'!PL62)+PRODUCT('HHV-LHV-MW'!PX62))/$BW$126))</f>
        <v/>
      </c>
      <c r="IO127" s="890" t="str">
        <f>IF($BW$126="","",(IF($BW$126=1,"",  (SQRT(  (      (IF('HHV-LHV-MW'!ON62="",0,('HHV-LHV-MW'!ON62-IN127)^2))      +        (IF('HHV-LHV-MW'!OZ62="",0,('HHV-LHV-MW'!OZ62-IN127)^2))       +        (IF('HHV-LHV-MW'!PL62="",0,('HHV-LHV-MW'!PL62-IN127)^2))          +        (IF('HHV-LHV-MW'!PX62="",0,('HHV-LHV-MW'!PX62-IN127)^2))          )     *(1/($BW$126-1))  )))))</f>
        <v/>
      </c>
      <c r="IP127" s="890" t="str">
        <f t="shared" si="137"/>
        <v/>
      </c>
      <c r="IQ127" s="890" t="str">
        <f t="shared" si="138"/>
        <v/>
      </c>
      <c r="IR127" s="636" t="str">
        <f>IF('HHV-LHV-MW'!ON62="","",IF(AND('HHV-LHV-MW'!ON62&gt;=0,'HHV-LHV-MW'!ON62&lt;=0.09),2,  IF(AND('HHV-LHV-MW'!ON62&gt;=0.1,'HHV-LHV-MW'!ON62&lt;=0.9),7,  IF(AND('HHV-LHV-MW'!ON62&gt;=1,'HHV-LHV-MW'!ON62&lt;=4.9),10,   IF(AND('HHV-LHV-MW'!ON62&gt;=5,'HHV-LHV-MW'!ON62&lt;=10),12, 15)))))</f>
        <v/>
      </c>
      <c r="IS127" s="636" t="str">
        <f>IF('HHV-LHV-MW'!ON62="","",5*'HHV-LHV-MW'!ON62)</f>
        <v/>
      </c>
      <c r="IT127" s="635" t="str">
        <f t="shared" si="139"/>
        <v/>
      </c>
      <c r="IU127" s="636" t="str">
        <f>IF(OR(IT127="",'HHV-LHV-MW'!ON62=0),"",IT127/'HHV-LHV-MW'!ON62)</f>
        <v/>
      </c>
      <c r="IV127" s="636" t="str">
        <f>IF(OR(IU127="",IL127="",'HHV-LHV-MW'!ON62=""),"",((IU127*IL127*('HHV-LHV-MW'!ON62/100))/23.685)^2)</f>
        <v/>
      </c>
      <c r="IW127" s="636" t="str">
        <f>IF(OR(IU127="",IM127="",'HHV-LHV-MW'!ON62=""),"",((IU127*IM127*('HHV-LHV-MW'!ON62/100))/23.685)^2)</f>
        <v/>
      </c>
      <c r="IX127" s="639" t="str">
        <f t="shared" si="140"/>
        <v/>
      </c>
      <c r="IY127" s="891" t="str">
        <f t="shared" si="141"/>
        <v/>
      </c>
      <c r="IZ127" s="643" t="str">
        <f>IF(AW127="","",VLOOKUP(AW127,'HHV-LHV-MW'!$A$3:$H$40,7,FALSE))</f>
        <v/>
      </c>
      <c r="JA127" s="875" t="str">
        <f>IF($BW$126=1,     IF(OR(IZ127="",'HHV-LHV-MW'!ON62="",IU127=""),"",(IZ127*('HHV-LHV-MW'!ON62/100)*IU127)^2),IF(OR(IZ127="",IN127="",IQ127=""),"",(IZ127*(IN127/100)*IQ127)^2))</f>
        <v/>
      </c>
      <c r="JB127" s="635" t="str">
        <f>IF(AW127="","",VLOOKUP(AW127,'HHV-LHV-MW'!$A$3:$I$40,9,FALSE))</f>
        <v/>
      </c>
      <c r="JC127" s="875" t="str">
        <f>IF($BW$126=1,     IF(OR(JB127="",'HHV-LHV-MW'!ON62="",IU127=""),"",(JB127*('HHV-LHV-MW'!ON62/100)*IU127)^2),IF(OR(JB127="",IN127="",IQ127=""),"",(JB127*(IN127/100)*IQ127)^2))</f>
        <v/>
      </c>
      <c r="JD127" s="635" t="str">
        <f>IF(AW127="","",(VLOOKUP(AW127,'HHV-LHV-MW'!$A$3:$F$40,6,FALSE))    )</f>
        <v/>
      </c>
      <c r="JE127" s="875" t="str">
        <f>IF($BW$126=1,     IF(OR(JD127="",'HHV-LHV-MW'!ON62="",IU127=""),"",(JD127*('HHV-LHV-MW'!ON62/100)*IU127)^2),IF(OR(JD127="",IN127="",IQ127=""),"",(JD127*(IN127/100)*IQ127)^2))</f>
        <v/>
      </c>
      <c r="JF127" s="638" t="str">
        <f>IF($BW$126=1,     IF(OR(JD127="",JB127="",$AX$103="",$AX$103=0,'HHV-LHV-MW'!ON62="",IU127="",$JC$145=""),"", ((JD127*((JB127*('HHV-LHV-MW'!ON62/100))/$AX$103))^2)*((IU127^2)+($JC$145^2))),              IF(OR(JD127="",JB127="",IN127="",IQ127="",$JC$145="",$AX$103="",$AX$103=0),"",      ((JD127*((JB127*(IN127/100))/$AX$103))^2)*((IQ127^2)+($JC$145^2))             ))</f>
        <v/>
      </c>
      <c r="JG127" s="889" t="str">
        <f>IF(BC127="","",VLOOKUP(BC127,'HHV-LHV-MW'!$A$3:$H$40,4,FALSE))</f>
        <v/>
      </c>
      <c r="JH127" s="889" t="str">
        <f>IF(BC127="","",VLOOKUP(BC127,'HHV-LHV-MW'!$A$3:$H$40,5,FALSE))</f>
        <v/>
      </c>
      <c r="JI127" s="890" t="str">
        <f>IF($BW$136="","",((PRODUCT('HHV-LHV-MW'!QK62)+PRODUCT('HHV-LHV-MW'!QW62)+PRODUCT('HHV-LHV-MW'!RI62)+PRODUCT('HHV-LHV-MW'!RU62))/$BW$136))</f>
        <v/>
      </c>
      <c r="JJ127" s="890" t="str">
        <f>IF($BW$136="","",(IF($BW$136=1,"",  (SQRT(  (      (IF('HHV-LHV-MW'!QK62="",0,('HHV-LHV-MW'!QK62-JI127)^2))      +        (IF('HHV-LHV-MW'!QW62="",0,('HHV-LHV-MW'!QW62-JI127)^2))       +        (IF('HHV-LHV-MW'!RI62="",0,('HHV-LHV-MW'!RI62-JI127)^2))          +        (IF('HHV-LHV-MW'!RU62="",0,('HHV-LHV-MW'!RU62-JI127)^2))          )     *(1/($BW$136-1))  )))))</f>
        <v/>
      </c>
      <c r="JK127" s="890" t="str">
        <f t="shared" si="142"/>
        <v/>
      </c>
      <c r="JL127" s="890" t="str">
        <f t="shared" si="143"/>
        <v/>
      </c>
      <c r="JM127" s="636" t="str">
        <f>IF('HHV-LHV-MW'!QK62="","",IF(AND('HHV-LHV-MW'!QK62&gt;=0,'HHV-LHV-MW'!QK62&lt;=0.09),2,  IF(AND('HHV-LHV-MW'!QK62&gt;=0.1,'HHV-LHV-MW'!QK62&lt;=0.9),7,  IF(AND('HHV-LHV-MW'!QK62&gt;=1,'HHV-LHV-MW'!QK62&lt;=4.9),10,   IF(AND('HHV-LHV-MW'!QK62&gt;=5,'HHV-LHV-MW'!QK62&lt;=10),12, 15)))))</f>
        <v/>
      </c>
      <c r="JN127" s="636" t="str">
        <f>IF('HHV-LHV-MW'!QK62="","",5*'HHV-LHV-MW'!QK62)</f>
        <v/>
      </c>
      <c r="JO127" s="635" t="str">
        <f t="shared" si="144"/>
        <v/>
      </c>
      <c r="JP127" s="636" t="str">
        <f>IF(OR(JO127="",'HHV-LHV-MW'!QK62=0),"",JO127/'HHV-LHV-MW'!QK62)</f>
        <v/>
      </c>
      <c r="JQ127" s="636" t="str">
        <f>IF(OR(JP127="",JG127="",'HHV-LHV-MW'!QK62=""),"",((JP127*JG127*('HHV-LHV-MW'!QK62/100))/23.685)^2)</f>
        <v/>
      </c>
      <c r="JR127" s="636" t="str">
        <f>IF(OR(JP127="",JH127="",'HHV-LHV-MW'!QK62=""),"",((JP127*JH127*('HHV-LHV-MW'!QK62/100))/23.685)^2)</f>
        <v/>
      </c>
      <c r="JS127" s="639" t="str">
        <f t="shared" si="145"/>
        <v/>
      </c>
      <c r="JT127" s="891" t="str">
        <f t="shared" si="146"/>
        <v/>
      </c>
      <c r="JU127" s="643" t="str">
        <f>IF(BC127="","",VLOOKUP(BC127,'HHV-LHV-MW'!$A$3:$H$40,7,FALSE))</f>
        <v/>
      </c>
      <c r="JV127" s="875" t="str">
        <f>IF($BW$136=1,     IF(OR(JU127="",'HHV-LHV-MW'!QK62="",JP127=""),"",(JU127*('HHV-LHV-MW'!QK62/100)*JP127)^2),IF(OR(JU127="",JI127="",JL127=""),"",(JU127*(JI127/100)*JL127)^2))</f>
        <v/>
      </c>
      <c r="JW127" s="635" t="str">
        <f>IF(BC127="","",VLOOKUP(BC127,'HHV-LHV-MW'!$A$3:$I$40,9,FALSE))</f>
        <v/>
      </c>
      <c r="JX127" s="875" t="str">
        <f>IF($BW$136=1,     IF(OR(JW127="",'HHV-LHV-MW'!QK62="",JP127=""),"",(JW127*('HHV-LHV-MW'!QK62/100)*JP127)^2),IF(OR(JW127="",JI127="",JL127=""),"",(JW127*(JI127/100)*JL127)^2))</f>
        <v/>
      </c>
      <c r="JY127" s="635" t="str">
        <f>IF(BC127="","",(VLOOKUP(BC127,'HHV-LHV-MW'!$A$3:$F$40,6,FALSE))    )</f>
        <v/>
      </c>
      <c r="JZ127" s="875" t="str">
        <f>IF($BW$136=1,     IF(OR(JY127="",'HHV-LHV-MW'!QK62="",JP127=""),"",(JY127*('HHV-LHV-MW'!QK62/100)*JP127)^2),IF(OR(JY127="",JI127="",JL127=""),"",(JY127*(JI127/100)*JL127)^2))</f>
        <v/>
      </c>
      <c r="KA127" s="638" t="str">
        <f>IF($BW$136=1,     IF(OR(JY127="",JW127="",$BD$103="",$BD$103=0,'HHV-LHV-MW'!QK62="",JP127="",$JX$145=""),"", ((JY127*((JW127*('HHV-LHV-MW'!QK62/100))/$BD$103))^2)*((JP127^2)+($JX$145^2))),              IF(OR(JY127="",JW127="",JI127="",JL127="",$JX$145="",$BD$103="",$BD$103=0),"",      ((JY127*((JW127*(JI127/100))/$BD$103))^2)*((JL127^2)+($JX$145^2))             ))</f>
        <v/>
      </c>
      <c r="KB127" s="874"/>
      <c r="KC127" s="874"/>
      <c r="KD127" s="874"/>
      <c r="KE127" s="874"/>
      <c r="KF127" s="874"/>
      <c r="KG127" s="874"/>
      <c r="KH127" s="865"/>
      <c r="KI127" s="865"/>
      <c r="KJ127" s="865"/>
      <c r="KK127" s="865"/>
      <c r="KL127" s="865"/>
      <c r="KM127" s="865"/>
      <c r="KN127" s="865"/>
      <c r="KO127" s="865"/>
      <c r="KP127" s="865"/>
      <c r="KQ127" s="865"/>
      <c r="KR127" s="865"/>
      <c r="KS127" s="865"/>
      <c r="KT127" s="865"/>
      <c r="KU127" s="865"/>
      <c r="KV127" s="865"/>
      <c r="KW127" s="865"/>
      <c r="KX127" s="865"/>
      <c r="KY127" s="865"/>
      <c r="KZ127" s="865"/>
      <c r="LA127" s="865"/>
      <c r="LB127" s="865"/>
      <c r="LC127" s="865"/>
      <c r="LD127" s="865"/>
      <c r="LE127" s="865"/>
      <c r="LF127" s="865"/>
    </row>
    <row r="128" spans="1:318" ht="19.2" thickBot="1">
      <c r="A128" s="864"/>
      <c r="B128" s="502"/>
      <c r="C128" s="502"/>
      <c r="D128" s="502"/>
      <c r="E128" s="502"/>
      <c r="F128" s="511"/>
      <c r="G128" s="864"/>
      <c r="H128" s="502"/>
      <c r="I128" s="502"/>
      <c r="J128" s="502"/>
      <c r="K128" s="502"/>
      <c r="L128" s="511"/>
      <c r="M128" s="864"/>
      <c r="N128" s="502"/>
      <c r="O128" s="502"/>
      <c r="P128" s="502"/>
      <c r="Q128" s="502"/>
      <c r="R128" s="511"/>
      <c r="S128" s="864"/>
      <c r="T128" s="502"/>
      <c r="U128" s="502"/>
      <c r="V128" s="502"/>
      <c r="W128" s="502"/>
      <c r="X128" s="511"/>
      <c r="Y128" s="864"/>
      <c r="Z128" s="502"/>
      <c r="AA128" s="502"/>
      <c r="AB128" s="502"/>
      <c r="AC128" s="502"/>
      <c r="AD128" s="511"/>
      <c r="AE128" s="864"/>
      <c r="AF128" s="502"/>
      <c r="AG128" s="502"/>
      <c r="AH128" s="502"/>
      <c r="AI128" s="502"/>
      <c r="AJ128" s="511"/>
      <c r="AK128" s="864"/>
      <c r="AL128" s="502"/>
      <c r="AM128" s="502"/>
      <c r="AN128" s="502"/>
      <c r="AO128" s="502"/>
      <c r="AP128" s="511"/>
      <c r="AQ128" s="864"/>
      <c r="AR128" s="502"/>
      <c r="AS128" s="502"/>
      <c r="AT128" s="502"/>
      <c r="AU128" s="502"/>
      <c r="AV128" s="511"/>
      <c r="AW128" s="864"/>
      <c r="AX128" s="502"/>
      <c r="AY128" s="502"/>
      <c r="AZ128" s="502"/>
      <c r="BA128" s="502"/>
      <c r="BB128" s="511"/>
      <c r="BC128" s="864"/>
      <c r="BD128" s="502"/>
      <c r="BE128" s="502"/>
      <c r="BF128" s="502"/>
      <c r="BG128" s="502"/>
      <c r="BH128" s="865"/>
      <c r="BI128" s="865"/>
      <c r="BJ128" s="1143" t="s">
        <v>1506</v>
      </c>
      <c r="BK128" s="2481"/>
      <c r="BL128" s="2481"/>
      <c r="BM128" s="2481"/>
      <c r="BN128" s="1144"/>
      <c r="BO128" s="2482" t="str">
        <f>IF(BO126="","",IF(BO126=1,EU143,EW143))</f>
        <v/>
      </c>
      <c r="BP128" s="2483"/>
      <c r="BQ128" s="865"/>
      <c r="BR128" s="1143" t="s">
        <v>1506</v>
      </c>
      <c r="BS128" s="2481"/>
      <c r="BT128" s="2481"/>
      <c r="BU128" s="2481"/>
      <c r="BV128" s="1144"/>
      <c r="BW128" s="2482" t="str">
        <f>IF(BW126="","",IF(BW126=1,IV143,IX143))</f>
        <v/>
      </c>
      <c r="BX128" s="2483"/>
      <c r="BY128" s="874"/>
      <c r="BZ128" s="888" t="str">
        <f>IF(A128="","",VLOOKUP(A128,'HHV-LHV-MW'!$A$3:$H$40,4,FALSE))</f>
        <v/>
      </c>
      <c r="CA128" s="889" t="str">
        <f>IF(A128="","",VLOOKUP(A128,'HHV-LHV-MW'!$A$3:$H$40,5,FALSE))</f>
        <v/>
      </c>
      <c r="CB128" s="890" t="str">
        <f>IF($BO$96="","",((PRODUCT('HHV-LHV-MW'!K63)+PRODUCT('HHV-LHV-MW'!W63)+PRODUCT('HHV-LHV-MW'!AI63)+PRODUCT('HHV-LHV-MW'!AU63))/$BO$96))</f>
        <v/>
      </c>
      <c r="CC128" s="890" t="str">
        <f>IF($BO$96="","",(IF($BO$96=1,"",  (SQRT(  (      (IF('HHV-LHV-MW'!K63="",0,('HHV-LHV-MW'!K63-CB128)^2))      +        (IF('HHV-LHV-MW'!W63="",0,('HHV-LHV-MW'!W63-CB128)^2))       +        (IF('HHV-LHV-MW'!AI63="",0,('HHV-LHV-MW'!AI63-CB128)^2))          +        (IF('HHV-LHV-MW'!AU63="",0,('HHV-LHV-MW'!AU63-CB128)^2))          )     *(1/($BO$96-1))  )))))</f>
        <v/>
      </c>
      <c r="CD128" s="890" t="str">
        <f t="shared" si="97"/>
        <v/>
      </c>
      <c r="CE128" s="890" t="str">
        <f t="shared" si="98"/>
        <v/>
      </c>
      <c r="CF128" s="636" t="str">
        <f>IF('HHV-LHV-MW'!K63="","",IF(AND('HHV-LHV-MW'!K63&gt;=0,'HHV-LHV-MW'!K63&lt;=0.09),2,  IF(AND('HHV-LHV-MW'!K63&gt;=0.1,'HHV-LHV-MW'!K63&lt;=0.9),7,  IF(AND('HHV-LHV-MW'!K63&gt;=1,'HHV-LHV-MW'!K63&lt;=4.9),10,   IF(AND('HHV-LHV-MW'!K63&gt;=5,'HHV-LHV-MW'!K63&lt;=10),12, 15)))))</f>
        <v/>
      </c>
      <c r="CG128" s="636" t="str">
        <f>IF('HHV-LHV-MW'!K63="","",5*'HHV-LHV-MW'!K63)</f>
        <v/>
      </c>
      <c r="CH128" s="635" t="str">
        <f t="shared" si="99"/>
        <v/>
      </c>
      <c r="CI128" s="636" t="str">
        <f>IF(OR(CH128="",'HHV-LHV-MW'!K63=0),"",CH128/'HHV-LHV-MW'!K63)</f>
        <v/>
      </c>
      <c r="CJ128" s="636" t="str">
        <f>IF(OR(CI128="",BZ128="",'HHV-LHV-MW'!K63=""),"",((CI128*BZ128*('HHV-LHV-MW'!K63/100))/23.685)^2)</f>
        <v/>
      </c>
      <c r="CK128" s="636" t="str">
        <f>IF(OR(CI128="",CA128="",'HHV-LHV-MW'!K63=""),"",((CI128*CA128*('HHV-LHV-MW'!K63/100))/23.685)^2)</f>
        <v/>
      </c>
      <c r="CL128" s="639" t="str">
        <f t="shared" si="100"/>
        <v/>
      </c>
      <c r="CM128" s="892" t="str">
        <f t="shared" si="101"/>
        <v/>
      </c>
      <c r="CN128" s="639" t="str">
        <f>IF(A128="","",VLOOKUP(A128,'HHV-LHV-MW'!$A$3:$H$40,7,FALSE))</f>
        <v/>
      </c>
      <c r="CO128" s="636" t="str">
        <f>IF($BO$96=1,     IF(OR(CN128="",'HHV-LHV-MW'!K63="",CI128=""),"",(CN128*('HHV-LHV-MW'!K63/100)*CI128)^2),IF(OR(CN128="",CB128="",CE128=""),"",(CN128*(CB128/100)*CE128)^2))</f>
        <v/>
      </c>
      <c r="CP128" s="635" t="str">
        <f>IF(A128="","",VLOOKUP(A128,'HHV-LHV-MW'!$A$3:$I$40,9,FALSE))</f>
        <v/>
      </c>
      <c r="CQ128" s="636" t="str">
        <f>IF($BO$96=1,     IF(OR(CP128="",'HHV-LHV-MW'!K63="",CI128=""),"",(CP128*('HHV-LHV-MW'!K63/100)*CI128)^2),IF(OR(CP128="",CB128="",CE128=""),"",(CP128*(CB128/100)*CE128)^2))</f>
        <v/>
      </c>
      <c r="CR128" s="636" t="str">
        <f>IF(A128="","",(VLOOKUP(A128,'HHV-LHV-MW'!$A$3:$F$40,6,FALSE))    )</f>
        <v/>
      </c>
      <c r="CS128" s="636" t="str">
        <f>IF($BO$96=1,     IF(OR(CR128="",'HHV-LHV-MW'!K63="",CI128=""),"",(CR128*('HHV-LHV-MW'!K63/100)*CI128)^2),IF(OR(CR128="",CB128="",CE128=""),"",(CR128*(CB128/100)*CE128)^2))</f>
        <v/>
      </c>
      <c r="CT128" s="640" t="str">
        <f>IF($BO$96=1,     IF(OR(CR128="",CP128="",$B$103="",$B$103=0,'HHV-LHV-MW'!K63="",CI128="",$CQ$145=""),"", ((CR128*((CP128*('HHV-LHV-MW'!K63/100))/$B$103))^2)*((CI128^2)+($CQ$145^2))),              IF(OR(CR128="",CP128="",CB128="",CE128="",$CQ$145="",$B$103="",$B$103=0),"",      ((CR128*((CP128*(CB128/100))/$B$103))^2)*((CE128^2)+($CQ$145^2))             ))</f>
        <v/>
      </c>
      <c r="CU128" s="889" t="str">
        <f>IF(G128="","",VLOOKUP(G128,'HHV-LHV-MW'!$A$3:$H$40,4,FALSE))</f>
        <v/>
      </c>
      <c r="CV128" s="889" t="str">
        <f>IF(G128="","",VLOOKUP(G128,'HHV-LHV-MW'!$A$3:$H$40,5,FALSE))</f>
        <v/>
      </c>
      <c r="CW128" s="890" t="str">
        <f>IF($BO$106="","",((PRODUCT('HHV-LHV-MW'!BH63)+PRODUCT('HHV-LHV-MW'!BT63)+PRODUCT('HHV-LHV-MW'!CF63)+PRODUCT('HHV-LHV-MW'!CR63))/$BO$106))</f>
        <v/>
      </c>
      <c r="CX128" s="890" t="str">
        <f>IF($BO$106="","",(IF($BO$106=1,"",  (SQRT(  (      (IF('HHV-LHV-MW'!BH63="",0,('HHV-LHV-MW'!BH63-CW128)^2))      +        (IF('HHV-LHV-MW'!BT63="",0,('HHV-LHV-MW'!BT63-CW128)^2))       +        (IF('HHV-LHV-MW'!CF63="",0,('HHV-LHV-MW'!CF63-CW128)^2))          +        (IF('HHV-LHV-MW'!CR63="",0,('HHV-LHV-MW'!CR63-CW128)^2))          )     *(1/($BO$106-1))  )))))</f>
        <v/>
      </c>
      <c r="CY128" s="890" t="str">
        <f t="shared" si="102"/>
        <v/>
      </c>
      <c r="CZ128" s="890" t="str">
        <f t="shared" si="103"/>
        <v/>
      </c>
      <c r="DA128" s="636" t="str">
        <f>IF('HHV-LHV-MW'!BH63="","",IF(AND('HHV-LHV-MW'!BH63&gt;=0,'HHV-LHV-MW'!BH63&lt;=0.09),2,  IF(AND('HHV-LHV-MW'!BH63&gt;=0.1,'HHV-LHV-MW'!BH63&lt;=0.9),7,  IF(AND('HHV-LHV-MW'!BH63&gt;=1,'HHV-LHV-MW'!BH63&lt;=4.9),10,   IF(AND('HHV-LHV-MW'!BH63&gt;=5,'HHV-LHV-MW'!BH63&lt;=10),12, 15)))))</f>
        <v/>
      </c>
      <c r="DB128" s="636" t="str">
        <f>IF('HHV-LHV-MW'!BH63="","",5*'HHV-LHV-MW'!BH63)</f>
        <v/>
      </c>
      <c r="DC128" s="635" t="str">
        <f t="shared" si="104"/>
        <v/>
      </c>
      <c r="DD128" s="636" t="str">
        <f>IF(OR(DC128="",'HHV-LHV-MW'!BH63=0),"",DC128/'HHV-LHV-MW'!BH63)</f>
        <v/>
      </c>
      <c r="DE128" s="635" t="str">
        <f>IF(OR(DD128="",CU128="",'HHV-LHV-MW'!BH63=""),"",((DD128*CU128*('HHV-LHV-MW'!BH63/100))/23.685)^2)</f>
        <v/>
      </c>
      <c r="DF128" s="636" t="str">
        <f>IF(OR(DD128="",CV128="",'HHV-LHV-MW'!BH63=""),"",((DD128*CV128*('HHV-LHV-MW'!BH63/100))/23.685)^2)</f>
        <v/>
      </c>
      <c r="DG128" s="639" t="str">
        <f t="shared" si="105"/>
        <v/>
      </c>
      <c r="DH128" s="891" t="str">
        <f t="shared" si="106"/>
        <v/>
      </c>
      <c r="DI128" s="635" t="str">
        <f>IF(G128="","",VLOOKUP(G128,'HHV-LHV-MW'!$A$3:$H$40,7,FALSE))</f>
        <v/>
      </c>
      <c r="DJ128" s="875" t="str">
        <f>IF($BO$106=1,     IF(OR(DI128="",'HHV-LHV-MW'!BH63="",DD128=""),"",(DI128*('HHV-LHV-MW'!BH63/100)*DD128)^2),IF(OR(DI128="",CW128="",CZ128=""),"",(DI128*(CW128/100)*CZ128)^2))</f>
        <v/>
      </c>
      <c r="DK128" s="635" t="str">
        <f>IF(G128="","",VLOOKUP(G128,'HHV-LHV-MW'!$A$3:$I$40,9,FALSE))</f>
        <v/>
      </c>
      <c r="DL128" s="875" t="str">
        <f>IF($BO$106=1,     IF(OR(DK128="",'HHV-LHV-MW'!BH63="",DD128=""),"",(DK128*('HHV-LHV-MW'!BH63/100)*DD128)^2),IF(OR(DK128="",CW128="",CZ128=""),"",(DK128*(CW128/100)*CZ128)^2))</f>
        <v/>
      </c>
      <c r="DM128" s="635" t="str">
        <f>IF(G128="","",(VLOOKUP(G128,'HHV-LHV-MW'!$A$3:$F$40,6,FALSE))    )</f>
        <v/>
      </c>
      <c r="DN128" s="875" t="str">
        <f>IF($BO$106=1,     IF(OR(DM128="",'HHV-LHV-MW'!BH63="",DD128=""),"",(DM128*('HHV-LHV-MW'!BH63/100)*DD128)^2),IF(OR(DM128="",CW128="",CZ128=""),"",(DM128*(CW128/100)*CZ128)^2))</f>
        <v/>
      </c>
      <c r="DO128" s="638" t="str">
        <f>IF($BO$106=1,     IF(OR(DM128="",DK128="",$H$103="",$H$103=0,'HHV-LHV-MW'!BH63="",DD128="",$DL$145=""),"", ((DM128*((DK128*('HHV-LHV-MW'!BH63/100))/$H$103))^2)*((DD128^2)+($DL$145^2))),              IF(OR(DM128="",DK128="",CW128="",CZ128="",$DL$145="",$H$103="",$H$103=0),"",      ((DM128*((DK128*(CW128/100))/$H$103))^2)*((CZ128^2)+($DL$145^2))             ))</f>
        <v/>
      </c>
      <c r="DP128" s="889" t="str">
        <f>IF(M128="","",VLOOKUP(M128,'HHV-LHV-MW'!$A$3:$H$40,4,FALSE))</f>
        <v/>
      </c>
      <c r="DQ128" s="889" t="str">
        <f>IF(M128="","",VLOOKUP(M128,'HHV-LHV-MW'!$A$3:$H$40,5,FALSE))</f>
        <v/>
      </c>
      <c r="DR128" s="890" t="str">
        <f>IF($BO$116="","",((PRODUCT('HHV-LHV-MW'!DE63)+PRODUCT('HHV-LHV-MW'!DQ63)+PRODUCT('HHV-LHV-MW'!EC63)+PRODUCT('HHV-LHV-MW'!EO63))/$BO$116))</f>
        <v/>
      </c>
      <c r="DS128" s="890" t="str">
        <f>IF($BO$116="","",(IF($BO$116=1,"",  (SQRT(  (      (IF('HHV-LHV-MW'!DE63="",0,('HHV-LHV-MW'!DE63-DR128)^2))      +        (IF('HHV-LHV-MW'!DQ63="",0,('HHV-LHV-MW'!DQ63-DR128)^2))       +        (IF('HHV-LHV-MW'!EC63="",0,('HHV-LHV-MW'!EC63-DR128)^2))          +        (IF('HHV-LHV-MW'!EO63="",0,('HHV-LHV-MW'!EO63-DR128)^2))          )     *(1/($BO$116-1))  )))))</f>
        <v/>
      </c>
      <c r="DT128" s="890" t="str">
        <f t="shared" si="107"/>
        <v/>
      </c>
      <c r="DU128" s="890" t="str">
        <f t="shared" si="108"/>
        <v/>
      </c>
      <c r="DV128" s="636" t="str">
        <f>IF('HHV-LHV-MW'!DE63="","",IF(AND('HHV-LHV-MW'!DE63&gt;=0,'HHV-LHV-MW'!DE63&lt;=0.09),2,  IF(AND('HHV-LHV-MW'!DE63&gt;=0.1,'HHV-LHV-MW'!DE63&lt;=0.9),7,  IF(AND('HHV-LHV-MW'!DE63&gt;=1,'HHV-LHV-MW'!DE63&lt;=4.9),10,   IF(AND('HHV-LHV-MW'!DE63&gt;=5,'HHV-LHV-MW'!DE63&lt;=10),12, 15)))))</f>
        <v/>
      </c>
      <c r="DW128" s="636" t="str">
        <f>IF('HHV-LHV-MW'!DE63="","",5*'HHV-LHV-MW'!DE63)</f>
        <v/>
      </c>
      <c r="DX128" s="635" t="str">
        <f t="shared" si="109"/>
        <v/>
      </c>
      <c r="DY128" s="636" t="str">
        <f>IF(OR(DX128="",'HHV-LHV-MW'!DE63=0),"",DX128/'HHV-LHV-MW'!DE63)</f>
        <v/>
      </c>
      <c r="DZ128" s="636" t="str">
        <f>IF(OR(DY128="",DP128="",'HHV-LHV-MW'!DE63=""),"",((DY128*DP128*('HHV-LHV-MW'!DE63/100))/23.685)^2)</f>
        <v/>
      </c>
      <c r="EA128" s="636" t="str">
        <f>IF(OR(DY128="",DQ128="",'HHV-LHV-MW'!DE63=""),"",((DY128*DQ128*('HHV-LHV-MW'!DE63/100))/23.685)^2)</f>
        <v/>
      </c>
      <c r="EB128" s="639" t="str">
        <f t="shared" si="110"/>
        <v/>
      </c>
      <c r="EC128" s="891" t="str">
        <f t="shared" si="111"/>
        <v/>
      </c>
      <c r="ED128" s="643" t="str">
        <f>IF(M128="","",VLOOKUP(M128,'HHV-LHV-MW'!$A$3:$H$40,7,FALSE))</f>
        <v/>
      </c>
      <c r="EE128" s="875" t="str">
        <f>IF($BO$116=1,     IF(OR(ED128="",'HHV-LHV-MW'!DE63="",DY128=""),"",(ED128*('HHV-LHV-MW'!DE63/100)*DY128)^2),IF(OR(ED128="",DR128="",DU128=""),"",(ED128*(DR128/100)*DU128)^2))</f>
        <v/>
      </c>
      <c r="EF128" s="635" t="str">
        <f>IF(M128="","",VLOOKUP(M128,'HHV-LHV-MW'!$A$3:$I$40,9,FALSE))</f>
        <v/>
      </c>
      <c r="EG128" s="875" t="str">
        <f>IF($BO$116=1,     IF(OR(EF128="",'HHV-LHV-MW'!DE63="",DY128=""),"",(EF128*('HHV-LHV-MW'!DE63/100)*DY128)^2),IF(OR(EF128="",DR128="",DU128=""),"",(EF128*(DR128/100)*DU128)^2))</f>
        <v/>
      </c>
      <c r="EH128" s="635" t="str">
        <f>IF(M128="","",(VLOOKUP(M128,'HHV-LHV-MW'!$A$3:$F$40,6,FALSE))    )</f>
        <v/>
      </c>
      <c r="EI128" s="875" t="str">
        <f>IF($BO$116=1,     IF(OR(EH128="",'HHV-LHV-MW'!DE63="",DY128=""),"",(EH128*('HHV-LHV-MW'!DE63/100)*DY128)^2),IF(OR(EH128="",DR128="",DU128=""),"",(EH128*(DR128/100)*DU128)^2))</f>
        <v/>
      </c>
      <c r="EJ128" s="638" t="str">
        <f>IF($BO$116=1,     IF(OR(EH128="",EF128="",$N$103="",$N$103=0,'HHV-LHV-MW'!DE63="",DY128="",$EG$145=""),"", ((EH128*((EF128*('HHV-LHV-MW'!DE63/100))/$N$103))^2)*((DY128^2)+($EG$145^2))),              IF(OR(EH128="",EF128="",DR128="",DU128="",$EG$145="",$N$103="",$N$103=0),"",      ((EH128*((EF128*(DR128/100))/$N$103))^2)*((DU128^2)+($EG$145^2))             ))</f>
        <v/>
      </c>
      <c r="EK128" s="889" t="str">
        <f>IF(S128="","",VLOOKUP(S128,'HHV-LHV-MW'!$A$3:$H$40,4,FALSE))</f>
        <v/>
      </c>
      <c r="EL128" s="889" t="str">
        <f>IF(S128="","",VLOOKUP(S128,'HHV-LHV-MW'!$A$3:$H$40,5,FALSE))</f>
        <v/>
      </c>
      <c r="EM128" s="890" t="str">
        <f>IF($BO$126="","",((PRODUCT('HHV-LHV-MW'!FB63)+PRODUCT('HHV-LHV-MW'!FN63)+PRODUCT('HHV-LHV-MW'!FZ63)+PRODUCT('HHV-LHV-MW'!GL63))/$BO$126))</f>
        <v/>
      </c>
      <c r="EN128" s="890" t="str">
        <f>IF($BO$126="","",(IF($BO$126=1,"",  (SQRT(  (      (IF('HHV-LHV-MW'!FB63="",0,('HHV-LHV-MW'!FB63-EM128)^2))      +        (IF('HHV-LHV-MW'!FN63="",0,('HHV-LHV-MW'!FN63-EM128)^2))       +        (IF('HHV-LHV-MW'!FZ63="",0,('HHV-LHV-MW'!FZ63-EM128)^2))          +        (IF('HHV-LHV-MW'!GL63="",0,('HHV-LHV-MW'!GL63-EM128)^2))          )     *(1/($BO$126-1))  )))))</f>
        <v/>
      </c>
      <c r="EO128" s="890" t="str">
        <f t="shared" si="112"/>
        <v/>
      </c>
      <c r="EP128" s="890" t="str">
        <f t="shared" si="113"/>
        <v/>
      </c>
      <c r="EQ128" s="636" t="str">
        <f>IF('HHV-LHV-MW'!FB63="","",IF(AND('HHV-LHV-MW'!FB63&gt;=0,'HHV-LHV-MW'!FB63&lt;=0.09),2,  IF(AND('HHV-LHV-MW'!FB63&gt;=0.1,'HHV-LHV-MW'!FB63&lt;=0.9),7,  IF(AND('HHV-LHV-MW'!FB63&gt;=1,'HHV-LHV-MW'!FB63&lt;=4.9),10,   IF(AND('HHV-LHV-MW'!FB63&gt;=5,'HHV-LHV-MW'!FB63&lt;=10),12, 15)))))</f>
        <v/>
      </c>
      <c r="ER128" s="636" t="str">
        <f>IF('HHV-LHV-MW'!FB63="","",5*'HHV-LHV-MW'!FB63)</f>
        <v/>
      </c>
      <c r="ES128" s="635" t="str">
        <f t="shared" si="114"/>
        <v/>
      </c>
      <c r="ET128" s="636" t="str">
        <f>IF(OR(ES128="",'HHV-LHV-MW'!FB63=0),"",ES128/'HHV-LHV-MW'!FB63)</f>
        <v/>
      </c>
      <c r="EU128" s="636" t="str">
        <f>IF(OR(ET128="",EK128="",'HHV-LHV-MW'!FB63=""),"",((ET128*EK128*('HHV-LHV-MW'!FB63/100))/23.685)^2)</f>
        <v/>
      </c>
      <c r="EV128" s="636" t="str">
        <f>IF(OR(ET128="",EL128="",'HHV-LHV-MW'!FB63=""),"",((ET128*EL128*('HHV-LHV-MW'!FB63/100))/23.685)^2)</f>
        <v/>
      </c>
      <c r="EW128" s="639" t="str">
        <f t="shared" si="115"/>
        <v/>
      </c>
      <c r="EX128" s="891" t="str">
        <f t="shared" si="116"/>
        <v/>
      </c>
      <c r="EY128" s="643" t="str">
        <f>IF(S128="","",VLOOKUP(S128,'HHV-LHV-MW'!$A$3:$H$40,7,FALSE))</f>
        <v/>
      </c>
      <c r="EZ128" s="875" t="str">
        <f>IF($BO$126=1,     IF(OR(EY128="",'HHV-LHV-MW'!FB63="",ET128=""),"",(EY128*('HHV-LHV-MW'!FB63/100)*ET128)^2),IF(OR(EY128="",EM128="",EP128=""),"",(EY128*(EM128/100)*EP128)^2))</f>
        <v/>
      </c>
      <c r="FA128" s="635" t="str">
        <f>IF(S128="","",VLOOKUP(S128,'HHV-LHV-MW'!$A$3:$I$40,9,FALSE))</f>
        <v/>
      </c>
      <c r="FB128" s="875" t="str">
        <f>IF($BO$126=1,     IF(OR(FA128="",'HHV-LHV-MW'!FB63="",ET128=""),"",(FA128*('HHV-LHV-MW'!FB63/100)*ET128)^2),IF(OR(FA128="",EM128="",EP128=""),"",(FA128*(EM128/100)*EP128)^2))</f>
        <v/>
      </c>
      <c r="FC128" s="635" t="str">
        <f>IF(S128="","",(VLOOKUP(S128,'HHV-LHV-MW'!$A$3:$F$40,6,FALSE))    )</f>
        <v/>
      </c>
      <c r="FD128" s="875" t="str">
        <f>IF($BO$126=1,     IF(OR(FC128="",'HHV-LHV-MW'!FB63="",ET128=""),"",(FC128*('HHV-LHV-MW'!FB63/100)*ET128)^2),IF(OR(FC128="",EM128="",EP128=""),"",(FC128*(EM128/100)*EP128)^2))</f>
        <v/>
      </c>
      <c r="FE128" s="638" t="str">
        <f>IF($BO$126=1,     IF(OR(FC128="",FA128="",$T$103="",$T$103=0,'HHV-LHV-MW'!FB63="",ET128="",$FB$145=""),"", ((FC128*((FA128*('HHV-LHV-MW'!FB63/100))/$T$103))^2)*((ET128^2)+($FB$145^2))),              IF(OR(FC128="",FA128="",EM128="",EP128="",$FB$145="",$T$103="",$T$103=0),"",      ((FC128*((FA128*(EM128/100))/$T$103))^2)*((EP128^2)+($FB$145^2))             ))</f>
        <v/>
      </c>
      <c r="FF128" s="889" t="str">
        <f>IF(Y128="","",VLOOKUP(Y128,'HHV-LHV-MW'!$A$3:$H$40,4,FALSE))</f>
        <v/>
      </c>
      <c r="FG128" s="889" t="str">
        <f>IF(Y128="","",VLOOKUP(Y128,'HHV-LHV-MW'!$A$3:$H$40,5,FALSE))</f>
        <v/>
      </c>
      <c r="FH128" s="890" t="str">
        <f>IF($BO$136="","",((PRODUCT('HHV-LHV-MW'!GY63)+PRODUCT('HHV-LHV-MW'!HK63)+PRODUCT('HHV-LHV-MW'!HW63)+PRODUCT('HHV-LHV-MW'!II63))/$BO$136))</f>
        <v/>
      </c>
      <c r="FI128" s="890" t="str">
        <f>IF($BO$136="","",(IF($BO$136=1,"",  (SQRT(  (      (IF('HHV-LHV-MW'!GY63="",0,('HHV-LHV-MW'!GY63-FH128)^2))      +        (IF('HHV-LHV-MW'!HK63="",0,('HHV-LHV-MW'!HK63-FH128)^2))       +        (IF('HHV-LHV-MW'!HW63="",0,('HHV-LHV-MW'!HW63-FH128)^2))          +        (IF('HHV-LHV-MW'!II63="",0,('HHV-LHV-MW'!II63-FH128)^2))          )     *(1/($BO$136-1))  )))))</f>
        <v/>
      </c>
      <c r="FJ128" s="890" t="str">
        <f t="shared" si="117"/>
        <v/>
      </c>
      <c r="FK128" s="890" t="str">
        <f t="shared" si="118"/>
        <v/>
      </c>
      <c r="FL128" s="636" t="str">
        <f>IF('HHV-LHV-MW'!GY63="","",IF(AND('HHV-LHV-MW'!GY63&gt;=0,'HHV-LHV-MW'!GY63&lt;=0.09),2,  IF(AND('HHV-LHV-MW'!GY63&gt;=0.1,'HHV-LHV-MW'!GY63&lt;=0.9),7,  IF(AND('HHV-LHV-MW'!GY63&gt;=1,'HHV-LHV-MW'!GY63&lt;=4.9),10,   IF(AND('HHV-LHV-MW'!GY63&gt;=5,'HHV-LHV-MW'!GY63&lt;=10),12, 15)))))</f>
        <v/>
      </c>
      <c r="FM128" s="636" t="str">
        <f>IF('HHV-LHV-MW'!GY63="","",5*'HHV-LHV-MW'!GY63)</f>
        <v/>
      </c>
      <c r="FN128" s="635" t="str">
        <f t="shared" si="119"/>
        <v/>
      </c>
      <c r="FO128" s="636" t="str">
        <f>IF(OR(FN128="",'HHV-LHV-MW'!GY63=0),"",FN128/'HHV-LHV-MW'!GY63)</f>
        <v/>
      </c>
      <c r="FP128" s="636" t="str">
        <f>IF(OR(FO128="",FF128="",'HHV-LHV-MW'!GY63=""),"",((FO128*FF128*('HHV-LHV-MW'!GY63/100))/23.685)^2)</f>
        <v/>
      </c>
      <c r="FQ128" s="636" t="str">
        <f>IF(OR(FO128="",FG128="",'HHV-LHV-MW'!GY63=""),"",((FO128*FG128*('HHV-LHV-MW'!GY63/100))/23.685)^2)</f>
        <v/>
      </c>
      <c r="FR128" s="639" t="str">
        <f t="shared" si="120"/>
        <v/>
      </c>
      <c r="FS128" s="891" t="str">
        <f t="shared" si="121"/>
        <v/>
      </c>
      <c r="FT128" s="643" t="str">
        <f>IF(Y128="","",VLOOKUP(Y128,'HHV-LHV-MW'!$A$3:$H$40,7,FALSE))</f>
        <v/>
      </c>
      <c r="FU128" s="875" t="str">
        <f>IF($BO$136=1,     IF(OR(FT128="",'HHV-LHV-MW'!GY63="",FO128=""),"",(FT128*('HHV-LHV-MW'!GY63/100)*FO128)^2),IF(OR(FT128="",FH128="",FK128=""),"",(FT128*(FH128/100)*FK128)^2))</f>
        <v/>
      </c>
      <c r="FV128" s="635" t="str">
        <f>IF(Y128="","",VLOOKUP(Y128,'HHV-LHV-MW'!$A$3:$I$40,9,FALSE))</f>
        <v/>
      </c>
      <c r="FW128" s="875" t="str">
        <f>IF($BO$136=1,     IF(OR(FV128="",'HHV-LHV-MW'!GY63="",FO128=""),"",(FV128*('HHV-LHV-MW'!GY63/100)*FO128)^2),IF(OR(FV128="",FH128="",FK128=""),"",(FV128*(FH128/100)*FK128)^2))</f>
        <v/>
      </c>
      <c r="FX128" s="635" t="str">
        <f>IF(Y128="","",(VLOOKUP(Y128,'HHV-LHV-MW'!$A$3:$F$40,6,FALSE))    )</f>
        <v/>
      </c>
      <c r="FY128" s="875" t="str">
        <f>IF($BO$136=1,     IF(OR(FX128="",'HHV-LHV-MW'!GY63="",FO128=""),"",(FX128*('HHV-LHV-MW'!GY63/100)*FO128)^2),IF(OR(FX128="",FH128="",FK128=""),"",(FX128*(FH128/100)*FK128)^2))</f>
        <v/>
      </c>
      <c r="FZ128" s="638" t="str">
        <f>IF($BO$136=1,     IF(OR(FX128="",FV128="",$Z$103="",$Z$103=0,'HHV-LHV-MW'!GY63="",FO128="",$FW$145=""),"", ((FX128*((FV128*('HHV-LHV-MW'!GY63/100))/$Z$103))^2)*((FO128^2)+($FW$145^2))),              IF(OR(FX128="",FV128="",FH128="",FK128="",$FW$145="",$Z$103="",$Z$103=0),"",      ((FX128*((FV128*(FH128/100))/$Z$103))^2)*((FK128^2)+($FW$145^2))             ))</f>
        <v/>
      </c>
      <c r="GA128" s="889" t="str">
        <f>IF(AE128="","",VLOOKUP(AE128,'HHV-LHV-MW'!$A$3:$H$40,4,FALSE))</f>
        <v/>
      </c>
      <c r="GB128" s="889" t="str">
        <f>IF(AE128="","",VLOOKUP(AE128,'HHV-LHV-MW'!$A$3:$H$40,5,FALSE))</f>
        <v/>
      </c>
      <c r="GC128" s="890" t="str">
        <f>IF($BW$96="","",((PRODUCT('HHV-LHV-MW'!IV63)+PRODUCT('HHV-LHV-MW'!JH63)+PRODUCT('HHV-LHV-MW'!JT63)+PRODUCT('HHV-LHV-MW'!KF63))/$BW$96))</f>
        <v/>
      </c>
      <c r="GD128" s="890" t="str">
        <f>IF($BW$96="","",(IF($BW$96=1,"",  (SQRT(  (      (IF('HHV-LHV-MW'!IV63="",0,('HHV-LHV-MW'!IV63-GC128)^2))      +        (IF('HHV-LHV-MW'!JH63="",0,('HHV-LHV-MW'!JH63-GC128)^2))       +        (IF('HHV-LHV-MW'!JT63="",0,('HHV-LHV-MW'!JT63-GC128)^2))          +        (IF('HHV-LHV-MW'!KF63="",0,('HHV-LHV-MW'!KF63-GC128)^2))          )     *(1/($BW$96-1))  )))))</f>
        <v/>
      </c>
      <c r="GE128" s="890" t="str">
        <f t="shared" si="122"/>
        <v/>
      </c>
      <c r="GF128" s="890" t="str">
        <f t="shared" si="123"/>
        <v/>
      </c>
      <c r="GG128" s="636" t="str">
        <f>IF('HHV-LHV-MW'!IV63="","",IF(AND('HHV-LHV-MW'!IV63&gt;=0,'HHV-LHV-MW'!IV63&lt;=0.09),2,  IF(AND('HHV-LHV-MW'!IV63&gt;=0.1,'HHV-LHV-MW'!IV63&lt;=0.9),7,  IF(AND('HHV-LHV-MW'!IV63&gt;=1,'HHV-LHV-MW'!IV63&lt;=4.9),10,   IF(AND('HHV-LHV-MW'!IV63&gt;=5,'HHV-LHV-MW'!IV63&lt;=10),12, 15)))))</f>
        <v/>
      </c>
      <c r="GH128" s="636" t="str">
        <f>IF('HHV-LHV-MW'!IV63="","",5*'HHV-LHV-MW'!IV63)</f>
        <v/>
      </c>
      <c r="GI128" s="635" t="str">
        <f t="shared" si="124"/>
        <v/>
      </c>
      <c r="GJ128" s="636" t="str">
        <f>IF(OR(GI128="",'HHV-LHV-MW'!IV63=0),"",GI128/'HHV-LHV-MW'!IV63)</f>
        <v/>
      </c>
      <c r="GK128" s="636" t="str">
        <f>IF(OR(GJ128="",GA128="",'HHV-LHV-MW'!IV63=""),"",((GJ128*GA128*('HHV-LHV-MW'!IV63/100))/23.685)^2)</f>
        <v/>
      </c>
      <c r="GL128" s="636" t="str">
        <f>IF(OR(GJ128="",GB128="",'HHV-LHV-MW'!IV63=""),"",((GJ128*GB128*('HHV-LHV-MW'!IV63/100))/23.685)^2)</f>
        <v/>
      </c>
      <c r="GM128" s="639" t="str">
        <f t="shared" si="125"/>
        <v/>
      </c>
      <c r="GN128" s="891" t="str">
        <f t="shared" si="126"/>
        <v/>
      </c>
      <c r="GO128" s="643" t="str">
        <f>IF(AE128="","",VLOOKUP(AE128,'HHV-LHV-MW'!$A$3:$H$40,7,FALSE))</f>
        <v/>
      </c>
      <c r="GP128" s="875" t="str">
        <f>IF($BW$96=1,     IF(OR(GO128="",'HHV-LHV-MW'!IV63="",GJ128=""),"",(GO128*('HHV-LHV-MW'!IV63/100)*GJ128)^2),IF(OR(GO128="",GC128="",GF128=""),"",(GO128*(GC128/100)*GF128)^2))</f>
        <v/>
      </c>
      <c r="GQ128" s="635" t="str">
        <f>IF(AE128="","",VLOOKUP(AE128,'HHV-LHV-MW'!$A$3:$I$40,9,FALSE))</f>
        <v/>
      </c>
      <c r="GR128" s="875" t="str">
        <f>IF($BW$96=1,     IF(OR(GQ128="",'HHV-LHV-MW'!IV63="",GJ128=""),"",(GQ128*('HHV-LHV-MW'!IV63/100)*GJ128)^2),IF(OR(GQ128="",GC128="",GF128=""),"",(GQ128*(GC128/100)*GF128)^2))</f>
        <v/>
      </c>
      <c r="GS128" s="635" t="str">
        <f>IF(AE128="","",(VLOOKUP(AE128,'HHV-LHV-MW'!$A$3:$F$40,6,FALSE))    )</f>
        <v/>
      </c>
      <c r="GT128" s="875" t="str">
        <f>IF($BW$96=1,     IF(OR(GS128="",'HHV-LHV-MW'!IV63="",GJ128=""),"",(GS128*('HHV-LHV-MW'!IV63/100)*GJ128)^2),IF(OR(GS128="",GC128="",GF128=""),"",(GS128*(GC128/100)*GF128)^2))</f>
        <v/>
      </c>
      <c r="GU128" s="638" t="str">
        <f>IF($BW$96=1,     IF(OR(GS128="",GQ128="",$AF$103="",$AF$103=0,'HHV-LHV-MW'!IV63="",GJ128="",$GR$145=""),"", ((GS128*((GQ128*('HHV-LHV-MW'!IV63/100))/$AF$103))^2)*((GJ128^2)+($GR$145^2))),              IF(OR(GS128="",GQ128="",GC128="",GF128="",$GR$145="",$AF$103="",$AF$103=0),"",      ((GS128*((GQ128*(GC128/100))/$AF$103))^2)*((GF128^2)+($GR$145^2))             ))</f>
        <v/>
      </c>
      <c r="GV128" s="889" t="str">
        <f>IF(AK128="","",VLOOKUP(AK128,'HHV-LHV-MW'!$A$3:$H$40,4,FALSE))</f>
        <v/>
      </c>
      <c r="GW128" s="889" t="str">
        <f>IF(AK128="","",VLOOKUP(AK128,'HHV-LHV-MW'!$A$3:$H$40,5,FALSE))</f>
        <v/>
      </c>
      <c r="GX128" s="890" t="str">
        <f>IF($BW$106="","",((PRODUCT('HHV-LHV-MW'!KS63)+PRODUCT('HHV-LHV-MW'!LE63)+PRODUCT('HHV-LHV-MW'!LQ63)+PRODUCT('HHV-LHV-MW'!MC63))/$BW$106))</f>
        <v/>
      </c>
      <c r="GY128" s="890" t="str">
        <f>IF($BW$106="","",(IF($BW$106=1,"",  (SQRT(  (      (IF('HHV-LHV-MW'!KS63="",0,('HHV-LHV-MW'!KS63-GX128)^2))      +        (IF('HHV-LHV-MW'!LE63="",0,('HHV-LHV-MW'!LE63-GX128)^2))       +        (IF('HHV-LHV-MW'!LQ63="",0,('HHV-LHV-MW'!LQ63-GX128)^2))          +        (IF('HHV-LHV-MW'!MC63="",0,('HHV-LHV-MW'!MC63-GX128)^2))          )     *(1/($BW$106-1))  )))))</f>
        <v/>
      </c>
      <c r="GZ128" s="890" t="str">
        <f t="shared" si="127"/>
        <v/>
      </c>
      <c r="HA128" s="890" t="str">
        <f t="shared" si="128"/>
        <v/>
      </c>
      <c r="HB128" s="636" t="str">
        <f>IF('HHV-LHV-MW'!KS63="","",IF(AND('HHV-LHV-MW'!KS63&gt;=0,'HHV-LHV-MW'!KS63&lt;=0.09),2,  IF(AND('HHV-LHV-MW'!KS63&gt;=0.1,'HHV-LHV-MW'!KS63&lt;=0.9),7,  IF(AND('HHV-LHV-MW'!KS63&gt;=1,'HHV-LHV-MW'!KS63&lt;=4.9),10,   IF(AND('HHV-LHV-MW'!KS63&gt;=5,'HHV-LHV-MW'!KS63&lt;=10),12, 15)))))</f>
        <v/>
      </c>
      <c r="HC128" s="636" t="str">
        <f>IF('HHV-LHV-MW'!KS63="","",5*'HHV-LHV-MW'!KS63)</f>
        <v/>
      </c>
      <c r="HD128" s="635" t="str">
        <f t="shared" si="129"/>
        <v/>
      </c>
      <c r="HE128" s="636" t="str">
        <f>IF(OR(HD128="",'HHV-LHV-MW'!KS63=0),"",HD128/'HHV-LHV-MW'!KS63)</f>
        <v/>
      </c>
      <c r="HF128" s="636" t="str">
        <f>IF(OR(HE128="",GV128="",'HHV-LHV-MW'!KS63=""),"",((HE128*GV128*('HHV-LHV-MW'!KS63/100))/23.685)^2)</f>
        <v/>
      </c>
      <c r="HG128" s="636" t="str">
        <f>IF(OR(HE128="",GW128="",'HHV-LHV-MW'!KS63=""),"",((HE128*GW128*('HHV-LHV-MW'!KS63/100))/23.685)^2)</f>
        <v/>
      </c>
      <c r="HH128" s="639" t="str">
        <f t="shared" si="130"/>
        <v/>
      </c>
      <c r="HI128" s="891" t="str">
        <f t="shared" si="131"/>
        <v/>
      </c>
      <c r="HJ128" s="643" t="str">
        <f>IF(AK128="","",VLOOKUP(AK128,'HHV-LHV-MW'!$A$3:$H$40,7,FALSE))</f>
        <v/>
      </c>
      <c r="HK128" s="875" t="str">
        <f>IF($BW$106=1,     IF(OR(HJ128="",'HHV-LHV-MW'!KS63="",HE128=""),"",(HJ128*('HHV-LHV-MW'!KS63/100)*HE128)^2),IF(OR(HJ128="",GX128="",HA128=""),"",(HJ128*(GX128/100)*HA128)^2))</f>
        <v/>
      </c>
      <c r="HL128" s="635" t="str">
        <f>IF(AK128="","",VLOOKUP(AK128,'HHV-LHV-MW'!$A$3:$I$40,9,FALSE))</f>
        <v/>
      </c>
      <c r="HM128" s="875" t="str">
        <f>IF($BW$106=1,     IF(OR(HL128="",'HHV-LHV-MW'!KS63="",HE128=""),"",(HL128*('HHV-LHV-MW'!KS63/100)*HE128)^2),IF(OR(HL128="",GX128="",HA128=""),"",(HL128*(GX128/100)*HA128)^2))</f>
        <v/>
      </c>
      <c r="HN128" s="635" t="str">
        <f>IF(AK128="","",(VLOOKUP(AK128,'HHV-LHV-MW'!$A$3:$F$40,6,FALSE))    )</f>
        <v/>
      </c>
      <c r="HO128" s="875" t="str">
        <f>IF($BW$106=1,     IF(OR(HN128="",'HHV-LHV-MW'!KS63="",HE128=""),"",(HN128*('HHV-LHV-MW'!KS63/100)*HE128)^2),IF(OR(HN128="",GX128="",HA128=""),"",(HN128*(GX128/100)*HA128)^2))</f>
        <v/>
      </c>
      <c r="HP128" s="638" t="str">
        <f>IF($BW$106=1,     IF(OR(HN128="",HL128="",$AL$103="",$AL$103=0,'HHV-LHV-MW'!KS63="",HE128="",$HM$145=""),"", ((HN128*((HL128*('HHV-LHV-MW'!KS63/100))/$AL$103))^2)*((HE128^2)+($HM$145^2))),              IF(OR(HN128="",HL128="",GX128="",HA128="",$HM$145="",$AL$103="",$AL$103=0),"",      ((HN128*((HL128*(GX128/100))/$AL$103))^2)*((HA128^2)+($HM$145^2))             ))</f>
        <v/>
      </c>
      <c r="HQ128" s="889" t="str">
        <f>IF(AQ128="","",VLOOKUP(AQ128,'HHV-LHV-MW'!$A$3:$H$40,4,FALSE))</f>
        <v/>
      </c>
      <c r="HR128" s="889" t="str">
        <f>IF(AQ128="","",VLOOKUP(AQ128,'HHV-LHV-MW'!$A$3:$H$40,5,FALSE))</f>
        <v/>
      </c>
      <c r="HS128" s="890" t="str">
        <f>IF($BW$116="","",((PRODUCT('HHV-LHV-MW'!MP63)+PRODUCT('HHV-LHV-MW'!NB63)+PRODUCT('HHV-LHV-MW'!NN63)+PRODUCT('HHV-LHV-MW'!NZ63))/$BW$116))</f>
        <v/>
      </c>
      <c r="HT128" s="890" t="str">
        <f>IF($BW$116="","",(IF($BW$116=1,"",  (SQRT(  (      (IF('HHV-LHV-MW'!MP63="",0,('HHV-LHV-MW'!MP63-HS128)^2))      +        (IF('HHV-LHV-MW'!NB63="",0,('HHV-LHV-MW'!NB63-HS128)^2))       +        (IF('HHV-LHV-MW'!NN63="",0,('HHV-LHV-MW'!NN63-HS128)^2))          +        (IF('HHV-LHV-MW'!NZ63="",0,('HHV-LHV-MW'!NZ63-HS128)^2))          )     *(1/($BW$116-1))  )))))</f>
        <v/>
      </c>
      <c r="HU128" s="890" t="str">
        <f t="shared" si="132"/>
        <v/>
      </c>
      <c r="HV128" s="890" t="str">
        <f t="shared" si="133"/>
        <v/>
      </c>
      <c r="HW128" s="636" t="str">
        <f>IF('HHV-LHV-MW'!MP63="","",IF(AND('HHV-LHV-MW'!MP63&gt;=0,'HHV-LHV-MW'!MP63&lt;=0.09),2,  IF(AND('HHV-LHV-MW'!MP63&gt;=0.1,'HHV-LHV-MW'!MP63&lt;=0.9),7,  IF(AND('HHV-LHV-MW'!MP63&gt;=1,'HHV-LHV-MW'!MP63&lt;=4.9),10,   IF(AND('HHV-LHV-MW'!MP63&gt;=5,'HHV-LHV-MW'!MP63&lt;=10),12, 15)))))</f>
        <v/>
      </c>
      <c r="HX128" s="636" t="str">
        <f>IF('HHV-LHV-MW'!MP63="","",5*'HHV-LHV-MW'!MP63)</f>
        <v/>
      </c>
      <c r="HY128" s="635" t="str">
        <f t="shared" si="134"/>
        <v/>
      </c>
      <c r="HZ128" s="636" t="str">
        <f>IF(OR(HY128="",'HHV-LHV-MW'!MP63=0),"",HY128/'HHV-LHV-MW'!MP63)</f>
        <v/>
      </c>
      <c r="IA128" s="636" t="str">
        <f>IF(OR(HZ128="",HQ128="",'HHV-LHV-MW'!MP63=""),"",((HZ128*HQ128*('HHV-LHV-MW'!MP63/100))/23.685)^2)</f>
        <v/>
      </c>
      <c r="IB128" s="636" t="str">
        <f>IF(OR(HZ128="",HR128="",'HHV-LHV-MW'!MP63=""),"",((HZ128*HR128*('HHV-LHV-MW'!MP63/100))/23.685)^2)</f>
        <v/>
      </c>
      <c r="IC128" s="639" t="str">
        <f t="shared" si="135"/>
        <v/>
      </c>
      <c r="ID128" s="891" t="str">
        <f t="shared" si="136"/>
        <v/>
      </c>
      <c r="IE128" s="643" t="str">
        <f>IF(AQ128="","",VLOOKUP(AQ128,'HHV-LHV-MW'!$A$3:$H$40,7,FALSE))</f>
        <v/>
      </c>
      <c r="IF128" s="875" t="str">
        <f>IF($BW$116=1,     IF(OR(IE128="",'HHV-LHV-MW'!MP63="",HZ128=""),"",(IE128*('HHV-LHV-MW'!MP63/100)*HZ128)^2),IF(OR(IE128="",HS128="",HV128=""),"",(IE128*(HS128/100)*HV128)^2))</f>
        <v/>
      </c>
      <c r="IG128" s="635" t="str">
        <f>IF(AQ128="","",VLOOKUP(AQ128,'HHV-LHV-MW'!$A$3:$I$40,9,FALSE))</f>
        <v/>
      </c>
      <c r="IH128" s="875" t="str">
        <f>IF($BW$116=1,     IF(OR(IG128="",'HHV-LHV-MW'!MP63="",HZ128=""),"",(IG128*('HHV-LHV-MW'!MP63/100)*HZ128)^2),IF(OR(IG128="",HS128="",HV128=""),"",(IG128*(HS128/100)*HV128)^2))</f>
        <v/>
      </c>
      <c r="II128" s="635" t="str">
        <f>IF(AQ128="","",(VLOOKUP(AQ128,'HHV-LHV-MW'!$A$3:$F$40,6,FALSE))    )</f>
        <v/>
      </c>
      <c r="IJ128" s="875" t="str">
        <f>IF($BW$116=1,     IF(OR(II128="",'HHV-LHV-MW'!MP63="",HZ128=""),"",(II128*('HHV-LHV-MW'!MP63/100)*HZ128)^2),IF(OR(II128="",HS128="",HV128=""),"",(II128*(HS128/100)*HV128)^2))</f>
        <v/>
      </c>
      <c r="IK128" s="638" t="str">
        <f>IF($BW$116=1,     IF(OR(II128="",IG128="",$AR$103="",$AR$103=0,'HHV-LHV-MW'!MP63="",HZ128="",$IH$145=""),"", ((II128*((IG128*('HHV-LHV-MW'!MP63/100))/$AR$103))^2)*((HZ128^2)+($IH$145^2))),              IF(OR(II128="",IG128="",HS128="",HV128="",$IH$145="",$AR$103="",$AR$103=0),"",      ((II128*((IG128*(HS128/100))/$AR$103))^2)*((HV128^2)+($IH$145^2))             ))</f>
        <v/>
      </c>
      <c r="IL128" s="889" t="str">
        <f>IF(AW128="","",VLOOKUP(AW128,'HHV-LHV-MW'!$A$3:$H$40,4,FALSE))</f>
        <v/>
      </c>
      <c r="IM128" s="889" t="str">
        <f>IF(AW128="","",VLOOKUP(AW128,'HHV-LHV-MW'!$A$3:$H$40,5,FALSE))</f>
        <v/>
      </c>
      <c r="IN128" s="890" t="str">
        <f>IF($BW$126="","",((PRODUCT('HHV-LHV-MW'!ON63)+PRODUCT('HHV-LHV-MW'!OZ63)+PRODUCT('HHV-LHV-MW'!PL63)+PRODUCT('HHV-LHV-MW'!PX63))/$BW$126))</f>
        <v/>
      </c>
      <c r="IO128" s="890" t="str">
        <f>IF($BW$126="","",(IF($BW$126=1,"",  (SQRT(  (      (IF('HHV-LHV-MW'!ON63="",0,('HHV-LHV-MW'!ON63-IN128)^2))      +        (IF('HHV-LHV-MW'!OZ63="",0,('HHV-LHV-MW'!OZ63-IN128)^2))       +        (IF('HHV-LHV-MW'!PL63="",0,('HHV-LHV-MW'!PL63-IN128)^2))          +        (IF('HHV-LHV-MW'!PX63="",0,('HHV-LHV-MW'!PX63-IN128)^2))          )     *(1/($BW$126-1))  )))))</f>
        <v/>
      </c>
      <c r="IP128" s="890" t="str">
        <f t="shared" si="137"/>
        <v/>
      </c>
      <c r="IQ128" s="890" t="str">
        <f t="shared" si="138"/>
        <v/>
      </c>
      <c r="IR128" s="636" t="str">
        <f>IF('HHV-LHV-MW'!ON63="","",IF(AND('HHV-LHV-MW'!ON63&gt;=0,'HHV-LHV-MW'!ON63&lt;=0.09),2,  IF(AND('HHV-LHV-MW'!ON63&gt;=0.1,'HHV-LHV-MW'!ON63&lt;=0.9),7,  IF(AND('HHV-LHV-MW'!ON63&gt;=1,'HHV-LHV-MW'!ON63&lt;=4.9),10,   IF(AND('HHV-LHV-MW'!ON63&gt;=5,'HHV-LHV-MW'!ON63&lt;=10),12, 15)))))</f>
        <v/>
      </c>
      <c r="IS128" s="636" t="str">
        <f>IF('HHV-LHV-MW'!ON63="","",5*'HHV-LHV-MW'!ON63)</f>
        <v/>
      </c>
      <c r="IT128" s="635" t="str">
        <f t="shared" si="139"/>
        <v/>
      </c>
      <c r="IU128" s="636" t="str">
        <f>IF(OR(IT128="",'HHV-LHV-MW'!ON63=0),"",IT128/'HHV-LHV-MW'!ON63)</f>
        <v/>
      </c>
      <c r="IV128" s="636" t="str">
        <f>IF(OR(IU128="",IL128="",'HHV-LHV-MW'!ON63=""),"",((IU128*IL128*('HHV-LHV-MW'!ON63/100))/23.685)^2)</f>
        <v/>
      </c>
      <c r="IW128" s="636" t="str">
        <f>IF(OR(IU128="",IM128="",'HHV-LHV-MW'!ON63=""),"",((IU128*IM128*('HHV-LHV-MW'!ON63/100))/23.685)^2)</f>
        <v/>
      </c>
      <c r="IX128" s="639" t="str">
        <f t="shared" si="140"/>
        <v/>
      </c>
      <c r="IY128" s="891" t="str">
        <f t="shared" si="141"/>
        <v/>
      </c>
      <c r="IZ128" s="643" t="str">
        <f>IF(AW128="","",VLOOKUP(AW128,'HHV-LHV-MW'!$A$3:$H$40,7,FALSE))</f>
        <v/>
      </c>
      <c r="JA128" s="875" t="str">
        <f>IF($BW$126=1,     IF(OR(IZ128="",'HHV-LHV-MW'!ON63="",IU128=""),"",(IZ128*('HHV-LHV-MW'!ON63/100)*IU128)^2),IF(OR(IZ128="",IN128="",IQ128=""),"",(IZ128*(IN128/100)*IQ128)^2))</f>
        <v/>
      </c>
      <c r="JB128" s="635" t="str">
        <f>IF(AW128="","",VLOOKUP(AW128,'HHV-LHV-MW'!$A$3:$I$40,9,FALSE))</f>
        <v/>
      </c>
      <c r="JC128" s="875" t="str">
        <f>IF($BW$126=1,     IF(OR(JB128="",'HHV-LHV-MW'!ON63="",IU128=""),"",(JB128*('HHV-LHV-MW'!ON63/100)*IU128)^2),IF(OR(JB128="",IN128="",IQ128=""),"",(JB128*(IN128/100)*IQ128)^2))</f>
        <v/>
      </c>
      <c r="JD128" s="635" t="str">
        <f>IF(AW128="","",(VLOOKUP(AW128,'HHV-LHV-MW'!$A$3:$F$40,6,FALSE))    )</f>
        <v/>
      </c>
      <c r="JE128" s="875" t="str">
        <f>IF($BW$126=1,     IF(OR(JD128="",'HHV-LHV-MW'!ON63="",IU128=""),"",(JD128*('HHV-LHV-MW'!ON63/100)*IU128)^2),IF(OR(JD128="",IN128="",IQ128=""),"",(JD128*(IN128/100)*IQ128)^2))</f>
        <v/>
      </c>
      <c r="JF128" s="638" t="str">
        <f>IF($BW$126=1,     IF(OR(JD128="",JB128="",$AX$103="",$AX$103=0,'HHV-LHV-MW'!ON63="",IU128="",$JC$145=""),"", ((JD128*((JB128*('HHV-LHV-MW'!ON63/100))/$AX$103))^2)*((IU128^2)+($JC$145^2))),              IF(OR(JD128="",JB128="",IN128="",IQ128="",$JC$145="",$AX$103="",$AX$103=0),"",      ((JD128*((JB128*(IN128/100))/$AX$103))^2)*((IQ128^2)+($JC$145^2))             ))</f>
        <v/>
      </c>
      <c r="JG128" s="889" t="str">
        <f>IF(BC128="","",VLOOKUP(BC128,'HHV-LHV-MW'!$A$3:$H$40,4,FALSE))</f>
        <v/>
      </c>
      <c r="JH128" s="889" t="str">
        <f>IF(BC128="","",VLOOKUP(BC128,'HHV-LHV-MW'!$A$3:$H$40,5,FALSE))</f>
        <v/>
      </c>
      <c r="JI128" s="890" t="str">
        <f>IF($BW$136="","",((PRODUCT('HHV-LHV-MW'!QK63)+PRODUCT('HHV-LHV-MW'!QW63)+PRODUCT('HHV-LHV-MW'!RI63)+PRODUCT('HHV-LHV-MW'!RU63))/$BW$136))</f>
        <v/>
      </c>
      <c r="JJ128" s="890" t="str">
        <f>IF($BW$136="","",(IF($BW$136=1,"",  (SQRT(  (      (IF('HHV-LHV-MW'!QK63="",0,('HHV-LHV-MW'!QK63-JI128)^2))      +        (IF('HHV-LHV-MW'!QW63="",0,('HHV-LHV-MW'!QW63-JI128)^2))       +        (IF('HHV-LHV-MW'!RI63="",0,('HHV-LHV-MW'!RI63-JI128)^2))          +        (IF('HHV-LHV-MW'!RU63="",0,('HHV-LHV-MW'!RU63-JI128)^2))          )     *(1/($BW$136-1))  )))))</f>
        <v/>
      </c>
      <c r="JK128" s="890" t="str">
        <f t="shared" si="142"/>
        <v/>
      </c>
      <c r="JL128" s="890" t="str">
        <f t="shared" si="143"/>
        <v/>
      </c>
      <c r="JM128" s="636" t="str">
        <f>IF('HHV-LHV-MW'!QK63="","",IF(AND('HHV-LHV-MW'!QK63&gt;=0,'HHV-LHV-MW'!QK63&lt;=0.09),2,  IF(AND('HHV-LHV-MW'!QK63&gt;=0.1,'HHV-LHV-MW'!QK63&lt;=0.9),7,  IF(AND('HHV-LHV-MW'!QK63&gt;=1,'HHV-LHV-MW'!QK63&lt;=4.9),10,   IF(AND('HHV-LHV-MW'!QK63&gt;=5,'HHV-LHV-MW'!QK63&lt;=10),12, 15)))))</f>
        <v/>
      </c>
      <c r="JN128" s="636" t="str">
        <f>IF('HHV-LHV-MW'!QK63="","",5*'HHV-LHV-MW'!QK63)</f>
        <v/>
      </c>
      <c r="JO128" s="635" t="str">
        <f t="shared" si="144"/>
        <v/>
      </c>
      <c r="JP128" s="636" t="str">
        <f>IF(OR(JO128="",'HHV-LHV-MW'!QK63=0),"",JO128/'HHV-LHV-MW'!QK63)</f>
        <v/>
      </c>
      <c r="JQ128" s="636" t="str">
        <f>IF(OR(JP128="",JG128="",'HHV-LHV-MW'!QK63=""),"",((JP128*JG128*('HHV-LHV-MW'!QK63/100))/23.685)^2)</f>
        <v/>
      </c>
      <c r="JR128" s="636" t="str">
        <f>IF(OR(JP128="",JH128="",'HHV-LHV-MW'!QK63=""),"",((JP128*JH128*('HHV-LHV-MW'!QK63/100))/23.685)^2)</f>
        <v/>
      </c>
      <c r="JS128" s="639" t="str">
        <f t="shared" si="145"/>
        <v/>
      </c>
      <c r="JT128" s="891" t="str">
        <f t="shared" si="146"/>
        <v/>
      </c>
      <c r="JU128" s="643" t="str">
        <f>IF(BC128="","",VLOOKUP(BC128,'HHV-LHV-MW'!$A$3:$H$40,7,FALSE))</f>
        <v/>
      </c>
      <c r="JV128" s="875" t="str">
        <f>IF($BW$136=1,     IF(OR(JU128="",'HHV-LHV-MW'!QK63="",JP128=""),"",(JU128*('HHV-LHV-MW'!QK63/100)*JP128)^2),IF(OR(JU128="",JI128="",JL128=""),"",(JU128*(JI128/100)*JL128)^2))</f>
        <v/>
      </c>
      <c r="JW128" s="635" t="str">
        <f>IF(BC128="","",VLOOKUP(BC128,'HHV-LHV-MW'!$A$3:$I$40,9,FALSE))</f>
        <v/>
      </c>
      <c r="JX128" s="875" t="str">
        <f>IF($BW$136=1,     IF(OR(JW128="",'HHV-LHV-MW'!QK63="",JP128=""),"",(JW128*('HHV-LHV-MW'!QK63/100)*JP128)^2),IF(OR(JW128="",JI128="",JL128=""),"",(JW128*(JI128/100)*JL128)^2))</f>
        <v/>
      </c>
      <c r="JY128" s="635" t="str">
        <f>IF(BC128="","",(VLOOKUP(BC128,'HHV-LHV-MW'!$A$3:$F$40,6,FALSE))    )</f>
        <v/>
      </c>
      <c r="JZ128" s="875" t="str">
        <f>IF($BW$136=1,     IF(OR(JY128="",'HHV-LHV-MW'!QK63="",JP128=""),"",(JY128*('HHV-LHV-MW'!QK63/100)*JP128)^2),IF(OR(JY128="",JI128="",JL128=""),"",(JY128*(JI128/100)*JL128)^2))</f>
        <v/>
      </c>
      <c r="KA128" s="638" t="str">
        <f>IF($BW$136=1,     IF(OR(JY128="",JW128="",$BD$103="",$BD$103=0,'HHV-LHV-MW'!QK63="",JP128="",$JX$145=""),"", ((JY128*((JW128*('HHV-LHV-MW'!QK63/100))/$BD$103))^2)*((JP128^2)+($JX$145^2))),              IF(OR(JY128="",JW128="",JI128="",JL128="",$JX$145="",$BD$103="",$BD$103=0),"",      ((JY128*((JW128*(JI128/100))/$BD$103))^2)*((JL128^2)+($JX$145^2))             ))</f>
        <v/>
      </c>
      <c r="KB128" s="874"/>
      <c r="KC128" s="874"/>
      <c r="KD128" s="874"/>
      <c r="KE128" s="874"/>
      <c r="KF128" s="874"/>
      <c r="KG128" s="874"/>
      <c r="KH128" s="865"/>
      <c r="KI128" s="865"/>
      <c r="KJ128" s="865"/>
      <c r="KK128" s="865"/>
      <c r="KL128" s="865"/>
      <c r="KM128" s="865"/>
      <c r="KN128" s="865"/>
      <c r="KO128" s="865"/>
      <c r="KP128" s="865"/>
      <c r="KQ128" s="865"/>
      <c r="KR128" s="865"/>
      <c r="KS128" s="865"/>
      <c r="KT128" s="865"/>
      <c r="KU128" s="865"/>
      <c r="KV128" s="865"/>
      <c r="KW128" s="865"/>
      <c r="KX128" s="865"/>
      <c r="KY128" s="865"/>
      <c r="KZ128" s="865"/>
      <c r="LA128" s="865"/>
      <c r="LB128" s="865"/>
      <c r="LC128" s="865"/>
      <c r="LD128" s="865"/>
      <c r="LE128" s="865"/>
      <c r="LF128" s="865"/>
    </row>
    <row r="129" spans="1:318" ht="19.2" thickBot="1">
      <c r="A129" s="864"/>
      <c r="B129" s="502"/>
      <c r="C129" s="502"/>
      <c r="D129" s="502"/>
      <c r="E129" s="502"/>
      <c r="F129" s="511"/>
      <c r="G129" s="864"/>
      <c r="H129" s="502"/>
      <c r="I129" s="502"/>
      <c r="J129" s="502"/>
      <c r="K129" s="502"/>
      <c r="L129" s="511"/>
      <c r="M129" s="864"/>
      <c r="N129" s="502"/>
      <c r="O129" s="502"/>
      <c r="P129" s="502"/>
      <c r="Q129" s="502"/>
      <c r="R129" s="511"/>
      <c r="S129" s="864"/>
      <c r="T129" s="502"/>
      <c r="U129" s="502"/>
      <c r="V129" s="502"/>
      <c r="W129" s="502"/>
      <c r="X129" s="511"/>
      <c r="Y129" s="864"/>
      <c r="Z129" s="502"/>
      <c r="AA129" s="502"/>
      <c r="AB129" s="502"/>
      <c r="AC129" s="502"/>
      <c r="AD129" s="511"/>
      <c r="AE129" s="864"/>
      <c r="AF129" s="502"/>
      <c r="AG129" s="502"/>
      <c r="AH129" s="502"/>
      <c r="AI129" s="502"/>
      <c r="AJ129" s="511"/>
      <c r="AK129" s="864"/>
      <c r="AL129" s="502"/>
      <c r="AM129" s="502"/>
      <c r="AN129" s="502"/>
      <c r="AO129" s="502"/>
      <c r="AP129" s="511"/>
      <c r="AQ129" s="864"/>
      <c r="AR129" s="502"/>
      <c r="AS129" s="502"/>
      <c r="AT129" s="502"/>
      <c r="AU129" s="502"/>
      <c r="AV129" s="511"/>
      <c r="AW129" s="864"/>
      <c r="AX129" s="502"/>
      <c r="AY129" s="502"/>
      <c r="AZ129" s="502"/>
      <c r="BA129" s="502"/>
      <c r="BB129" s="511"/>
      <c r="BC129" s="864"/>
      <c r="BD129" s="502"/>
      <c r="BE129" s="502"/>
      <c r="BF129" s="502"/>
      <c r="BG129" s="502"/>
      <c r="BH129" s="865"/>
      <c r="BI129" s="865"/>
      <c r="BJ129" s="1143" t="s">
        <v>1507</v>
      </c>
      <c r="BK129" s="2481"/>
      <c r="BL129" s="2481"/>
      <c r="BM129" s="2481"/>
      <c r="BN129" s="1144"/>
      <c r="BO129" s="2482" t="str">
        <f>IF(BO126="","",IF(BO126=1,EV143,EX143))</f>
        <v/>
      </c>
      <c r="BP129" s="2483"/>
      <c r="BQ129" s="865"/>
      <c r="BR129" s="1143" t="s">
        <v>1507</v>
      </c>
      <c r="BS129" s="2481"/>
      <c r="BT129" s="2481"/>
      <c r="BU129" s="2481"/>
      <c r="BV129" s="1144"/>
      <c r="BW129" s="2482" t="str">
        <f>IF(BW126="","",IF(BW126=1,IW143,IY143))</f>
        <v/>
      </c>
      <c r="BX129" s="2483"/>
      <c r="BY129" s="874"/>
      <c r="BZ129" s="888" t="str">
        <f>IF(A129="","",VLOOKUP(A129,'HHV-LHV-MW'!$A$3:$H$40,4,FALSE))</f>
        <v/>
      </c>
      <c r="CA129" s="889" t="str">
        <f>IF(A129="","",VLOOKUP(A129,'HHV-LHV-MW'!$A$3:$H$40,5,FALSE))</f>
        <v/>
      </c>
      <c r="CB129" s="890" t="str">
        <f>IF($BO$96="","",((PRODUCT('HHV-LHV-MW'!K64)+PRODUCT('HHV-LHV-MW'!W64)+PRODUCT('HHV-LHV-MW'!AI64)+PRODUCT('HHV-LHV-MW'!AU64))/$BO$96))</f>
        <v/>
      </c>
      <c r="CC129" s="890" t="str">
        <f>IF($BO$96="","",(IF($BO$96=1,"",  (SQRT(  (      (IF('HHV-LHV-MW'!K64="",0,('HHV-LHV-MW'!K64-CB129)^2))      +        (IF('HHV-LHV-MW'!W64="",0,('HHV-LHV-MW'!W64-CB129)^2))       +        (IF('HHV-LHV-MW'!AI64="",0,('HHV-LHV-MW'!AI64-CB129)^2))          +        (IF('HHV-LHV-MW'!AU64="",0,('HHV-LHV-MW'!AU64-CB129)^2))          )     *(1/($BO$96-1))  )))))</f>
        <v/>
      </c>
      <c r="CD129" s="890" t="str">
        <f t="shared" si="97"/>
        <v/>
      </c>
      <c r="CE129" s="890" t="str">
        <f t="shared" si="98"/>
        <v/>
      </c>
      <c r="CF129" s="636" t="str">
        <f>IF('HHV-LHV-MW'!K64="","",IF(AND('HHV-LHV-MW'!K64&gt;=0,'HHV-LHV-MW'!K64&lt;=0.09),2,  IF(AND('HHV-LHV-MW'!K64&gt;=0.1,'HHV-LHV-MW'!K64&lt;=0.9),7,  IF(AND('HHV-LHV-MW'!K64&gt;=1,'HHV-LHV-MW'!K64&lt;=4.9),10,   IF(AND('HHV-LHV-MW'!K64&gt;=5,'HHV-LHV-MW'!K64&lt;=10),12, 15)))))</f>
        <v/>
      </c>
      <c r="CG129" s="636" t="str">
        <f>IF('HHV-LHV-MW'!K64="","",5*'HHV-LHV-MW'!K64)</f>
        <v/>
      </c>
      <c r="CH129" s="635" t="str">
        <f t="shared" si="99"/>
        <v/>
      </c>
      <c r="CI129" s="636" t="str">
        <f>IF(OR(CH129="",'HHV-LHV-MW'!K64=0),"",CH129/'HHV-LHV-MW'!K64)</f>
        <v/>
      </c>
      <c r="CJ129" s="636" t="str">
        <f>IF(OR(CI129="",BZ129="",'HHV-LHV-MW'!K64=""),"",((CI129*BZ129*('HHV-LHV-MW'!K64/100))/23.685)^2)</f>
        <v/>
      </c>
      <c r="CK129" s="636" t="str">
        <f>IF(OR(CI129="",CA129="",'HHV-LHV-MW'!K64=""),"",((CI129*CA129*('HHV-LHV-MW'!K64/100))/23.685)^2)</f>
        <v/>
      </c>
      <c r="CL129" s="639" t="str">
        <f t="shared" si="100"/>
        <v/>
      </c>
      <c r="CM129" s="892" t="str">
        <f t="shared" si="101"/>
        <v/>
      </c>
      <c r="CN129" s="639" t="str">
        <f>IF(A129="","",VLOOKUP(A129,'HHV-LHV-MW'!$A$3:$H$40,7,FALSE))</f>
        <v/>
      </c>
      <c r="CO129" s="636" t="str">
        <f>IF($BO$96=1,     IF(OR(CN129="",'HHV-LHV-MW'!K64="",CI129=""),"",(CN129*('HHV-LHV-MW'!K64/100)*CI129)^2),IF(OR(CN129="",CB129="",CE129=""),"",(CN129*(CB129/100)*CE129)^2))</f>
        <v/>
      </c>
      <c r="CP129" s="635" t="str">
        <f>IF(A129="","",VLOOKUP(A129,'HHV-LHV-MW'!$A$3:$I$40,9,FALSE))</f>
        <v/>
      </c>
      <c r="CQ129" s="636" t="str">
        <f>IF($BO$96=1,     IF(OR(CP129="",'HHV-LHV-MW'!K64="",CI129=""),"",(CP129*('HHV-LHV-MW'!K64/100)*CI129)^2),IF(OR(CP129="",CB129="",CE129=""),"",(CP129*(CB129/100)*CE129)^2))</f>
        <v/>
      </c>
      <c r="CR129" s="636" t="str">
        <f>IF(A129="","",(VLOOKUP(A129,'HHV-LHV-MW'!$A$3:$F$40,6,FALSE))    )</f>
        <v/>
      </c>
      <c r="CS129" s="636" t="str">
        <f>IF($BO$96=1,     IF(OR(CR129="",'HHV-LHV-MW'!K64="",CI129=""),"",(CR129*('HHV-LHV-MW'!K64/100)*CI129)^2),IF(OR(CR129="",CB129="",CE129=""),"",(CR129*(CB129/100)*CE129)^2))</f>
        <v/>
      </c>
      <c r="CT129" s="640" t="str">
        <f>IF($BO$96=1,     IF(OR(CR129="",CP129="",$B$103="",$B$103=0,'HHV-LHV-MW'!K64="",CI129="",$CQ$145=""),"", ((CR129*((CP129*('HHV-LHV-MW'!K64/100))/$B$103))^2)*((CI129^2)+($CQ$145^2))),              IF(OR(CR129="",CP129="",CB129="",CE129="",$CQ$145="",$B$103="",$B$103=0),"",      ((CR129*((CP129*(CB129/100))/$B$103))^2)*((CE129^2)+($CQ$145^2))             ))</f>
        <v/>
      </c>
      <c r="CU129" s="889" t="str">
        <f>IF(G129="","",VLOOKUP(G129,'HHV-LHV-MW'!$A$3:$H$40,4,FALSE))</f>
        <v/>
      </c>
      <c r="CV129" s="889" t="str">
        <f>IF(G129="","",VLOOKUP(G129,'HHV-LHV-MW'!$A$3:$H$40,5,FALSE))</f>
        <v/>
      </c>
      <c r="CW129" s="890" t="str">
        <f>IF($BO$106="","",((PRODUCT('HHV-LHV-MW'!BH64)+PRODUCT('HHV-LHV-MW'!BT64)+PRODUCT('HHV-LHV-MW'!CF64)+PRODUCT('HHV-LHV-MW'!CR64))/$BO$106))</f>
        <v/>
      </c>
      <c r="CX129" s="890" t="str">
        <f>IF($BO$106="","",(IF($BO$106=1,"",  (SQRT(  (      (IF('HHV-LHV-MW'!BH64="",0,('HHV-LHV-MW'!BH64-CW129)^2))      +        (IF('HHV-LHV-MW'!BT64="",0,('HHV-LHV-MW'!BT64-CW129)^2))       +        (IF('HHV-LHV-MW'!CF64="",0,('HHV-LHV-MW'!CF64-CW129)^2))          +        (IF('HHV-LHV-MW'!CR64="",0,('HHV-LHV-MW'!CR64-CW129)^2))          )     *(1/($BO$106-1))  )))))</f>
        <v/>
      </c>
      <c r="CY129" s="890" t="str">
        <f t="shared" si="102"/>
        <v/>
      </c>
      <c r="CZ129" s="890" t="str">
        <f t="shared" si="103"/>
        <v/>
      </c>
      <c r="DA129" s="636" t="str">
        <f>IF('HHV-LHV-MW'!BH64="","",IF(AND('HHV-LHV-MW'!BH64&gt;=0,'HHV-LHV-MW'!BH64&lt;=0.09),2,  IF(AND('HHV-LHV-MW'!BH64&gt;=0.1,'HHV-LHV-MW'!BH64&lt;=0.9),7,  IF(AND('HHV-LHV-MW'!BH64&gt;=1,'HHV-LHV-MW'!BH64&lt;=4.9),10,   IF(AND('HHV-LHV-MW'!BH64&gt;=5,'HHV-LHV-MW'!BH64&lt;=10),12, 15)))))</f>
        <v/>
      </c>
      <c r="DB129" s="636" t="str">
        <f>IF('HHV-LHV-MW'!BH64="","",5*'HHV-LHV-MW'!BH64)</f>
        <v/>
      </c>
      <c r="DC129" s="635" t="str">
        <f t="shared" si="104"/>
        <v/>
      </c>
      <c r="DD129" s="636" t="str">
        <f>IF(OR(DC129="",'HHV-LHV-MW'!BH64=0),"",DC129/'HHV-LHV-MW'!BH64)</f>
        <v/>
      </c>
      <c r="DE129" s="635" t="str">
        <f>IF(OR(DD129="",CU129="",'HHV-LHV-MW'!BH64=""),"",((DD129*CU129*('HHV-LHV-MW'!BH64/100))/23.685)^2)</f>
        <v/>
      </c>
      <c r="DF129" s="636" t="str">
        <f>IF(OR(DD129="",CV129="",'HHV-LHV-MW'!BH64=""),"",((DD129*CV129*('HHV-LHV-MW'!BH64/100))/23.685)^2)</f>
        <v/>
      </c>
      <c r="DG129" s="639" t="str">
        <f t="shared" si="105"/>
        <v/>
      </c>
      <c r="DH129" s="891" t="str">
        <f t="shared" si="106"/>
        <v/>
      </c>
      <c r="DI129" s="635" t="str">
        <f>IF(G129="","",VLOOKUP(G129,'HHV-LHV-MW'!$A$3:$H$40,7,FALSE))</f>
        <v/>
      </c>
      <c r="DJ129" s="875" t="str">
        <f>IF($BO$106=1,     IF(OR(DI129="",'HHV-LHV-MW'!BH64="",DD129=""),"",(DI129*('HHV-LHV-MW'!BH64/100)*DD129)^2),IF(OR(DI129="",CW129="",CZ129=""),"",(DI129*(CW129/100)*CZ129)^2))</f>
        <v/>
      </c>
      <c r="DK129" s="635" t="str">
        <f>IF(G129="","",VLOOKUP(G129,'HHV-LHV-MW'!$A$3:$I$40,9,FALSE))</f>
        <v/>
      </c>
      <c r="DL129" s="875" t="str">
        <f>IF($BO$106=1,     IF(OR(DK129="",'HHV-LHV-MW'!BH64="",DD129=""),"",(DK129*('HHV-LHV-MW'!BH64/100)*DD129)^2),IF(OR(DK129="",CW129="",CZ129=""),"",(DK129*(CW129/100)*CZ129)^2))</f>
        <v/>
      </c>
      <c r="DM129" s="635" t="str">
        <f>IF(G129="","",(VLOOKUP(G129,'HHV-LHV-MW'!$A$3:$F$40,6,FALSE))    )</f>
        <v/>
      </c>
      <c r="DN129" s="875" t="str">
        <f>IF($BO$106=1,     IF(OR(DM129="",'HHV-LHV-MW'!BH64="",DD129=""),"",(DM129*('HHV-LHV-MW'!BH64/100)*DD129)^2),IF(OR(DM129="",CW129="",CZ129=""),"",(DM129*(CW129/100)*CZ129)^2))</f>
        <v/>
      </c>
      <c r="DO129" s="638" t="str">
        <f>IF($BO$106=1,     IF(OR(DM129="",DK129="",$H$103="",$H$103=0,'HHV-LHV-MW'!BH64="",DD129="",$DL$145=""),"", ((DM129*((DK129*('HHV-LHV-MW'!BH64/100))/$H$103))^2)*((DD129^2)+($DL$145^2))),              IF(OR(DM129="",DK129="",CW129="",CZ129="",$DL$145="",$H$103="",$H$103=0),"",      ((DM129*((DK129*(CW129/100))/$H$103))^2)*((CZ129^2)+($DL$145^2))             ))</f>
        <v/>
      </c>
      <c r="DP129" s="889" t="str">
        <f>IF(M129="","",VLOOKUP(M129,'HHV-LHV-MW'!$A$3:$H$40,4,FALSE))</f>
        <v/>
      </c>
      <c r="DQ129" s="889" t="str">
        <f>IF(M129="","",VLOOKUP(M129,'HHV-LHV-MW'!$A$3:$H$40,5,FALSE))</f>
        <v/>
      </c>
      <c r="DR129" s="890" t="str">
        <f>IF($BO$116="","",((PRODUCT('HHV-LHV-MW'!DE64)+PRODUCT('HHV-LHV-MW'!DQ64)+PRODUCT('HHV-LHV-MW'!EC64)+PRODUCT('HHV-LHV-MW'!EO64))/$BO$116))</f>
        <v/>
      </c>
      <c r="DS129" s="890" t="str">
        <f>IF($BO$116="","",(IF($BO$116=1,"",  (SQRT(  (      (IF('HHV-LHV-MW'!DE64="",0,('HHV-LHV-MW'!DE64-DR129)^2))      +        (IF('HHV-LHV-MW'!DQ64="",0,('HHV-LHV-MW'!DQ64-DR129)^2))       +        (IF('HHV-LHV-MW'!EC64="",0,('HHV-LHV-MW'!EC64-DR129)^2))          +        (IF('HHV-LHV-MW'!EO64="",0,('HHV-LHV-MW'!EO64-DR129)^2))          )     *(1/($BO$116-1))  )))))</f>
        <v/>
      </c>
      <c r="DT129" s="890" t="str">
        <f t="shared" si="107"/>
        <v/>
      </c>
      <c r="DU129" s="890" t="str">
        <f t="shared" si="108"/>
        <v/>
      </c>
      <c r="DV129" s="636" t="str">
        <f>IF('HHV-LHV-MW'!DE64="","",IF(AND('HHV-LHV-MW'!DE64&gt;=0,'HHV-LHV-MW'!DE64&lt;=0.09),2,  IF(AND('HHV-LHV-MW'!DE64&gt;=0.1,'HHV-LHV-MW'!DE64&lt;=0.9),7,  IF(AND('HHV-LHV-MW'!DE64&gt;=1,'HHV-LHV-MW'!DE64&lt;=4.9),10,   IF(AND('HHV-LHV-MW'!DE64&gt;=5,'HHV-LHV-MW'!DE64&lt;=10),12, 15)))))</f>
        <v/>
      </c>
      <c r="DW129" s="636" t="str">
        <f>IF('HHV-LHV-MW'!DE64="","",5*'HHV-LHV-MW'!DE64)</f>
        <v/>
      </c>
      <c r="DX129" s="635" t="str">
        <f t="shared" si="109"/>
        <v/>
      </c>
      <c r="DY129" s="636" t="str">
        <f>IF(OR(DX129="",'HHV-LHV-MW'!DE64=0),"",DX129/'HHV-LHV-MW'!DE64)</f>
        <v/>
      </c>
      <c r="DZ129" s="636" t="str">
        <f>IF(OR(DY129="",DP129="",'HHV-LHV-MW'!DE64=""),"",((DY129*DP129*('HHV-LHV-MW'!DE64/100))/23.685)^2)</f>
        <v/>
      </c>
      <c r="EA129" s="636" t="str">
        <f>IF(OR(DY129="",DQ129="",'HHV-LHV-MW'!DE64=""),"",((DY129*DQ129*('HHV-LHV-MW'!DE64/100))/23.685)^2)</f>
        <v/>
      </c>
      <c r="EB129" s="639" t="str">
        <f t="shared" si="110"/>
        <v/>
      </c>
      <c r="EC129" s="891" t="str">
        <f t="shared" si="111"/>
        <v/>
      </c>
      <c r="ED129" s="643" t="str">
        <f>IF(M129="","",VLOOKUP(M129,'HHV-LHV-MW'!$A$3:$H$40,7,FALSE))</f>
        <v/>
      </c>
      <c r="EE129" s="875" t="str">
        <f>IF($BO$116=1,     IF(OR(ED129="",'HHV-LHV-MW'!DE64="",DY129=""),"",(ED129*('HHV-LHV-MW'!DE64/100)*DY129)^2),IF(OR(ED129="",DR129="",DU129=""),"",(ED129*(DR129/100)*DU129)^2))</f>
        <v/>
      </c>
      <c r="EF129" s="635" t="str">
        <f>IF(M129="","",VLOOKUP(M129,'HHV-LHV-MW'!$A$3:$I$40,9,FALSE))</f>
        <v/>
      </c>
      <c r="EG129" s="875" t="str">
        <f>IF($BO$116=1,     IF(OR(EF129="",'HHV-LHV-MW'!DE64="",DY129=""),"",(EF129*('HHV-LHV-MW'!DE64/100)*DY129)^2),IF(OR(EF129="",DR129="",DU129=""),"",(EF129*(DR129/100)*DU129)^2))</f>
        <v/>
      </c>
      <c r="EH129" s="635" t="str">
        <f>IF(M129="","",(VLOOKUP(M129,'HHV-LHV-MW'!$A$3:$F$40,6,FALSE))    )</f>
        <v/>
      </c>
      <c r="EI129" s="875" t="str">
        <f>IF($BO$116=1,     IF(OR(EH129="",'HHV-LHV-MW'!DE64="",DY129=""),"",(EH129*('HHV-LHV-MW'!DE64/100)*DY129)^2),IF(OR(EH129="",DR129="",DU129=""),"",(EH129*(DR129/100)*DU129)^2))</f>
        <v/>
      </c>
      <c r="EJ129" s="638" t="str">
        <f>IF($BO$116=1,     IF(OR(EH129="",EF129="",$N$103="",$N$103=0,'HHV-LHV-MW'!DE64="",DY129="",$EG$145=""),"", ((EH129*((EF129*('HHV-LHV-MW'!DE64/100))/$N$103))^2)*((DY129^2)+($EG$145^2))),              IF(OR(EH129="",EF129="",DR129="",DU129="",$EG$145="",$N$103="",$N$103=0),"",      ((EH129*((EF129*(DR129/100))/$N$103))^2)*((DU129^2)+($EG$145^2))             ))</f>
        <v/>
      </c>
      <c r="EK129" s="889" t="str">
        <f>IF(S129="","",VLOOKUP(S129,'HHV-LHV-MW'!$A$3:$H$40,4,FALSE))</f>
        <v/>
      </c>
      <c r="EL129" s="889" t="str">
        <f>IF(S129="","",VLOOKUP(S129,'HHV-LHV-MW'!$A$3:$H$40,5,FALSE))</f>
        <v/>
      </c>
      <c r="EM129" s="890" t="str">
        <f>IF($BO$126="","",((PRODUCT('HHV-LHV-MW'!FB64)+PRODUCT('HHV-LHV-MW'!FN64)+PRODUCT('HHV-LHV-MW'!FZ64)+PRODUCT('HHV-LHV-MW'!GL64))/$BO$126))</f>
        <v/>
      </c>
      <c r="EN129" s="890" t="str">
        <f>IF($BO$126="","",(IF($BO$126=1,"",  (SQRT(  (      (IF('HHV-LHV-MW'!FB64="",0,('HHV-LHV-MW'!FB64-EM129)^2))      +        (IF('HHV-LHV-MW'!FN64="",0,('HHV-LHV-MW'!FN64-EM129)^2))       +        (IF('HHV-LHV-MW'!FZ64="",0,('HHV-LHV-MW'!FZ64-EM129)^2))          +        (IF('HHV-LHV-MW'!GL64="",0,('HHV-LHV-MW'!GL64-EM129)^2))          )     *(1/($BO$126-1))  )))))</f>
        <v/>
      </c>
      <c r="EO129" s="890" t="str">
        <f t="shared" si="112"/>
        <v/>
      </c>
      <c r="EP129" s="890" t="str">
        <f t="shared" si="113"/>
        <v/>
      </c>
      <c r="EQ129" s="636" t="str">
        <f>IF('HHV-LHV-MW'!FB64="","",IF(AND('HHV-LHV-MW'!FB64&gt;=0,'HHV-LHV-MW'!FB64&lt;=0.09),2,  IF(AND('HHV-LHV-MW'!FB64&gt;=0.1,'HHV-LHV-MW'!FB64&lt;=0.9),7,  IF(AND('HHV-LHV-MW'!FB64&gt;=1,'HHV-LHV-MW'!FB64&lt;=4.9),10,   IF(AND('HHV-LHV-MW'!FB64&gt;=5,'HHV-LHV-MW'!FB64&lt;=10),12, 15)))))</f>
        <v/>
      </c>
      <c r="ER129" s="636" t="str">
        <f>IF('HHV-LHV-MW'!FB64="","",5*'HHV-LHV-MW'!FB64)</f>
        <v/>
      </c>
      <c r="ES129" s="635" t="str">
        <f t="shared" si="114"/>
        <v/>
      </c>
      <c r="ET129" s="636" t="str">
        <f>IF(OR(ES129="",'HHV-LHV-MW'!FB64=0),"",ES129/'HHV-LHV-MW'!FB64)</f>
        <v/>
      </c>
      <c r="EU129" s="636" t="str">
        <f>IF(OR(ET129="",EK129="",'HHV-LHV-MW'!FB64=""),"",((ET129*EK129*('HHV-LHV-MW'!FB64/100))/23.685)^2)</f>
        <v/>
      </c>
      <c r="EV129" s="636" t="str">
        <f>IF(OR(ET129="",EL129="",'HHV-LHV-MW'!FB64=""),"",((ET129*EL129*('HHV-LHV-MW'!FB64/100))/23.685)^2)</f>
        <v/>
      </c>
      <c r="EW129" s="639" t="str">
        <f t="shared" si="115"/>
        <v/>
      </c>
      <c r="EX129" s="891" t="str">
        <f t="shared" si="116"/>
        <v/>
      </c>
      <c r="EY129" s="643" t="str">
        <f>IF(S129="","",VLOOKUP(S129,'HHV-LHV-MW'!$A$3:$H$40,7,FALSE))</f>
        <v/>
      </c>
      <c r="EZ129" s="875" t="str">
        <f>IF($BO$126=1,     IF(OR(EY129="",'HHV-LHV-MW'!FB64="",ET129=""),"",(EY129*('HHV-LHV-MW'!FB64/100)*ET129)^2),IF(OR(EY129="",EM129="",EP129=""),"",(EY129*(EM129/100)*EP129)^2))</f>
        <v/>
      </c>
      <c r="FA129" s="635" t="str">
        <f>IF(S129="","",VLOOKUP(S129,'HHV-LHV-MW'!$A$3:$I$40,9,FALSE))</f>
        <v/>
      </c>
      <c r="FB129" s="875" t="str">
        <f>IF($BO$126=1,     IF(OR(FA129="",'HHV-LHV-MW'!FB64="",ET129=""),"",(FA129*('HHV-LHV-MW'!FB64/100)*ET129)^2),IF(OR(FA129="",EM129="",EP129=""),"",(FA129*(EM129/100)*EP129)^2))</f>
        <v/>
      </c>
      <c r="FC129" s="635" t="str">
        <f>IF(S129="","",(VLOOKUP(S129,'HHV-LHV-MW'!$A$3:$F$40,6,FALSE))    )</f>
        <v/>
      </c>
      <c r="FD129" s="875" t="str">
        <f>IF($BO$126=1,     IF(OR(FC129="",'HHV-LHV-MW'!FB64="",ET129=""),"",(FC129*('HHV-LHV-MW'!FB64/100)*ET129)^2),IF(OR(FC129="",EM129="",EP129=""),"",(FC129*(EM129/100)*EP129)^2))</f>
        <v/>
      </c>
      <c r="FE129" s="638" t="str">
        <f>IF($BO$126=1,     IF(OR(FC129="",FA129="",$T$103="",$T$103=0,'HHV-LHV-MW'!FB64="",ET129="",$FB$145=""),"", ((FC129*((FA129*('HHV-LHV-MW'!FB64/100))/$T$103))^2)*((ET129^2)+($FB$145^2))),              IF(OR(FC129="",FA129="",EM129="",EP129="",$FB$145="",$T$103="",$T$103=0),"",      ((FC129*((FA129*(EM129/100))/$T$103))^2)*((EP129^2)+($FB$145^2))             ))</f>
        <v/>
      </c>
      <c r="FF129" s="889" t="str">
        <f>IF(Y129="","",VLOOKUP(Y129,'HHV-LHV-MW'!$A$3:$H$40,4,FALSE))</f>
        <v/>
      </c>
      <c r="FG129" s="889" t="str">
        <f>IF(Y129="","",VLOOKUP(Y129,'HHV-LHV-MW'!$A$3:$H$40,5,FALSE))</f>
        <v/>
      </c>
      <c r="FH129" s="890" t="str">
        <f>IF($BO$136="","",((PRODUCT('HHV-LHV-MW'!GY64)+PRODUCT('HHV-LHV-MW'!HK64)+PRODUCT('HHV-LHV-MW'!HW64)+PRODUCT('HHV-LHV-MW'!II64))/$BO$136))</f>
        <v/>
      </c>
      <c r="FI129" s="890" t="str">
        <f>IF($BO$136="","",(IF($BO$136=1,"",  (SQRT(  (      (IF('HHV-LHV-MW'!GY64="",0,('HHV-LHV-MW'!GY64-FH129)^2))      +        (IF('HHV-LHV-MW'!HK64="",0,('HHV-LHV-MW'!HK64-FH129)^2))       +        (IF('HHV-LHV-MW'!HW64="",0,('HHV-LHV-MW'!HW64-FH129)^2))          +        (IF('HHV-LHV-MW'!II64="",0,('HHV-LHV-MW'!II64-FH129)^2))          )     *(1/($BO$136-1))  )))))</f>
        <v/>
      </c>
      <c r="FJ129" s="890" t="str">
        <f t="shared" si="117"/>
        <v/>
      </c>
      <c r="FK129" s="890" t="str">
        <f t="shared" si="118"/>
        <v/>
      </c>
      <c r="FL129" s="636" t="str">
        <f>IF('HHV-LHV-MW'!GY64="","",IF(AND('HHV-LHV-MW'!GY64&gt;=0,'HHV-LHV-MW'!GY64&lt;=0.09),2,  IF(AND('HHV-LHV-MW'!GY64&gt;=0.1,'HHV-LHV-MW'!GY64&lt;=0.9),7,  IF(AND('HHV-LHV-MW'!GY64&gt;=1,'HHV-LHV-MW'!GY64&lt;=4.9),10,   IF(AND('HHV-LHV-MW'!GY64&gt;=5,'HHV-LHV-MW'!GY64&lt;=10),12, 15)))))</f>
        <v/>
      </c>
      <c r="FM129" s="636" t="str">
        <f>IF('HHV-LHV-MW'!GY64="","",5*'HHV-LHV-MW'!GY64)</f>
        <v/>
      </c>
      <c r="FN129" s="635" t="str">
        <f t="shared" si="119"/>
        <v/>
      </c>
      <c r="FO129" s="636" t="str">
        <f>IF(OR(FN129="",'HHV-LHV-MW'!GY64=0),"",FN129/'HHV-LHV-MW'!GY64)</f>
        <v/>
      </c>
      <c r="FP129" s="636" t="str">
        <f>IF(OR(FO129="",FF129="",'HHV-LHV-MW'!GY64=""),"",((FO129*FF129*('HHV-LHV-MW'!GY64/100))/23.685)^2)</f>
        <v/>
      </c>
      <c r="FQ129" s="636" t="str">
        <f>IF(OR(FO129="",FG129="",'HHV-LHV-MW'!GY64=""),"",((FO129*FG129*('HHV-LHV-MW'!GY64/100))/23.685)^2)</f>
        <v/>
      </c>
      <c r="FR129" s="639" t="str">
        <f t="shared" si="120"/>
        <v/>
      </c>
      <c r="FS129" s="891" t="str">
        <f t="shared" si="121"/>
        <v/>
      </c>
      <c r="FT129" s="643" t="str">
        <f>IF(Y129="","",VLOOKUP(Y129,'HHV-LHV-MW'!$A$3:$H$40,7,FALSE))</f>
        <v/>
      </c>
      <c r="FU129" s="875" t="str">
        <f>IF($BO$136=1,     IF(OR(FT129="",'HHV-LHV-MW'!GY64="",FO129=""),"",(FT129*('HHV-LHV-MW'!GY64/100)*FO129)^2),IF(OR(FT129="",FH129="",FK129=""),"",(FT129*(FH129/100)*FK129)^2))</f>
        <v/>
      </c>
      <c r="FV129" s="635" t="str">
        <f>IF(Y129="","",VLOOKUP(Y129,'HHV-LHV-MW'!$A$3:$I$40,9,FALSE))</f>
        <v/>
      </c>
      <c r="FW129" s="875" t="str">
        <f>IF($BO$136=1,     IF(OR(FV129="",'HHV-LHV-MW'!GY64="",FO129=""),"",(FV129*('HHV-LHV-MW'!GY64/100)*FO129)^2),IF(OR(FV129="",FH129="",FK129=""),"",(FV129*(FH129/100)*FK129)^2))</f>
        <v/>
      </c>
      <c r="FX129" s="635" t="str">
        <f>IF(Y129="","",(VLOOKUP(Y129,'HHV-LHV-MW'!$A$3:$F$40,6,FALSE))    )</f>
        <v/>
      </c>
      <c r="FY129" s="875" t="str">
        <f>IF($BO$136=1,     IF(OR(FX129="",'HHV-LHV-MW'!GY64="",FO129=""),"",(FX129*('HHV-LHV-MW'!GY64/100)*FO129)^2),IF(OR(FX129="",FH129="",FK129=""),"",(FX129*(FH129/100)*FK129)^2))</f>
        <v/>
      </c>
      <c r="FZ129" s="638" t="str">
        <f>IF($BO$136=1,     IF(OR(FX129="",FV129="",$Z$103="",$Z$103=0,'HHV-LHV-MW'!GY64="",FO129="",$FW$145=""),"", ((FX129*((FV129*('HHV-LHV-MW'!GY64/100))/$Z$103))^2)*((FO129^2)+($FW$145^2))),              IF(OR(FX129="",FV129="",FH129="",FK129="",$FW$145="",$Z$103="",$Z$103=0),"",      ((FX129*((FV129*(FH129/100))/$Z$103))^2)*((FK129^2)+($FW$145^2))             ))</f>
        <v/>
      </c>
      <c r="GA129" s="889" t="str">
        <f>IF(AE129="","",VLOOKUP(AE129,'HHV-LHV-MW'!$A$3:$H$40,4,FALSE))</f>
        <v/>
      </c>
      <c r="GB129" s="889" t="str">
        <f>IF(AE129="","",VLOOKUP(AE129,'HHV-LHV-MW'!$A$3:$H$40,5,FALSE))</f>
        <v/>
      </c>
      <c r="GC129" s="890" t="str">
        <f>IF($BW$96="","",((PRODUCT('HHV-LHV-MW'!IV64)+PRODUCT('HHV-LHV-MW'!JH64)+PRODUCT('HHV-LHV-MW'!JT64)+PRODUCT('HHV-LHV-MW'!KF64))/$BW$96))</f>
        <v/>
      </c>
      <c r="GD129" s="890" t="str">
        <f>IF($BW$96="","",(IF($BW$96=1,"",  (SQRT(  (      (IF('HHV-LHV-MW'!IV64="",0,('HHV-LHV-MW'!IV64-GC129)^2))      +        (IF('HHV-LHV-MW'!JH64="",0,('HHV-LHV-MW'!JH64-GC129)^2))       +        (IF('HHV-LHV-MW'!JT64="",0,('HHV-LHV-MW'!JT64-GC129)^2))          +        (IF('HHV-LHV-MW'!KF64="",0,('HHV-LHV-MW'!KF64-GC129)^2))          )     *(1/($BW$96-1))  )))))</f>
        <v/>
      </c>
      <c r="GE129" s="890" t="str">
        <f t="shared" si="122"/>
        <v/>
      </c>
      <c r="GF129" s="890" t="str">
        <f t="shared" si="123"/>
        <v/>
      </c>
      <c r="GG129" s="636" t="str">
        <f>IF('HHV-LHV-MW'!IV64="","",IF(AND('HHV-LHV-MW'!IV64&gt;=0,'HHV-LHV-MW'!IV64&lt;=0.09),2,  IF(AND('HHV-LHV-MW'!IV64&gt;=0.1,'HHV-LHV-MW'!IV64&lt;=0.9),7,  IF(AND('HHV-LHV-MW'!IV64&gt;=1,'HHV-LHV-MW'!IV64&lt;=4.9),10,   IF(AND('HHV-LHV-MW'!IV64&gt;=5,'HHV-LHV-MW'!IV64&lt;=10),12, 15)))))</f>
        <v/>
      </c>
      <c r="GH129" s="636" t="str">
        <f>IF('HHV-LHV-MW'!IV64="","",5*'HHV-LHV-MW'!IV64)</f>
        <v/>
      </c>
      <c r="GI129" s="635" t="str">
        <f t="shared" si="124"/>
        <v/>
      </c>
      <c r="GJ129" s="636" t="str">
        <f>IF(OR(GI129="",'HHV-LHV-MW'!IV64=0),"",GI129/'HHV-LHV-MW'!IV64)</f>
        <v/>
      </c>
      <c r="GK129" s="636" t="str">
        <f>IF(OR(GJ129="",GA129="",'HHV-LHV-MW'!IV64=""),"",((GJ129*GA129*('HHV-LHV-MW'!IV64/100))/23.685)^2)</f>
        <v/>
      </c>
      <c r="GL129" s="636" t="str">
        <f>IF(OR(GJ129="",GB129="",'HHV-LHV-MW'!IV64=""),"",((GJ129*GB129*('HHV-LHV-MW'!IV64/100))/23.685)^2)</f>
        <v/>
      </c>
      <c r="GM129" s="639" t="str">
        <f t="shared" si="125"/>
        <v/>
      </c>
      <c r="GN129" s="891" t="str">
        <f t="shared" si="126"/>
        <v/>
      </c>
      <c r="GO129" s="643" t="str">
        <f>IF(AE129="","",VLOOKUP(AE129,'HHV-LHV-MW'!$A$3:$H$40,7,FALSE))</f>
        <v/>
      </c>
      <c r="GP129" s="875" t="str">
        <f>IF($BW$96=1,     IF(OR(GO129="",'HHV-LHV-MW'!IV64="",GJ129=""),"",(GO129*('HHV-LHV-MW'!IV64/100)*GJ129)^2),IF(OR(GO129="",GC129="",GF129=""),"",(GO129*(GC129/100)*GF129)^2))</f>
        <v/>
      </c>
      <c r="GQ129" s="635" t="str">
        <f>IF(AE129="","",VLOOKUP(AE129,'HHV-LHV-MW'!$A$3:$I$40,9,FALSE))</f>
        <v/>
      </c>
      <c r="GR129" s="875" t="str">
        <f>IF($BW$96=1,     IF(OR(GQ129="",'HHV-LHV-MW'!IV64="",GJ129=""),"",(GQ129*('HHV-LHV-MW'!IV64/100)*GJ129)^2),IF(OR(GQ129="",GC129="",GF129=""),"",(GQ129*(GC129/100)*GF129)^2))</f>
        <v/>
      </c>
      <c r="GS129" s="635" t="str">
        <f>IF(AE129="","",(VLOOKUP(AE129,'HHV-LHV-MW'!$A$3:$F$40,6,FALSE))    )</f>
        <v/>
      </c>
      <c r="GT129" s="875" t="str">
        <f>IF($BW$96=1,     IF(OR(GS129="",'HHV-LHV-MW'!IV64="",GJ129=""),"",(GS129*('HHV-LHV-MW'!IV64/100)*GJ129)^2),IF(OR(GS129="",GC129="",GF129=""),"",(GS129*(GC129/100)*GF129)^2))</f>
        <v/>
      </c>
      <c r="GU129" s="638" t="str">
        <f>IF($BW$96=1,     IF(OR(GS129="",GQ129="",$AF$103="",$AF$103=0,'HHV-LHV-MW'!IV64="",GJ129="",$GR$145=""),"", ((GS129*((GQ129*('HHV-LHV-MW'!IV64/100))/$AF$103))^2)*((GJ129^2)+($GR$145^2))),              IF(OR(GS129="",GQ129="",GC129="",GF129="",$GR$145="",$AF$103="",$AF$103=0),"",      ((GS129*((GQ129*(GC129/100))/$AF$103))^2)*((GF129^2)+($GR$145^2))             ))</f>
        <v/>
      </c>
      <c r="GV129" s="889" t="str">
        <f>IF(AK129="","",VLOOKUP(AK129,'HHV-LHV-MW'!$A$3:$H$40,4,FALSE))</f>
        <v/>
      </c>
      <c r="GW129" s="889" t="str">
        <f>IF(AK129="","",VLOOKUP(AK129,'HHV-LHV-MW'!$A$3:$H$40,5,FALSE))</f>
        <v/>
      </c>
      <c r="GX129" s="890" t="str">
        <f>IF($BW$106="","",((PRODUCT('HHV-LHV-MW'!KS64)+PRODUCT('HHV-LHV-MW'!LE64)+PRODUCT('HHV-LHV-MW'!LQ64)+PRODUCT('HHV-LHV-MW'!MC64))/$BW$106))</f>
        <v/>
      </c>
      <c r="GY129" s="890" t="str">
        <f>IF($BW$106="","",(IF($BW$106=1,"",  (SQRT(  (      (IF('HHV-LHV-MW'!KS64="",0,('HHV-LHV-MW'!KS64-GX129)^2))      +        (IF('HHV-LHV-MW'!LE64="",0,('HHV-LHV-MW'!LE64-GX129)^2))       +        (IF('HHV-LHV-MW'!LQ64="",0,('HHV-LHV-MW'!LQ64-GX129)^2))          +        (IF('HHV-LHV-MW'!MC64="",0,('HHV-LHV-MW'!MC64-GX129)^2))          )     *(1/($BW$106-1))  )))))</f>
        <v/>
      </c>
      <c r="GZ129" s="890" t="str">
        <f t="shared" si="127"/>
        <v/>
      </c>
      <c r="HA129" s="890" t="str">
        <f t="shared" si="128"/>
        <v/>
      </c>
      <c r="HB129" s="636" t="str">
        <f>IF('HHV-LHV-MW'!KS64="","",IF(AND('HHV-LHV-MW'!KS64&gt;=0,'HHV-LHV-MW'!KS64&lt;=0.09),2,  IF(AND('HHV-LHV-MW'!KS64&gt;=0.1,'HHV-LHV-MW'!KS64&lt;=0.9),7,  IF(AND('HHV-LHV-MW'!KS64&gt;=1,'HHV-LHV-MW'!KS64&lt;=4.9),10,   IF(AND('HHV-LHV-MW'!KS64&gt;=5,'HHV-LHV-MW'!KS64&lt;=10),12, 15)))))</f>
        <v/>
      </c>
      <c r="HC129" s="636" t="str">
        <f>IF('HHV-LHV-MW'!KS64="","",5*'HHV-LHV-MW'!KS64)</f>
        <v/>
      </c>
      <c r="HD129" s="635" t="str">
        <f t="shared" si="129"/>
        <v/>
      </c>
      <c r="HE129" s="636" t="str">
        <f>IF(OR(HD129="",'HHV-LHV-MW'!KS64=0),"",HD129/'HHV-LHV-MW'!KS64)</f>
        <v/>
      </c>
      <c r="HF129" s="636" t="str">
        <f>IF(OR(HE129="",GV129="",'HHV-LHV-MW'!KS64=""),"",((HE129*GV129*('HHV-LHV-MW'!KS64/100))/23.685)^2)</f>
        <v/>
      </c>
      <c r="HG129" s="636" t="str">
        <f>IF(OR(HE129="",GW129="",'HHV-LHV-MW'!KS64=""),"",((HE129*GW129*('HHV-LHV-MW'!KS64/100))/23.685)^2)</f>
        <v/>
      </c>
      <c r="HH129" s="639" t="str">
        <f t="shared" si="130"/>
        <v/>
      </c>
      <c r="HI129" s="891" t="str">
        <f t="shared" si="131"/>
        <v/>
      </c>
      <c r="HJ129" s="643" t="str">
        <f>IF(AK129="","",VLOOKUP(AK129,'HHV-LHV-MW'!$A$3:$H$40,7,FALSE))</f>
        <v/>
      </c>
      <c r="HK129" s="875" t="str">
        <f>IF($BW$106=1,     IF(OR(HJ129="",'HHV-LHV-MW'!KS64="",HE129=""),"",(HJ129*('HHV-LHV-MW'!KS64/100)*HE129)^2),IF(OR(HJ129="",GX129="",HA129=""),"",(HJ129*(GX129/100)*HA129)^2))</f>
        <v/>
      </c>
      <c r="HL129" s="635" t="str">
        <f>IF(AK129="","",VLOOKUP(AK129,'HHV-LHV-MW'!$A$3:$I$40,9,FALSE))</f>
        <v/>
      </c>
      <c r="HM129" s="875" t="str">
        <f>IF($BW$106=1,     IF(OR(HL129="",'HHV-LHV-MW'!KS64="",HE129=""),"",(HL129*('HHV-LHV-MW'!KS64/100)*HE129)^2),IF(OR(HL129="",GX129="",HA129=""),"",(HL129*(GX129/100)*HA129)^2))</f>
        <v/>
      </c>
      <c r="HN129" s="635" t="str">
        <f>IF(AK129="","",(VLOOKUP(AK129,'HHV-LHV-MW'!$A$3:$F$40,6,FALSE))    )</f>
        <v/>
      </c>
      <c r="HO129" s="875" t="str">
        <f>IF($BW$106=1,     IF(OR(HN129="",'HHV-LHV-MW'!KS64="",HE129=""),"",(HN129*('HHV-LHV-MW'!KS64/100)*HE129)^2),IF(OR(HN129="",GX129="",HA129=""),"",(HN129*(GX129/100)*HA129)^2))</f>
        <v/>
      </c>
      <c r="HP129" s="638" t="str">
        <f>IF($BW$106=1,     IF(OR(HN129="",HL129="",$AL$103="",$AL$103=0,'HHV-LHV-MW'!KS64="",HE129="",$HM$145=""),"", ((HN129*((HL129*('HHV-LHV-MW'!KS64/100))/$AL$103))^2)*((HE129^2)+($HM$145^2))),              IF(OR(HN129="",HL129="",GX129="",HA129="",$HM$145="",$AL$103="",$AL$103=0),"",      ((HN129*((HL129*(GX129/100))/$AL$103))^2)*((HA129^2)+($HM$145^2))             ))</f>
        <v/>
      </c>
      <c r="HQ129" s="889" t="str">
        <f>IF(AQ129="","",VLOOKUP(AQ129,'HHV-LHV-MW'!$A$3:$H$40,4,FALSE))</f>
        <v/>
      </c>
      <c r="HR129" s="889" t="str">
        <f>IF(AQ129="","",VLOOKUP(AQ129,'HHV-LHV-MW'!$A$3:$H$40,5,FALSE))</f>
        <v/>
      </c>
      <c r="HS129" s="890" t="str">
        <f>IF($BW$116="","",((PRODUCT('HHV-LHV-MW'!MP64)+PRODUCT('HHV-LHV-MW'!NB64)+PRODUCT('HHV-LHV-MW'!NN64)+PRODUCT('HHV-LHV-MW'!NZ64))/$BW$116))</f>
        <v/>
      </c>
      <c r="HT129" s="890" t="str">
        <f>IF($BW$116="","",(IF($BW$116=1,"",  (SQRT(  (      (IF('HHV-LHV-MW'!MP64="",0,('HHV-LHV-MW'!MP64-HS129)^2))      +        (IF('HHV-LHV-MW'!NB64="",0,('HHV-LHV-MW'!NB64-HS129)^2))       +        (IF('HHV-LHV-MW'!NN64="",0,('HHV-LHV-MW'!NN64-HS129)^2))          +        (IF('HHV-LHV-MW'!NZ64="",0,('HHV-LHV-MW'!NZ64-HS129)^2))          )     *(1/($BW$116-1))  )))))</f>
        <v/>
      </c>
      <c r="HU129" s="890" t="str">
        <f t="shared" si="132"/>
        <v/>
      </c>
      <c r="HV129" s="890" t="str">
        <f t="shared" si="133"/>
        <v/>
      </c>
      <c r="HW129" s="636" t="str">
        <f>IF('HHV-LHV-MW'!MP64="","",IF(AND('HHV-LHV-MW'!MP64&gt;=0,'HHV-LHV-MW'!MP64&lt;=0.09),2,  IF(AND('HHV-LHV-MW'!MP64&gt;=0.1,'HHV-LHV-MW'!MP64&lt;=0.9),7,  IF(AND('HHV-LHV-MW'!MP64&gt;=1,'HHV-LHV-MW'!MP64&lt;=4.9),10,   IF(AND('HHV-LHV-MW'!MP64&gt;=5,'HHV-LHV-MW'!MP64&lt;=10),12, 15)))))</f>
        <v/>
      </c>
      <c r="HX129" s="636" t="str">
        <f>IF('HHV-LHV-MW'!MP64="","",5*'HHV-LHV-MW'!MP64)</f>
        <v/>
      </c>
      <c r="HY129" s="635" t="str">
        <f t="shared" si="134"/>
        <v/>
      </c>
      <c r="HZ129" s="636" t="str">
        <f>IF(OR(HY129="",'HHV-LHV-MW'!MP64=0),"",HY129/'HHV-LHV-MW'!MP64)</f>
        <v/>
      </c>
      <c r="IA129" s="636" t="str">
        <f>IF(OR(HZ129="",HQ129="",'HHV-LHV-MW'!MP64=""),"",((HZ129*HQ129*('HHV-LHV-MW'!MP64/100))/23.685)^2)</f>
        <v/>
      </c>
      <c r="IB129" s="636" t="str">
        <f>IF(OR(HZ129="",HR129="",'HHV-LHV-MW'!MP64=""),"",((HZ129*HR129*('HHV-LHV-MW'!MP64/100))/23.685)^2)</f>
        <v/>
      </c>
      <c r="IC129" s="639" t="str">
        <f t="shared" si="135"/>
        <v/>
      </c>
      <c r="ID129" s="891" t="str">
        <f t="shared" si="136"/>
        <v/>
      </c>
      <c r="IE129" s="643" t="str">
        <f>IF(AQ129="","",VLOOKUP(AQ129,'HHV-LHV-MW'!$A$3:$H$40,7,FALSE))</f>
        <v/>
      </c>
      <c r="IF129" s="875" t="str">
        <f>IF($BW$116=1,     IF(OR(IE129="",'HHV-LHV-MW'!MP64="",HZ129=""),"",(IE129*('HHV-LHV-MW'!MP64/100)*HZ129)^2),IF(OR(IE129="",HS129="",HV129=""),"",(IE129*(HS129/100)*HV129)^2))</f>
        <v/>
      </c>
      <c r="IG129" s="635" t="str">
        <f>IF(AQ129="","",VLOOKUP(AQ129,'HHV-LHV-MW'!$A$3:$I$40,9,FALSE))</f>
        <v/>
      </c>
      <c r="IH129" s="875" t="str">
        <f>IF($BW$116=1,     IF(OR(IG129="",'HHV-LHV-MW'!MP64="",HZ129=""),"",(IG129*('HHV-LHV-MW'!MP64/100)*HZ129)^2),IF(OR(IG129="",HS129="",HV129=""),"",(IG129*(HS129/100)*HV129)^2))</f>
        <v/>
      </c>
      <c r="II129" s="635" t="str">
        <f>IF(AQ129="","",(VLOOKUP(AQ129,'HHV-LHV-MW'!$A$3:$F$40,6,FALSE))    )</f>
        <v/>
      </c>
      <c r="IJ129" s="875" t="str">
        <f>IF($BW$116=1,     IF(OR(II129="",'HHV-LHV-MW'!MP64="",HZ129=""),"",(II129*('HHV-LHV-MW'!MP64/100)*HZ129)^2),IF(OR(II129="",HS129="",HV129=""),"",(II129*(HS129/100)*HV129)^2))</f>
        <v/>
      </c>
      <c r="IK129" s="638" t="str">
        <f>IF($BW$116=1,     IF(OR(II129="",IG129="",$AR$103="",$AR$103=0,'HHV-LHV-MW'!MP64="",HZ129="",$IH$145=""),"", ((II129*((IG129*('HHV-LHV-MW'!MP64/100))/$AR$103))^2)*((HZ129^2)+($IH$145^2))),              IF(OR(II129="",IG129="",HS129="",HV129="",$IH$145="",$AR$103="",$AR$103=0),"",      ((II129*((IG129*(HS129/100))/$AR$103))^2)*((HV129^2)+($IH$145^2))             ))</f>
        <v/>
      </c>
      <c r="IL129" s="889" t="str">
        <f>IF(AW129="","",VLOOKUP(AW129,'HHV-LHV-MW'!$A$3:$H$40,4,FALSE))</f>
        <v/>
      </c>
      <c r="IM129" s="889" t="str">
        <f>IF(AW129="","",VLOOKUP(AW129,'HHV-LHV-MW'!$A$3:$H$40,5,FALSE))</f>
        <v/>
      </c>
      <c r="IN129" s="890" t="str">
        <f>IF($BW$126="","",((PRODUCT('HHV-LHV-MW'!ON64)+PRODUCT('HHV-LHV-MW'!OZ64)+PRODUCT('HHV-LHV-MW'!PL64)+PRODUCT('HHV-LHV-MW'!PX64))/$BW$126))</f>
        <v/>
      </c>
      <c r="IO129" s="890" t="str">
        <f>IF($BW$126="","",(IF($BW$126=1,"",  (SQRT(  (      (IF('HHV-LHV-MW'!ON64="",0,('HHV-LHV-MW'!ON64-IN129)^2))      +        (IF('HHV-LHV-MW'!OZ64="",0,('HHV-LHV-MW'!OZ64-IN129)^2))       +        (IF('HHV-LHV-MW'!PL64="",0,('HHV-LHV-MW'!PL64-IN129)^2))          +        (IF('HHV-LHV-MW'!PX64="",0,('HHV-LHV-MW'!PX64-IN129)^2))          )     *(1/($BW$126-1))  )))))</f>
        <v/>
      </c>
      <c r="IP129" s="890" t="str">
        <f t="shared" si="137"/>
        <v/>
      </c>
      <c r="IQ129" s="890" t="str">
        <f t="shared" si="138"/>
        <v/>
      </c>
      <c r="IR129" s="636" t="str">
        <f>IF('HHV-LHV-MW'!ON64="","",IF(AND('HHV-LHV-MW'!ON64&gt;=0,'HHV-LHV-MW'!ON64&lt;=0.09),2,  IF(AND('HHV-LHV-MW'!ON64&gt;=0.1,'HHV-LHV-MW'!ON64&lt;=0.9),7,  IF(AND('HHV-LHV-MW'!ON64&gt;=1,'HHV-LHV-MW'!ON64&lt;=4.9),10,   IF(AND('HHV-LHV-MW'!ON64&gt;=5,'HHV-LHV-MW'!ON64&lt;=10),12, 15)))))</f>
        <v/>
      </c>
      <c r="IS129" s="636" t="str">
        <f>IF('HHV-LHV-MW'!ON64="","",5*'HHV-LHV-MW'!ON64)</f>
        <v/>
      </c>
      <c r="IT129" s="635" t="str">
        <f t="shared" si="139"/>
        <v/>
      </c>
      <c r="IU129" s="636" t="str">
        <f>IF(OR(IT129="",'HHV-LHV-MW'!ON64=0),"",IT129/'HHV-LHV-MW'!ON64)</f>
        <v/>
      </c>
      <c r="IV129" s="636" t="str">
        <f>IF(OR(IU129="",IL129="",'HHV-LHV-MW'!ON64=""),"",((IU129*IL129*('HHV-LHV-MW'!ON64/100))/23.685)^2)</f>
        <v/>
      </c>
      <c r="IW129" s="636" t="str">
        <f>IF(OR(IU129="",IM129="",'HHV-LHV-MW'!ON64=""),"",((IU129*IM129*('HHV-LHV-MW'!ON64/100))/23.685)^2)</f>
        <v/>
      </c>
      <c r="IX129" s="639" t="str">
        <f t="shared" si="140"/>
        <v/>
      </c>
      <c r="IY129" s="891" t="str">
        <f t="shared" si="141"/>
        <v/>
      </c>
      <c r="IZ129" s="643" t="str">
        <f>IF(AW129="","",VLOOKUP(AW129,'HHV-LHV-MW'!$A$3:$H$40,7,FALSE))</f>
        <v/>
      </c>
      <c r="JA129" s="875" t="str">
        <f>IF($BW$126=1,     IF(OR(IZ129="",'HHV-LHV-MW'!ON64="",IU129=""),"",(IZ129*('HHV-LHV-MW'!ON64/100)*IU129)^2),IF(OR(IZ129="",IN129="",IQ129=""),"",(IZ129*(IN129/100)*IQ129)^2))</f>
        <v/>
      </c>
      <c r="JB129" s="635" t="str">
        <f>IF(AW129="","",VLOOKUP(AW129,'HHV-LHV-MW'!$A$3:$I$40,9,FALSE))</f>
        <v/>
      </c>
      <c r="JC129" s="875" t="str">
        <f>IF($BW$126=1,     IF(OR(JB129="",'HHV-LHV-MW'!ON64="",IU129=""),"",(JB129*('HHV-LHV-MW'!ON64/100)*IU129)^2),IF(OR(JB129="",IN129="",IQ129=""),"",(JB129*(IN129/100)*IQ129)^2))</f>
        <v/>
      </c>
      <c r="JD129" s="635" t="str">
        <f>IF(AW129="","",(VLOOKUP(AW129,'HHV-LHV-MW'!$A$3:$F$40,6,FALSE))    )</f>
        <v/>
      </c>
      <c r="JE129" s="875" t="str">
        <f>IF($BW$126=1,     IF(OR(JD129="",'HHV-LHV-MW'!ON64="",IU129=""),"",(JD129*('HHV-LHV-MW'!ON64/100)*IU129)^2),IF(OR(JD129="",IN129="",IQ129=""),"",(JD129*(IN129/100)*IQ129)^2))</f>
        <v/>
      </c>
      <c r="JF129" s="638" t="str">
        <f>IF($BW$126=1,     IF(OR(JD129="",JB129="",$AX$103="",$AX$103=0,'HHV-LHV-MW'!ON64="",IU129="",$JC$145=""),"", ((JD129*((JB129*('HHV-LHV-MW'!ON64/100))/$AX$103))^2)*((IU129^2)+($JC$145^2))),              IF(OR(JD129="",JB129="",IN129="",IQ129="",$JC$145="",$AX$103="",$AX$103=0),"",      ((JD129*((JB129*(IN129/100))/$AX$103))^2)*((IQ129^2)+($JC$145^2))             ))</f>
        <v/>
      </c>
      <c r="JG129" s="889" t="str">
        <f>IF(BC129="","",VLOOKUP(BC129,'HHV-LHV-MW'!$A$3:$H$40,4,FALSE))</f>
        <v/>
      </c>
      <c r="JH129" s="889" t="str">
        <f>IF(BC129="","",VLOOKUP(BC129,'HHV-LHV-MW'!$A$3:$H$40,5,FALSE))</f>
        <v/>
      </c>
      <c r="JI129" s="890" t="str">
        <f>IF($BW$136="","",((PRODUCT('HHV-LHV-MW'!QK64)+PRODUCT('HHV-LHV-MW'!QW64)+PRODUCT('HHV-LHV-MW'!RI64)+PRODUCT('HHV-LHV-MW'!RU64))/$BW$136))</f>
        <v/>
      </c>
      <c r="JJ129" s="890" t="str">
        <f>IF($BW$136="","",(IF($BW$136=1,"",  (SQRT(  (      (IF('HHV-LHV-MW'!QK64="",0,('HHV-LHV-MW'!QK64-JI129)^2))      +        (IF('HHV-LHV-MW'!QW64="",0,('HHV-LHV-MW'!QW64-JI129)^2))       +        (IF('HHV-LHV-MW'!RI64="",0,('HHV-LHV-MW'!RI64-JI129)^2))          +        (IF('HHV-LHV-MW'!RU64="",0,('HHV-LHV-MW'!RU64-JI129)^2))          )     *(1/($BW$136-1))  )))))</f>
        <v/>
      </c>
      <c r="JK129" s="890" t="str">
        <f t="shared" si="142"/>
        <v/>
      </c>
      <c r="JL129" s="890" t="str">
        <f t="shared" si="143"/>
        <v/>
      </c>
      <c r="JM129" s="636" t="str">
        <f>IF('HHV-LHV-MW'!QK64="","",IF(AND('HHV-LHV-MW'!QK64&gt;=0,'HHV-LHV-MW'!QK64&lt;=0.09),2,  IF(AND('HHV-LHV-MW'!QK64&gt;=0.1,'HHV-LHV-MW'!QK64&lt;=0.9),7,  IF(AND('HHV-LHV-MW'!QK64&gt;=1,'HHV-LHV-MW'!QK64&lt;=4.9),10,   IF(AND('HHV-LHV-MW'!QK64&gt;=5,'HHV-LHV-MW'!QK64&lt;=10),12, 15)))))</f>
        <v/>
      </c>
      <c r="JN129" s="636" t="str">
        <f>IF('HHV-LHV-MW'!QK64="","",5*'HHV-LHV-MW'!QK64)</f>
        <v/>
      </c>
      <c r="JO129" s="635" t="str">
        <f t="shared" si="144"/>
        <v/>
      </c>
      <c r="JP129" s="636" t="str">
        <f>IF(OR(JO129="",'HHV-LHV-MW'!QK64=0),"",JO129/'HHV-LHV-MW'!QK64)</f>
        <v/>
      </c>
      <c r="JQ129" s="636" t="str">
        <f>IF(OR(JP129="",JG129="",'HHV-LHV-MW'!QK64=""),"",((JP129*JG129*('HHV-LHV-MW'!QK64/100))/23.685)^2)</f>
        <v/>
      </c>
      <c r="JR129" s="636" t="str">
        <f>IF(OR(JP129="",JH129="",'HHV-LHV-MW'!QK64=""),"",((JP129*JH129*('HHV-LHV-MW'!QK64/100))/23.685)^2)</f>
        <v/>
      </c>
      <c r="JS129" s="639" t="str">
        <f t="shared" si="145"/>
        <v/>
      </c>
      <c r="JT129" s="891" t="str">
        <f t="shared" si="146"/>
        <v/>
      </c>
      <c r="JU129" s="643" t="str">
        <f>IF(BC129="","",VLOOKUP(BC129,'HHV-LHV-MW'!$A$3:$H$40,7,FALSE))</f>
        <v/>
      </c>
      <c r="JV129" s="875" t="str">
        <f>IF($BW$136=1,     IF(OR(JU129="",'HHV-LHV-MW'!QK64="",JP129=""),"",(JU129*('HHV-LHV-MW'!QK64/100)*JP129)^2),IF(OR(JU129="",JI129="",JL129=""),"",(JU129*(JI129/100)*JL129)^2))</f>
        <v/>
      </c>
      <c r="JW129" s="635" t="str">
        <f>IF(BC129="","",VLOOKUP(BC129,'HHV-LHV-MW'!$A$3:$I$40,9,FALSE))</f>
        <v/>
      </c>
      <c r="JX129" s="875" t="str">
        <f>IF($BW$136=1,     IF(OR(JW129="",'HHV-LHV-MW'!QK64="",JP129=""),"",(JW129*('HHV-LHV-MW'!QK64/100)*JP129)^2),IF(OR(JW129="",JI129="",JL129=""),"",(JW129*(JI129/100)*JL129)^2))</f>
        <v/>
      </c>
      <c r="JY129" s="635" t="str">
        <f>IF(BC129="","",(VLOOKUP(BC129,'HHV-LHV-MW'!$A$3:$F$40,6,FALSE))    )</f>
        <v/>
      </c>
      <c r="JZ129" s="875" t="str">
        <f>IF($BW$136=1,     IF(OR(JY129="",'HHV-LHV-MW'!QK64="",JP129=""),"",(JY129*('HHV-LHV-MW'!QK64/100)*JP129)^2),IF(OR(JY129="",JI129="",JL129=""),"",(JY129*(JI129/100)*JL129)^2))</f>
        <v/>
      </c>
      <c r="KA129" s="638" t="str">
        <f>IF($BW$136=1,     IF(OR(JY129="",JW129="",$BD$103="",$BD$103=0,'HHV-LHV-MW'!QK64="",JP129="",$JX$145=""),"", ((JY129*((JW129*('HHV-LHV-MW'!QK64/100))/$BD$103))^2)*((JP129^2)+($JX$145^2))),              IF(OR(JY129="",JW129="",JI129="",JL129="",$JX$145="",$BD$103="",$BD$103=0),"",      ((JY129*((JW129*(JI129/100))/$BD$103))^2)*((JL129^2)+($JX$145^2))             ))</f>
        <v/>
      </c>
      <c r="KB129" s="874"/>
      <c r="KC129" s="874"/>
      <c r="KD129" s="874"/>
      <c r="KE129" s="874"/>
      <c r="KF129" s="874"/>
      <c r="KG129" s="874"/>
      <c r="KH129" s="865"/>
      <c r="KI129" s="865"/>
      <c r="KJ129" s="865"/>
      <c r="KK129" s="865"/>
      <c r="KL129" s="865"/>
      <c r="KM129" s="865"/>
      <c r="KN129" s="865"/>
      <c r="KO129" s="865"/>
      <c r="KP129" s="865"/>
      <c r="KQ129" s="865"/>
      <c r="KR129" s="865"/>
      <c r="KS129" s="865"/>
      <c r="KT129" s="865"/>
      <c r="KU129" s="865"/>
      <c r="KV129" s="865"/>
      <c r="KW129" s="865"/>
      <c r="KX129" s="865"/>
      <c r="KY129" s="865"/>
      <c r="KZ129" s="865"/>
      <c r="LA129" s="865"/>
      <c r="LB129" s="865"/>
      <c r="LC129" s="865"/>
      <c r="LD129" s="865"/>
      <c r="LE129" s="865"/>
      <c r="LF129" s="865"/>
    </row>
    <row r="130" spans="1:318" ht="19.2" thickBot="1">
      <c r="A130" s="864"/>
      <c r="B130" s="502"/>
      <c r="C130" s="502"/>
      <c r="D130" s="502"/>
      <c r="E130" s="502"/>
      <c r="F130" s="511"/>
      <c r="G130" s="864"/>
      <c r="H130" s="502"/>
      <c r="I130" s="502"/>
      <c r="J130" s="502"/>
      <c r="K130" s="502"/>
      <c r="L130" s="511"/>
      <c r="M130" s="864"/>
      <c r="N130" s="502"/>
      <c r="O130" s="502"/>
      <c r="P130" s="502"/>
      <c r="Q130" s="502"/>
      <c r="R130" s="511"/>
      <c r="S130" s="864"/>
      <c r="T130" s="502"/>
      <c r="U130" s="502"/>
      <c r="V130" s="502"/>
      <c r="W130" s="502"/>
      <c r="X130" s="511"/>
      <c r="Y130" s="864"/>
      <c r="Z130" s="502"/>
      <c r="AA130" s="502"/>
      <c r="AB130" s="502"/>
      <c r="AC130" s="502"/>
      <c r="AD130" s="511"/>
      <c r="AE130" s="864"/>
      <c r="AF130" s="502"/>
      <c r="AG130" s="502"/>
      <c r="AH130" s="502"/>
      <c r="AI130" s="502"/>
      <c r="AJ130" s="511"/>
      <c r="AK130" s="864"/>
      <c r="AL130" s="502"/>
      <c r="AM130" s="502"/>
      <c r="AN130" s="502"/>
      <c r="AO130" s="502"/>
      <c r="AP130" s="511"/>
      <c r="AQ130" s="864"/>
      <c r="AR130" s="502"/>
      <c r="AS130" s="502"/>
      <c r="AT130" s="502"/>
      <c r="AU130" s="502"/>
      <c r="AV130" s="511"/>
      <c r="AW130" s="864"/>
      <c r="AX130" s="502"/>
      <c r="AY130" s="502"/>
      <c r="AZ130" s="502"/>
      <c r="BA130" s="502"/>
      <c r="BB130" s="511"/>
      <c r="BC130" s="864"/>
      <c r="BD130" s="502"/>
      <c r="BE130" s="502"/>
      <c r="BF130" s="502"/>
      <c r="BG130" s="502"/>
      <c r="BH130" s="865"/>
      <c r="BI130" s="865"/>
      <c r="BJ130" s="1143" t="s">
        <v>1508</v>
      </c>
      <c r="BK130" s="2481"/>
      <c r="BL130" s="2481"/>
      <c r="BM130" s="2481"/>
      <c r="BN130" s="1144"/>
      <c r="BO130" s="2482" t="str">
        <f>EZ143</f>
        <v/>
      </c>
      <c r="BP130" s="2483"/>
      <c r="BQ130" s="865"/>
      <c r="BR130" s="1143" t="s">
        <v>1508</v>
      </c>
      <c r="BS130" s="2481"/>
      <c r="BT130" s="2481"/>
      <c r="BU130" s="2481"/>
      <c r="BV130" s="1144"/>
      <c r="BW130" s="2482" t="str">
        <f>JA143</f>
        <v/>
      </c>
      <c r="BX130" s="2483"/>
      <c r="BY130" s="874"/>
      <c r="BZ130" s="888" t="str">
        <f>IF(A130="","",VLOOKUP(A130,'HHV-LHV-MW'!$A$3:$H$40,4,FALSE))</f>
        <v/>
      </c>
      <c r="CA130" s="889" t="str">
        <f>IF(A130="","",VLOOKUP(A130,'HHV-LHV-MW'!$A$3:$H$40,5,FALSE))</f>
        <v/>
      </c>
      <c r="CB130" s="890" t="str">
        <f>IF($BO$96="","",((PRODUCT('HHV-LHV-MW'!K65)+PRODUCT('HHV-LHV-MW'!W65)+PRODUCT('HHV-LHV-MW'!AI65)+PRODUCT('HHV-LHV-MW'!AU65))/$BO$96))</f>
        <v/>
      </c>
      <c r="CC130" s="890" t="str">
        <f>IF($BO$96="","",(IF($BO$96=1,"",  (SQRT(  (      (IF('HHV-LHV-MW'!K65="",0,('HHV-LHV-MW'!K65-CB130)^2))      +        (IF('HHV-LHV-MW'!W65="",0,('HHV-LHV-MW'!W65-CB130)^2))       +        (IF('HHV-LHV-MW'!AI65="",0,('HHV-LHV-MW'!AI65-CB130)^2))          +        (IF('HHV-LHV-MW'!AU65="",0,('HHV-LHV-MW'!AU65-CB130)^2))          )     *(1/($BO$96-1))  )))))</f>
        <v/>
      </c>
      <c r="CD130" s="890" t="str">
        <f t="shared" si="97"/>
        <v/>
      </c>
      <c r="CE130" s="890" t="str">
        <f t="shared" si="98"/>
        <v/>
      </c>
      <c r="CF130" s="636" t="str">
        <f>IF('HHV-LHV-MW'!K65="","",IF(AND('HHV-LHV-MW'!K65&gt;=0,'HHV-LHV-MW'!K65&lt;=0.09),2,  IF(AND('HHV-LHV-MW'!K65&gt;=0.1,'HHV-LHV-MW'!K65&lt;=0.9),7,  IF(AND('HHV-LHV-MW'!K65&gt;=1,'HHV-LHV-MW'!K65&lt;=4.9),10,   IF(AND('HHV-LHV-MW'!K65&gt;=5,'HHV-LHV-MW'!K65&lt;=10),12, 15)))))</f>
        <v/>
      </c>
      <c r="CG130" s="636" t="str">
        <f>IF('HHV-LHV-MW'!K65="","",5*'HHV-LHV-MW'!K65)</f>
        <v/>
      </c>
      <c r="CH130" s="635" t="str">
        <f t="shared" si="99"/>
        <v/>
      </c>
      <c r="CI130" s="636" t="str">
        <f>IF(OR(CH130="",'HHV-LHV-MW'!K65=0),"",CH130/'HHV-LHV-MW'!K65)</f>
        <v/>
      </c>
      <c r="CJ130" s="636" t="str">
        <f>IF(OR(CI130="",BZ130="",'HHV-LHV-MW'!K65=""),"",((CI130*BZ130*('HHV-LHV-MW'!K65/100))/23.685)^2)</f>
        <v/>
      </c>
      <c r="CK130" s="636" t="str">
        <f>IF(OR(CI130="",CA130="",'HHV-LHV-MW'!K65=""),"",((CI130*CA130*('HHV-LHV-MW'!K65/100))/23.685)^2)</f>
        <v/>
      </c>
      <c r="CL130" s="639" t="str">
        <f t="shared" si="100"/>
        <v/>
      </c>
      <c r="CM130" s="892" t="str">
        <f t="shared" si="101"/>
        <v/>
      </c>
      <c r="CN130" s="639" t="str">
        <f>IF(A130="","",VLOOKUP(A130,'HHV-LHV-MW'!$A$3:$H$40,7,FALSE))</f>
        <v/>
      </c>
      <c r="CO130" s="636" t="str">
        <f>IF($BO$96=1,     IF(OR(CN130="",'HHV-LHV-MW'!K65="",CI130=""),"",(CN130*('HHV-LHV-MW'!K65/100)*CI130)^2),IF(OR(CN130="",CB130="",CE130=""),"",(CN130*(CB130/100)*CE130)^2))</f>
        <v/>
      </c>
      <c r="CP130" s="635" t="str">
        <f>IF(A130="","",VLOOKUP(A130,'HHV-LHV-MW'!$A$3:$I$40,9,FALSE))</f>
        <v/>
      </c>
      <c r="CQ130" s="636" t="str">
        <f>IF($BO$96=1,     IF(OR(CP130="",'HHV-LHV-MW'!K65="",CI130=""),"",(CP130*('HHV-LHV-MW'!K65/100)*CI130)^2),IF(OR(CP130="",CB130="",CE130=""),"",(CP130*(CB130/100)*CE130)^2))</f>
        <v/>
      </c>
      <c r="CR130" s="636" t="str">
        <f>IF(A130="","",(VLOOKUP(A130,'HHV-LHV-MW'!$A$3:$F$40,6,FALSE))    )</f>
        <v/>
      </c>
      <c r="CS130" s="636" t="str">
        <f>IF($BO$96=1,     IF(OR(CR130="",'HHV-LHV-MW'!K65="",CI130=""),"",(CR130*('HHV-LHV-MW'!K65/100)*CI130)^2),IF(OR(CR130="",CB130="",CE130=""),"",(CR130*(CB130/100)*CE130)^2))</f>
        <v/>
      </c>
      <c r="CT130" s="640" t="str">
        <f>IF($BO$96=1,     IF(OR(CR130="",CP130="",$B$103="",$B$103=0,'HHV-LHV-MW'!K65="",CI130="",$CQ$145=""),"", ((CR130*((CP130*('HHV-LHV-MW'!K65/100))/$B$103))^2)*((CI130^2)+($CQ$145^2))),              IF(OR(CR130="",CP130="",CB130="",CE130="",$CQ$145="",$B$103="",$B$103=0),"",      ((CR130*((CP130*(CB130/100))/$B$103))^2)*((CE130^2)+($CQ$145^2))             ))</f>
        <v/>
      </c>
      <c r="CU130" s="889" t="str">
        <f>IF(G130="","",VLOOKUP(G130,'HHV-LHV-MW'!$A$3:$H$40,4,FALSE))</f>
        <v/>
      </c>
      <c r="CV130" s="889" t="str">
        <f>IF(G130="","",VLOOKUP(G130,'HHV-LHV-MW'!$A$3:$H$40,5,FALSE))</f>
        <v/>
      </c>
      <c r="CW130" s="890" t="str">
        <f>IF($BO$106="","",((PRODUCT('HHV-LHV-MW'!BH65)+PRODUCT('HHV-LHV-MW'!BT65)+PRODUCT('HHV-LHV-MW'!CF65)+PRODUCT('HHV-LHV-MW'!CR65))/$BO$106))</f>
        <v/>
      </c>
      <c r="CX130" s="890" t="str">
        <f>IF($BO$106="","",(IF($BO$106=1,"",  (SQRT(  (      (IF('HHV-LHV-MW'!BH65="",0,('HHV-LHV-MW'!BH65-CW130)^2))      +        (IF('HHV-LHV-MW'!BT65="",0,('HHV-LHV-MW'!BT65-CW130)^2))       +        (IF('HHV-LHV-MW'!CF65="",0,('HHV-LHV-MW'!CF65-CW130)^2))          +        (IF('HHV-LHV-MW'!CR65="",0,('HHV-LHV-MW'!CR65-CW130)^2))          )     *(1/($BO$106-1))  )))))</f>
        <v/>
      </c>
      <c r="CY130" s="890" t="str">
        <f t="shared" si="102"/>
        <v/>
      </c>
      <c r="CZ130" s="890" t="str">
        <f t="shared" si="103"/>
        <v/>
      </c>
      <c r="DA130" s="636" t="str">
        <f>IF('HHV-LHV-MW'!BH65="","",IF(AND('HHV-LHV-MW'!BH65&gt;=0,'HHV-LHV-MW'!BH65&lt;=0.09),2,  IF(AND('HHV-LHV-MW'!BH65&gt;=0.1,'HHV-LHV-MW'!BH65&lt;=0.9),7,  IF(AND('HHV-LHV-MW'!BH65&gt;=1,'HHV-LHV-MW'!BH65&lt;=4.9),10,   IF(AND('HHV-LHV-MW'!BH65&gt;=5,'HHV-LHV-MW'!BH65&lt;=10),12, 15)))))</f>
        <v/>
      </c>
      <c r="DB130" s="636" t="str">
        <f>IF('HHV-LHV-MW'!BH65="","",5*'HHV-LHV-MW'!BH65)</f>
        <v/>
      </c>
      <c r="DC130" s="635" t="str">
        <f t="shared" si="104"/>
        <v/>
      </c>
      <c r="DD130" s="636" t="str">
        <f>IF(OR(DC130="",'HHV-LHV-MW'!BH65=0),"",DC130/'HHV-LHV-MW'!BH65)</f>
        <v/>
      </c>
      <c r="DE130" s="635" t="str">
        <f>IF(OR(DD130="",CU130="",'HHV-LHV-MW'!BH65=""),"",((DD130*CU130*('HHV-LHV-MW'!BH65/100))/23.685)^2)</f>
        <v/>
      </c>
      <c r="DF130" s="636" t="str">
        <f>IF(OR(DD130="",CV130="",'HHV-LHV-MW'!BH65=""),"",((DD130*CV130*('HHV-LHV-MW'!BH65/100))/23.685)^2)</f>
        <v/>
      </c>
      <c r="DG130" s="639" t="str">
        <f t="shared" si="105"/>
        <v/>
      </c>
      <c r="DH130" s="891" t="str">
        <f t="shared" si="106"/>
        <v/>
      </c>
      <c r="DI130" s="635" t="str">
        <f>IF(G130="","",VLOOKUP(G130,'HHV-LHV-MW'!$A$3:$H$40,7,FALSE))</f>
        <v/>
      </c>
      <c r="DJ130" s="875" t="str">
        <f>IF($BO$106=1,     IF(OR(DI130="",'HHV-LHV-MW'!BH65="",DD130=""),"",(DI130*('HHV-LHV-MW'!BH65/100)*DD130)^2),IF(OR(DI130="",CW130="",CZ130=""),"",(DI130*(CW130/100)*CZ130)^2))</f>
        <v/>
      </c>
      <c r="DK130" s="635" t="str">
        <f>IF(G130="","",VLOOKUP(G130,'HHV-LHV-MW'!$A$3:$I$40,9,FALSE))</f>
        <v/>
      </c>
      <c r="DL130" s="875" t="str">
        <f>IF($BO$106=1,     IF(OR(DK130="",'HHV-LHV-MW'!BH65="",DD130=""),"",(DK130*('HHV-LHV-MW'!BH65/100)*DD130)^2),IF(OR(DK130="",CW130="",CZ130=""),"",(DK130*(CW130/100)*CZ130)^2))</f>
        <v/>
      </c>
      <c r="DM130" s="635" t="str">
        <f>IF(G130="","",(VLOOKUP(G130,'HHV-LHV-MW'!$A$3:$F$40,6,FALSE))    )</f>
        <v/>
      </c>
      <c r="DN130" s="875" t="str">
        <f>IF($BO$106=1,     IF(OR(DM130="",'HHV-LHV-MW'!BH65="",DD130=""),"",(DM130*('HHV-LHV-MW'!BH65/100)*DD130)^2),IF(OR(DM130="",CW130="",CZ130=""),"",(DM130*(CW130/100)*CZ130)^2))</f>
        <v/>
      </c>
      <c r="DO130" s="638" t="str">
        <f>IF($BO$106=1,     IF(OR(DM130="",DK130="",$H$103="",$H$103=0,'HHV-LHV-MW'!BH65="",DD130="",$DL$145=""),"", ((DM130*((DK130*('HHV-LHV-MW'!BH65/100))/$H$103))^2)*((DD130^2)+($DL$145^2))),              IF(OR(DM130="",DK130="",CW130="",CZ130="",$DL$145="",$H$103="",$H$103=0),"",      ((DM130*((DK130*(CW130/100))/$H$103))^2)*((CZ130^2)+($DL$145^2))             ))</f>
        <v/>
      </c>
      <c r="DP130" s="889" t="str">
        <f>IF(M130="","",VLOOKUP(M130,'HHV-LHV-MW'!$A$3:$H$40,4,FALSE))</f>
        <v/>
      </c>
      <c r="DQ130" s="889" t="str">
        <f>IF(M130="","",VLOOKUP(M130,'HHV-LHV-MW'!$A$3:$H$40,5,FALSE))</f>
        <v/>
      </c>
      <c r="DR130" s="890" t="str">
        <f>IF($BO$116="","",((PRODUCT('HHV-LHV-MW'!DE65)+PRODUCT('HHV-LHV-MW'!DQ65)+PRODUCT('HHV-LHV-MW'!EC65)+PRODUCT('HHV-LHV-MW'!EO65))/$BO$116))</f>
        <v/>
      </c>
      <c r="DS130" s="890" t="str">
        <f>IF($BO$116="","",(IF($BO$116=1,"",  (SQRT(  (      (IF('HHV-LHV-MW'!DE65="",0,('HHV-LHV-MW'!DE65-DR130)^2))      +        (IF('HHV-LHV-MW'!DQ65="",0,('HHV-LHV-MW'!DQ65-DR130)^2))       +        (IF('HHV-LHV-MW'!EC65="",0,('HHV-LHV-MW'!EC65-DR130)^2))          +        (IF('HHV-LHV-MW'!EO65="",0,('HHV-LHV-MW'!EO65-DR130)^2))          )     *(1/($BO$116-1))  )))))</f>
        <v/>
      </c>
      <c r="DT130" s="890" t="str">
        <f t="shared" si="107"/>
        <v/>
      </c>
      <c r="DU130" s="890" t="str">
        <f t="shared" si="108"/>
        <v/>
      </c>
      <c r="DV130" s="636" t="str">
        <f>IF('HHV-LHV-MW'!DE65="","",IF(AND('HHV-LHV-MW'!DE65&gt;=0,'HHV-LHV-MW'!DE65&lt;=0.09),2,  IF(AND('HHV-LHV-MW'!DE65&gt;=0.1,'HHV-LHV-MW'!DE65&lt;=0.9),7,  IF(AND('HHV-LHV-MW'!DE65&gt;=1,'HHV-LHV-MW'!DE65&lt;=4.9),10,   IF(AND('HHV-LHV-MW'!DE65&gt;=5,'HHV-LHV-MW'!DE65&lt;=10),12, 15)))))</f>
        <v/>
      </c>
      <c r="DW130" s="636" t="str">
        <f>IF('HHV-LHV-MW'!DE65="","",5*'HHV-LHV-MW'!DE65)</f>
        <v/>
      </c>
      <c r="DX130" s="635" t="str">
        <f t="shared" si="109"/>
        <v/>
      </c>
      <c r="DY130" s="636" t="str">
        <f>IF(OR(DX130="",'HHV-LHV-MW'!DE65=0),"",DX130/'HHV-LHV-MW'!DE65)</f>
        <v/>
      </c>
      <c r="DZ130" s="636" t="str">
        <f>IF(OR(DY130="",DP130="",'HHV-LHV-MW'!DE65=""),"",((DY130*DP130*('HHV-LHV-MW'!DE65/100))/23.685)^2)</f>
        <v/>
      </c>
      <c r="EA130" s="636" t="str">
        <f>IF(OR(DY130="",DQ130="",'HHV-LHV-MW'!DE65=""),"",((DY130*DQ130*('HHV-LHV-MW'!DE65/100))/23.685)^2)</f>
        <v/>
      </c>
      <c r="EB130" s="639" t="str">
        <f t="shared" si="110"/>
        <v/>
      </c>
      <c r="EC130" s="891" t="str">
        <f t="shared" si="111"/>
        <v/>
      </c>
      <c r="ED130" s="643" t="str">
        <f>IF(M130="","",VLOOKUP(M130,'HHV-LHV-MW'!$A$3:$H$40,7,FALSE))</f>
        <v/>
      </c>
      <c r="EE130" s="875" t="str">
        <f>IF($BO$116=1,     IF(OR(ED130="",'HHV-LHV-MW'!DE65="",DY130=""),"",(ED130*('HHV-LHV-MW'!DE65/100)*DY130)^2),IF(OR(ED130="",DR130="",DU130=""),"",(ED130*(DR130/100)*DU130)^2))</f>
        <v/>
      </c>
      <c r="EF130" s="635" t="str">
        <f>IF(M130="","",VLOOKUP(M130,'HHV-LHV-MW'!$A$3:$I$40,9,FALSE))</f>
        <v/>
      </c>
      <c r="EG130" s="875" t="str">
        <f>IF($BO$116=1,     IF(OR(EF130="",'HHV-LHV-MW'!DE65="",DY130=""),"",(EF130*('HHV-LHV-MW'!DE65/100)*DY130)^2),IF(OR(EF130="",DR130="",DU130=""),"",(EF130*(DR130/100)*DU130)^2))</f>
        <v/>
      </c>
      <c r="EH130" s="635" t="str">
        <f>IF(M130="","",(VLOOKUP(M130,'HHV-LHV-MW'!$A$3:$F$40,6,FALSE))    )</f>
        <v/>
      </c>
      <c r="EI130" s="875" t="str">
        <f>IF($BO$116=1,     IF(OR(EH130="",'HHV-LHV-MW'!DE65="",DY130=""),"",(EH130*('HHV-LHV-MW'!DE65/100)*DY130)^2),IF(OR(EH130="",DR130="",DU130=""),"",(EH130*(DR130/100)*DU130)^2))</f>
        <v/>
      </c>
      <c r="EJ130" s="638" t="str">
        <f>IF($BO$116=1,     IF(OR(EH130="",EF130="",$N$103="",$N$103=0,'HHV-LHV-MW'!DE65="",DY130="",$EG$145=""),"", ((EH130*((EF130*('HHV-LHV-MW'!DE65/100))/$N$103))^2)*((DY130^2)+($EG$145^2))),              IF(OR(EH130="",EF130="",DR130="",DU130="",$EG$145="",$N$103="",$N$103=0),"",      ((EH130*((EF130*(DR130/100))/$N$103))^2)*((DU130^2)+($EG$145^2))             ))</f>
        <v/>
      </c>
      <c r="EK130" s="889" t="str">
        <f>IF(S130="","",VLOOKUP(S130,'HHV-LHV-MW'!$A$3:$H$40,4,FALSE))</f>
        <v/>
      </c>
      <c r="EL130" s="889" t="str">
        <f>IF(S130="","",VLOOKUP(S130,'HHV-LHV-MW'!$A$3:$H$40,5,FALSE))</f>
        <v/>
      </c>
      <c r="EM130" s="890" t="str">
        <f>IF($BO$126="","",((PRODUCT('HHV-LHV-MW'!FB65)+PRODUCT('HHV-LHV-MW'!FN65)+PRODUCT('HHV-LHV-MW'!FZ65)+PRODUCT('HHV-LHV-MW'!GL65))/$BO$126))</f>
        <v/>
      </c>
      <c r="EN130" s="890" t="str">
        <f>IF($BO$126="","",(IF($BO$126=1,"",  (SQRT(  (      (IF('HHV-LHV-MW'!FB65="",0,('HHV-LHV-MW'!FB65-EM130)^2))      +        (IF('HHV-LHV-MW'!FN65="",0,('HHV-LHV-MW'!FN65-EM130)^2))       +        (IF('HHV-LHV-MW'!FZ65="",0,('HHV-LHV-MW'!FZ65-EM130)^2))          +        (IF('HHV-LHV-MW'!GL65="",0,('HHV-LHV-MW'!GL65-EM130)^2))          )     *(1/($BO$126-1))  )))))</f>
        <v/>
      </c>
      <c r="EO130" s="890" t="str">
        <f t="shared" si="112"/>
        <v/>
      </c>
      <c r="EP130" s="890" t="str">
        <f t="shared" si="113"/>
        <v/>
      </c>
      <c r="EQ130" s="636" t="str">
        <f>IF('HHV-LHV-MW'!FB65="","",IF(AND('HHV-LHV-MW'!FB65&gt;=0,'HHV-LHV-MW'!FB65&lt;=0.09),2,  IF(AND('HHV-LHV-MW'!FB65&gt;=0.1,'HHV-LHV-MW'!FB65&lt;=0.9),7,  IF(AND('HHV-LHV-MW'!FB65&gt;=1,'HHV-LHV-MW'!FB65&lt;=4.9),10,   IF(AND('HHV-LHV-MW'!FB65&gt;=5,'HHV-LHV-MW'!FB65&lt;=10),12, 15)))))</f>
        <v/>
      </c>
      <c r="ER130" s="636" t="str">
        <f>IF('HHV-LHV-MW'!FB65="","",5*'HHV-LHV-MW'!FB65)</f>
        <v/>
      </c>
      <c r="ES130" s="635" t="str">
        <f t="shared" si="114"/>
        <v/>
      </c>
      <c r="ET130" s="636" t="str">
        <f>IF(OR(ES130="",'HHV-LHV-MW'!FB65=0),"",ES130/'HHV-LHV-MW'!FB65)</f>
        <v/>
      </c>
      <c r="EU130" s="636" t="str">
        <f>IF(OR(ET130="",EK130="",'HHV-LHV-MW'!FB65=""),"",((ET130*EK130*('HHV-LHV-MW'!FB65/100))/23.685)^2)</f>
        <v/>
      </c>
      <c r="EV130" s="636" t="str">
        <f>IF(OR(ET130="",EL130="",'HHV-LHV-MW'!FB65=""),"",((ET130*EL130*('HHV-LHV-MW'!FB65/100))/23.685)^2)</f>
        <v/>
      </c>
      <c r="EW130" s="639" t="str">
        <f t="shared" si="115"/>
        <v/>
      </c>
      <c r="EX130" s="891" t="str">
        <f t="shared" si="116"/>
        <v/>
      </c>
      <c r="EY130" s="643" t="str">
        <f>IF(S130="","",VLOOKUP(S130,'HHV-LHV-MW'!$A$3:$H$40,7,FALSE))</f>
        <v/>
      </c>
      <c r="EZ130" s="875" t="str">
        <f>IF($BO$126=1,     IF(OR(EY130="",'HHV-LHV-MW'!FB65="",ET130=""),"",(EY130*('HHV-LHV-MW'!FB65/100)*ET130)^2),IF(OR(EY130="",EM130="",EP130=""),"",(EY130*(EM130/100)*EP130)^2))</f>
        <v/>
      </c>
      <c r="FA130" s="635" t="str">
        <f>IF(S130="","",VLOOKUP(S130,'HHV-LHV-MW'!$A$3:$I$40,9,FALSE))</f>
        <v/>
      </c>
      <c r="FB130" s="875" t="str">
        <f>IF($BO$126=1,     IF(OR(FA130="",'HHV-LHV-MW'!FB65="",ET130=""),"",(FA130*('HHV-LHV-MW'!FB65/100)*ET130)^2),IF(OR(FA130="",EM130="",EP130=""),"",(FA130*(EM130/100)*EP130)^2))</f>
        <v/>
      </c>
      <c r="FC130" s="635" t="str">
        <f>IF(S130="","",(VLOOKUP(S130,'HHV-LHV-MW'!$A$3:$F$40,6,FALSE))    )</f>
        <v/>
      </c>
      <c r="FD130" s="875" t="str">
        <f>IF($BO$126=1,     IF(OR(FC130="",'HHV-LHV-MW'!FB65="",ET130=""),"",(FC130*('HHV-LHV-MW'!FB65/100)*ET130)^2),IF(OR(FC130="",EM130="",EP130=""),"",(FC130*(EM130/100)*EP130)^2))</f>
        <v/>
      </c>
      <c r="FE130" s="638" t="str">
        <f>IF($BO$126=1,     IF(OR(FC130="",FA130="",$T$103="",$T$103=0,'HHV-LHV-MW'!FB65="",ET130="",$FB$145=""),"", ((FC130*((FA130*('HHV-LHV-MW'!FB65/100))/$T$103))^2)*((ET130^2)+($FB$145^2))),              IF(OR(FC130="",FA130="",EM130="",EP130="",$FB$145="",$T$103="",$T$103=0),"",      ((FC130*((FA130*(EM130/100))/$T$103))^2)*((EP130^2)+($FB$145^2))             ))</f>
        <v/>
      </c>
      <c r="FF130" s="889" t="str">
        <f>IF(Y130="","",VLOOKUP(Y130,'HHV-LHV-MW'!$A$3:$H$40,4,FALSE))</f>
        <v/>
      </c>
      <c r="FG130" s="889" t="str">
        <f>IF(Y130="","",VLOOKUP(Y130,'HHV-LHV-MW'!$A$3:$H$40,5,FALSE))</f>
        <v/>
      </c>
      <c r="FH130" s="890" t="str">
        <f>IF($BO$136="","",((PRODUCT('HHV-LHV-MW'!GY65)+PRODUCT('HHV-LHV-MW'!HK65)+PRODUCT('HHV-LHV-MW'!HW65)+PRODUCT('HHV-LHV-MW'!II65))/$BO$136))</f>
        <v/>
      </c>
      <c r="FI130" s="890" t="str">
        <f>IF($BO$136="","",(IF($BO$136=1,"",  (SQRT(  (      (IF('HHV-LHV-MW'!GY65="",0,('HHV-LHV-MW'!GY65-FH130)^2))      +        (IF('HHV-LHV-MW'!HK65="",0,('HHV-LHV-MW'!HK65-FH130)^2))       +        (IF('HHV-LHV-MW'!HW65="",0,('HHV-LHV-MW'!HW65-FH130)^2))          +        (IF('HHV-LHV-MW'!II65="",0,('HHV-LHV-MW'!II65-FH130)^2))          )     *(1/($BO$136-1))  )))))</f>
        <v/>
      </c>
      <c r="FJ130" s="890" t="str">
        <f t="shared" si="117"/>
        <v/>
      </c>
      <c r="FK130" s="890" t="str">
        <f t="shared" si="118"/>
        <v/>
      </c>
      <c r="FL130" s="636" t="str">
        <f>IF('HHV-LHV-MW'!GY65="","",IF(AND('HHV-LHV-MW'!GY65&gt;=0,'HHV-LHV-MW'!GY65&lt;=0.09),2,  IF(AND('HHV-LHV-MW'!GY65&gt;=0.1,'HHV-LHV-MW'!GY65&lt;=0.9),7,  IF(AND('HHV-LHV-MW'!GY65&gt;=1,'HHV-LHV-MW'!GY65&lt;=4.9),10,   IF(AND('HHV-LHV-MW'!GY65&gt;=5,'HHV-LHV-MW'!GY65&lt;=10),12, 15)))))</f>
        <v/>
      </c>
      <c r="FM130" s="636" t="str">
        <f>IF('HHV-LHV-MW'!GY65="","",5*'HHV-LHV-MW'!GY65)</f>
        <v/>
      </c>
      <c r="FN130" s="635" t="str">
        <f t="shared" si="119"/>
        <v/>
      </c>
      <c r="FO130" s="636" t="str">
        <f>IF(OR(FN130="",'HHV-LHV-MW'!GY65=0),"",FN130/'HHV-LHV-MW'!GY65)</f>
        <v/>
      </c>
      <c r="FP130" s="636" t="str">
        <f>IF(OR(FO130="",FF130="",'HHV-LHV-MW'!GY65=""),"",((FO130*FF130*('HHV-LHV-MW'!GY65/100))/23.685)^2)</f>
        <v/>
      </c>
      <c r="FQ130" s="636" t="str">
        <f>IF(OR(FO130="",FG130="",'HHV-LHV-MW'!GY65=""),"",((FO130*FG130*('HHV-LHV-MW'!GY65/100))/23.685)^2)</f>
        <v/>
      </c>
      <c r="FR130" s="639" t="str">
        <f t="shared" si="120"/>
        <v/>
      </c>
      <c r="FS130" s="891" t="str">
        <f t="shared" si="121"/>
        <v/>
      </c>
      <c r="FT130" s="643" t="str">
        <f>IF(Y130="","",VLOOKUP(Y130,'HHV-LHV-MW'!$A$3:$H$40,7,FALSE))</f>
        <v/>
      </c>
      <c r="FU130" s="875" t="str">
        <f>IF($BO$136=1,     IF(OR(FT130="",'HHV-LHV-MW'!GY65="",FO130=""),"",(FT130*('HHV-LHV-MW'!GY65/100)*FO130)^2),IF(OR(FT130="",FH130="",FK130=""),"",(FT130*(FH130/100)*FK130)^2))</f>
        <v/>
      </c>
      <c r="FV130" s="635" t="str">
        <f>IF(Y130="","",VLOOKUP(Y130,'HHV-LHV-MW'!$A$3:$I$40,9,FALSE))</f>
        <v/>
      </c>
      <c r="FW130" s="875" t="str">
        <f>IF($BO$136=1,     IF(OR(FV130="",'HHV-LHV-MW'!GY65="",FO130=""),"",(FV130*('HHV-LHV-MW'!GY65/100)*FO130)^2),IF(OR(FV130="",FH130="",FK130=""),"",(FV130*(FH130/100)*FK130)^2))</f>
        <v/>
      </c>
      <c r="FX130" s="635" t="str">
        <f>IF(Y130="","",(VLOOKUP(Y130,'HHV-LHV-MW'!$A$3:$F$40,6,FALSE))    )</f>
        <v/>
      </c>
      <c r="FY130" s="875" t="str">
        <f>IF($BO$136=1,     IF(OR(FX130="",'HHV-LHV-MW'!GY65="",FO130=""),"",(FX130*('HHV-LHV-MW'!GY65/100)*FO130)^2),IF(OR(FX130="",FH130="",FK130=""),"",(FX130*(FH130/100)*FK130)^2))</f>
        <v/>
      </c>
      <c r="FZ130" s="638" t="str">
        <f>IF($BO$136=1,     IF(OR(FX130="",FV130="",$Z$103="",$Z$103=0,'HHV-LHV-MW'!GY65="",FO130="",$FW$145=""),"", ((FX130*((FV130*('HHV-LHV-MW'!GY65/100))/$Z$103))^2)*((FO130^2)+($FW$145^2))),              IF(OR(FX130="",FV130="",FH130="",FK130="",$FW$145="",$Z$103="",$Z$103=0),"",      ((FX130*((FV130*(FH130/100))/$Z$103))^2)*((FK130^2)+($FW$145^2))             ))</f>
        <v/>
      </c>
      <c r="GA130" s="889" t="str">
        <f>IF(AE130="","",VLOOKUP(AE130,'HHV-LHV-MW'!$A$3:$H$40,4,FALSE))</f>
        <v/>
      </c>
      <c r="GB130" s="889" t="str">
        <f>IF(AE130="","",VLOOKUP(AE130,'HHV-LHV-MW'!$A$3:$H$40,5,FALSE))</f>
        <v/>
      </c>
      <c r="GC130" s="890" t="str">
        <f>IF($BW$96="","",((PRODUCT('HHV-LHV-MW'!IV65)+PRODUCT('HHV-LHV-MW'!JH65)+PRODUCT('HHV-LHV-MW'!JT65)+PRODUCT('HHV-LHV-MW'!KF65))/$BW$96))</f>
        <v/>
      </c>
      <c r="GD130" s="890" t="str">
        <f>IF($BW$96="","",(IF($BW$96=1,"",  (SQRT(  (      (IF('HHV-LHV-MW'!IV65="",0,('HHV-LHV-MW'!IV65-GC130)^2))      +        (IF('HHV-LHV-MW'!JH65="",0,('HHV-LHV-MW'!JH65-GC130)^2))       +        (IF('HHV-LHV-MW'!JT65="",0,('HHV-LHV-MW'!JT65-GC130)^2))          +        (IF('HHV-LHV-MW'!KF65="",0,('HHV-LHV-MW'!KF65-GC130)^2))          )     *(1/($BW$96-1))  )))))</f>
        <v/>
      </c>
      <c r="GE130" s="890" t="str">
        <f t="shared" si="122"/>
        <v/>
      </c>
      <c r="GF130" s="890" t="str">
        <f t="shared" si="123"/>
        <v/>
      </c>
      <c r="GG130" s="636" t="str">
        <f>IF('HHV-LHV-MW'!IV65="","",IF(AND('HHV-LHV-MW'!IV65&gt;=0,'HHV-LHV-MW'!IV65&lt;=0.09),2,  IF(AND('HHV-LHV-MW'!IV65&gt;=0.1,'HHV-LHV-MW'!IV65&lt;=0.9),7,  IF(AND('HHV-LHV-MW'!IV65&gt;=1,'HHV-LHV-MW'!IV65&lt;=4.9),10,   IF(AND('HHV-LHV-MW'!IV65&gt;=5,'HHV-LHV-MW'!IV65&lt;=10),12, 15)))))</f>
        <v/>
      </c>
      <c r="GH130" s="636" t="str">
        <f>IF('HHV-LHV-MW'!IV65="","",5*'HHV-LHV-MW'!IV65)</f>
        <v/>
      </c>
      <c r="GI130" s="635" t="str">
        <f t="shared" si="124"/>
        <v/>
      </c>
      <c r="GJ130" s="636" t="str">
        <f>IF(OR(GI130="",'HHV-LHV-MW'!IV65=0),"",GI130/'HHV-LHV-MW'!IV65)</f>
        <v/>
      </c>
      <c r="GK130" s="636" t="str">
        <f>IF(OR(GJ130="",GA130="",'HHV-LHV-MW'!IV65=""),"",((GJ130*GA130*('HHV-LHV-MW'!IV65/100))/23.685)^2)</f>
        <v/>
      </c>
      <c r="GL130" s="636" t="str">
        <f>IF(OR(GJ130="",GB130="",'HHV-LHV-MW'!IV65=""),"",((GJ130*GB130*('HHV-LHV-MW'!IV65/100))/23.685)^2)</f>
        <v/>
      </c>
      <c r="GM130" s="639" t="str">
        <f t="shared" si="125"/>
        <v/>
      </c>
      <c r="GN130" s="891" t="str">
        <f t="shared" si="126"/>
        <v/>
      </c>
      <c r="GO130" s="643" t="str">
        <f>IF(AE130="","",VLOOKUP(AE130,'HHV-LHV-MW'!$A$3:$H$40,7,FALSE))</f>
        <v/>
      </c>
      <c r="GP130" s="875" t="str">
        <f>IF($BW$96=1,     IF(OR(GO130="",'HHV-LHV-MW'!IV65="",GJ130=""),"",(GO130*('HHV-LHV-MW'!IV65/100)*GJ130)^2),IF(OR(GO130="",GC130="",GF130=""),"",(GO130*(GC130/100)*GF130)^2))</f>
        <v/>
      </c>
      <c r="GQ130" s="635" t="str">
        <f>IF(AE130="","",VLOOKUP(AE130,'HHV-LHV-MW'!$A$3:$I$40,9,FALSE))</f>
        <v/>
      </c>
      <c r="GR130" s="875" t="str">
        <f>IF($BW$96=1,     IF(OR(GQ130="",'HHV-LHV-MW'!IV65="",GJ130=""),"",(GQ130*('HHV-LHV-MW'!IV65/100)*GJ130)^2),IF(OR(GQ130="",GC130="",GF130=""),"",(GQ130*(GC130/100)*GF130)^2))</f>
        <v/>
      </c>
      <c r="GS130" s="635" t="str">
        <f>IF(AE130="","",(VLOOKUP(AE130,'HHV-LHV-MW'!$A$3:$F$40,6,FALSE))    )</f>
        <v/>
      </c>
      <c r="GT130" s="875" t="str">
        <f>IF($BW$96=1,     IF(OR(GS130="",'HHV-LHV-MW'!IV65="",GJ130=""),"",(GS130*('HHV-LHV-MW'!IV65/100)*GJ130)^2),IF(OR(GS130="",GC130="",GF130=""),"",(GS130*(GC130/100)*GF130)^2))</f>
        <v/>
      </c>
      <c r="GU130" s="638" t="str">
        <f>IF($BW$96=1,     IF(OR(GS130="",GQ130="",$AF$103="",$AF$103=0,'HHV-LHV-MW'!IV65="",GJ130="",$GR$145=""),"", ((GS130*((GQ130*('HHV-LHV-MW'!IV65/100))/$AF$103))^2)*((GJ130^2)+($GR$145^2))),              IF(OR(GS130="",GQ130="",GC130="",GF130="",$GR$145="",$AF$103="",$AF$103=0),"",      ((GS130*((GQ130*(GC130/100))/$AF$103))^2)*((GF130^2)+($GR$145^2))             ))</f>
        <v/>
      </c>
      <c r="GV130" s="889" t="str">
        <f>IF(AK130="","",VLOOKUP(AK130,'HHV-LHV-MW'!$A$3:$H$40,4,FALSE))</f>
        <v/>
      </c>
      <c r="GW130" s="889" t="str">
        <f>IF(AK130="","",VLOOKUP(AK130,'HHV-LHV-MW'!$A$3:$H$40,5,FALSE))</f>
        <v/>
      </c>
      <c r="GX130" s="890" t="str">
        <f>IF($BW$106="","",((PRODUCT('HHV-LHV-MW'!KS65)+PRODUCT('HHV-LHV-MW'!LE65)+PRODUCT('HHV-LHV-MW'!LQ65)+PRODUCT('HHV-LHV-MW'!MC65))/$BW$106))</f>
        <v/>
      </c>
      <c r="GY130" s="890" t="str">
        <f>IF($BW$106="","",(IF($BW$106=1,"",  (SQRT(  (      (IF('HHV-LHV-MW'!KS65="",0,('HHV-LHV-MW'!KS65-GX130)^2))      +        (IF('HHV-LHV-MW'!LE65="",0,('HHV-LHV-MW'!LE65-GX130)^2))       +        (IF('HHV-LHV-MW'!LQ65="",0,('HHV-LHV-MW'!LQ65-GX130)^2))          +        (IF('HHV-LHV-MW'!MC65="",0,('HHV-LHV-MW'!MC65-GX130)^2))          )     *(1/($BW$106-1))  )))))</f>
        <v/>
      </c>
      <c r="GZ130" s="890" t="str">
        <f t="shared" si="127"/>
        <v/>
      </c>
      <c r="HA130" s="890" t="str">
        <f t="shared" si="128"/>
        <v/>
      </c>
      <c r="HB130" s="636" t="str">
        <f>IF('HHV-LHV-MW'!KS65="","",IF(AND('HHV-LHV-MW'!KS65&gt;=0,'HHV-LHV-MW'!KS65&lt;=0.09),2,  IF(AND('HHV-LHV-MW'!KS65&gt;=0.1,'HHV-LHV-MW'!KS65&lt;=0.9),7,  IF(AND('HHV-LHV-MW'!KS65&gt;=1,'HHV-LHV-MW'!KS65&lt;=4.9),10,   IF(AND('HHV-LHV-MW'!KS65&gt;=5,'HHV-LHV-MW'!KS65&lt;=10),12, 15)))))</f>
        <v/>
      </c>
      <c r="HC130" s="636" t="str">
        <f>IF('HHV-LHV-MW'!KS65="","",5*'HHV-LHV-MW'!KS65)</f>
        <v/>
      </c>
      <c r="HD130" s="635" t="str">
        <f t="shared" si="129"/>
        <v/>
      </c>
      <c r="HE130" s="636" t="str">
        <f>IF(OR(HD130="",'HHV-LHV-MW'!KS65=0),"",HD130/'HHV-LHV-MW'!KS65)</f>
        <v/>
      </c>
      <c r="HF130" s="636" t="str">
        <f>IF(OR(HE130="",GV130="",'HHV-LHV-MW'!KS65=""),"",((HE130*GV130*('HHV-LHV-MW'!KS65/100))/23.685)^2)</f>
        <v/>
      </c>
      <c r="HG130" s="636" t="str">
        <f>IF(OR(HE130="",GW130="",'HHV-LHV-MW'!KS65=""),"",((HE130*GW130*('HHV-LHV-MW'!KS65/100))/23.685)^2)</f>
        <v/>
      </c>
      <c r="HH130" s="639" t="str">
        <f t="shared" si="130"/>
        <v/>
      </c>
      <c r="HI130" s="891" t="str">
        <f t="shared" si="131"/>
        <v/>
      </c>
      <c r="HJ130" s="643" t="str">
        <f>IF(AK130="","",VLOOKUP(AK130,'HHV-LHV-MW'!$A$3:$H$40,7,FALSE))</f>
        <v/>
      </c>
      <c r="HK130" s="875" t="str">
        <f>IF($BW$106=1,     IF(OR(HJ130="",'HHV-LHV-MW'!KS65="",HE130=""),"",(HJ130*('HHV-LHV-MW'!KS65/100)*HE130)^2),IF(OR(HJ130="",GX130="",HA130=""),"",(HJ130*(GX130/100)*HA130)^2))</f>
        <v/>
      </c>
      <c r="HL130" s="635" t="str">
        <f>IF(AK130="","",VLOOKUP(AK130,'HHV-LHV-MW'!$A$3:$I$40,9,FALSE))</f>
        <v/>
      </c>
      <c r="HM130" s="875" t="str">
        <f>IF($BW$106=1,     IF(OR(HL130="",'HHV-LHV-MW'!KS65="",HE130=""),"",(HL130*('HHV-LHV-MW'!KS65/100)*HE130)^2),IF(OR(HL130="",GX130="",HA130=""),"",(HL130*(GX130/100)*HA130)^2))</f>
        <v/>
      </c>
      <c r="HN130" s="635" t="str">
        <f>IF(AK130="","",(VLOOKUP(AK130,'HHV-LHV-MW'!$A$3:$F$40,6,FALSE))    )</f>
        <v/>
      </c>
      <c r="HO130" s="875" t="str">
        <f>IF($BW$106=1,     IF(OR(HN130="",'HHV-LHV-MW'!KS65="",HE130=""),"",(HN130*('HHV-LHV-MW'!KS65/100)*HE130)^2),IF(OR(HN130="",GX130="",HA130=""),"",(HN130*(GX130/100)*HA130)^2))</f>
        <v/>
      </c>
      <c r="HP130" s="638" t="str">
        <f>IF($BW$106=1,     IF(OR(HN130="",HL130="",$AL$103="",$AL$103=0,'HHV-LHV-MW'!KS65="",HE130="",$HM$145=""),"", ((HN130*((HL130*('HHV-LHV-MW'!KS65/100))/$AL$103))^2)*((HE130^2)+($HM$145^2))),              IF(OR(HN130="",HL130="",GX130="",HA130="",$HM$145="",$AL$103="",$AL$103=0),"",      ((HN130*((HL130*(GX130/100))/$AL$103))^2)*((HA130^2)+($HM$145^2))             ))</f>
        <v/>
      </c>
      <c r="HQ130" s="889" t="str">
        <f>IF(AQ130="","",VLOOKUP(AQ130,'HHV-LHV-MW'!$A$3:$H$40,4,FALSE))</f>
        <v/>
      </c>
      <c r="HR130" s="889" t="str">
        <f>IF(AQ130="","",VLOOKUP(AQ130,'HHV-LHV-MW'!$A$3:$H$40,5,FALSE))</f>
        <v/>
      </c>
      <c r="HS130" s="890" t="str">
        <f>IF($BW$116="","",((PRODUCT('HHV-LHV-MW'!MP65)+PRODUCT('HHV-LHV-MW'!NB65)+PRODUCT('HHV-LHV-MW'!NN65)+PRODUCT('HHV-LHV-MW'!NZ65))/$BW$116))</f>
        <v/>
      </c>
      <c r="HT130" s="890" t="str">
        <f>IF($BW$116="","",(IF($BW$116=1,"",  (SQRT(  (      (IF('HHV-LHV-MW'!MP65="",0,('HHV-LHV-MW'!MP65-HS130)^2))      +        (IF('HHV-LHV-MW'!NB65="",0,('HHV-LHV-MW'!NB65-HS130)^2))       +        (IF('HHV-LHV-MW'!NN65="",0,('HHV-LHV-MW'!NN65-HS130)^2))          +        (IF('HHV-LHV-MW'!NZ65="",0,('HHV-LHV-MW'!NZ65-HS130)^2))          )     *(1/($BW$116-1))  )))))</f>
        <v/>
      </c>
      <c r="HU130" s="890" t="str">
        <f t="shared" si="132"/>
        <v/>
      </c>
      <c r="HV130" s="890" t="str">
        <f t="shared" si="133"/>
        <v/>
      </c>
      <c r="HW130" s="636" t="str">
        <f>IF('HHV-LHV-MW'!MP65="","",IF(AND('HHV-LHV-MW'!MP65&gt;=0,'HHV-LHV-MW'!MP65&lt;=0.09),2,  IF(AND('HHV-LHV-MW'!MP65&gt;=0.1,'HHV-LHV-MW'!MP65&lt;=0.9),7,  IF(AND('HHV-LHV-MW'!MP65&gt;=1,'HHV-LHV-MW'!MP65&lt;=4.9),10,   IF(AND('HHV-LHV-MW'!MP65&gt;=5,'HHV-LHV-MW'!MP65&lt;=10),12, 15)))))</f>
        <v/>
      </c>
      <c r="HX130" s="636" t="str">
        <f>IF('HHV-LHV-MW'!MP65="","",5*'HHV-LHV-MW'!MP65)</f>
        <v/>
      </c>
      <c r="HY130" s="635" t="str">
        <f t="shared" si="134"/>
        <v/>
      </c>
      <c r="HZ130" s="636" t="str">
        <f>IF(OR(HY130="",'HHV-LHV-MW'!MP65=0),"",HY130/'HHV-LHV-MW'!MP65)</f>
        <v/>
      </c>
      <c r="IA130" s="636" t="str">
        <f>IF(OR(HZ130="",HQ130="",'HHV-LHV-MW'!MP65=""),"",((HZ130*HQ130*('HHV-LHV-MW'!MP65/100))/23.685)^2)</f>
        <v/>
      </c>
      <c r="IB130" s="636" t="str">
        <f>IF(OR(HZ130="",HR130="",'HHV-LHV-MW'!MP65=""),"",((HZ130*HR130*('HHV-LHV-MW'!MP65/100))/23.685)^2)</f>
        <v/>
      </c>
      <c r="IC130" s="639" t="str">
        <f t="shared" si="135"/>
        <v/>
      </c>
      <c r="ID130" s="891" t="str">
        <f t="shared" si="136"/>
        <v/>
      </c>
      <c r="IE130" s="643" t="str">
        <f>IF(AQ130="","",VLOOKUP(AQ130,'HHV-LHV-MW'!$A$3:$H$40,7,FALSE))</f>
        <v/>
      </c>
      <c r="IF130" s="875" t="str">
        <f>IF($BW$116=1,     IF(OR(IE130="",'HHV-LHV-MW'!MP65="",HZ130=""),"",(IE130*('HHV-LHV-MW'!MP65/100)*HZ130)^2),IF(OR(IE130="",HS130="",HV130=""),"",(IE130*(HS130/100)*HV130)^2))</f>
        <v/>
      </c>
      <c r="IG130" s="635" t="str">
        <f>IF(AQ130="","",VLOOKUP(AQ130,'HHV-LHV-MW'!$A$3:$I$40,9,FALSE))</f>
        <v/>
      </c>
      <c r="IH130" s="875" t="str">
        <f>IF($BW$116=1,     IF(OR(IG130="",'HHV-LHV-MW'!MP65="",HZ130=""),"",(IG130*('HHV-LHV-MW'!MP65/100)*HZ130)^2),IF(OR(IG130="",HS130="",HV130=""),"",(IG130*(HS130/100)*HV130)^2))</f>
        <v/>
      </c>
      <c r="II130" s="635" t="str">
        <f>IF(AQ130="","",(VLOOKUP(AQ130,'HHV-LHV-MW'!$A$3:$F$40,6,FALSE))    )</f>
        <v/>
      </c>
      <c r="IJ130" s="875" t="str">
        <f>IF($BW$116=1,     IF(OR(II130="",'HHV-LHV-MW'!MP65="",HZ130=""),"",(II130*('HHV-LHV-MW'!MP65/100)*HZ130)^2),IF(OR(II130="",HS130="",HV130=""),"",(II130*(HS130/100)*HV130)^2))</f>
        <v/>
      </c>
      <c r="IK130" s="638" t="str">
        <f>IF($BW$116=1,     IF(OR(II130="",IG130="",$AR$103="",$AR$103=0,'HHV-LHV-MW'!MP65="",HZ130="",$IH$145=""),"", ((II130*((IG130*('HHV-LHV-MW'!MP65/100))/$AR$103))^2)*((HZ130^2)+($IH$145^2))),              IF(OR(II130="",IG130="",HS130="",HV130="",$IH$145="",$AR$103="",$AR$103=0),"",      ((II130*((IG130*(HS130/100))/$AR$103))^2)*((HV130^2)+($IH$145^2))             ))</f>
        <v/>
      </c>
      <c r="IL130" s="889" t="str">
        <f>IF(AW130="","",VLOOKUP(AW130,'HHV-LHV-MW'!$A$3:$H$40,4,FALSE))</f>
        <v/>
      </c>
      <c r="IM130" s="889" t="str">
        <f>IF(AW130="","",VLOOKUP(AW130,'HHV-LHV-MW'!$A$3:$H$40,5,FALSE))</f>
        <v/>
      </c>
      <c r="IN130" s="890" t="str">
        <f>IF($BW$126="","",((PRODUCT('HHV-LHV-MW'!ON65)+PRODUCT('HHV-LHV-MW'!OZ65)+PRODUCT('HHV-LHV-MW'!PL65)+PRODUCT('HHV-LHV-MW'!PX65))/$BW$126))</f>
        <v/>
      </c>
      <c r="IO130" s="890" t="str">
        <f>IF($BW$126="","",(IF($BW$126=1,"",  (SQRT(  (      (IF('HHV-LHV-MW'!ON65="",0,('HHV-LHV-MW'!ON65-IN130)^2))      +        (IF('HHV-LHV-MW'!OZ65="",0,('HHV-LHV-MW'!OZ65-IN130)^2))       +        (IF('HHV-LHV-MW'!PL65="",0,('HHV-LHV-MW'!PL65-IN130)^2))          +        (IF('HHV-LHV-MW'!PX65="",0,('HHV-LHV-MW'!PX65-IN130)^2))          )     *(1/($BW$126-1))  )))))</f>
        <v/>
      </c>
      <c r="IP130" s="890" t="str">
        <f t="shared" si="137"/>
        <v/>
      </c>
      <c r="IQ130" s="890" t="str">
        <f t="shared" si="138"/>
        <v/>
      </c>
      <c r="IR130" s="636" t="str">
        <f>IF('HHV-LHV-MW'!ON65="","",IF(AND('HHV-LHV-MW'!ON65&gt;=0,'HHV-LHV-MW'!ON65&lt;=0.09),2,  IF(AND('HHV-LHV-MW'!ON65&gt;=0.1,'HHV-LHV-MW'!ON65&lt;=0.9),7,  IF(AND('HHV-LHV-MW'!ON65&gt;=1,'HHV-LHV-MW'!ON65&lt;=4.9),10,   IF(AND('HHV-LHV-MW'!ON65&gt;=5,'HHV-LHV-MW'!ON65&lt;=10),12, 15)))))</f>
        <v/>
      </c>
      <c r="IS130" s="636" t="str">
        <f>IF('HHV-LHV-MW'!ON65="","",5*'HHV-LHV-MW'!ON65)</f>
        <v/>
      </c>
      <c r="IT130" s="635" t="str">
        <f t="shared" si="139"/>
        <v/>
      </c>
      <c r="IU130" s="636" t="str">
        <f>IF(OR(IT130="",'HHV-LHV-MW'!ON65=0),"",IT130/'HHV-LHV-MW'!ON65)</f>
        <v/>
      </c>
      <c r="IV130" s="636" t="str">
        <f>IF(OR(IU130="",IL130="",'HHV-LHV-MW'!ON65=""),"",((IU130*IL130*('HHV-LHV-MW'!ON65/100))/23.685)^2)</f>
        <v/>
      </c>
      <c r="IW130" s="636" t="str">
        <f>IF(OR(IU130="",IM130="",'HHV-LHV-MW'!ON65=""),"",((IU130*IM130*('HHV-LHV-MW'!ON65/100))/23.685)^2)</f>
        <v/>
      </c>
      <c r="IX130" s="639" t="str">
        <f t="shared" si="140"/>
        <v/>
      </c>
      <c r="IY130" s="891" t="str">
        <f t="shared" si="141"/>
        <v/>
      </c>
      <c r="IZ130" s="643" t="str">
        <f>IF(AW130="","",VLOOKUP(AW130,'HHV-LHV-MW'!$A$3:$H$40,7,FALSE))</f>
        <v/>
      </c>
      <c r="JA130" s="875" t="str">
        <f>IF($BW$126=1,     IF(OR(IZ130="",'HHV-LHV-MW'!ON65="",IU130=""),"",(IZ130*('HHV-LHV-MW'!ON65/100)*IU130)^2),IF(OR(IZ130="",IN130="",IQ130=""),"",(IZ130*(IN130/100)*IQ130)^2))</f>
        <v/>
      </c>
      <c r="JB130" s="635" t="str">
        <f>IF(AW130="","",VLOOKUP(AW130,'HHV-LHV-MW'!$A$3:$I$40,9,FALSE))</f>
        <v/>
      </c>
      <c r="JC130" s="875" t="str">
        <f>IF($BW$126=1,     IF(OR(JB130="",'HHV-LHV-MW'!ON65="",IU130=""),"",(JB130*('HHV-LHV-MW'!ON65/100)*IU130)^2),IF(OR(JB130="",IN130="",IQ130=""),"",(JB130*(IN130/100)*IQ130)^2))</f>
        <v/>
      </c>
      <c r="JD130" s="635" t="str">
        <f>IF(AW130="","",(VLOOKUP(AW130,'HHV-LHV-MW'!$A$3:$F$40,6,FALSE))    )</f>
        <v/>
      </c>
      <c r="JE130" s="875" t="str">
        <f>IF($BW$126=1,     IF(OR(JD130="",'HHV-LHV-MW'!ON65="",IU130=""),"",(JD130*('HHV-LHV-MW'!ON65/100)*IU130)^2),IF(OR(JD130="",IN130="",IQ130=""),"",(JD130*(IN130/100)*IQ130)^2))</f>
        <v/>
      </c>
      <c r="JF130" s="638" t="str">
        <f>IF($BW$126=1,     IF(OR(JD130="",JB130="",$AX$103="",$AX$103=0,'HHV-LHV-MW'!ON65="",IU130="",$JC$145=""),"", ((JD130*((JB130*('HHV-LHV-MW'!ON65/100))/$AX$103))^2)*((IU130^2)+($JC$145^2))),              IF(OR(JD130="",JB130="",IN130="",IQ130="",$JC$145="",$AX$103="",$AX$103=0),"",      ((JD130*((JB130*(IN130/100))/$AX$103))^2)*((IQ130^2)+($JC$145^2))             ))</f>
        <v/>
      </c>
      <c r="JG130" s="889" t="str">
        <f>IF(BC130="","",VLOOKUP(BC130,'HHV-LHV-MW'!$A$3:$H$40,4,FALSE))</f>
        <v/>
      </c>
      <c r="JH130" s="889" t="str">
        <f>IF(BC130="","",VLOOKUP(BC130,'HHV-LHV-MW'!$A$3:$H$40,5,FALSE))</f>
        <v/>
      </c>
      <c r="JI130" s="890" t="str">
        <f>IF($BW$136="","",((PRODUCT('HHV-LHV-MW'!QK65)+PRODUCT('HHV-LHV-MW'!QW65)+PRODUCT('HHV-LHV-MW'!RI65)+PRODUCT('HHV-LHV-MW'!RU65))/$BW$136))</f>
        <v/>
      </c>
      <c r="JJ130" s="890" t="str">
        <f>IF($BW$136="","",(IF($BW$136=1,"",  (SQRT(  (      (IF('HHV-LHV-MW'!QK65="",0,('HHV-LHV-MW'!QK65-JI130)^2))      +        (IF('HHV-LHV-MW'!QW65="",0,('HHV-LHV-MW'!QW65-JI130)^2))       +        (IF('HHV-LHV-MW'!RI65="",0,('HHV-LHV-MW'!RI65-JI130)^2))          +        (IF('HHV-LHV-MW'!RU65="",0,('HHV-LHV-MW'!RU65-JI130)^2))          )     *(1/($BW$136-1))  )))))</f>
        <v/>
      </c>
      <c r="JK130" s="890" t="str">
        <f t="shared" si="142"/>
        <v/>
      </c>
      <c r="JL130" s="890" t="str">
        <f t="shared" si="143"/>
        <v/>
      </c>
      <c r="JM130" s="636" t="str">
        <f>IF('HHV-LHV-MW'!QK65="","",IF(AND('HHV-LHV-MW'!QK65&gt;=0,'HHV-LHV-MW'!QK65&lt;=0.09),2,  IF(AND('HHV-LHV-MW'!QK65&gt;=0.1,'HHV-LHV-MW'!QK65&lt;=0.9),7,  IF(AND('HHV-LHV-MW'!QK65&gt;=1,'HHV-LHV-MW'!QK65&lt;=4.9),10,   IF(AND('HHV-LHV-MW'!QK65&gt;=5,'HHV-LHV-MW'!QK65&lt;=10),12, 15)))))</f>
        <v/>
      </c>
      <c r="JN130" s="636" t="str">
        <f>IF('HHV-LHV-MW'!QK65="","",5*'HHV-LHV-MW'!QK65)</f>
        <v/>
      </c>
      <c r="JO130" s="635" t="str">
        <f t="shared" si="144"/>
        <v/>
      </c>
      <c r="JP130" s="636" t="str">
        <f>IF(OR(JO130="",'HHV-LHV-MW'!QK65=0),"",JO130/'HHV-LHV-MW'!QK65)</f>
        <v/>
      </c>
      <c r="JQ130" s="636" t="str">
        <f>IF(OR(JP130="",JG130="",'HHV-LHV-MW'!QK65=""),"",((JP130*JG130*('HHV-LHV-MW'!QK65/100))/23.685)^2)</f>
        <v/>
      </c>
      <c r="JR130" s="636" t="str">
        <f>IF(OR(JP130="",JH130="",'HHV-LHV-MW'!QK65=""),"",((JP130*JH130*('HHV-LHV-MW'!QK65/100))/23.685)^2)</f>
        <v/>
      </c>
      <c r="JS130" s="639" t="str">
        <f t="shared" si="145"/>
        <v/>
      </c>
      <c r="JT130" s="891" t="str">
        <f t="shared" si="146"/>
        <v/>
      </c>
      <c r="JU130" s="643" t="str">
        <f>IF(BC130="","",VLOOKUP(BC130,'HHV-LHV-MW'!$A$3:$H$40,7,FALSE))</f>
        <v/>
      </c>
      <c r="JV130" s="875" t="str">
        <f>IF($BW$136=1,     IF(OR(JU130="",'HHV-LHV-MW'!QK65="",JP130=""),"",(JU130*('HHV-LHV-MW'!QK65/100)*JP130)^2),IF(OR(JU130="",JI130="",JL130=""),"",(JU130*(JI130/100)*JL130)^2))</f>
        <v/>
      </c>
      <c r="JW130" s="635" t="str">
        <f>IF(BC130="","",VLOOKUP(BC130,'HHV-LHV-MW'!$A$3:$I$40,9,FALSE))</f>
        <v/>
      </c>
      <c r="JX130" s="875" t="str">
        <f>IF($BW$136=1,     IF(OR(JW130="",'HHV-LHV-MW'!QK65="",JP130=""),"",(JW130*('HHV-LHV-MW'!QK65/100)*JP130)^2),IF(OR(JW130="",JI130="",JL130=""),"",(JW130*(JI130/100)*JL130)^2))</f>
        <v/>
      </c>
      <c r="JY130" s="635" t="str">
        <f>IF(BC130="","",(VLOOKUP(BC130,'HHV-LHV-MW'!$A$3:$F$40,6,FALSE))    )</f>
        <v/>
      </c>
      <c r="JZ130" s="875" t="str">
        <f>IF($BW$136=1,     IF(OR(JY130="",'HHV-LHV-MW'!QK65="",JP130=""),"",(JY130*('HHV-LHV-MW'!QK65/100)*JP130)^2),IF(OR(JY130="",JI130="",JL130=""),"",(JY130*(JI130/100)*JL130)^2))</f>
        <v/>
      </c>
      <c r="KA130" s="638" t="str">
        <f>IF($BW$136=1,     IF(OR(JY130="",JW130="",$BD$103="",$BD$103=0,'HHV-LHV-MW'!QK65="",JP130="",$JX$145=""),"", ((JY130*((JW130*('HHV-LHV-MW'!QK65/100))/$BD$103))^2)*((JP130^2)+($JX$145^2))),              IF(OR(JY130="",JW130="",JI130="",JL130="",$JX$145="",$BD$103="",$BD$103=0),"",      ((JY130*((JW130*(JI130/100))/$BD$103))^2)*((JL130^2)+($JX$145^2))             ))</f>
        <v/>
      </c>
      <c r="KB130" s="874"/>
      <c r="KC130" s="874"/>
      <c r="KD130" s="874"/>
      <c r="KE130" s="874"/>
      <c r="KF130" s="874"/>
      <c r="KG130" s="874"/>
      <c r="KH130" s="865"/>
      <c r="KI130" s="865"/>
      <c r="KJ130" s="865"/>
      <c r="KK130" s="865"/>
      <c r="KL130" s="865"/>
      <c r="KM130" s="865"/>
      <c r="KN130" s="865"/>
      <c r="KO130" s="865"/>
      <c r="KP130" s="865"/>
      <c r="KQ130" s="865"/>
      <c r="KR130" s="865"/>
      <c r="KS130" s="865"/>
      <c r="KT130" s="865"/>
      <c r="KU130" s="865"/>
      <c r="KV130" s="865"/>
      <c r="KW130" s="865"/>
      <c r="KX130" s="865"/>
      <c r="KY130" s="865"/>
      <c r="KZ130" s="865"/>
      <c r="LA130" s="865"/>
      <c r="LB130" s="865"/>
      <c r="LC130" s="865"/>
      <c r="LD130" s="865"/>
      <c r="LE130" s="865"/>
      <c r="LF130" s="865"/>
    </row>
    <row r="131" spans="1:318" ht="19.2" thickBot="1">
      <c r="A131" s="864"/>
      <c r="B131" s="502"/>
      <c r="C131" s="502"/>
      <c r="D131" s="502"/>
      <c r="E131" s="502"/>
      <c r="F131" s="511"/>
      <c r="G131" s="864"/>
      <c r="H131" s="502"/>
      <c r="I131" s="502"/>
      <c r="J131" s="502"/>
      <c r="K131" s="502"/>
      <c r="L131" s="511"/>
      <c r="M131" s="864"/>
      <c r="N131" s="502"/>
      <c r="O131" s="502"/>
      <c r="P131" s="502"/>
      <c r="Q131" s="502"/>
      <c r="R131" s="511"/>
      <c r="S131" s="864"/>
      <c r="T131" s="502"/>
      <c r="U131" s="502"/>
      <c r="V131" s="502"/>
      <c r="W131" s="502"/>
      <c r="X131" s="511"/>
      <c r="Y131" s="864"/>
      <c r="Z131" s="502"/>
      <c r="AA131" s="502"/>
      <c r="AB131" s="502"/>
      <c r="AC131" s="502"/>
      <c r="AD131" s="511"/>
      <c r="AE131" s="864"/>
      <c r="AF131" s="502"/>
      <c r="AG131" s="502"/>
      <c r="AH131" s="502"/>
      <c r="AI131" s="502"/>
      <c r="AJ131" s="511"/>
      <c r="AK131" s="864"/>
      <c r="AL131" s="502"/>
      <c r="AM131" s="502"/>
      <c r="AN131" s="502"/>
      <c r="AO131" s="502"/>
      <c r="AP131" s="511"/>
      <c r="AQ131" s="864"/>
      <c r="AR131" s="502"/>
      <c r="AS131" s="502"/>
      <c r="AT131" s="502"/>
      <c r="AU131" s="502"/>
      <c r="AV131" s="511"/>
      <c r="AW131" s="864"/>
      <c r="AX131" s="502"/>
      <c r="AY131" s="502"/>
      <c r="AZ131" s="502"/>
      <c r="BA131" s="502"/>
      <c r="BB131" s="511"/>
      <c r="BC131" s="864"/>
      <c r="BD131" s="502"/>
      <c r="BE131" s="502"/>
      <c r="BF131" s="502"/>
      <c r="BG131" s="502"/>
      <c r="BH131" s="865"/>
      <c r="BI131" s="865"/>
      <c r="BJ131" s="1143" t="s">
        <v>1509</v>
      </c>
      <c r="BK131" s="2481"/>
      <c r="BL131" s="2481"/>
      <c r="BM131" s="2481"/>
      <c r="BN131" s="1144"/>
      <c r="BO131" s="2477" t="str">
        <f>FB143</f>
        <v/>
      </c>
      <c r="BP131" s="2477"/>
      <c r="BQ131" s="865"/>
      <c r="BR131" s="1143" t="s">
        <v>1509</v>
      </c>
      <c r="BS131" s="2481"/>
      <c r="BT131" s="2481"/>
      <c r="BU131" s="2481"/>
      <c r="BV131" s="1144"/>
      <c r="BW131" s="2477" t="str">
        <f>JC143</f>
        <v/>
      </c>
      <c r="BX131" s="2477"/>
      <c r="BY131" s="874"/>
      <c r="BZ131" s="888" t="str">
        <f>IF(A131="","",VLOOKUP(A131,'HHV-LHV-MW'!$A$3:$H$40,4,FALSE))</f>
        <v/>
      </c>
      <c r="CA131" s="889" t="str">
        <f>IF(A131="","",VLOOKUP(A131,'HHV-LHV-MW'!$A$3:$H$40,5,FALSE))</f>
        <v/>
      </c>
      <c r="CB131" s="890" t="str">
        <f>IF($BO$96="","",((PRODUCT('HHV-LHV-MW'!K66)+PRODUCT('HHV-LHV-MW'!W66)+PRODUCT('HHV-LHV-MW'!AI66)+PRODUCT('HHV-LHV-MW'!AU66))/$BO$96))</f>
        <v/>
      </c>
      <c r="CC131" s="890" t="str">
        <f>IF($BO$96="","",(IF($BO$96=1,"",  (SQRT(  (      (IF('HHV-LHV-MW'!K66="",0,('HHV-LHV-MW'!K66-CB131)^2))      +        (IF('HHV-LHV-MW'!W66="",0,('HHV-LHV-MW'!W66-CB131)^2))       +        (IF('HHV-LHV-MW'!AI66="",0,('HHV-LHV-MW'!AI66-CB131)^2))          +        (IF('HHV-LHV-MW'!AU66="",0,('HHV-LHV-MW'!AU66-CB131)^2))          )     *(1/($BO$96-1))  )))))</f>
        <v/>
      </c>
      <c r="CD131" s="890" t="str">
        <f t="shared" si="97"/>
        <v/>
      </c>
      <c r="CE131" s="890" t="str">
        <f t="shared" si="98"/>
        <v/>
      </c>
      <c r="CF131" s="636" t="str">
        <f>IF('HHV-LHV-MW'!K66="","",IF(AND('HHV-LHV-MW'!K66&gt;=0,'HHV-LHV-MW'!K66&lt;=0.09),2,  IF(AND('HHV-LHV-MW'!K66&gt;=0.1,'HHV-LHV-MW'!K66&lt;=0.9),7,  IF(AND('HHV-LHV-MW'!K66&gt;=1,'HHV-LHV-MW'!K66&lt;=4.9),10,   IF(AND('HHV-LHV-MW'!K66&gt;=5,'HHV-LHV-MW'!K66&lt;=10),12, 15)))))</f>
        <v/>
      </c>
      <c r="CG131" s="636" t="str">
        <f>IF('HHV-LHV-MW'!K66="","",5*'HHV-LHV-MW'!K66)</f>
        <v/>
      </c>
      <c r="CH131" s="635" t="str">
        <f t="shared" si="99"/>
        <v/>
      </c>
      <c r="CI131" s="636" t="str">
        <f>IF(OR(CH131="",'HHV-LHV-MW'!K66=0),"",CH131/'HHV-LHV-MW'!K66)</f>
        <v/>
      </c>
      <c r="CJ131" s="636" t="str">
        <f>IF(OR(CI131="",BZ131="",'HHV-LHV-MW'!K66=""),"",((CI131*BZ131*('HHV-LHV-MW'!K66/100))/23.685)^2)</f>
        <v/>
      </c>
      <c r="CK131" s="636" t="str">
        <f>IF(OR(CI131="",CA131="",'HHV-LHV-MW'!K66=""),"",((CI131*CA131*('HHV-LHV-MW'!K66/100))/23.685)^2)</f>
        <v/>
      </c>
      <c r="CL131" s="639" t="str">
        <f t="shared" si="100"/>
        <v/>
      </c>
      <c r="CM131" s="892" t="str">
        <f t="shared" si="101"/>
        <v/>
      </c>
      <c r="CN131" s="639" t="str">
        <f>IF(A131="","",VLOOKUP(A131,'HHV-LHV-MW'!$A$3:$H$40,7,FALSE))</f>
        <v/>
      </c>
      <c r="CO131" s="636" t="str">
        <f>IF($BO$96=1,     IF(OR(CN131="",'HHV-LHV-MW'!K66="",CI131=""),"",(CN131*('HHV-LHV-MW'!K66/100)*CI131)^2),IF(OR(CN131="",CB131="",CE131=""),"",(CN131*(CB131/100)*CE131)^2))</f>
        <v/>
      </c>
      <c r="CP131" s="635" t="str">
        <f>IF(A131="","",VLOOKUP(A131,'HHV-LHV-MW'!$A$3:$I$40,9,FALSE))</f>
        <v/>
      </c>
      <c r="CQ131" s="636" t="str">
        <f>IF($BO$96=1,     IF(OR(CP131="",'HHV-LHV-MW'!K66="",CI131=""),"",(CP131*('HHV-LHV-MW'!K66/100)*CI131)^2),IF(OR(CP131="",CB131="",CE131=""),"",(CP131*(CB131/100)*CE131)^2))</f>
        <v/>
      </c>
      <c r="CR131" s="636" t="str">
        <f>IF(A131="","",(VLOOKUP(A131,'HHV-LHV-MW'!$A$3:$F$40,6,FALSE))    )</f>
        <v/>
      </c>
      <c r="CS131" s="636" t="str">
        <f>IF($BO$96=1,     IF(OR(CR131="",'HHV-LHV-MW'!K66="",CI131=""),"",(CR131*('HHV-LHV-MW'!K66/100)*CI131)^2),IF(OR(CR131="",CB131="",CE131=""),"",(CR131*(CB131/100)*CE131)^2))</f>
        <v/>
      </c>
      <c r="CT131" s="640" t="str">
        <f>IF($BO$96=1,     IF(OR(CR131="",CP131="",$B$103="",$B$103=0,'HHV-LHV-MW'!K66="",CI131="",$CQ$145=""),"", ((CR131*((CP131*('HHV-LHV-MW'!K66/100))/$B$103))^2)*((CI131^2)+($CQ$145^2))),              IF(OR(CR131="",CP131="",CB131="",CE131="",$CQ$145="",$B$103="",$B$103=0),"",      ((CR131*((CP131*(CB131/100))/$B$103))^2)*((CE131^2)+($CQ$145^2))             ))</f>
        <v/>
      </c>
      <c r="CU131" s="889" t="str">
        <f>IF(G131="","",VLOOKUP(G131,'HHV-LHV-MW'!$A$3:$H$40,4,FALSE))</f>
        <v/>
      </c>
      <c r="CV131" s="889" t="str">
        <f>IF(G131="","",VLOOKUP(G131,'HHV-LHV-MW'!$A$3:$H$40,5,FALSE))</f>
        <v/>
      </c>
      <c r="CW131" s="890" t="str">
        <f>IF($BO$106="","",((PRODUCT('HHV-LHV-MW'!BH66)+PRODUCT('HHV-LHV-MW'!BT66)+PRODUCT('HHV-LHV-MW'!CF66)+PRODUCT('HHV-LHV-MW'!CR66))/$BO$106))</f>
        <v/>
      </c>
      <c r="CX131" s="890" t="str">
        <f>IF($BO$106="","",(IF($BO$106=1,"",  (SQRT(  (      (IF('HHV-LHV-MW'!BH66="",0,('HHV-LHV-MW'!BH66-CW131)^2))      +        (IF('HHV-LHV-MW'!BT66="",0,('HHV-LHV-MW'!BT66-CW131)^2))       +        (IF('HHV-LHV-MW'!CF66="",0,('HHV-LHV-MW'!CF66-CW131)^2))          +        (IF('HHV-LHV-MW'!CR66="",0,('HHV-LHV-MW'!CR66-CW131)^2))          )     *(1/($BO$106-1))  )))))</f>
        <v/>
      </c>
      <c r="CY131" s="890" t="str">
        <f t="shared" si="102"/>
        <v/>
      </c>
      <c r="CZ131" s="890" t="str">
        <f t="shared" si="103"/>
        <v/>
      </c>
      <c r="DA131" s="636" t="str">
        <f>IF('HHV-LHV-MW'!BH66="","",IF(AND('HHV-LHV-MW'!BH66&gt;=0,'HHV-LHV-MW'!BH66&lt;=0.09),2,  IF(AND('HHV-LHV-MW'!BH66&gt;=0.1,'HHV-LHV-MW'!BH66&lt;=0.9),7,  IF(AND('HHV-LHV-MW'!BH66&gt;=1,'HHV-LHV-MW'!BH66&lt;=4.9),10,   IF(AND('HHV-LHV-MW'!BH66&gt;=5,'HHV-LHV-MW'!BH66&lt;=10),12, 15)))))</f>
        <v/>
      </c>
      <c r="DB131" s="636" t="str">
        <f>IF('HHV-LHV-MW'!BH66="","",5*'HHV-LHV-MW'!BH66)</f>
        <v/>
      </c>
      <c r="DC131" s="635" t="str">
        <f t="shared" si="104"/>
        <v/>
      </c>
      <c r="DD131" s="636" t="str">
        <f>IF(OR(DC131="",'HHV-LHV-MW'!BH66=0),"",DC131/'HHV-LHV-MW'!BH66)</f>
        <v/>
      </c>
      <c r="DE131" s="635" t="str">
        <f>IF(OR(DD131="",CU131="",'HHV-LHV-MW'!BH66=""),"",((DD131*CU131*('HHV-LHV-MW'!BH66/100))/23.685)^2)</f>
        <v/>
      </c>
      <c r="DF131" s="636" t="str">
        <f>IF(OR(DD131="",CV131="",'HHV-LHV-MW'!BH66=""),"",((DD131*CV131*('HHV-LHV-MW'!BH66/100))/23.685)^2)</f>
        <v/>
      </c>
      <c r="DG131" s="639" t="str">
        <f t="shared" si="105"/>
        <v/>
      </c>
      <c r="DH131" s="891" t="str">
        <f t="shared" si="106"/>
        <v/>
      </c>
      <c r="DI131" s="635" t="str">
        <f>IF(G131="","",VLOOKUP(G131,'HHV-LHV-MW'!$A$3:$H$40,7,FALSE))</f>
        <v/>
      </c>
      <c r="DJ131" s="875" t="str">
        <f>IF($BO$106=1,     IF(OR(DI131="",'HHV-LHV-MW'!BH66="",DD131=""),"",(DI131*('HHV-LHV-MW'!BH66/100)*DD131)^2),IF(OR(DI131="",CW131="",CZ131=""),"",(DI131*(CW131/100)*CZ131)^2))</f>
        <v/>
      </c>
      <c r="DK131" s="635" t="str">
        <f>IF(G131="","",VLOOKUP(G131,'HHV-LHV-MW'!$A$3:$I$40,9,FALSE))</f>
        <v/>
      </c>
      <c r="DL131" s="875" t="str">
        <f>IF($BO$106=1,     IF(OR(DK131="",'HHV-LHV-MW'!BH66="",DD131=""),"",(DK131*('HHV-LHV-MW'!BH66/100)*DD131)^2),IF(OR(DK131="",CW131="",CZ131=""),"",(DK131*(CW131/100)*CZ131)^2))</f>
        <v/>
      </c>
      <c r="DM131" s="635" t="str">
        <f>IF(G131="","",(VLOOKUP(G131,'HHV-LHV-MW'!$A$3:$F$40,6,FALSE))    )</f>
        <v/>
      </c>
      <c r="DN131" s="875" t="str">
        <f>IF($BO$106=1,     IF(OR(DM131="",'HHV-LHV-MW'!BH66="",DD131=""),"",(DM131*('HHV-LHV-MW'!BH66/100)*DD131)^2),IF(OR(DM131="",CW131="",CZ131=""),"",(DM131*(CW131/100)*CZ131)^2))</f>
        <v/>
      </c>
      <c r="DO131" s="638" t="str">
        <f>IF($BO$106=1,     IF(OR(DM131="",DK131="",$H$103="",$H$103=0,'HHV-LHV-MW'!BH66="",DD131="",$DL$145=""),"", ((DM131*((DK131*('HHV-LHV-MW'!BH66/100))/$H$103))^2)*((DD131^2)+($DL$145^2))),              IF(OR(DM131="",DK131="",CW131="",CZ131="",$DL$145="",$H$103="",$H$103=0),"",      ((DM131*((DK131*(CW131/100))/$H$103))^2)*((CZ131^2)+($DL$145^2))             ))</f>
        <v/>
      </c>
      <c r="DP131" s="889" t="str">
        <f>IF(M131="","",VLOOKUP(M131,'HHV-LHV-MW'!$A$3:$H$40,4,FALSE))</f>
        <v/>
      </c>
      <c r="DQ131" s="889" t="str">
        <f>IF(M131="","",VLOOKUP(M131,'HHV-LHV-MW'!$A$3:$H$40,5,FALSE))</f>
        <v/>
      </c>
      <c r="DR131" s="890" t="str">
        <f>IF($BO$116="","",((PRODUCT('HHV-LHV-MW'!DE66)+PRODUCT('HHV-LHV-MW'!DQ66)+PRODUCT('HHV-LHV-MW'!EC66)+PRODUCT('HHV-LHV-MW'!EO66))/$BO$116))</f>
        <v/>
      </c>
      <c r="DS131" s="890" t="str">
        <f>IF($BO$116="","",(IF($BO$116=1,"",  (SQRT(  (      (IF('HHV-LHV-MW'!DE66="",0,('HHV-LHV-MW'!DE66-DR131)^2))      +        (IF('HHV-LHV-MW'!DQ66="",0,('HHV-LHV-MW'!DQ66-DR131)^2))       +        (IF('HHV-LHV-MW'!EC66="",0,('HHV-LHV-MW'!EC66-DR131)^2))          +        (IF('HHV-LHV-MW'!EO66="",0,('HHV-LHV-MW'!EO66-DR131)^2))          )     *(1/($BO$116-1))  )))))</f>
        <v/>
      </c>
      <c r="DT131" s="890" t="str">
        <f t="shared" si="107"/>
        <v/>
      </c>
      <c r="DU131" s="890" t="str">
        <f t="shared" si="108"/>
        <v/>
      </c>
      <c r="DV131" s="636" t="str">
        <f>IF('HHV-LHV-MW'!DE66="","",IF(AND('HHV-LHV-MW'!DE66&gt;=0,'HHV-LHV-MW'!DE66&lt;=0.09),2,  IF(AND('HHV-LHV-MW'!DE66&gt;=0.1,'HHV-LHV-MW'!DE66&lt;=0.9),7,  IF(AND('HHV-LHV-MW'!DE66&gt;=1,'HHV-LHV-MW'!DE66&lt;=4.9),10,   IF(AND('HHV-LHV-MW'!DE66&gt;=5,'HHV-LHV-MW'!DE66&lt;=10),12, 15)))))</f>
        <v/>
      </c>
      <c r="DW131" s="636" t="str">
        <f>IF('HHV-LHV-MW'!DE66="","",5*'HHV-LHV-MW'!DE66)</f>
        <v/>
      </c>
      <c r="DX131" s="635" t="str">
        <f t="shared" si="109"/>
        <v/>
      </c>
      <c r="DY131" s="636" t="str">
        <f>IF(OR(DX131="",'HHV-LHV-MW'!DE66=0),"",DX131/'HHV-LHV-MW'!DE66)</f>
        <v/>
      </c>
      <c r="DZ131" s="636" t="str">
        <f>IF(OR(DY131="",DP131="",'HHV-LHV-MW'!DE66=""),"",((DY131*DP131*('HHV-LHV-MW'!DE66/100))/23.685)^2)</f>
        <v/>
      </c>
      <c r="EA131" s="636" t="str">
        <f>IF(OR(DY131="",DQ131="",'HHV-LHV-MW'!DE66=""),"",((DY131*DQ131*('HHV-LHV-MW'!DE66/100))/23.685)^2)</f>
        <v/>
      </c>
      <c r="EB131" s="639" t="str">
        <f t="shared" si="110"/>
        <v/>
      </c>
      <c r="EC131" s="891" t="str">
        <f t="shared" si="111"/>
        <v/>
      </c>
      <c r="ED131" s="643" t="str">
        <f>IF(M131="","",VLOOKUP(M131,'HHV-LHV-MW'!$A$3:$H$40,7,FALSE))</f>
        <v/>
      </c>
      <c r="EE131" s="875" t="str">
        <f>IF($BO$116=1,     IF(OR(ED131="",'HHV-LHV-MW'!DE66="",DY131=""),"",(ED131*('HHV-LHV-MW'!DE66/100)*DY131)^2),IF(OR(ED131="",DR131="",DU131=""),"",(ED131*(DR131/100)*DU131)^2))</f>
        <v/>
      </c>
      <c r="EF131" s="635" t="str">
        <f>IF(M131="","",VLOOKUP(M131,'HHV-LHV-MW'!$A$3:$I$40,9,FALSE))</f>
        <v/>
      </c>
      <c r="EG131" s="875" t="str">
        <f>IF($BO$116=1,     IF(OR(EF131="",'HHV-LHV-MW'!DE66="",DY131=""),"",(EF131*('HHV-LHV-MW'!DE66/100)*DY131)^2),IF(OR(EF131="",DR131="",DU131=""),"",(EF131*(DR131/100)*DU131)^2))</f>
        <v/>
      </c>
      <c r="EH131" s="635" t="str">
        <f>IF(M131="","",(VLOOKUP(M131,'HHV-LHV-MW'!$A$3:$F$40,6,FALSE))    )</f>
        <v/>
      </c>
      <c r="EI131" s="875" t="str">
        <f>IF($BO$116=1,     IF(OR(EH131="",'HHV-LHV-MW'!DE66="",DY131=""),"",(EH131*('HHV-LHV-MW'!DE66/100)*DY131)^2),IF(OR(EH131="",DR131="",DU131=""),"",(EH131*(DR131/100)*DU131)^2))</f>
        <v/>
      </c>
      <c r="EJ131" s="638" t="str">
        <f>IF($BO$116=1,     IF(OR(EH131="",EF131="",$N$103="",$N$103=0,'HHV-LHV-MW'!DE66="",DY131="",$EG$145=""),"", ((EH131*((EF131*('HHV-LHV-MW'!DE66/100))/$N$103))^2)*((DY131^2)+($EG$145^2))),              IF(OR(EH131="",EF131="",DR131="",DU131="",$EG$145="",$N$103="",$N$103=0),"",      ((EH131*((EF131*(DR131/100))/$N$103))^2)*((DU131^2)+($EG$145^2))             ))</f>
        <v/>
      </c>
      <c r="EK131" s="889" t="str">
        <f>IF(S131="","",VLOOKUP(S131,'HHV-LHV-MW'!$A$3:$H$40,4,FALSE))</f>
        <v/>
      </c>
      <c r="EL131" s="889" t="str">
        <f>IF(S131="","",VLOOKUP(S131,'HHV-LHV-MW'!$A$3:$H$40,5,FALSE))</f>
        <v/>
      </c>
      <c r="EM131" s="890" t="str">
        <f>IF($BO$126="","",((PRODUCT('HHV-LHV-MW'!FB66)+PRODUCT('HHV-LHV-MW'!FN66)+PRODUCT('HHV-LHV-MW'!FZ66)+PRODUCT('HHV-LHV-MW'!GL66))/$BO$126))</f>
        <v/>
      </c>
      <c r="EN131" s="890" t="str">
        <f>IF($BO$126="","",(IF($BO$126=1,"",  (SQRT(  (      (IF('HHV-LHV-MW'!FB66="",0,('HHV-LHV-MW'!FB66-EM131)^2))      +        (IF('HHV-LHV-MW'!FN66="",0,('HHV-LHV-MW'!FN66-EM131)^2))       +        (IF('HHV-LHV-MW'!FZ66="",0,('HHV-LHV-MW'!FZ66-EM131)^2))          +        (IF('HHV-LHV-MW'!GL66="",0,('HHV-LHV-MW'!GL66-EM131)^2))          )     *(1/($BO$126-1))  )))))</f>
        <v/>
      </c>
      <c r="EO131" s="890" t="str">
        <f t="shared" si="112"/>
        <v/>
      </c>
      <c r="EP131" s="890" t="str">
        <f t="shared" si="113"/>
        <v/>
      </c>
      <c r="EQ131" s="636" t="str">
        <f>IF('HHV-LHV-MW'!FB66="","",IF(AND('HHV-LHV-MW'!FB66&gt;=0,'HHV-LHV-MW'!FB66&lt;=0.09),2,  IF(AND('HHV-LHV-MW'!FB66&gt;=0.1,'HHV-LHV-MW'!FB66&lt;=0.9),7,  IF(AND('HHV-LHV-MW'!FB66&gt;=1,'HHV-LHV-MW'!FB66&lt;=4.9),10,   IF(AND('HHV-LHV-MW'!FB66&gt;=5,'HHV-LHV-MW'!FB66&lt;=10),12, 15)))))</f>
        <v/>
      </c>
      <c r="ER131" s="636" t="str">
        <f>IF('HHV-LHV-MW'!FB66="","",5*'HHV-LHV-MW'!FB66)</f>
        <v/>
      </c>
      <c r="ES131" s="635" t="str">
        <f t="shared" si="114"/>
        <v/>
      </c>
      <c r="ET131" s="636" t="str">
        <f>IF(OR(ES131="",'HHV-LHV-MW'!FB66=0),"",ES131/'HHV-LHV-MW'!FB66)</f>
        <v/>
      </c>
      <c r="EU131" s="636" t="str">
        <f>IF(OR(ET131="",EK131="",'HHV-LHV-MW'!FB66=""),"",((ET131*EK131*('HHV-LHV-MW'!FB66/100))/23.685)^2)</f>
        <v/>
      </c>
      <c r="EV131" s="636" t="str">
        <f>IF(OR(ET131="",EL131="",'HHV-LHV-MW'!FB66=""),"",((ET131*EL131*('HHV-LHV-MW'!FB66/100))/23.685)^2)</f>
        <v/>
      </c>
      <c r="EW131" s="639" t="str">
        <f t="shared" si="115"/>
        <v/>
      </c>
      <c r="EX131" s="891" t="str">
        <f t="shared" si="116"/>
        <v/>
      </c>
      <c r="EY131" s="643" t="str">
        <f>IF(S131="","",VLOOKUP(S131,'HHV-LHV-MW'!$A$3:$H$40,7,FALSE))</f>
        <v/>
      </c>
      <c r="EZ131" s="875" t="str">
        <f>IF($BO$126=1,     IF(OR(EY131="",'HHV-LHV-MW'!FB66="",ET131=""),"",(EY131*('HHV-LHV-MW'!FB66/100)*ET131)^2),IF(OR(EY131="",EM131="",EP131=""),"",(EY131*(EM131/100)*EP131)^2))</f>
        <v/>
      </c>
      <c r="FA131" s="635" t="str">
        <f>IF(S131="","",VLOOKUP(S131,'HHV-LHV-MW'!$A$3:$I$40,9,FALSE))</f>
        <v/>
      </c>
      <c r="FB131" s="875" t="str">
        <f>IF($BO$126=1,     IF(OR(FA131="",'HHV-LHV-MW'!FB66="",ET131=""),"",(FA131*('HHV-LHV-MW'!FB66/100)*ET131)^2),IF(OR(FA131="",EM131="",EP131=""),"",(FA131*(EM131/100)*EP131)^2))</f>
        <v/>
      </c>
      <c r="FC131" s="635" t="str">
        <f>IF(S131="","",(VLOOKUP(S131,'HHV-LHV-MW'!$A$3:$F$40,6,FALSE))    )</f>
        <v/>
      </c>
      <c r="FD131" s="875" t="str">
        <f>IF($BO$126=1,     IF(OR(FC131="",'HHV-LHV-MW'!FB66="",ET131=""),"",(FC131*('HHV-LHV-MW'!FB66/100)*ET131)^2),IF(OR(FC131="",EM131="",EP131=""),"",(FC131*(EM131/100)*EP131)^2))</f>
        <v/>
      </c>
      <c r="FE131" s="638" t="str">
        <f>IF($BO$126=1,     IF(OR(FC131="",FA131="",$T$103="",$T$103=0,'HHV-LHV-MW'!FB66="",ET131="",$FB$145=""),"", ((FC131*((FA131*('HHV-LHV-MW'!FB66/100))/$T$103))^2)*((ET131^2)+($FB$145^2))),              IF(OR(FC131="",FA131="",EM131="",EP131="",$FB$145="",$T$103="",$T$103=0),"",      ((FC131*((FA131*(EM131/100))/$T$103))^2)*((EP131^2)+($FB$145^2))             ))</f>
        <v/>
      </c>
      <c r="FF131" s="889" t="str">
        <f>IF(Y131="","",VLOOKUP(Y131,'HHV-LHV-MW'!$A$3:$H$40,4,FALSE))</f>
        <v/>
      </c>
      <c r="FG131" s="889" t="str">
        <f>IF(Y131="","",VLOOKUP(Y131,'HHV-LHV-MW'!$A$3:$H$40,5,FALSE))</f>
        <v/>
      </c>
      <c r="FH131" s="890" t="str">
        <f>IF($BO$136="","",((PRODUCT('HHV-LHV-MW'!GY66)+PRODUCT('HHV-LHV-MW'!HK66)+PRODUCT('HHV-LHV-MW'!HW66)+PRODUCT('HHV-LHV-MW'!II66))/$BO$136))</f>
        <v/>
      </c>
      <c r="FI131" s="890" t="str">
        <f>IF($BO$136="","",(IF($BO$136=1,"",  (SQRT(  (      (IF('HHV-LHV-MW'!GY66="",0,('HHV-LHV-MW'!GY66-FH131)^2))      +        (IF('HHV-LHV-MW'!HK66="",0,('HHV-LHV-MW'!HK66-FH131)^2))       +        (IF('HHV-LHV-MW'!HW66="",0,('HHV-LHV-MW'!HW66-FH131)^2))          +        (IF('HHV-LHV-MW'!II66="",0,('HHV-LHV-MW'!II66-FH131)^2))          )     *(1/($BO$136-1))  )))))</f>
        <v/>
      </c>
      <c r="FJ131" s="890" t="str">
        <f t="shared" si="117"/>
        <v/>
      </c>
      <c r="FK131" s="890" t="str">
        <f t="shared" si="118"/>
        <v/>
      </c>
      <c r="FL131" s="636" t="str">
        <f>IF('HHV-LHV-MW'!GY66="","",IF(AND('HHV-LHV-MW'!GY66&gt;=0,'HHV-LHV-MW'!GY66&lt;=0.09),2,  IF(AND('HHV-LHV-MW'!GY66&gt;=0.1,'HHV-LHV-MW'!GY66&lt;=0.9),7,  IF(AND('HHV-LHV-MW'!GY66&gt;=1,'HHV-LHV-MW'!GY66&lt;=4.9),10,   IF(AND('HHV-LHV-MW'!GY66&gt;=5,'HHV-LHV-MW'!GY66&lt;=10),12, 15)))))</f>
        <v/>
      </c>
      <c r="FM131" s="636" t="str">
        <f>IF('HHV-LHV-MW'!GY66="","",5*'HHV-LHV-MW'!GY66)</f>
        <v/>
      </c>
      <c r="FN131" s="635" t="str">
        <f t="shared" si="119"/>
        <v/>
      </c>
      <c r="FO131" s="636" t="str">
        <f>IF(OR(FN131="",'HHV-LHV-MW'!GY66=0),"",FN131/'HHV-LHV-MW'!GY66)</f>
        <v/>
      </c>
      <c r="FP131" s="636" t="str">
        <f>IF(OR(FO131="",FF131="",'HHV-LHV-MW'!GY66=""),"",((FO131*FF131*('HHV-LHV-MW'!GY66/100))/23.685)^2)</f>
        <v/>
      </c>
      <c r="FQ131" s="636" t="str">
        <f>IF(OR(FO131="",FG131="",'HHV-LHV-MW'!GY66=""),"",((FO131*FG131*('HHV-LHV-MW'!GY66/100))/23.685)^2)</f>
        <v/>
      </c>
      <c r="FR131" s="639" t="str">
        <f t="shared" si="120"/>
        <v/>
      </c>
      <c r="FS131" s="891" t="str">
        <f t="shared" si="121"/>
        <v/>
      </c>
      <c r="FT131" s="643" t="str">
        <f>IF(Y131="","",VLOOKUP(Y131,'HHV-LHV-MW'!$A$3:$H$40,7,FALSE))</f>
        <v/>
      </c>
      <c r="FU131" s="875" t="str">
        <f>IF($BO$136=1,     IF(OR(FT131="",'HHV-LHV-MW'!GY66="",FO131=""),"",(FT131*('HHV-LHV-MW'!GY66/100)*FO131)^2),IF(OR(FT131="",FH131="",FK131=""),"",(FT131*(FH131/100)*FK131)^2))</f>
        <v/>
      </c>
      <c r="FV131" s="635" t="str">
        <f>IF(Y131="","",VLOOKUP(Y131,'HHV-LHV-MW'!$A$3:$I$40,9,FALSE))</f>
        <v/>
      </c>
      <c r="FW131" s="875" t="str">
        <f>IF($BO$136=1,     IF(OR(FV131="",'HHV-LHV-MW'!GY66="",FO131=""),"",(FV131*('HHV-LHV-MW'!GY66/100)*FO131)^2),IF(OR(FV131="",FH131="",FK131=""),"",(FV131*(FH131/100)*FK131)^2))</f>
        <v/>
      </c>
      <c r="FX131" s="635" t="str">
        <f>IF(Y131="","",(VLOOKUP(Y131,'HHV-LHV-MW'!$A$3:$F$40,6,FALSE))    )</f>
        <v/>
      </c>
      <c r="FY131" s="875" t="str">
        <f>IF($BO$136=1,     IF(OR(FX131="",'HHV-LHV-MW'!GY66="",FO131=""),"",(FX131*('HHV-LHV-MW'!GY66/100)*FO131)^2),IF(OR(FX131="",FH131="",FK131=""),"",(FX131*(FH131/100)*FK131)^2))</f>
        <v/>
      </c>
      <c r="FZ131" s="638" t="str">
        <f>IF($BO$136=1,     IF(OR(FX131="",FV131="",$Z$103="",$Z$103=0,'HHV-LHV-MW'!GY66="",FO131="",$FW$145=""),"", ((FX131*((FV131*('HHV-LHV-MW'!GY66/100))/$Z$103))^2)*((FO131^2)+($FW$145^2))),              IF(OR(FX131="",FV131="",FH131="",FK131="",$FW$145="",$Z$103="",$Z$103=0),"",      ((FX131*((FV131*(FH131/100))/$Z$103))^2)*((FK131^2)+($FW$145^2))             ))</f>
        <v/>
      </c>
      <c r="GA131" s="889" t="str">
        <f>IF(AE131="","",VLOOKUP(AE131,'HHV-LHV-MW'!$A$3:$H$40,4,FALSE))</f>
        <v/>
      </c>
      <c r="GB131" s="889" t="str">
        <f>IF(AE131="","",VLOOKUP(AE131,'HHV-LHV-MW'!$A$3:$H$40,5,FALSE))</f>
        <v/>
      </c>
      <c r="GC131" s="890" t="str">
        <f>IF($BW$96="","",((PRODUCT('HHV-LHV-MW'!IV66)+PRODUCT('HHV-LHV-MW'!JH66)+PRODUCT('HHV-LHV-MW'!JT66)+PRODUCT('HHV-LHV-MW'!KF66))/$BW$96))</f>
        <v/>
      </c>
      <c r="GD131" s="890" t="str">
        <f>IF($BW$96="","",(IF($BW$96=1,"",  (SQRT(  (      (IF('HHV-LHV-MW'!IV66="",0,('HHV-LHV-MW'!IV66-GC131)^2))      +        (IF('HHV-LHV-MW'!JH66="",0,('HHV-LHV-MW'!JH66-GC131)^2))       +        (IF('HHV-LHV-MW'!JT66="",0,('HHV-LHV-MW'!JT66-GC131)^2))          +        (IF('HHV-LHV-MW'!KF66="",0,('HHV-LHV-MW'!KF66-GC131)^2))          )     *(1/($BW$96-1))  )))))</f>
        <v/>
      </c>
      <c r="GE131" s="890" t="str">
        <f t="shared" si="122"/>
        <v/>
      </c>
      <c r="GF131" s="890" t="str">
        <f t="shared" si="123"/>
        <v/>
      </c>
      <c r="GG131" s="636" t="str">
        <f>IF('HHV-LHV-MW'!IV66="","",IF(AND('HHV-LHV-MW'!IV66&gt;=0,'HHV-LHV-MW'!IV66&lt;=0.09),2,  IF(AND('HHV-LHV-MW'!IV66&gt;=0.1,'HHV-LHV-MW'!IV66&lt;=0.9),7,  IF(AND('HHV-LHV-MW'!IV66&gt;=1,'HHV-LHV-MW'!IV66&lt;=4.9),10,   IF(AND('HHV-LHV-MW'!IV66&gt;=5,'HHV-LHV-MW'!IV66&lt;=10),12, 15)))))</f>
        <v/>
      </c>
      <c r="GH131" s="636" t="str">
        <f>IF('HHV-LHV-MW'!IV66="","",5*'HHV-LHV-MW'!IV66)</f>
        <v/>
      </c>
      <c r="GI131" s="635" t="str">
        <f t="shared" si="124"/>
        <v/>
      </c>
      <c r="GJ131" s="636" t="str">
        <f>IF(OR(GI131="",'HHV-LHV-MW'!IV66=0),"",GI131/'HHV-LHV-MW'!IV66)</f>
        <v/>
      </c>
      <c r="GK131" s="636" t="str">
        <f>IF(OR(GJ131="",GA131="",'HHV-LHV-MW'!IV66=""),"",((GJ131*GA131*('HHV-LHV-MW'!IV66/100))/23.685)^2)</f>
        <v/>
      </c>
      <c r="GL131" s="636" t="str">
        <f>IF(OR(GJ131="",GB131="",'HHV-LHV-MW'!IV66=""),"",((GJ131*GB131*('HHV-LHV-MW'!IV66/100))/23.685)^2)</f>
        <v/>
      </c>
      <c r="GM131" s="639" t="str">
        <f t="shared" si="125"/>
        <v/>
      </c>
      <c r="GN131" s="891" t="str">
        <f t="shared" si="126"/>
        <v/>
      </c>
      <c r="GO131" s="643" t="str">
        <f>IF(AE131="","",VLOOKUP(AE131,'HHV-LHV-MW'!$A$3:$H$40,7,FALSE))</f>
        <v/>
      </c>
      <c r="GP131" s="875" t="str">
        <f>IF($BW$96=1,     IF(OR(GO131="",'HHV-LHV-MW'!IV66="",GJ131=""),"",(GO131*('HHV-LHV-MW'!IV66/100)*GJ131)^2),IF(OR(GO131="",GC131="",GF131=""),"",(GO131*(GC131/100)*GF131)^2))</f>
        <v/>
      </c>
      <c r="GQ131" s="635" t="str">
        <f>IF(AE131="","",VLOOKUP(AE131,'HHV-LHV-MW'!$A$3:$I$40,9,FALSE))</f>
        <v/>
      </c>
      <c r="GR131" s="875" t="str">
        <f>IF($BW$96=1,     IF(OR(GQ131="",'HHV-LHV-MW'!IV66="",GJ131=""),"",(GQ131*('HHV-LHV-MW'!IV66/100)*GJ131)^2),IF(OR(GQ131="",GC131="",GF131=""),"",(GQ131*(GC131/100)*GF131)^2))</f>
        <v/>
      </c>
      <c r="GS131" s="635" t="str">
        <f>IF(AE131="","",(VLOOKUP(AE131,'HHV-LHV-MW'!$A$3:$F$40,6,FALSE))    )</f>
        <v/>
      </c>
      <c r="GT131" s="875" t="str">
        <f>IF($BW$96=1,     IF(OR(GS131="",'HHV-LHV-MW'!IV66="",GJ131=""),"",(GS131*('HHV-LHV-MW'!IV66/100)*GJ131)^2),IF(OR(GS131="",GC131="",GF131=""),"",(GS131*(GC131/100)*GF131)^2))</f>
        <v/>
      </c>
      <c r="GU131" s="638" t="str">
        <f>IF($BW$96=1,     IF(OR(GS131="",GQ131="",$AF$103="",$AF$103=0,'HHV-LHV-MW'!IV66="",GJ131="",$GR$145=""),"", ((GS131*((GQ131*('HHV-LHV-MW'!IV66/100))/$AF$103))^2)*((GJ131^2)+($GR$145^2))),              IF(OR(GS131="",GQ131="",GC131="",GF131="",$GR$145="",$AF$103="",$AF$103=0),"",      ((GS131*((GQ131*(GC131/100))/$AF$103))^2)*((GF131^2)+($GR$145^2))             ))</f>
        <v/>
      </c>
      <c r="GV131" s="889" t="str">
        <f>IF(AK131="","",VLOOKUP(AK131,'HHV-LHV-MW'!$A$3:$H$40,4,FALSE))</f>
        <v/>
      </c>
      <c r="GW131" s="889" t="str">
        <f>IF(AK131="","",VLOOKUP(AK131,'HHV-LHV-MW'!$A$3:$H$40,5,FALSE))</f>
        <v/>
      </c>
      <c r="GX131" s="890" t="str">
        <f>IF($BW$106="","",((PRODUCT('HHV-LHV-MW'!KS66)+PRODUCT('HHV-LHV-MW'!LE66)+PRODUCT('HHV-LHV-MW'!LQ66)+PRODUCT('HHV-LHV-MW'!MC66))/$BW$106))</f>
        <v/>
      </c>
      <c r="GY131" s="890" t="str">
        <f>IF($BW$106="","",(IF($BW$106=1,"",  (SQRT(  (      (IF('HHV-LHV-MW'!KS66="",0,('HHV-LHV-MW'!KS66-GX131)^2))      +        (IF('HHV-LHV-MW'!LE66="",0,('HHV-LHV-MW'!LE66-GX131)^2))       +        (IF('HHV-LHV-MW'!LQ66="",0,('HHV-LHV-MW'!LQ66-GX131)^2))          +        (IF('HHV-LHV-MW'!MC66="",0,('HHV-LHV-MW'!MC66-GX131)^2))          )     *(1/($BW$106-1))  )))))</f>
        <v/>
      </c>
      <c r="GZ131" s="890" t="str">
        <f t="shared" si="127"/>
        <v/>
      </c>
      <c r="HA131" s="890" t="str">
        <f t="shared" si="128"/>
        <v/>
      </c>
      <c r="HB131" s="636" t="str">
        <f>IF('HHV-LHV-MW'!KS66="","",IF(AND('HHV-LHV-MW'!KS66&gt;=0,'HHV-LHV-MW'!KS66&lt;=0.09),2,  IF(AND('HHV-LHV-MW'!KS66&gt;=0.1,'HHV-LHV-MW'!KS66&lt;=0.9),7,  IF(AND('HHV-LHV-MW'!KS66&gt;=1,'HHV-LHV-MW'!KS66&lt;=4.9),10,   IF(AND('HHV-LHV-MW'!KS66&gt;=5,'HHV-LHV-MW'!KS66&lt;=10),12, 15)))))</f>
        <v/>
      </c>
      <c r="HC131" s="636" t="str">
        <f>IF('HHV-LHV-MW'!KS66="","",5*'HHV-LHV-MW'!KS66)</f>
        <v/>
      </c>
      <c r="HD131" s="635" t="str">
        <f t="shared" si="129"/>
        <v/>
      </c>
      <c r="HE131" s="636" t="str">
        <f>IF(OR(HD131="",'HHV-LHV-MW'!KS66=0),"",HD131/'HHV-LHV-MW'!KS66)</f>
        <v/>
      </c>
      <c r="HF131" s="636" t="str">
        <f>IF(OR(HE131="",GV131="",'HHV-LHV-MW'!KS66=""),"",((HE131*GV131*('HHV-LHV-MW'!KS66/100))/23.685)^2)</f>
        <v/>
      </c>
      <c r="HG131" s="636" t="str">
        <f>IF(OR(HE131="",GW131="",'HHV-LHV-MW'!KS66=""),"",((HE131*GW131*('HHV-LHV-MW'!KS66/100))/23.685)^2)</f>
        <v/>
      </c>
      <c r="HH131" s="639" t="str">
        <f t="shared" si="130"/>
        <v/>
      </c>
      <c r="HI131" s="891" t="str">
        <f t="shared" si="131"/>
        <v/>
      </c>
      <c r="HJ131" s="643" t="str">
        <f>IF(AK131="","",VLOOKUP(AK131,'HHV-LHV-MW'!$A$3:$H$40,7,FALSE))</f>
        <v/>
      </c>
      <c r="HK131" s="875" t="str">
        <f>IF($BW$106=1,     IF(OR(HJ131="",'HHV-LHV-MW'!KS66="",HE131=""),"",(HJ131*('HHV-LHV-MW'!KS66/100)*HE131)^2),IF(OR(HJ131="",GX131="",HA131=""),"",(HJ131*(GX131/100)*HA131)^2))</f>
        <v/>
      </c>
      <c r="HL131" s="635" t="str">
        <f>IF(AK131="","",VLOOKUP(AK131,'HHV-LHV-MW'!$A$3:$I$40,9,FALSE))</f>
        <v/>
      </c>
      <c r="HM131" s="875" t="str">
        <f>IF($BW$106=1,     IF(OR(HL131="",'HHV-LHV-MW'!KS66="",HE131=""),"",(HL131*('HHV-LHV-MW'!KS66/100)*HE131)^2),IF(OR(HL131="",GX131="",HA131=""),"",(HL131*(GX131/100)*HA131)^2))</f>
        <v/>
      </c>
      <c r="HN131" s="635" t="str">
        <f>IF(AK131="","",(VLOOKUP(AK131,'HHV-LHV-MW'!$A$3:$F$40,6,FALSE))    )</f>
        <v/>
      </c>
      <c r="HO131" s="875" t="str">
        <f>IF($BW$106=1,     IF(OR(HN131="",'HHV-LHV-MW'!KS66="",HE131=""),"",(HN131*('HHV-LHV-MW'!KS66/100)*HE131)^2),IF(OR(HN131="",GX131="",HA131=""),"",(HN131*(GX131/100)*HA131)^2))</f>
        <v/>
      </c>
      <c r="HP131" s="638" t="str">
        <f>IF($BW$106=1,     IF(OR(HN131="",HL131="",$AL$103="",$AL$103=0,'HHV-LHV-MW'!KS66="",HE131="",$HM$145=""),"", ((HN131*((HL131*('HHV-LHV-MW'!KS66/100))/$AL$103))^2)*((HE131^2)+($HM$145^2))),              IF(OR(HN131="",HL131="",GX131="",HA131="",$HM$145="",$AL$103="",$AL$103=0),"",      ((HN131*((HL131*(GX131/100))/$AL$103))^2)*((HA131^2)+($HM$145^2))             ))</f>
        <v/>
      </c>
      <c r="HQ131" s="889" t="str">
        <f>IF(AQ131="","",VLOOKUP(AQ131,'HHV-LHV-MW'!$A$3:$H$40,4,FALSE))</f>
        <v/>
      </c>
      <c r="HR131" s="889" t="str">
        <f>IF(AQ131="","",VLOOKUP(AQ131,'HHV-LHV-MW'!$A$3:$H$40,5,FALSE))</f>
        <v/>
      </c>
      <c r="HS131" s="890" t="str">
        <f>IF($BW$116="","",((PRODUCT('HHV-LHV-MW'!MP66)+PRODUCT('HHV-LHV-MW'!NB66)+PRODUCT('HHV-LHV-MW'!NN66)+PRODUCT('HHV-LHV-MW'!NZ66))/$BW$116))</f>
        <v/>
      </c>
      <c r="HT131" s="890" t="str">
        <f>IF($BW$116="","",(IF($BW$116=1,"",  (SQRT(  (      (IF('HHV-LHV-MW'!MP66="",0,('HHV-LHV-MW'!MP66-HS131)^2))      +        (IF('HHV-LHV-MW'!NB66="",0,('HHV-LHV-MW'!NB66-HS131)^2))       +        (IF('HHV-LHV-MW'!NN66="",0,('HHV-LHV-MW'!NN66-HS131)^2))          +        (IF('HHV-LHV-MW'!NZ66="",0,('HHV-LHV-MW'!NZ66-HS131)^2))          )     *(1/($BW$116-1))  )))))</f>
        <v/>
      </c>
      <c r="HU131" s="890" t="str">
        <f t="shared" si="132"/>
        <v/>
      </c>
      <c r="HV131" s="890" t="str">
        <f t="shared" si="133"/>
        <v/>
      </c>
      <c r="HW131" s="636" t="str">
        <f>IF('HHV-LHV-MW'!MP66="","",IF(AND('HHV-LHV-MW'!MP66&gt;=0,'HHV-LHV-MW'!MP66&lt;=0.09),2,  IF(AND('HHV-LHV-MW'!MP66&gt;=0.1,'HHV-LHV-MW'!MP66&lt;=0.9),7,  IF(AND('HHV-LHV-MW'!MP66&gt;=1,'HHV-LHV-MW'!MP66&lt;=4.9),10,   IF(AND('HHV-LHV-MW'!MP66&gt;=5,'HHV-LHV-MW'!MP66&lt;=10),12, 15)))))</f>
        <v/>
      </c>
      <c r="HX131" s="636" t="str">
        <f>IF('HHV-LHV-MW'!MP66="","",5*'HHV-LHV-MW'!MP66)</f>
        <v/>
      </c>
      <c r="HY131" s="635" t="str">
        <f t="shared" si="134"/>
        <v/>
      </c>
      <c r="HZ131" s="636" t="str">
        <f>IF(OR(HY131="",'HHV-LHV-MW'!MP66=0),"",HY131/'HHV-LHV-MW'!MP66)</f>
        <v/>
      </c>
      <c r="IA131" s="636" t="str">
        <f>IF(OR(HZ131="",HQ131="",'HHV-LHV-MW'!MP66=""),"",((HZ131*HQ131*('HHV-LHV-MW'!MP66/100))/23.685)^2)</f>
        <v/>
      </c>
      <c r="IB131" s="636" t="str">
        <f>IF(OR(HZ131="",HR131="",'HHV-LHV-MW'!MP66=""),"",((HZ131*HR131*('HHV-LHV-MW'!MP66/100))/23.685)^2)</f>
        <v/>
      </c>
      <c r="IC131" s="639" t="str">
        <f t="shared" si="135"/>
        <v/>
      </c>
      <c r="ID131" s="891" t="str">
        <f t="shared" si="136"/>
        <v/>
      </c>
      <c r="IE131" s="643" t="str">
        <f>IF(AQ131="","",VLOOKUP(AQ131,'HHV-LHV-MW'!$A$3:$H$40,7,FALSE))</f>
        <v/>
      </c>
      <c r="IF131" s="875" t="str">
        <f>IF($BW$116=1,     IF(OR(IE131="",'HHV-LHV-MW'!MP66="",HZ131=""),"",(IE131*('HHV-LHV-MW'!MP66/100)*HZ131)^2),IF(OR(IE131="",HS131="",HV131=""),"",(IE131*(HS131/100)*HV131)^2))</f>
        <v/>
      </c>
      <c r="IG131" s="635" t="str">
        <f>IF(AQ131="","",VLOOKUP(AQ131,'HHV-LHV-MW'!$A$3:$I$40,9,FALSE))</f>
        <v/>
      </c>
      <c r="IH131" s="875" t="str">
        <f>IF($BW$116=1,     IF(OR(IG131="",'HHV-LHV-MW'!MP66="",HZ131=""),"",(IG131*('HHV-LHV-MW'!MP66/100)*HZ131)^2),IF(OR(IG131="",HS131="",HV131=""),"",(IG131*(HS131/100)*HV131)^2))</f>
        <v/>
      </c>
      <c r="II131" s="635" t="str">
        <f>IF(AQ131="","",(VLOOKUP(AQ131,'HHV-LHV-MW'!$A$3:$F$40,6,FALSE))    )</f>
        <v/>
      </c>
      <c r="IJ131" s="875" t="str">
        <f>IF($BW$116=1,     IF(OR(II131="",'HHV-LHV-MW'!MP66="",HZ131=""),"",(II131*('HHV-LHV-MW'!MP66/100)*HZ131)^2),IF(OR(II131="",HS131="",HV131=""),"",(II131*(HS131/100)*HV131)^2))</f>
        <v/>
      </c>
      <c r="IK131" s="638" t="str">
        <f>IF($BW$116=1,     IF(OR(II131="",IG131="",$AR$103="",$AR$103=0,'HHV-LHV-MW'!MP66="",HZ131="",$IH$145=""),"", ((II131*((IG131*('HHV-LHV-MW'!MP66/100))/$AR$103))^2)*((HZ131^2)+($IH$145^2))),              IF(OR(II131="",IG131="",HS131="",HV131="",$IH$145="",$AR$103="",$AR$103=0),"",      ((II131*((IG131*(HS131/100))/$AR$103))^2)*((HV131^2)+($IH$145^2))             ))</f>
        <v/>
      </c>
      <c r="IL131" s="889" t="str">
        <f>IF(AW131="","",VLOOKUP(AW131,'HHV-LHV-MW'!$A$3:$H$40,4,FALSE))</f>
        <v/>
      </c>
      <c r="IM131" s="889" t="str">
        <f>IF(AW131="","",VLOOKUP(AW131,'HHV-LHV-MW'!$A$3:$H$40,5,FALSE))</f>
        <v/>
      </c>
      <c r="IN131" s="890" t="str">
        <f>IF($BW$126="","",((PRODUCT('HHV-LHV-MW'!ON66)+PRODUCT('HHV-LHV-MW'!OZ66)+PRODUCT('HHV-LHV-MW'!PL66)+PRODUCT('HHV-LHV-MW'!PX66))/$BW$126))</f>
        <v/>
      </c>
      <c r="IO131" s="890" t="str">
        <f>IF($BW$126="","",(IF($BW$126=1,"",  (SQRT(  (      (IF('HHV-LHV-MW'!ON66="",0,('HHV-LHV-MW'!ON66-IN131)^2))      +        (IF('HHV-LHV-MW'!OZ66="",0,('HHV-LHV-MW'!OZ66-IN131)^2))       +        (IF('HHV-LHV-MW'!PL66="",0,('HHV-LHV-MW'!PL66-IN131)^2))          +        (IF('HHV-LHV-MW'!PX66="",0,('HHV-LHV-MW'!PX66-IN131)^2))          )     *(1/($BW$126-1))  )))))</f>
        <v/>
      </c>
      <c r="IP131" s="890" t="str">
        <f t="shared" si="137"/>
        <v/>
      </c>
      <c r="IQ131" s="890" t="str">
        <f t="shared" si="138"/>
        <v/>
      </c>
      <c r="IR131" s="636" t="str">
        <f>IF('HHV-LHV-MW'!ON66="","",IF(AND('HHV-LHV-MW'!ON66&gt;=0,'HHV-LHV-MW'!ON66&lt;=0.09),2,  IF(AND('HHV-LHV-MW'!ON66&gt;=0.1,'HHV-LHV-MW'!ON66&lt;=0.9),7,  IF(AND('HHV-LHV-MW'!ON66&gt;=1,'HHV-LHV-MW'!ON66&lt;=4.9),10,   IF(AND('HHV-LHV-MW'!ON66&gt;=5,'HHV-LHV-MW'!ON66&lt;=10),12, 15)))))</f>
        <v/>
      </c>
      <c r="IS131" s="636" t="str">
        <f>IF('HHV-LHV-MW'!ON66="","",5*'HHV-LHV-MW'!ON66)</f>
        <v/>
      </c>
      <c r="IT131" s="635" t="str">
        <f t="shared" si="139"/>
        <v/>
      </c>
      <c r="IU131" s="636" t="str">
        <f>IF(OR(IT131="",'HHV-LHV-MW'!ON66=0),"",IT131/'HHV-LHV-MW'!ON66)</f>
        <v/>
      </c>
      <c r="IV131" s="636" t="str">
        <f>IF(OR(IU131="",IL131="",'HHV-LHV-MW'!ON66=""),"",((IU131*IL131*('HHV-LHV-MW'!ON66/100))/23.685)^2)</f>
        <v/>
      </c>
      <c r="IW131" s="636" t="str">
        <f>IF(OR(IU131="",IM131="",'HHV-LHV-MW'!ON66=""),"",((IU131*IM131*('HHV-LHV-MW'!ON66/100))/23.685)^2)</f>
        <v/>
      </c>
      <c r="IX131" s="639" t="str">
        <f t="shared" si="140"/>
        <v/>
      </c>
      <c r="IY131" s="891" t="str">
        <f t="shared" si="141"/>
        <v/>
      </c>
      <c r="IZ131" s="643" t="str">
        <f>IF(AW131="","",VLOOKUP(AW131,'HHV-LHV-MW'!$A$3:$H$40,7,FALSE))</f>
        <v/>
      </c>
      <c r="JA131" s="875" t="str">
        <f>IF($BW$126=1,     IF(OR(IZ131="",'HHV-LHV-MW'!ON66="",IU131=""),"",(IZ131*('HHV-LHV-MW'!ON66/100)*IU131)^2),IF(OR(IZ131="",IN131="",IQ131=""),"",(IZ131*(IN131/100)*IQ131)^2))</f>
        <v/>
      </c>
      <c r="JB131" s="635" t="str">
        <f>IF(AW131="","",VLOOKUP(AW131,'HHV-LHV-MW'!$A$3:$I$40,9,FALSE))</f>
        <v/>
      </c>
      <c r="JC131" s="875" t="str">
        <f>IF($BW$126=1,     IF(OR(JB131="",'HHV-LHV-MW'!ON66="",IU131=""),"",(JB131*('HHV-LHV-MW'!ON66/100)*IU131)^2),IF(OR(JB131="",IN131="",IQ131=""),"",(JB131*(IN131/100)*IQ131)^2))</f>
        <v/>
      </c>
      <c r="JD131" s="635" t="str">
        <f>IF(AW131="","",(VLOOKUP(AW131,'HHV-LHV-MW'!$A$3:$F$40,6,FALSE))    )</f>
        <v/>
      </c>
      <c r="JE131" s="875" t="str">
        <f>IF($BW$126=1,     IF(OR(JD131="",'HHV-LHV-MW'!ON66="",IU131=""),"",(JD131*('HHV-LHV-MW'!ON66/100)*IU131)^2),IF(OR(JD131="",IN131="",IQ131=""),"",(JD131*(IN131/100)*IQ131)^2))</f>
        <v/>
      </c>
      <c r="JF131" s="638" t="str">
        <f>IF($BW$126=1,     IF(OR(JD131="",JB131="",$AX$103="",$AX$103=0,'HHV-LHV-MW'!ON66="",IU131="",$JC$145=""),"", ((JD131*((JB131*('HHV-LHV-MW'!ON66/100))/$AX$103))^2)*((IU131^2)+($JC$145^2))),              IF(OR(JD131="",JB131="",IN131="",IQ131="",$JC$145="",$AX$103="",$AX$103=0),"",      ((JD131*((JB131*(IN131/100))/$AX$103))^2)*((IQ131^2)+($JC$145^2))             ))</f>
        <v/>
      </c>
      <c r="JG131" s="889" t="str">
        <f>IF(BC131="","",VLOOKUP(BC131,'HHV-LHV-MW'!$A$3:$H$40,4,FALSE))</f>
        <v/>
      </c>
      <c r="JH131" s="889" t="str">
        <f>IF(BC131="","",VLOOKUP(BC131,'HHV-LHV-MW'!$A$3:$H$40,5,FALSE))</f>
        <v/>
      </c>
      <c r="JI131" s="890" t="str">
        <f>IF($BW$136="","",((PRODUCT('HHV-LHV-MW'!QK66)+PRODUCT('HHV-LHV-MW'!QW66)+PRODUCT('HHV-LHV-MW'!RI66)+PRODUCT('HHV-LHV-MW'!RU66))/$BW$136))</f>
        <v/>
      </c>
      <c r="JJ131" s="890" t="str">
        <f>IF($BW$136="","",(IF($BW$136=1,"",  (SQRT(  (      (IF('HHV-LHV-MW'!QK66="",0,('HHV-LHV-MW'!QK66-JI131)^2))      +        (IF('HHV-LHV-MW'!QW66="",0,('HHV-LHV-MW'!QW66-JI131)^2))       +        (IF('HHV-LHV-MW'!RI66="",0,('HHV-LHV-MW'!RI66-JI131)^2))          +        (IF('HHV-LHV-MW'!RU66="",0,('HHV-LHV-MW'!RU66-JI131)^2))          )     *(1/($BW$136-1))  )))))</f>
        <v/>
      </c>
      <c r="JK131" s="890" t="str">
        <f t="shared" si="142"/>
        <v/>
      </c>
      <c r="JL131" s="890" t="str">
        <f t="shared" si="143"/>
        <v/>
      </c>
      <c r="JM131" s="636" t="str">
        <f>IF('HHV-LHV-MW'!QK66="","",IF(AND('HHV-LHV-MW'!QK66&gt;=0,'HHV-LHV-MW'!QK66&lt;=0.09),2,  IF(AND('HHV-LHV-MW'!QK66&gt;=0.1,'HHV-LHV-MW'!QK66&lt;=0.9),7,  IF(AND('HHV-LHV-MW'!QK66&gt;=1,'HHV-LHV-MW'!QK66&lt;=4.9),10,   IF(AND('HHV-LHV-MW'!QK66&gt;=5,'HHV-LHV-MW'!QK66&lt;=10),12, 15)))))</f>
        <v/>
      </c>
      <c r="JN131" s="636" t="str">
        <f>IF('HHV-LHV-MW'!QK66="","",5*'HHV-LHV-MW'!QK66)</f>
        <v/>
      </c>
      <c r="JO131" s="635" t="str">
        <f t="shared" si="144"/>
        <v/>
      </c>
      <c r="JP131" s="636" t="str">
        <f>IF(OR(JO131="",'HHV-LHV-MW'!QK66=0),"",JO131/'HHV-LHV-MW'!QK66)</f>
        <v/>
      </c>
      <c r="JQ131" s="636" t="str">
        <f>IF(OR(JP131="",JG131="",'HHV-LHV-MW'!QK66=""),"",((JP131*JG131*('HHV-LHV-MW'!QK66/100))/23.685)^2)</f>
        <v/>
      </c>
      <c r="JR131" s="636" t="str">
        <f>IF(OR(JP131="",JH131="",'HHV-LHV-MW'!QK66=""),"",((JP131*JH131*('HHV-LHV-MW'!QK66/100))/23.685)^2)</f>
        <v/>
      </c>
      <c r="JS131" s="639" t="str">
        <f t="shared" si="145"/>
        <v/>
      </c>
      <c r="JT131" s="891" t="str">
        <f t="shared" si="146"/>
        <v/>
      </c>
      <c r="JU131" s="643" t="str">
        <f>IF(BC131="","",VLOOKUP(BC131,'HHV-LHV-MW'!$A$3:$H$40,7,FALSE))</f>
        <v/>
      </c>
      <c r="JV131" s="875" t="str">
        <f>IF($BW$136=1,     IF(OR(JU131="",'HHV-LHV-MW'!QK66="",JP131=""),"",(JU131*('HHV-LHV-MW'!QK66/100)*JP131)^2),IF(OR(JU131="",JI131="",JL131=""),"",(JU131*(JI131/100)*JL131)^2))</f>
        <v/>
      </c>
      <c r="JW131" s="635" t="str">
        <f>IF(BC131="","",VLOOKUP(BC131,'HHV-LHV-MW'!$A$3:$I$40,9,FALSE))</f>
        <v/>
      </c>
      <c r="JX131" s="875" t="str">
        <f>IF($BW$136=1,     IF(OR(JW131="",'HHV-LHV-MW'!QK66="",JP131=""),"",(JW131*('HHV-LHV-MW'!QK66/100)*JP131)^2),IF(OR(JW131="",JI131="",JL131=""),"",(JW131*(JI131/100)*JL131)^2))</f>
        <v/>
      </c>
      <c r="JY131" s="635" t="str">
        <f>IF(BC131="","",(VLOOKUP(BC131,'HHV-LHV-MW'!$A$3:$F$40,6,FALSE))    )</f>
        <v/>
      </c>
      <c r="JZ131" s="875" t="str">
        <f>IF($BW$136=1,     IF(OR(JY131="",'HHV-LHV-MW'!QK66="",JP131=""),"",(JY131*('HHV-LHV-MW'!QK66/100)*JP131)^2),IF(OR(JY131="",JI131="",JL131=""),"",(JY131*(JI131/100)*JL131)^2))</f>
        <v/>
      </c>
      <c r="KA131" s="638" t="str">
        <f>IF($BW$136=1,     IF(OR(JY131="",JW131="",$BD$103="",$BD$103=0,'HHV-LHV-MW'!QK66="",JP131="",$JX$145=""),"", ((JY131*((JW131*('HHV-LHV-MW'!QK66/100))/$BD$103))^2)*((JP131^2)+($JX$145^2))),              IF(OR(JY131="",JW131="",JI131="",JL131="",$JX$145="",$BD$103="",$BD$103=0),"",      ((JY131*((JW131*(JI131/100))/$BD$103))^2)*((JL131^2)+($JX$145^2))             ))</f>
        <v/>
      </c>
      <c r="KB131" s="874"/>
      <c r="KC131" s="874"/>
      <c r="KD131" s="874"/>
      <c r="KE131" s="874"/>
      <c r="KF131" s="874"/>
      <c r="KG131" s="874"/>
      <c r="KH131" s="865"/>
      <c r="KI131" s="865"/>
      <c r="KJ131" s="865"/>
      <c r="KK131" s="865"/>
      <c r="KL131" s="865"/>
      <c r="KM131" s="865"/>
      <c r="KN131" s="865"/>
      <c r="KO131" s="865"/>
      <c r="KP131" s="865"/>
      <c r="KQ131" s="865"/>
      <c r="KR131" s="865"/>
      <c r="KS131" s="865"/>
      <c r="KT131" s="865"/>
      <c r="KU131" s="865"/>
      <c r="KV131" s="865"/>
      <c r="KW131" s="865"/>
      <c r="KX131" s="865"/>
      <c r="KY131" s="865"/>
      <c r="KZ131" s="865"/>
      <c r="LA131" s="865"/>
      <c r="LB131" s="865"/>
      <c r="LC131" s="865"/>
      <c r="LD131" s="865"/>
      <c r="LE131" s="865"/>
      <c r="LF131" s="865"/>
    </row>
    <row r="132" spans="1:318" ht="19.2" thickBot="1">
      <c r="A132" s="864"/>
      <c r="B132" s="502"/>
      <c r="C132" s="502"/>
      <c r="D132" s="502"/>
      <c r="E132" s="502"/>
      <c r="F132" s="511"/>
      <c r="G132" s="864"/>
      <c r="H132" s="502"/>
      <c r="I132" s="502"/>
      <c r="J132" s="502"/>
      <c r="K132" s="502"/>
      <c r="L132" s="511"/>
      <c r="M132" s="864"/>
      <c r="N132" s="502"/>
      <c r="O132" s="502"/>
      <c r="P132" s="502"/>
      <c r="Q132" s="502"/>
      <c r="R132" s="511"/>
      <c r="S132" s="864"/>
      <c r="T132" s="502"/>
      <c r="U132" s="502"/>
      <c r="V132" s="502"/>
      <c r="W132" s="502"/>
      <c r="X132" s="511"/>
      <c r="Y132" s="864"/>
      <c r="Z132" s="502"/>
      <c r="AA132" s="502"/>
      <c r="AB132" s="502"/>
      <c r="AC132" s="502"/>
      <c r="AD132" s="511"/>
      <c r="AE132" s="864"/>
      <c r="AF132" s="502"/>
      <c r="AG132" s="502"/>
      <c r="AH132" s="502"/>
      <c r="AI132" s="502"/>
      <c r="AJ132" s="511"/>
      <c r="AK132" s="864"/>
      <c r="AL132" s="502"/>
      <c r="AM132" s="502"/>
      <c r="AN132" s="502"/>
      <c r="AO132" s="502"/>
      <c r="AP132" s="511"/>
      <c r="AQ132" s="864"/>
      <c r="AR132" s="502"/>
      <c r="AS132" s="502"/>
      <c r="AT132" s="502"/>
      <c r="AU132" s="502"/>
      <c r="AV132" s="511"/>
      <c r="AW132" s="864"/>
      <c r="AX132" s="502"/>
      <c r="AY132" s="502"/>
      <c r="AZ132" s="502"/>
      <c r="BA132" s="502"/>
      <c r="BB132" s="511"/>
      <c r="BC132" s="864"/>
      <c r="BD132" s="502"/>
      <c r="BE132" s="502"/>
      <c r="BF132" s="502"/>
      <c r="BG132" s="502"/>
      <c r="BH132" s="865"/>
      <c r="BI132" s="865"/>
      <c r="BJ132" s="1143" t="s">
        <v>1510</v>
      </c>
      <c r="BK132" s="2481"/>
      <c r="BL132" s="2481"/>
      <c r="BM132" s="2481"/>
      <c r="BN132" s="1144"/>
      <c r="BO132" s="2477" t="str">
        <f>FE143</f>
        <v/>
      </c>
      <c r="BP132" s="2477"/>
      <c r="BQ132" s="865"/>
      <c r="BR132" s="1143" t="s">
        <v>1510</v>
      </c>
      <c r="BS132" s="2481"/>
      <c r="BT132" s="2481"/>
      <c r="BU132" s="2481"/>
      <c r="BV132" s="1144"/>
      <c r="BW132" s="2477" t="str">
        <f>JF143</f>
        <v/>
      </c>
      <c r="BX132" s="2477"/>
      <c r="BY132" s="874"/>
      <c r="BZ132" s="888" t="str">
        <f>IF(A132="","",VLOOKUP(A132,'HHV-LHV-MW'!$A$3:$H$40,4,FALSE))</f>
        <v/>
      </c>
      <c r="CA132" s="889" t="str">
        <f>IF(A132="","",VLOOKUP(A132,'HHV-LHV-MW'!$A$3:$H$40,5,FALSE))</f>
        <v/>
      </c>
      <c r="CB132" s="890" t="str">
        <f>IF($BO$96="","",((PRODUCT('HHV-LHV-MW'!K67)+PRODUCT('HHV-LHV-MW'!W67)+PRODUCT('HHV-LHV-MW'!AI67)+PRODUCT('HHV-LHV-MW'!AU67))/$BO$96))</f>
        <v/>
      </c>
      <c r="CC132" s="890" t="str">
        <f>IF($BO$96="","",(IF($BO$96=1,"",  (SQRT(  (      (IF('HHV-LHV-MW'!K67="",0,('HHV-LHV-MW'!K67-CB132)^2))      +        (IF('HHV-LHV-MW'!W67="",0,('HHV-LHV-MW'!W67-CB132)^2))       +        (IF('HHV-LHV-MW'!AI67="",0,('HHV-LHV-MW'!AI67-CB132)^2))          +        (IF('HHV-LHV-MW'!AU67="",0,('HHV-LHV-MW'!AU67-CB132)^2))          )     *(1/($BO$96-1))  )))))</f>
        <v/>
      </c>
      <c r="CD132" s="890" t="str">
        <f t="shared" si="97"/>
        <v/>
      </c>
      <c r="CE132" s="890" t="str">
        <f t="shared" si="98"/>
        <v/>
      </c>
      <c r="CF132" s="636" t="str">
        <f>IF('HHV-LHV-MW'!K67="","",IF(AND('HHV-LHV-MW'!K67&gt;=0,'HHV-LHV-MW'!K67&lt;=0.09),2,  IF(AND('HHV-LHV-MW'!K67&gt;=0.1,'HHV-LHV-MW'!K67&lt;=0.9),7,  IF(AND('HHV-LHV-MW'!K67&gt;=1,'HHV-LHV-MW'!K67&lt;=4.9),10,   IF(AND('HHV-LHV-MW'!K67&gt;=5,'HHV-LHV-MW'!K67&lt;=10),12, 15)))))</f>
        <v/>
      </c>
      <c r="CG132" s="636" t="str">
        <f>IF('HHV-LHV-MW'!K67="","",5*'HHV-LHV-MW'!K67)</f>
        <v/>
      </c>
      <c r="CH132" s="635" t="str">
        <f t="shared" si="99"/>
        <v/>
      </c>
      <c r="CI132" s="636" t="str">
        <f>IF(OR(CH132="",'HHV-LHV-MW'!K67=0),"",CH132/'HHV-LHV-MW'!K67)</f>
        <v/>
      </c>
      <c r="CJ132" s="636" t="str">
        <f>IF(OR(CI132="",BZ132="",'HHV-LHV-MW'!K67=""),"",((CI132*BZ132*('HHV-LHV-MW'!K67/100))/23.685)^2)</f>
        <v/>
      </c>
      <c r="CK132" s="636" t="str">
        <f>IF(OR(CI132="",CA132="",'HHV-LHV-MW'!K67=""),"",((CI132*CA132*('HHV-LHV-MW'!K67/100))/23.685)^2)</f>
        <v/>
      </c>
      <c r="CL132" s="639" t="str">
        <f t="shared" si="100"/>
        <v/>
      </c>
      <c r="CM132" s="892" t="str">
        <f t="shared" si="101"/>
        <v/>
      </c>
      <c r="CN132" s="639" t="str">
        <f>IF(A132="","",VLOOKUP(A132,'HHV-LHV-MW'!$A$3:$H$40,7,FALSE))</f>
        <v/>
      </c>
      <c r="CO132" s="636" t="str">
        <f>IF($BO$96=1,     IF(OR(CN132="",'HHV-LHV-MW'!K67="",CI132=""),"",(CN132*('HHV-LHV-MW'!K67/100)*CI132)^2),IF(OR(CN132="",CB132="",CE132=""),"",(CN132*(CB132/100)*CE132)^2))</f>
        <v/>
      </c>
      <c r="CP132" s="635" t="str">
        <f>IF(A132="","",VLOOKUP(A132,'HHV-LHV-MW'!$A$3:$I$40,9,FALSE))</f>
        <v/>
      </c>
      <c r="CQ132" s="636" t="str">
        <f>IF($BO$96=1,     IF(OR(CP132="",'HHV-LHV-MW'!K67="",CI132=""),"",(CP132*('HHV-LHV-MW'!K67/100)*CI132)^2),IF(OR(CP132="",CB132="",CE132=""),"",(CP132*(CB132/100)*CE132)^2))</f>
        <v/>
      </c>
      <c r="CR132" s="636" t="str">
        <f>IF(A132="","",(VLOOKUP(A132,'HHV-LHV-MW'!$A$3:$F$40,6,FALSE))    )</f>
        <v/>
      </c>
      <c r="CS132" s="636" t="str">
        <f>IF($BO$96=1,     IF(OR(CR132="",'HHV-LHV-MW'!K67="",CI132=""),"",(CR132*('HHV-LHV-MW'!K67/100)*CI132)^2),IF(OR(CR132="",CB132="",CE132=""),"",(CR132*(CB132/100)*CE132)^2))</f>
        <v/>
      </c>
      <c r="CT132" s="640" t="str">
        <f>IF($BO$96=1,     IF(OR(CR132="",CP132="",$B$103="",$B$103=0,'HHV-LHV-MW'!K67="",CI132="",$CQ$145=""),"", ((CR132*((CP132*('HHV-LHV-MW'!K67/100))/$B$103))^2)*((CI132^2)+($CQ$145^2))),              IF(OR(CR132="",CP132="",CB132="",CE132="",$CQ$145="",$B$103="",$B$103=0),"",      ((CR132*((CP132*(CB132/100))/$B$103))^2)*((CE132^2)+($CQ$145^2))             ))</f>
        <v/>
      </c>
      <c r="CU132" s="889" t="str">
        <f>IF(G132="","",VLOOKUP(G132,'HHV-LHV-MW'!$A$3:$H$40,4,FALSE))</f>
        <v/>
      </c>
      <c r="CV132" s="889" t="str">
        <f>IF(G132="","",VLOOKUP(G132,'HHV-LHV-MW'!$A$3:$H$40,5,FALSE))</f>
        <v/>
      </c>
      <c r="CW132" s="890" t="str">
        <f>IF($BO$106="","",((PRODUCT('HHV-LHV-MW'!BH67)+PRODUCT('HHV-LHV-MW'!BT67)+PRODUCT('HHV-LHV-MW'!CF67)+PRODUCT('HHV-LHV-MW'!CR67))/$BO$106))</f>
        <v/>
      </c>
      <c r="CX132" s="890" t="str">
        <f>IF($BO$106="","",(IF($BO$106=1,"",  (SQRT(  (      (IF('HHV-LHV-MW'!BH67="",0,('HHV-LHV-MW'!BH67-CW132)^2))      +        (IF('HHV-LHV-MW'!BT67="",0,('HHV-LHV-MW'!BT67-CW132)^2))       +        (IF('HHV-LHV-MW'!CF67="",0,('HHV-LHV-MW'!CF67-CW132)^2))          +        (IF('HHV-LHV-MW'!CR67="",0,('HHV-LHV-MW'!CR67-CW132)^2))          )     *(1/($BO$106-1))  )))))</f>
        <v/>
      </c>
      <c r="CY132" s="890" t="str">
        <f t="shared" si="102"/>
        <v/>
      </c>
      <c r="CZ132" s="890" t="str">
        <f t="shared" si="103"/>
        <v/>
      </c>
      <c r="DA132" s="636" t="str">
        <f>IF('HHV-LHV-MW'!BH67="","",IF(AND('HHV-LHV-MW'!BH67&gt;=0,'HHV-LHV-MW'!BH67&lt;=0.09),2,  IF(AND('HHV-LHV-MW'!BH67&gt;=0.1,'HHV-LHV-MW'!BH67&lt;=0.9),7,  IF(AND('HHV-LHV-MW'!BH67&gt;=1,'HHV-LHV-MW'!BH67&lt;=4.9),10,   IF(AND('HHV-LHV-MW'!BH67&gt;=5,'HHV-LHV-MW'!BH67&lt;=10),12, 15)))))</f>
        <v/>
      </c>
      <c r="DB132" s="636" t="str">
        <f>IF('HHV-LHV-MW'!BH67="","",5*'HHV-LHV-MW'!BH67)</f>
        <v/>
      </c>
      <c r="DC132" s="635" t="str">
        <f t="shared" si="104"/>
        <v/>
      </c>
      <c r="DD132" s="636" t="str">
        <f>IF(OR(DC132="",'HHV-LHV-MW'!BH67=0),"",DC132/'HHV-LHV-MW'!BH67)</f>
        <v/>
      </c>
      <c r="DE132" s="635" t="str">
        <f>IF(OR(DD132="",CU132="",'HHV-LHV-MW'!BH67=""),"",((DD132*CU132*('HHV-LHV-MW'!BH67/100))/23.685)^2)</f>
        <v/>
      </c>
      <c r="DF132" s="636" t="str">
        <f>IF(OR(DD132="",CV132="",'HHV-LHV-MW'!BH67=""),"",((DD132*CV132*('HHV-LHV-MW'!BH67/100))/23.685)^2)</f>
        <v/>
      </c>
      <c r="DG132" s="639" t="str">
        <f t="shared" si="105"/>
        <v/>
      </c>
      <c r="DH132" s="891" t="str">
        <f t="shared" si="106"/>
        <v/>
      </c>
      <c r="DI132" s="635" t="str">
        <f>IF(G132="","",VLOOKUP(G132,'HHV-LHV-MW'!$A$3:$H$40,7,FALSE))</f>
        <v/>
      </c>
      <c r="DJ132" s="875" t="str">
        <f>IF($BO$106=1,     IF(OR(DI132="",'HHV-LHV-MW'!BH67="",DD132=""),"",(DI132*('HHV-LHV-MW'!BH67/100)*DD132)^2),IF(OR(DI132="",CW132="",CZ132=""),"",(DI132*(CW132/100)*CZ132)^2))</f>
        <v/>
      </c>
      <c r="DK132" s="635" t="str">
        <f>IF(G132="","",VLOOKUP(G132,'HHV-LHV-MW'!$A$3:$I$40,9,FALSE))</f>
        <v/>
      </c>
      <c r="DL132" s="875" t="str">
        <f>IF($BO$106=1,     IF(OR(DK132="",'HHV-LHV-MW'!BH67="",DD132=""),"",(DK132*('HHV-LHV-MW'!BH67/100)*DD132)^2),IF(OR(DK132="",CW132="",CZ132=""),"",(DK132*(CW132/100)*CZ132)^2))</f>
        <v/>
      </c>
      <c r="DM132" s="635" t="str">
        <f>IF(G132="","",(VLOOKUP(G132,'HHV-LHV-MW'!$A$3:$F$40,6,FALSE))    )</f>
        <v/>
      </c>
      <c r="DN132" s="875" t="str">
        <f>IF($BO$106=1,     IF(OR(DM132="",'HHV-LHV-MW'!BH67="",DD132=""),"",(DM132*('HHV-LHV-MW'!BH67/100)*DD132)^2),IF(OR(DM132="",CW132="",CZ132=""),"",(DM132*(CW132/100)*CZ132)^2))</f>
        <v/>
      </c>
      <c r="DO132" s="638" t="str">
        <f>IF($BO$106=1,     IF(OR(DM132="",DK132="",$H$103="",$H$103=0,'HHV-LHV-MW'!BH67="",DD132="",$DL$145=""),"", ((DM132*((DK132*('HHV-LHV-MW'!BH67/100))/$H$103))^2)*((DD132^2)+($DL$145^2))),              IF(OR(DM132="",DK132="",CW132="",CZ132="",$DL$145="",$H$103="",$H$103=0),"",      ((DM132*((DK132*(CW132/100))/$H$103))^2)*((CZ132^2)+($DL$145^2))             ))</f>
        <v/>
      </c>
      <c r="DP132" s="889" t="str">
        <f>IF(M132="","",VLOOKUP(M132,'HHV-LHV-MW'!$A$3:$H$40,4,FALSE))</f>
        <v/>
      </c>
      <c r="DQ132" s="889" t="str">
        <f>IF(M132="","",VLOOKUP(M132,'HHV-LHV-MW'!$A$3:$H$40,5,FALSE))</f>
        <v/>
      </c>
      <c r="DR132" s="890" t="str">
        <f>IF($BO$116="","",((PRODUCT('HHV-LHV-MW'!DE67)+PRODUCT('HHV-LHV-MW'!DQ67)+PRODUCT('HHV-LHV-MW'!EC67)+PRODUCT('HHV-LHV-MW'!EO67))/$BO$116))</f>
        <v/>
      </c>
      <c r="DS132" s="890" t="str">
        <f>IF($BO$116="","",(IF($BO$116=1,"",  (SQRT(  (      (IF('HHV-LHV-MW'!DE67="",0,('HHV-LHV-MW'!DE67-DR132)^2))      +        (IF('HHV-LHV-MW'!DQ67="",0,('HHV-LHV-MW'!DQ67-DR132)^2))       +        (IF('HHV-LHV-MW'!EC67="",0,('HHV-LHV-MW'!EC67-DR132)^2))          +        (IF('HHV-LHV-MW'!EO67="",0,('HHV-LHV-MW'!EO67-DR132)^2))          )     *(1/($BO$116-1))  )))))</f>
        <v/>
      </c>
      <c r="DT132" s="890" t="str">
        <f t="shared" si="107"/>
        <v/>
      </c>
      <c r="DU132" s="890" t="str">
        <f t="shared" si="108"/>
        <v/>
      </c>
      <c r="DV132" s="636" t="str">
        <f>IF('HHV-LHV-MW'!DE67="","",IF(AND('HHV-LHV-MW'!DE67&gt;=0,'HHV-LHV-MW'!DE67&lt;=0.09),2,  IF(AND('HHV-LHV-MW'!DE67&gt;=0.1,'HHV-LHV-MW'!DE67&lt;=0.9),7,  IF(AND('HHV-LHV-MW'!DE67&gt;=1,'HHV-LHV-MW'!DE67&lt;=4.9),10,   IF(AND('HHV-LHV-MW'!DE67&gt;=5,'HHV-LHV-MW'!DE67&lt;=10),12, 15)))))</f>
        <v/>
      </c>
      <c r="DW132" s="636" t="str">
        <f>IF('HHV-LHV-MW'!DE67="","",5*'HHV-LHV-MW'!DE67)</f>
        <v/>
      </c>
      <c r="DX132" s="635" t="str">
        <f t="shared" si="109"/>
        <v/>
      </c>
      <c r="DY132" s="636" t="str">
        <f>IF(OR(DX132="",'HHV-LHV-MW'!DE67=0),"",DX132/'HHV-LHV-MW'!DE67)</f>
        <v/>
      </c>
      <c r="DZ132" s="636" t="str">
        <f>IF(OR(DY132="",DP132="",'HHV-LHV-MW'!DE67=""),"",((DY132*DP132*('HHV-LHV-MW'!DE67/100))/23.685)^2)</f>
        <v/>
      </c>
      <c r="EA132" s="636" t="str">
        <f>IF(OR(DY132="",DQ132="",'HHV-LHV-MW'!DE67=""),"",((DY132*DQ132*('HHV-LHV-MW'!DE67/100))/23.685)^2)</f>
        <v/>
      </c>
      <c r="EB132" s="639" t="str">
        <f t="shared" si="110"/>
        <v/>
      </c>
      <c r="EC132" s="891" t="str">
        <f t="shared" si="111"/>
        <v/>
      </c>
      <c r="ED132" s="643" t="str">
        <f>IF(M132="","",VLOOKUP(M132,'HHV-LHV-MW'!$A$3:$H$40,7,FALSE))</f>
        <v/>
      </c>
      <c r="EE132" s="875" t="str">
        <f>IF($BO$116=1,     IF(OR(ED132="",'HHV-LHV-MW'!DE67="",DY132=""),"",(ED132*('HHV-LHV-MW'!DE67/100)*DY132)^2),IF(OR(ED132="",DR132="",DU132=""),"",(ED132*(DR132/100)*DU132)^2))</f>
        <v/>
      </c>
      <c r="EF132" s="635" t="str">
        <f>IF(M132="","",VLOOKUP(M132,'HHV-LHV-MW'!$A$3:$I$40,9,FALSE))</f>
        <v/>
      </c>
      <c r="EG132" s="875" t="str">
        <f>IF($BO$116=1,     IF(OR(EF132="",'HHV-LHV-MW'!DE67="",DY132=""),"",(EF132*('HHV-LHV-MW'!DE67/100)*DY132)^2),IF(OR(EF132="",DR132="",DU132=""),"",(EF132*(DR132/100)*DU132)^2))</f>
        <v/>
      </c>
      <c r="EH132" s="635" t="str">
        <f>IF(M132="","",(VLOOKUP(M132,'HHV-LHV-MW'!$A$3:$F$40,6,FALSE))    )</f>
        <v/>
      </c>
      <c r="EI132" s="875" t="str">
        <f>IF($BO$116=1,     IF(OR(EH132="",'HHV-LHV-MW'!DE67="",DY132=""),"",(EH132*('HHV-LHV-MW'!DE67/100)*DY132)^2),IF(OR(EH132="",DR132="",DU132=""),"",(EH132*(DR132/100)*DU132)^2))</f>
        <v/>
      </c>
      <c r="EJ132" s="638" t="str">
        <f>IF($BO$116=1,     IF(OR(EH132="",EF132="",$N$103="",$N$103=0,'HHV-LHV-MW'!DE67="",DY132="",$EG$145=""),"", ((EH132*((EF132*('HHV-LHV-MW'!DE67/100))/$N$103))^2)*((DY132^2)+($EG$145^2))),              IF(OR(EH132="",EF132="",DR132="",DU132="",$EG$145="",$N$103="",$N$103=0),"",      ((EH132*((EF132*(DR132/100))/$N$103))^2)*((DU132^2)+($EG$145^2))             ))</f>
        <v/>
      </c>
      <c r="EK132" s="889" t="str">
        <f>IF(S132="","",VLOOKUP(S132,'HHV-LHV-MW'!$A$3:$H$40,4,FALSE))</f>
        <v/>
      </c>
      <c r="EL132" s="889" t="str">
        <f>IF(S132="","",VLOOKUP(S132,'HHV-LHV-MW'!$A$3:$H$40,5,FALSE))</f>
        <v/>
      </c>
      <c r="EM132" s="890" t="str">
        <f>IF($BO$126="","",((PRODUCT('HHV-LHV-MW'!FB67)+PRODUCT('HHV-LHV-MW'!FN67)+PRODUCT('HHV-LHV-MW'!FZ67)+PRODUCT('HHV-LHV-MW'!GL67))/$BO$126))</f>
        <v/>
      </c>
      <c r="EN132" s="890" t="str">
        <f>IF($BO$126="","",(IF($BO$126=1,"",  (SQRT(  (      (IF('HHV-LHV-MW'!FB67="",0,('HHV-LHV-MW'!FB67-EM132)^2))      +        (IF('HHV-LHV-MW'!FN67="",0,('HHV-LHV-MW'!FN67-EM132)^2))       +        (IF('HHV-LHV-MW'!FZ67="",0,('HHV-LHV-MW'!FZ67-EM132)^2))          +        (IF('HHV-LHV-MW'!GL67="",0,('HHV-LHV-MW'!GL67-EM132)^2))          )     *(1/($BO$126-1))  )))))</f>
        <v/>
      </c>
      <c r="EO132" s="890" t="str">
        <f t="shared" si="112"/>
        <v/>
      </c>
      <c r="EP132" s="890" t="str">
        <f t="shared" si="113"/>
        <v/>
      </c>
      <c r="EQ132" s="636" t="str">
        <f>IF('HHV-LHV-MW'!FB67="","",IF(AND('HHV-LHV-MW'!FB67&gt;=0,'HHV-LHV-MW'!FB67&lt;=0.09),2,  IF(AND('HHV-LHV-MW'!FB67&gt;=0.1,'HHV-LHV-MW'!FB67&lt;=0.9),7,  IF(AND('HHV-LHV-MW'!FB67&gt;=1,'HHV-LHV-MW'!FB67&lt;=4.9),10,   IF(AND('HHV-LHV-MW'!FB67&gt;=5,'HHV-LHV-MW'!FB67&lt;=10),12, 15)))))</f>
        <v/>
      </c>
      <c r="ER132" s="636" t="str">
        <f>IF('HHV-LHV-MW'!FB67="","",5*'HHV-LHV-MW'!FB67)</f>
        <v/>
      </c>
      <c r="ES132" s="635" t="str">
        <f t="shared" si="114"/>
        <v/>
      </c>
      <c r="ET132" s="636" t="str">
        <f>IF(OR(ES132="",'HHV-LHV-MW'!FB67=0),"",ES132/'HHV-LHV-MW'!FB67)</f>
        <v/>
      </c>
      <c r="EU132" s="636" t="str">
        <f>IF(OR(ET132="",EK132="",'HHV-LHV-MW'!FB67=""),"",((ET132*EK132*('HHV-LHV-MW'!FB67/100))/23.685)^2)</f>
        <v/>
      </c>
      <c r="EV132" s="636" t="str">
        <f>IF(OR(ET132="",EL132="",'HHV-LHV-MW'!FB67=""),"",((ET132*EL132*('HHV-LHV-MW'!FB67/100))/23.685)^2)</f>
        <v/>
      </c>
      <c r="EW132" s="639" t="str">
        <f t="shared" si="115"/>
        <v/>
      </c>
      <c r="EX132" s="891" t="str">
        <f t="shared" si="116"/>
        <v/>
      </c>
      <c r="EY132" s="643" t="str">
        <f>IF(S132="","",VLOOKUP(S132,'HHV-LHV-MW'!$A$3:$H$40,7,FALSE))</f>
        <v/>
      </c>
      <c r="EZ132" s="875" t="str">
        <f>IF($BO$126=1,     IF(OR(EY132="",'HHV-LHV-MW'!FB67="",ET132=""),"",(EY132*('HHV-LHV-MW'!FB67/100)*ET132)^2),IF(OR(EY132="",EM132="",EP132=""),"",(EY132*(EM132/100)*EP132)^2))</f>
        <v/>
      </c>
      <c r="FA132" s="635" t="str">
        <f>IF(S132="","",VLOOKUP(S132,'HHV-LHV-MW'!$A$3:$I$40,9,FALSE))</f>
        <v/>
      </c>
      <c r="FB132" s="875" t="str">
        <f>IF($BO$126=1,     IF(OR(FA132="",'HHV-LHV-MW'!FB67="",ET132=""),"",(FA132*('HHV-LHV-MW'!FB67/100)*ET132)^2),IF(OR(FA132="",EM132="",EP132=""),"",(FA132*(EM132/100)*EP132)^2))</f>
        <v/>
      </c>
      <c r="FC132" s="635" t="str">
        <f>IF(S132="","",(VLOOKUP(S132,'HHV-LHV-MW'!$A$3:$F$40,6,FALSE))    )</f>
        <v/>
      </c>
      <c r="FD132" s="875" t="str">
        <f>IF($BO$126=1,     IF(OR(FC132="",'HHV-LHV-MW'!FB67="",ET132=""),"",(FC132*('HHV-LHV-MW'!FB67/100)*ET132)^2),IF(OR(FC132="",EM132="",EP132=""),"",(FC132*(EM132/100)*EP132)^2))</f>
        <v/>
      </c>
      <c r="FE132" s="638" t="str">
        <f>IF($BO$126=1,     IF(OR(FC132="",FA132="",$T$103="",$T$103=0,'HHV-LHV-MW'!FB67="",ET132="",$FB$145=""),"", ((FC132*((FA132*('HHV-LHV-MW'!FB67/100))/$T$103))^2)*((ET132^2)+($FB$145^2))),              IF(OR(FC132="",FA132="",EM132="",EP132="",$FB$145="",$T$103="",$T$103=0),"",      ((FC132*((FA132*(EM132/100))/$T$103))^2)*((EP132^2)+($FB$145^2))             ))</f>
        <v/>
      </c>
      <c r="FF132" s="889" t="str">
        <f>IF(Y132="","",VLOOKUP(Y132,'HHV-LHV-MW'!$A$3:$H$40,4,FALSE))</f>
        <v/>
      </c>
      <c r="FG132" s="889" t="str">
        <f>IF(Y132="","",VLOOKUP(Y132,'HHV-LHV-MW'!$A$3:$H$40,5,FALSE))</f>
        <v/>
      </c>
      <c r="FH132" s="890" t="str">
        <f>IF($BO$136="","",((PRODUCT('HHV-LHV-MW'!GY67)+PRODUCT('HHV-LHV-MW'!HK67)+PRODUCT('HHV-LHV-MW'!HW67)+PRODUCT('HHV-LHV-MW'!II67))/$BO$136))</f>
        <v/>
      </c>
      <c r="FI132" s="890" t="str">
        <f>IF($BO$136="","",(IF($BO$136=1,"",  (SQRT(  (      (IF('HHV-LHV-MW'!GY67="",0,('HHV-LHV-MW'!GY67-FH132)^2))      +        (IF('HHV-LHV-MW'!HK67="",0,('HHV-LHV-MW'!HK67-FH132)^2))       +        (IF('HHV-LHV-MW'!HW67="",0,('HHV-LHV-MW'!HW67-FH132)^2))          +        (IF('HHV-LHV-MW'!II67="",0,('HHV-LHV-MW'!II67-FH132)^2))          )     *(1/($BO$136-1))  )))))</f>
        <v/>
      </c>
      <c r="FJ132" s="890" t="str">
        <f t="shared" si="117"/>
        <v/>
      </c>
      <c r="FK132" s="890" t="str">
        <f t="shared" si="118"/>
        <v/>
      </c>
      <c r="FL132" s="636" t="str">
        <f>IF('HHV-LHV-MW'!GY67="","",IF(AND('HHV-LHV-MW'!GY67&gt;=0,'HHV-LHV-MW'!GY67&lt;=0.09),2,  IF(AND('HHV-LHV-MW'!GY67&gt;=0.1,'HHV-LHV-MW'!GY67&lt;=0.9),7,  IF(AND('HHV-LHV-MW'!GY67&gt;=1,'HHV-LHV-MW'!GY67&lt;=4.9),10,   IF(AND('HHV-LHV-MW'!GY67&gt;=5,'HHV-LHV-MW'!GY67&lt;=10),12, 15)))))</f>
        <v/>
      </c>
      <c r="FM132" s="636" t="str">
        <f>IF('HHV-LHV-MW'!GY67="","",5*'HHV-LHV-MW'!GY67)</f>
        <v/>
      </c>
      <c r="FN132" s="635" t="str">
        <f t="shared" si="119"/>
        <v/>
      </c>
      <c r="FO132" s="636" t="str">
        <f>IF(OR(FN132="",'HHV-LHV-MW'!GY67=0),"",FN132/'HHV-LHV-MW'!GY67)</f>
        <v/>
      </c>
      <c r="FP132" s="636" t="str">
        <f>IF(OR(FO132="",FF132="",'HHV-LHV-MW'!GY67=""),"",((FO132*FF132*('HHV-LHV-MW'!GY67/100))/23.685)^2)</f>
        <v/>
      </c>
      <c r="FQ132" s="636" t="str">
        <f>IF(OR(FO132="",FG132="",'HHV-LHV-MW'!GY67=""),"",((FO132*FG132*('HHV-LHV-MW'!GY67/100))/23.685)^2)</f>
        <v/>
      </c>
      <c r="FR132" s="639" t="str">
        <f t="shared" si="120"/>
        <v/>
      </c>
      <c r="FS132" s="891" t="str">
        <f t="shared" si="121"/>
        <v/>
      </c>
      <c r="FT132" s="643" t="str">
        <f>IF(Y132="","",VLOOKUP(Y132,'HHV-LHV-MW'!$A$3:$H$40,7,FALSE))</f>
        <v/>
      </c>
      <c r="FU132" s="875" t="str">
        <f>IF($BO$136=1,     IF(OR(FT132="",'HHV-LHV-MW'!GY67="",FO132=""),"",(FT132*('HHV-LHV-MW'!GY67/100)*FO132)^2),IF(OR(FT132="",FH132="",FK132=""),"",(FT132*(FH132/100)*FK132)^2))</f>
        <v/>
      </c>
      <c r="FV132" s="635" t="str">
        <f>IF(Y132="","",VLOOKUP(Y132,'HHV-LHV-MW'!$A$3:$I$40,9,FALSE))</f>
        <v/>
      </c>
      <c r="FW132" s="875" t="str">
        <f>IF($BO$136=1,     IF(OR(FV132="",'HHV-LHV-MW'!GY67="",FO132=""),"",(FV132*('HHV-LHV-MW'!GY67/100)*FO132)^2),IF(OR(FV132="",FH132="",FK132=""),"",(FV132*(FH132/100)*FK132)^2))</f>
        <v/>
      </c>
      <c r="FX132" s="635" t="str">
        <f>IF(Y132="","",(VLOOKUP(Y132,'HHV-LHV-MW'!$A$3:$F$40,6,FALSE))    )</f>
        <v/>
      </c>
      <c r="FY132" s="875" t="str">
        <f>IF($BO$136=1,     IF(OR(FX132="",'HHV-LHV-MW'!GY67="",FO132=""),"",(FX132*('HHV-LHV-MW'!GY67/100)*FO132)^2),IF(OR(FX132="",FH132="",FK132=""),"",(FX132*(FH132/100)*FK132)^2))</f>
        <v/>
      </c>
      <c r="FZ132" s="638" t="str">
        <f>IF($BO$136=1,     IF(OR(FX132="",FV132="",$Z$103="",$Z$103=0,'HHV-LHV-MW'!GY67="",FO132="",$FW$145=""),"", ((FX132*((FV132*('HHV-LHV-MW'!GY67/100))/$Z$103))^2)*((FO132^2)+($FW$145^2))),              IF(OR(FX132="",FV132="",FH132="",FK132="",$FW$145="",$Z$103="",$Z$103=0),"",      ((FX132*((FV132*(FH132/100))/$Z$103))^2)*((FK132^2)+($FW$145^2))             ))</f>
        <v/>
      </c>
      <c r="GA132" s="889" t="str">
        <f>IF(AE132="","",VLOOKUP(AE132,'HHV-LHV-MW'!$A$3:$H$40,4,FALSE))</f>
        <v/>
      </c>
      <c r="GB132" s="889" t="str">
        <f>IF(AE132="","",VLOOKUP(AE132,'HHV-LHV-MW'!$A$3:$H$40,5,FALSE))</f>
        <v/>
      </c>
      <c r="GC132" s="890" t="str">
        <f>IF($BW$96="","",((PRODUCT('HHV-LHV-MW'!IV67)+PRODUCT('HHV-LHV-MW'!JH67)+PRODUCT('HHV-LHV-MW'!JT67)+PRODUCT('HHV-LHV-MW'!KF67))/$BW$96))</f>
        <v/>
      </c>
      <c r="GD132" s="890" t="str">
        <f>IF($BW$96="","",(IF($BW$96=1,"",  (SQRT(  (      (IF('HHV-LHV-MW'!IV67="",0,('HHV-LHV-MW'!IV67-GC132)^2))      +        (IF('HHV-LHV-MW'!JH67="",0,('HHV-LHV-MW'!JH67-GC132)^2))       +        (IF('HHV-LHV-MW'!JT67="",0,('HHV-LHV-MW'!JT67-GC132)^2))          +        (IF('HHV-LHV-MW'!KF67="",0,('HHV-LHV-MW'!KF67-GC132)^2))          )     *(1/($BW$96-1))  )))))</f>
        <v/>
      </c>
      <c r="GE132" s="890" t="str">
        <f t="shared" si="122"/>
        <v/>
      </c>
      <c r="GF132" s="890" t="str">
        <f t="shared" si="123"/>
        <v/>
      </c>
      <c r="GG132" s="636" t="str">
        <f>IF('HHV-LHV-MW'!IV67="","",IF(AND('HHV-LHV-MW'!IV67&gt;=0,'HHV-LHV-MW'!IV67&lt;=0.09),2,  IF(AND('HHV-LHV-MW'!IV67&gt;=0.1,'HHV-LHV-MW'!IV67&lt;=0.9),7,  IF(AND('HHV-LHV-MW'!IV67&gt;=1,'HHV-LHV-MW'!IV67&lt;=4.9),10,   IF(AND('HHV-LHV-MW'!IV67&gt;=5,'HHV-LHV-MW'!IV67&lt;=10),12, 15)))))</f>
        <v/>
      </c>
      <c r="GH132" s="636" t="str">
        <f>IF('HHV-LHV-MW'!IV67="","",5*'HHV-LHV-MW'!IV67)</f>
        <v/>
      </c>
      <c r="GI132" s="635" t="str">
        <f t="shared" si="124"/>
        <v/>
      </c>
      <c r="GJ132" s="636" t="str">
        <f>IF(OR(GI132="",'HHV-LHV-MW'!IV67=0),"",GI132/'HHV-LHV-MW'!IV67)</f>
        <v/>
      </c>
      <c r="GK132" s="636" t="str">
        <f>IF(OR(GJ132="",GA132="",'HHV-LHV-MW'!IV67=""),"",((GJ132*GA132*('HHV-LHV-MW'!IV67/100))/23.685)^2)</f>
        <v/>
      </c>
      <c r="GL132" s="636" t="str">
        <f>IF(OR(GJ132="",GB132="",'HHV-LHV-MW'!IV67=""),"",((GJ132*GB132*('HHV-LHV-MW'!IV67/100))/23.685)^2)</f>
        <v/>
      </c>
      <c r="GM132" s="639" t="str">
        <f t="shared" si="125"/>
        <v/>
      </c>
      <c r="GN132" s="891" t="str">
        <f t="shared" si="126"/>
        <v/>
      </c>
      <c r="GO132" s="643" t="str">
        <f>IF(AE132="","",VLOOKUP(AE132,'HHV-LHV-MW'!$A$3:$H$40,7,FALSE))</f>
        <v/>
      </c>
      <c r="GP132" s="875" t="str">
        <f>IF($BW$96=1,     IF(OR(GO132="",'HHV-LHV-MW'!IV67="",GJ132=""),"",(GO132*('HHV-LHV-MW'!IV67/100)*GJ132)^2),IF(OR(GO132="",GC132="",GF132=""),"",(GO132*(GC132/100)*GF132)^2))</f>
        <v/>
      </c>
      <c r="GQ132" s="635" t="str">
        <f>IF(AE132="","",VLOOKUP(AE132,'HHV-LHV-MW'!$A$3:$I$40,9,FALSE))</f>
        <v/>
      </c>
      <c r="GR132" s="875" t="str">
        <f>IF($BW$96=1,     IF(OR(GQ132="",'HHV-LHV-MW'!IV67="",GJ132=""),"",(GQ132*('HHV-LHV-MW'!IV67/100)*GJ132)^2),IF(OR(GQ132="",GC132="",GF132=""),"",(GQ132*(GC132/100)*GF132)^2))</f>
        <v/>
      </c>
      <c r="GS132" s="635" t="str">
        <f>IF(AE132="","",(VLOOKUP(AE132,'HHV-LHV-MW'!$A$3:$F$40,6,FALSE))    )</f>
        <v/>
      </c>
      <c r="GT132" s="875" t="str">
        <f>IF($BW$96=1,     IF(OR(GS132="",'HHV-LHV-MW'!IV67="",GJ132=""),"",(GS132*('HHV-LHV-MW'!IV67/100)*GJ132)^2),IF(OR(GS132="",GC132="",GF132=""),"",(GS132*(GC132/100)*GF132)^2))</f>
        <v/>
      </c>
      <c r="GU132" s="638" t="str">
        <f>IF($BW$96=1,     IF(OR(GS132="",GQ132="",$AF$103="",$AF$103=0,'HHV-LHV-MW'!IV67="",GJ132="",$GR$145=""),"", ((GS132*((GQ132*('HHV-LHV-MW'!IV67/100))/$AF$103))^2)*((GJ132^2)+($GR$145^2))),              IF(OR(GS132="",GQ132="",GC132="",GF132="",$GR$145="",$AF$103="",$AF$103=0),"",      ((GS132*((GQ132*(GC132/100))/$AF$103))^2)*((GF132^2)+($GR$145^2))             ))</f>
        <v/>
      </c>
      <c r="GV132" s="889" t="str">
        <f>IF(AK132="","",VLOOKUP(AK132,'HHV-LHV-MW'!$A$3:$H$40,4,FALSE))</f>
        <v/>
      </c>
      <c r="GW132" s="889" t="str">
        <f>IF(AK132="","",VLOOKUP(AK132,'HHV-LHV-MW'!$A$3:$H$40,5,FALSE))</f>
        <v/>
      </c>
      <c r="GX132" s="890" t="str">
        <f>IF($BW$106="","",((PRODUCT('HHV-LHV-MW'!KS67)+PRODUCT('HHV-LHV-MW'!LE67)+PRODUCT('HHV-LHV-MW'!LQ67)+PRODUCT('HHV-LHV-MW'!MC67))/$BW$106))</f>
        <v/>
      </c>
      <c r="GY132" s="890" t="str">
        <f>IF($BW$106="","",(IF($BW$106=1,"",  (SQRT(  (      (IF('HHV-LHV-MW'!KS67="",0,('HHV-LHV-MW'!KS67-GX132)^2))      +        (IF('HHV-LHV-MW'!LE67="",0,('HHV-LHV-MW'!LE67-GX132)^2))       +        (IF('HHV-LHV-MW'!LQ67="",0,('HHV-LHV-MW'!LQ67-GX132)^2))          +        (IF('HHV-LHV-MW'!MC67="",0,('HHV-LHV-MW'!MC67-GX132)^2))          )     *(1/($BW$106-1))  )))))</f>
        <v/>
      </c>
      <c r="GZ132" s="890" t="str">
        <f t="shared" si="127"/>
        <v/>
      </c>
      <c r="HA132" s="890" t="str">
        <f t="shared" si="128"/>
        <v/>
      </c>
      <c r="HB132" s="636" t="str">
        <f>IF('HHV-LHV-MW'!KS67="","",IF(AND('HHV-LHV-MW'!KS67&gt;=0,'HHV-LHV-MW'!KS67&lt;=0.09),2,  IF(AND('HHV-LHV-MW'!KS67&gt;=0.1,'HHV-LHV-MW'!KS67&lt;=0.9),7,  IF(AND('HHV-LHV-MW'!KS67&gt;=1,'HHV-LHV-MW'!KS67&lt;=4.9),10,   IF(AND('HHV-LHV-MW'!KS67&gt;=5,'HHV-LHV-MW'!KS67&lt;=10),12, 15)))))</f>
        <v/>
      </c>
      <c r="HC132" s="636" t="str">
        <f>IF('HHV-LHV-MW'!KS67="","",5*'HHV-LHV-MW'!KS67)</f>
        <v/>
      </c>
      <c r="HD132" s="635" t="str">
        <f t="shared" si="129"/>
        <v/>
      </c>
      <c r="HE132" s="636" t="str">
        <f>IF(OR(HD132="",'HHV-LHV-MW'!KS67=0),"",HD132/'HHV-LHV-MW'!KS67)</f>
        <v/>
      </c>
      <c r="HF132" s="636" t="str">
        <f>IF(OR(HE132="",GV132="",'HHV-LHV-MW'!KS67=""),"",((HE132*GV132*('HHV-LHV-MW'!KS67/100))/23.685)^2)</f>
        <v/>
      </c>
      <c r="HG132" s="636" t="str">
        <f>IF(OR(HE132="",GW132="",'HHV-LHV-MW'!KS67=""),"",((HE132*GW132*('HHV-LHV-MW'!KS67/100))/23.685)^2)</f>
        <v/>
      </c>
      <c r="HH132" s="639" t="str">
        <f t="shared" si="130"/>
        <v/>
      </c>
      <c r="HI132" s="891" t="str">
        <f t="shared" si="131"/>
        <v/>
      </c>
      <c r="HJ132" s="643" t="str">
        <f>IF(AK132="","",VLOOKUP(AK132,'HHV-LHV-MW'!$A$3:$H$40,7,FALSE))</f>
        <v/>
      </c>
      <c r="HK132" s="875" t="str">
        <f>IF($BW$106=1,     IF(OR(HJ132="",'HHV-LHV-MW'!KS67="",HE132=""),"",(HJ132*('HHV-LHV-MW'!KS67/100)*HE132)^2),IF(OR(HJ132="",GX132="",HA132=""),"",(HJ132*(GX132/100)*HA132)^2))</f>
        <v/>
      </c>
      <c r="HL132" s="635" t="str">
        <f>IF(AK132="","",VLOOKUP(AK132,'HHV-LHV-MW'!$A$3:$I$40,9,FALSE))</f>
        <v/>
      </c>
      <c r="HM132" s="875" t="str">
        <f>IF($BW$106=1,     IF(OR(HL132="",'HHV-LHV-MW'!KS67="",HE132=""),"",(HL132*('HHV-LHV-MW'!KS67/100)*HE132)^2),IF(OR(HL132="",GX132="",HA132=""),"",(HL132*(GX132/100)*HA132)^2))</f>
        <v/>
      </c>
      <c r="HN132" s="635" t="str">
        <f>IF(AK132="","",(VLOOKUP(AK132,'HHV-LHV-MW'!$A$3:$F$40,6,FALSE))    )</f>
        <v/>
      </c>
      <c r="HO132" s="875" t="str">
        <f>IF($BW$106=1,     IF(OR(HN132="",'HHV-LHV-MW'!KS67="",HE132=""),"",(HN132*('HHV-LHV-MW'!KS67/100)*HE132)^2),IF(OR(HN132="",GX132="",HA132=""),"",(HN132*(GX132/100)*HA132)^2))</f>
        <v/>
      </c>
      <c r="HP132" s="638" t="str">
        <f>IF($BW$106=1,     IF(OR(HN132="",HL132="",$AL$103="",$AL$103=0,'HHV-LHV-MW'!KS67="",HE132="",$HM$145=""),"", ((HN132*((HL132*('HHV-LHV-MW'!KS67/100))/$AL$103))^2)*((HE132^2)+($HM$145^2))),              IF(OR(HN132="",HL132="",GX132="",HA132="",$HM$145="",$AL$103="",$AL$103=0),"",      ((HN132*((HL132*(GX132/100))/$AL$103))^2)*((HA132^2)+($HM$145^2))             ))</f>
        <v/>
      </c>
      <c r="HQ132" s="889" t="str">
        <f>IF(AQ132="","",VLOOKUP(AQ132,'HHV-LHV-MW'!$A$3:$H$40,4,FALSE))</f>
        <v/>
      </c>
      <c r="HR132" s="889" t="str">
        <f>IF(AQ132="","",VLOOKUP(AQ132,'HHV-LHV-MW'!$A$3:$H$40,5,FALSE))</f>
        <v/>
      </c>
      <c r="HS132" s="890" t="str">
        <f>IF($BW$116="","",((PRODUCT('HHV-LHV-MW'!MP67)+PRODUCT('HHV-LHV-MW'!NB67)+PRODUCT('HHV-LHV-MW'!NN67)+PRODUCT('HHV-LHV-MW'!NZ67))/$BW$116))</f>
        <v/>
      </c>
      <c r="HT132" s="890" t="str">
        <f>IF($BW$116="","",(IF($BW$116=1,"",  (SQRT(  (      (IF('HHV-LHV-MW'!MP67="",0,('HHV-LHV-MW'!MP67-HS132)^2))      +        (IF('HHV-LHV-MW'!NB67="",0,('HHV-LHV-MW'!NB67-HS132)^2))       +        (IF('HHV-LHV-MW'!NN67="",0,('HHV-LHV-MW'!NN67-HS132)^2))          +        (IF('HHV-LHV-MW'!NZ67="",0,('HHV-LHV-MW'!NZ67-HS132)^2))          )     *(1/($BW$116-1))  )))))</f>
        <v/>
      </c>
      <c r="HU132" s="890" t="str">
        <f t="shared" si="132"/>
        <v/>
      </c>
      <c r="HV132" s="890" t="str">
        <f t="shared" si="133"/>
        <v/>
      </c>
      <c r="HW132" s="636" t="str">
        <f>IF('HHV-LHV-MW'!MP67="","",IF(AND('HHV-LHV-MW'!MP67&gt;=0,'HHV-LHV-MW'!MP67&lt;=0.09),2,  IF(AND('HHV-LHV-MW'!MP67&gt;=0.1,'HHV-LHV-MW'!MP67&lt;=0.9),7,  IF(AND('HHV-LHV-MW'!MP67&gt;=1,'HHV-LHV-MW'!MP67&lt;=4.9),10,   IF(AND('HHV-LHV-MW'!MP67&gt;=5,'HHV-LHV-MW'!MP67&lt;=10),12, 15)))))</f>
        <v/>
      </c>
      <c r="HX132" s="636" t="str">
        <f>IF('HHV-LHV-MW'!MP67="","",5*'HHV-LHV-MW'!MP67)</f>
        <v/>
      </c>
      <c r="HY132" s="635" t="str">
        <f t="shared" si="134"/>
        <v/>
      </c>
      <c r="HZ132" s="636" t="str">
        <f>IF(OR(HY132="",'HHV-LHV-MW'!MP67=0),"",HY132/'HHV-LHV-MW'!MP67)</f>
        <v/>
      </c>
      <c r="IA132" s="636" t="str">
        <f>IF(OR(HZ132="",HQ132="",'HHV-LHV-MW'!MP67=""),"",((HZ132*HQ132*('HHV-LHV-MW'!MP67/100))/23.685)^2)</f>
        <v/>
      </c>
      <c r="IB132" s="636" t="str">
        <f>IF(OR(HZ132="",HR132="",'HHV-LHV-MW'!MP67=""),"",((HZ132*HR132*('HHV-LHV-MW'!MP67/100))/23.685)^2)</f>
        <v/>
      </c>
      <c r="IC132" s="639" t="str">
        <f t="shared" si="135"/>
        <v/>
      </c>
      <c r="ID132" s="891" t="str">
        <f t="shared" si="136"/>
        <v/>
      </c>
      <c r="IE132" s="643" t="str">
        <f>IF(AQ132="","",VLOOKUP(AQ132,'HHV-LHV-MW'!$A$3:$H$40,7,FALSE))</f>
        <v/>
      </c>
      <c r="IF132" s="875" t="str">
        <f>IF($BW$116=1,     IF(OR(IE132="",'HHV-LHV-MW'!MP67="",HZ132=""),"",(IE132*('HHV-LHV-MW'!MP67/100)*HZ132)^2),IF(OR(IE132="",HS132="",HV132=""),"",(IE132*(HS132/100)*HV132)^2))</f>
        <v/>
      </c>
      <c r="IG132" s="635" t="str">
        <f>IF(AQ132="","",VLOOKUP(AQ132,'HHV-LHV-MW'!$A$3:$I$40,9,FALSE))</f>
        <v/>
      </c>
      <c r="IH132" s="875" t="str">
        <f>IF($BW$116=1,     IF(OR(IG132="",'HHV-LHV-MW'!MP67="",HZ132=""),"",(IG132*('HHV-LHV-MW'!MP67/100)*HZ132)^2),IF(OR(IG132="",HS132="",HV132=""),"",(IG132*(HS132/100)*HV132)^2))</f>
        <v/>
      </c>
      <c r="II132" s="635" t="str">
        <f>IF(AQ132="","",(VLOOKUP(AQ132,'HHV-LHV-MW'!$A$3:$F$40,6,FALSE))    )</f>
        <v/>
      </c>
      <c r="IJ132" s="875" t="str">
        <f>IF($BW$116=1,     IF(OR(II132="",'HHV-LHV-MW'!MP67="",HZ132=""),"",(II132*('HHV-LHV-MW'!MP67/100)*HZ132)^2),IF(OR(II132="",HS132="",HV132=""),"",(II132*(HS132/100)*HV132)^2))</f>
        <v/>
      </c>
      <c r="IK132" s="638" t="str">
        <f>IF($BW$116=1,     IF(OR(II132="",IG132="",$AR$103="",$AR$103=0,'HHV-LHV-MW'!MP67="",HZ132="",$IH$145=""),"", ((II132*((IG132*('HHV-LHV-MW'!MP67/100))/$AR$103))^2)*((HZ132^2)+($IH$145^2))),              IF(OR(II132="",IG132="",HS132="",HV132="",$IH$145="",$AR$103="",$AR$103=0),"",      ((II132*((IG132*(HS132/100))/$AR$103))^2)*((HV132^2)+($IH$145^2))             ))</f>
        <v/>
      </c>
      <c r="IL132" s="889" t="str">
        <f>IF(AW132="","",VLOOKUP(AW132,'HHV-LHV-MW'!$A$3:$H$40,4,FALSE))</f>
        <v/>
      </c>
      <c r="IM132" s="889" t="str">
        <f>IF(AW132="","",VLOOKUP(AW132,'HHV-LHV-MW'!$A$3:$H$40,5,FALSE))</f>
        <v/>
      </c>
      <c r="IN132" s="890" t="str">
        <f>IF($BW$126="","",((PRODUCT('HHV-LHV-MW'!ON67)+PRODUCT('HHV-LHV-MW'!OZ67)+PRODUCT('HHV-LHV-MW'!PL67)+PRODUCT('HHV-LHV-MW'!PX67))/$BW$126))</f>
        <v/>
      </c>
      <c r="IO132" s="890" t="str">
        <f>IF($BW$126="","",(IF($BW$126=1,"",  (SQRT(  (      (IF('HHV-LHV-MW'!ON67="",0,('HHV-LHV-MW'!ON67-IN132)^2))      +        (IF('HHV-LHV-MW'!OZ67="",0,('HHV-LHV-MW'!OZ67-IN132)^2))       +        (IF('HHV-LHV-MW'!PL67="",0,('HHV-LHV-MW'!PL67-IN132)^2))          +        (IF('HHV-LHV-MW'!PX67="",0,('HHV-LHV-MW'!PX67-IN132)^2))          )     *(1/($BW$126-1))  )))))</f>
        <v/>
      </c>
      <c r="IP132" s="890" t="str">
        <f t="shared" si="137"/>
        <v/>
      </c>
      <c r="IQ132" s="890" t="str">
        <f t="shared" si="138"/>
        <v/>
      </c>
      <c r="IR132" s="636" t="str">
        <f>IF('HHV-LHV-MW'!ON67="","",IF(AND('HHV-LHV-MW'!ON67&gt;=0,'HHV-LHV-MW'!ON67&lt;=0.09),2,  IF(AND('HHV-LHV-MW'!ON67&gt;=0.1,'HHV-LHV-MW'!ON67&lt;=0.9),7,  IF(AND('HHV-LHV-MW'!ON67&gt;=1,'HHV-LHV-MW'!ON67&lt;=4.9),10,   IF(AND('HHV-LHV-MW'!ON67&gt;=5,'HHV-LHV-MW'!ON67&lt;=10),12, 15)))))</f>
        <v/>
      </c>
      <c r="IS132" s="636" t="str">
        <f>IF('HHV-LHV-MW'!ON67="","",5*'HHV-LHV-MW'!ON67)</f>
        <v/>
      </c>
      <c r="IT132" s="635" t="str">
        <f t="shared" si="139"/>
        <v/>
      </c>
      <c r="IU132" s="636" t="str">
        <f>IF(OR(IT132="",'HHV-LHV-MW'!ON67=0),"",IT132/'HHV-LHV-MW'!ON67)</f>
        <v/>
      </c>
      <c r="IV132" s="636" t="str">
        <f>IF(OR(IU132="",IL132="",'HHV-LHV-MW'!ON67=""),"",((IU132*IL132*('HHV-LHV-MW'!ON67/100))/23.685)^2)</f>
        <v/>
      </c>
      <c r="IW132" s="636" t="str">
        <f>IF(OR(IU132="",IM132="",'HHV-LHV-MW'!ON67=""),"",((IU132*IM132*('HHV-LHV-MW'!ON67/100))/23.685)^2)</f>
        <v/>
      </c>
      <c r="IX132" s="639" t="str">
        <f t="shared" si="140"/>
        <v/>
      </c>
      <c r="IY132" s="891" t="str">
        <f t="shared" si="141"/>
        <v/>
      </c>
      <c r="IZ132" s="643" t="str">
        <f>IF(AW132="","",VLOOKUP(AW132,'HHV-LHV-MW'!$A$3:$H$40,7,FALSE))</f>
        <v/>
      </c>
      <c r="JA132" s="875" t="str">
        <f>IF($BW$126=1,     IF(OR(IZ132="",'HHV-LHV-MW'!ON67="",IU132=""),"",(IZ132*('HHV-LHV-MW'!ON67/100)*IU132)^2),IF(OR(IZ132="",IN132="",IQ132=""),"",(IZ132*(IN132/100)*IQ132)^2))</f>
        <v/>
      </c>
      <c r="JB132" s="635" t="str">
        <f>IF(AW132="","",VLOOKUP(AW132,'HHV-LHV-MW'!$A$3:$I$40,9,FALSE))</f>
        <v/>
      </c>
      <c r="JC132" s="875" t="str">
        <f>IF($BW$126=1,     IF(OR(JB132="",'HHV-LHV-MW'!ON67="",IU132=""),"",(JB132*('HHV-LHV-MW'!ON67/100)*IU132)^2),IF(OR(JB132="",IN132="",IQ132=""),"",(JB132*(IN132/100)*IQ132)^2))</f>
        <v/>
      </c>
      <c r="JD132" s="635" t="str">
        <f>IF(AW132="","",(VLOOKUP(AW132,'HHV-LHV-MW'!$A$3:$F$40,6,FALSE))    )</f>
        <v/>
      </c>
      <c r="JE132" s="875" t="str">
        <f>IF($BW$126=1,     IF(OR(JD132="",'HHV-LHV-MW'!ON67="",IU132=""),"",(JD132*('HHV-LHV-MW'!ON67/100)*IU132)^2),IF(OR(JD132="",IN132="",IQ132=""),"",(JD132*(IN132/100)*IQ132)^2))</f>
        <v/>
      </c>
      <c r="JF132" s="638" t="str">
        <f>IF($BW$126=1,     IF(OR(JD132="",JB132="",$AX$103="",$AX$103=0,'HHV-LHV-MW'!ON67="",IU132="",$JC$145=""),"", ((JD132*((JB132*('HHV-LHV-MW'!ON67/100))/$AX$103))^2)*((IU132^2)+($JC$145^2))),              IF(OR(JD132="",JB132="",IN132="",IQ132="",$JC$145="",$AX$103="",$AX$103=0),"",      ((JD132*((JB132*(IN132/100))/$AX$103))^2)*((IQ132^2)+($JC$145^2))             ))</f>
        <v/>
      </c>
      <c r="JG132" s="889" t="str">
        <f>IF(BC132="","",VLOOKUP(BC132,'HHV-LHV-MW'!$A$3:$H$40,4,FALSE))</f>
        <v/>
      </c>
      <c r="JH132" s="889" t="str">
        <f>IF(BC132="","",VLOOKUP(BC132,'HHV-LHV-MW'!$A$3:$H$40,5,FALSE))</f>
        <v/>
      </c>
      <c r="JI132" s="890" t="str">
        <f>IF($BW$136="","",((PRODUCT('HHV-LHV-MW'!QK67)+PRODUCT('HHV-LHV-MW'!QW67)+PRODUCT('HHV-LHV-MW'!RI67)+PRODUCT('HHV-LHV-MW'!RU67))/$BW$136))</f>
        <v/>
      </c>
      <c r="JJ132" s="890" t="str">
        <f>IF($BW$136="","",(IF($BW$136=1,"",  (SQRT(  (      (IF('HHV-LHV-MW'!QK67="",0,('HHV-LHV-MW'!QK67-JI132)^2))      +        (IF('HHV-LHV-MW'!QW67="",0,('HHV-LHV-MW'!QW67-JI132)^2))       +        (IF('HHV-LHV-MW'!RI67="",0,('HHV-LHV-MW'!RI67-JI132)^2))          +        (IF('HHV-LHV-MW'!RU67="",0,('HHV-LHV-MW'!RU67-JI132)^2))          )     *(1/($BW$136-1))  )))))</f>
        <v/>
      </c>
      <c r="JK132" s="890" t="str">
        <f t="shared" si="142"/>
        <v/>
      </c>
      <c r="JL132" s="890" t="str">
        <f t="shared" si="143"/>
        <v/>
      </c>
      <c r="JM132" s="636" t="str">
        <f>IF('HHV-LHV-MW'!QK67="","",IF(AND('HHV-LHV-MW'!QK67&gt;=0,'HHV-LHV-MW'!QK67&lt;=0.09),2,  IF(AND('HHV-LHV-MW'!QK67&gt;=0.1,'HHV-LHV-MW'!QK67&lt;=0.9),7,  IF(AND('HHV-LHV-MW'!QK67&gt;=1,'HHV-LHV-MW'!QK67&lt;=4.9),10,   IF(AND('HHV-LHV-MW'!QK67&gt;=5,'HHV-LHV-MW'!QK67&lt;=10),12, 15)))))</f>
        <v/>
      </c>
      <c r="JN132" s="636" t="str">
        <f>IF('HHV-LHV-MW'!QK67="","",5*'HHV-LHV-MW'!QK67)</f>
        <v/>
      </c>
      <c r="JO132" s="635" t="str">
        <f t="shared" si="144"/>
        <v/>
      </c>
      <c r="JP132" s="636" t="str">
        <f>IF(OR(JO132="",'HHV-LHV-MW'!QK67=0),"",JO132/'HHV-LHV-MW'!QK67)</f>
        <v/>
      </c>
      <c r="JQ132" s="636" t="str">
        <f>IF(OR(JP132="",JG132="",'HHV-LHV-MW'!QK67=""),"",((JP132*JG132*('HHV-LHV-MW'!QK67/100))/23.685)^2)</f>
        <v/>
      </c>
      <c r="JR132" s="636" t="str">
        <f>IF(OR(JP132="",JH132="",'HHV-LHV-MW'!QK67=""),"",((JP132*JH132*('HHV-LHV-MW'!QK67/100))/23.685)^2)</f>
        <v/>
      </c>
      <c r="JS132" s="639" t="str">
        <f t="shared" si="145"/>
        <v/>
      </c>
      <c r="JT132" s="891" t="str">
        <f t="shared" si="146"/>
        <v/>
      </c>
      <c r="JU132" s="643" t="str">
        <f>IF(BC132="","",VLOOKUP(BC132,'HHV-LHV-MW'!$A$3:$H$40,7,FALSE))</f>
        <v/>
      </c>
      <c r="JV132" s="875" t="str">
        <f>IF($BW$136=1,     IF(OR(JU132="",'HHV-LHV-MW'!QK67="",JP132=""),"",(JU132*('HHV-LHV-MW'!QK67/100)*JP132)^2),IF(OR(JU132="",JI132="",JL132=""),"",(JU132*(JI132/100)*JL132)^2))</f>
        <v/>
      </c>
      <c r="JW132" s="635" t="str">
        <f>IF(BC132="","",VLOOKUP(BC132,'HHV-LHV-MW'!$A$3:$I$40,9,FALSE))</f>
        <v/>
      </c>
      <c r="JX132" s="875" t="str">
        <f>IF($BW$136=1,     IF(OR(JW132="",'HHV-LHV-MW'!QK67="",JP132=""),"",(JW132*('HHV-LHV-MW'!QK67/100)*JP132)^2),IF(OR(JW132="",JI132="",JL132=""),"",(JW132*(JI132/100)*JL132)^2))</f>
        <v/>
      </c>
      <c r="JY132" s="635" t="str">
        <f>IF(BC132="","",(VLOOKUP(BC132,'HHV-LHV-MW'!$A$3:$F$40,6,FALSE))    )</f>
        <v/>
      </c>
      <c r="JZ132" s="875" t="str">
        <f>IF($BW$136=1,     IF(OR(JY132="",'HHV-LHV-MW'!QK67="",JP132=""),"",(JY132*('HHV-LHV-MW'!QK67/100)*JP132)^2),IF(OR(JY132="",JI132="",JL132=""),"",(JY132*(JI132/100)*JL132)^2))</f>
        <v/>
      </c>
      <c r="KA132" s="638" t="str">
        <f>IF($BW$136=1,     IF(OR(JY132="",JW132="",$BD$103="",$BD$103=0,'HHV-LHV-MW'!QK67="",JP132="",$JX$145=""),"", ((JY132*((JW132*('HHV-LHV-MW'!QK67/100))/$BD$103))^2)*((JP132^2)+($JX$145^2))),              IF(OR(JY132="",JW132="",JI132="",JL132="",$JX$145="",$BD$103="",$BD$103=0),"",      ((JY132*((JW132*(JI132/100))/$BD$103))^2)*((JL132^2)+($JX$145^2))             ))</f>
        <v/>
      </c>
      <c r="KB132" s="874"/>
      <c r="KC132" s="874"/>
      <c r="KD132" s="874"/>
      <c r="KE132" s="874"/>
      <c r="KF132" s="874"/>
      <c r="KG132" s="874"/>
      <c r="KH132" s="865"/>
      <c r="KI132" s="865"/>
      <c r="KJ132" s="865"/>
      <c r="KK132" s="865"/>
      <c r="KL132" s="865"/>
      <c r="KM132" s="865"/>
      <c r="KN132" s="865"/>
      <c r="KO132" s="865"/>
      <c r="KP132" s="865"/>
      <c r="KQ132" s="865"/>
      <c r="KR132" s="865"/>
      <c r="KS132" s="865"/>
      <c r="KT132" s="865"/>
      <c r="KU132" s="865"/>
      <c r="KV132" s="865"/>
      <c r="KW132" s="865"/>
      <c r="KX132" s="865"/>
      <c r="KY132" s="865"/>
      <c r="KZ132" s="865"/>
      <c r="LA132" s="865"/>
      <c r="LB132" s="865"/>
      <c r="LC132" s="865"/>
      <c r="LD132" s="865"/>
      <c r="LE132" s="865"/>
      <c r="LF132" s="865"/>
    </row>
    <row r="133" spans="1:318" ht="19.2" thickBot="1">
      <c r="A133" s="864"/>
      <c r="B133" s="502"/>
      <c r="C133" s="502"/>
      <c r="D133" s="502"/>
      <c r="E133" s="502"/>
      <c r="F133" s="511"/>
      <c r="G133" s="864"/>
      <c r="H133" s="502"/>
      <c r="I133" s="502"/>
      <c r="J133" s="502"/>
      <c r="K133" s="502"/>
      <c r="L133" s="511"/>
      <c r="M133" s="864"/>
      <c r="N133" s="502"/>
      <c r="O133" s="502"/>
      <c r="P133" s="502"/>
      <c r="Q133" s="502"/>
      <c r="R133" s="511"/>
      <c r="S133" s="864"/>
      <c r="T133" s="502"/>
      <c r="U133" s="502"/>
      <c r="V133" s="502"/>
      <c r="W133" s="502"/>
      <c r="X133" s="511"/>
      <c r="Y133" s="864"/>
      <c r="Z133" s="502"/>
      <c r="AA133" s="502"/>
      <c r="AB133" s="502"/>
      <c r="AC133" s="502"/>
      <c r="AD133" s="511"/>
      <c r="AE133" s="864"/>
      <c r="AF133" s="502"/>
      <c r="AG133" s="502"/>
      <c r="AH133" s="502"/>
      <c r="AI133" s="502"/>
      <c r="AJ133" s="511"/>
      <c r="AK133" s="864"/>
      <c r="AL133" s="502"/>
      <c r="AM133" s="502"/>
      <c r="AN133" s="502"/>
      <c r="AO133" s="502"/>
      <c r="AP133" s="511"/>
      <c r="AQ133" s="864"/>
      <c r="AR133" s="502"/>
      <c r="AS133" s="502"/>
      <c r="AT133" s="502"/>
      <c r="AU133" s="502"/>
      <c r="AV133" s="511"/>
      <c r="AW133" s="864"/>
      <c r="AX133" s="502"/>
      <c r="AY133" s="502"/>
      <c r="AZ133" s="502"/>
      <c r="BA133" s="502"/>
      <c r="BB133" s="511"/>
      <c r="BC133" s="864"/>
      <c r="BD133" s="502"/>
      <c r="BE133" s="502"/>
      <c r="BF133" s="502"/>
      <c r="BG133" s="502"/>
      <c r="BH133" s="865"/>
      <c r="BI133" s="865"/>
      <c r="BJ133" s="1143" t="s">
        <v>1511</v>
      </c>
      <c r="BK133" s="2481"/>
      <c r="BL133" s="2481"/>
      <c r="BM133" s="2481"/>
      <c r="BN133" s="1144"/>
      <c r="BO133" s="2477" t="str">
        <f>FD148</f>
        <v/>
      </c>
      <c r="BP133" s="2477"/>
      <c r="BQ133" s="865"/>
      <c r="BR133" s="1143" t="s">
        <v>1511</v>
      </c>
      <c r="BS133" s="2481"/>
      <c r="BT133" s="2481"/>
      <c r="BU133" s="2481"/>
      <c r="BV133" s="1144"/>
      <c r="BW133" s="2477" t="str">
        <f>JE148</f>
        <v/>
      </c>
      <c r="BX133" s="2477"/>
      <c r="BY133" s="874"/>
      <c r="BZ133" s="888" t="str">
        <f>IF(A133="","",VLOOKUP(A133,'HHV-LHV-MW'!$A$3:$H$40,4,FALSE))</f>
        <v/>
      </c>
      <c r="CA133" s="889" t="str">
        <f>IF(A133="","",VLOOKUP(A133,'HHV-LHV-MW'!$A$3:$H$40,5,FALSE))</f>
        <v/>
      </c>
      <c r="CB133" s="890" t="str">
        <f>IF($BO$96="","",((PRODUCT('HHV-LHV-MW'!K68)+PRODUCT('HHV-LHV-MW'!W68)+PRODUCT('HHV-LHV-MW'!AI68)+PRODUCT('HHV-LHV-MW'!AU68))/$BO$96))</f>
        <v/>
      </c>
      <c r="CC133" s="890" t="str">
        <f>IF($BO$96="","",(IF($BO$96=1,"",  (SQRT(  (      (IF('HHV-LHV-MW'!K68="",0,('HHV-LHV-MW'!K68-CB133)^2))      +        (IF('HHV-LHV-MW'!W68="",0,('HHV-LHV-MW'!W68-CB133)^2))       +        (IF('HHV-LHV-MW'!AI68="",0,('HHV-LHV-MW'!AI68-CB133)^2))          +        (IF('HHV-LHV-MW'!AU68="",0,('HHV-LHV-MW'!AU68-CB133)^2))          )     *(1/($BO$96-1))  )))))</f>
        <v/>
      </c>
      <c r="CD133" s="890" t="str">
        <f t="shared" si="97"/>
        <v/>
      </c>
      <c r="CE133" s="890" t="str">
        <f t="shared" si="98"/>
        <v/>
      </c>
      <c r="CF133" s="636" t="str">
        <f>IF('HHV-LHV-MW'!K68="","",IF(AND('HHV-LHV-MW'!K68&gt;=0,'HHV-LHV-MW'!K68&lt;=0.09),2,  IF(AND('HHV-LHV-MW'!K68&gt;=0.1,'HHV-LHV-MW'!K68&lt;=0.9),7,  IF(AND('HHV-LHV-MW'!K68&gt;=1,'HHV-LHV-MW'!K68&lt;=4.9),10,   IF(AND('HHV-LHV-MW'!K68&gt;=5,'HHV-LHV-MW'!K68&lt;=10),12, 15)))))</f>
        <v/>
      </c>
      <c r="CG133" s="636" t="str">
        <f>IF('HHV-LHV-MW'!K68="","",5*'HHV-LHV-MW'!K68)</f>
        <v/>
      </c>
      <c r="CH133" s="635" t="str">
        <f t="shared" si="99"/>
        <v/>
      </c>
      <c r="CI133" s="636" t="str">
        <f>IF(OR(CH133="",'HHV-LHV-MW'!K68=0),"",CH133/'HHV-LHV-MW'!K68)</f>
        <v/>
      </c>
      <c r="CJ133" s="636" t="str">
        <f>IF(OR(CI133="",BZ133="",'HHV-LHV-MW'!K68=""),"",((CI133*BZ133*('HHV-LHV-MW'!K68/100))/23.685)^2)</f>
        <v/>
      </c>
      <c r="CK133" s="636" t="str">
        <f>IF(OR(CI133="",CA133="",'HHV-LHV-MW'!K68=""),"",((CI133*CA133*('HHV-LHV-MW'!K68/100))/23.685)^2)</f>
        <v/>
      </c>
      <c r="CL133" s="639" t="str">
        <f t="shared" si="100"/>
        <v/>
      </c>
      <c r="CM133" s="892" t="str">
        <f t="shared" si="101"/>
        <v/>
      </c>
      <c r="CN133" s="639" t="str">
        <f>IF(A133="","",VLOOKUP(A133,'HHV-LHV-MW'!$A$3:$H$40,7,FALSE))</f>
        <v/>
      </c>
      <c r="CO133" s="636" t="str">
        <f>IF($BO$96=1,     IF(OR(CN133="",'HHV-LHV-MW'!K68="",CI133=""),"",(CN133*('HHV-LHV-MW'!K68/100)*CI133)^2),IF(OR(CN133="",CB133="",CE133=""),"",(CN133*(CB133/100)*CE133)^2))</f>
        <v/>
      </c>
      <c r="CP133" s="635" t="str">
        <f>IF(A133="","",VLOOKUP(A133,'HHV-LHV-MW'!$A$3:$I$40,9,FALSE))</f>
        <v/>
      </c>
      <c r="CQ133" s="636" t="str">
        <f>IF($BO$96=1,     IF(OR(CP133="",'HHV-LHV-MW'!K68="",CI133=""),"",(CP133*('HHV-LHV-MW'!K68/100)*CI133)^2),IF(OR(CP133="",CB133="",CE133=""),"",(CP133*(CB133/100)*CE133)^2))</f>
        <v/>
      </c>
      <c r="CR133" s="636" t="str">
        <f>IF(A133="","",(VLOOKUP(A133,'HHV-LHV-MW'!$A$3:$F$40,6,FALSE))    )</f>
        <v/>
      </c>
      <c r="CS133" s="636" t="str">
        <f>IF($BO$96=1,     IF(OR(CR133="",'HHV-LHV-MW'!K68="",CI133=""),"",(CR133*('HHV-LHV-MW'!K68/100)*CI133)^2),IF(OR(CR133="",CB133="",CE133=""),"",(CR133*(CB133/100)*CE133)^2))</f>
        <v/>
      </c>
      <c r="CT133" s="640" t="str">
        <f>IF($BO$96=1,     IF(OR(CR133="",CP133="",$B$103="",$B$103=0,'HHV-LHV-MW'!K68="",CI133="",$CQ$145=""),"", ((CR133*((CP133*('HHV-LHV-MW'!K68/100))/$B$103))^2)*((CI133^2)+($CQ$145^2))),              IF(OR(CR133="",CP133="",CB133="",CE133="",$CQ$145="",$B$103="",$B$103=0),"",      ((CR133*((CP133*(CB133/100))/$B$103))^2)*((CE133^2)+($CQ$145^2))             ))</f>
        <v/>
      </c>
      <c r="CU133" s="889" t="str">
        <f>IF(G133="","",VLOOKUP(G133,'HHV-LHV-MW'!$A$3:$H$40,4,FALSE))</f>
        <v/>
      </c>
      <c r="CV133" s="889" t="str">
        <f>IF(G133="","",VLOOKUP(G133,'HHV-LHV-MW'!$A$3:$H$40,5,FALSE))</f>
        <v/>
      </c>
      <c r="CW133" s="890" t="str">
        <f>IF($BO$106="","",((PRODUCT('HHV-LHV-MW'!BH68)+PRODUCT('HHV-LHV-MW'!BT68)+PRODUCT('HHV-LHV-MW'!CF68)+PRODUCT('HHV-LHV-MW'!CR68))/$BO$106))</f>
        <v/>
      </c>
      <c r="CX133" s="890" t="str">
        <f>IF($BO$106="","",(IF($BO$106=1,"",  (SQRT(  (      (IF('HHV-LHV-MW'!BH68="",0,('HHV-LHV-MW'!BH68-CW133)^2))      +        (IF('HHV-LHV-MW'!BT68="",0,('HHV-LHV-MW'!BT68-CW133)^2))       +        (IF('HHV-LHV-MW'!CF68="",0,('HHV-LHV-MW'!CF68-CW133)^2))          +        (IF('HHV-LHV-MW'!CR68="",0,('HHV-LHV-MW'!CR68-CW133)^2))          )     *(1/($BO$106-1))  )))))</f>
        <v/>
      </c>
      <c r="CY133" s="890" t="str">
        <f t="shared" si="102"/>
        <v/>
      </c>
      <c r="CZ133" s="890" t="str">
        <f t="shared" si="103"/>
        <v/>
      </c>
      <c r="DA133" s="636" t="str">
        <f>IF('HHV-LHV-MW'!BH68="","",IF(AND('HHV-LHV-MW'!BH68&gt;=0,'HHV-LHV-MW'!BH68&lt;=0.09),2,  IF(AND('HHV-LHV-MW'!BH68&gt;=0.1,'HHV-LHV-MW'!BH68&lt;=0.9),7,  IF(AND('HHV-LHV-MW'!BH68&gt;=1,'HHV-LHV-MW'!BH68&lt;=4.9),10,   IF(AND('HHV-LHV-MW'!BH68&gt;=5,'HHV-LHV-MW'!BH68&lt;=10),12, 15)))))</f>
        <v/>
      </c>
      <c r="DB133" s="636" t="str">
        <f>IF('HHV-LHV-MW'!BH68="","",5*'HHV-LHV-MW'!BH68)</f>
        <v/>
      </c>
      <c r="DC133" s="635" t="str">
        <f t="shared" si="104"/>
        <v/>
      </c>
      <c r="DD133" s="636" t="str">
        <f>IF(OR(DC133="",'HHV-LHV-MW'!BH68=0),"",DC133/'HHV-LHV-MW'!BH68)</f>
        <v/>
      </c>
      <c r="DE133" s="635" t="str">
        <f>IF(OR(DD133="",CU133="",'HHV-LHV-MW'!BH68=""),"",((DD133*CU133*('HHV-LHV-MW'!BH68/100))/23.685)^2)</f>
        <v/>
      </c>
      <c r="DF133" s="636" t="str">
        <f>IF(OR(DD133="",CV133="",'HHV-LHV-MW'!BH68=""),"",((DD133*CV133*('HHV-LHV-MW'!BH68/100))/23.685)^2)</f>
        <v/>
      </c>
      <c r="DG133" s="639" t="str">
        <f t="shared" si="105"/>
        <v/>
      </c>
      <c r="DH133" s="891" t="str">
        <f t="shared" si="106"/>
        <v/>
      </c>
      <c r="DI133" s="635" t="str">
        <f>IF(G133="","",VLOOKUP(G133,'HHV-LHV-MW'!$A$3:$H$40,7,FALSE))</f>
        <v/>
      </c>
      <c r="DJ133" s="875" t="str">
        <f>IF($BO$106=1,     IF(OR(DI133="",'HHV-LHV-MW'!BH68="",DD133=""),"",(DI133*('HHV-LHV-MW'!BH68/100)*DD133)^2),IF(OR(DI133="",CW133="",CZ133=""),"",(DI133*(CW133/100)*CZ133)^2))</f>
        <v/>
      </c>
      <c r="DK133" s="635" t="str">
        <f>IF(G133="","",VLOOKUP(G133,'HHV-LHV-MW'!$A$3:$I$40,9,FALSE))</f>
        <v/>
      </c>
      <c r="DL133" s="875" t="str">
        <f>IF($BO$106=1,     IF(OR(DK133="",'HHV-LHV-MW'!BH68="",DD133=""),"",(DK133*('HHV-LHV-MW'!BH68/100)*DD133)^2),IF(OR(DK133="",CW133="",CZ133=""),"",(DK133*(CW133/100)*CZ133)^2))</f>
        <v/>
      </c>
      <c r="DM133" s="635" t="str">
        <f>IF(G133="","",(VLOOKUP(G133,'HHV-LHV-MW'!$A$3:$F$40,6,FALSE))    )</f>
        <v/>
      </c>
      <c r="DN133" s="875" t="str">
        <f>IF($BO$106=1,     IF(OR(DM133="",'HHV-LHV-MW'!BH68="",DD133=""),"",(DM133*('HHV-LHV-MW'!BH68/100)*DD133)^2),IF(OR(DM133="",CW133="",CZ133=""),"",(DM133*(CW133/100)*CZ133)^2))</f>
        <v/>
      </c>
      <c r="DO133" s="638" t="str">
        <f>IF($BO$106=1,     IF(OR(DM133="",DK133="",$H$103="",$H$103=0,'HHV-LHV-MW'!BH68="",DD133="",$DL$145=""),"", ((DM133*((DK133*('HHV-LHV-MW'!BH68/100))/$H$103))^2)*((DD133^2)+($DL$145^2))),              IF(OR(DM133="",DK133="",CW133="",CZ133="",$DL$145="",$H$103="",$H$103=0),"",      ((DM133*((DK133*(CW133/100))/$H$103))^2)*((CZ133^2)+($DL$145^2))             ))</f>
        <v/>
      </c>
      <c r="DP133" s="889" t="str">
        <f>IF(M133="","",VLOOKUP(M133,'HHV-LHV-MW'!$A$3:$H$40,4,FALSE))</f>
        <v/>
      </c>
      <c r="DQ133" s="889" t="str">
        <f>IF(M133="","",VLOOKUP(M133,'HHV-LHV-MW'!$A$3:$H$40,5,FALSE))</f>
        <v/>
      </c>
      <c r="DR133" s="890" t="str">
        <f>IF($BO$116="","",((PRODUCT('HHV-LHV-MW'!DE68)+PRODUCT('HHV-LHV-MW'!DQ68)+PRODUCT('HHV-LHV-MW'!EC68)+PRODUCT('HHV-LHV-MW'!EO68))/$BO$116))</f>
        <v/>
      </c>
      <c r="DS133" s="890" t="str">
        <f>IF($BO$116="","",(IF($BO$116=1,"",  (SQRT(  (      (IF('HHV-LHV-MW'!DE68="",0,('HHV-LHV-MW'!DE68-DR133)^2))      +        (IF('HHV-LHV-MW'!DQ68="",0,('HHV-LHV-MW'!DQ68-DR133)^2))       +        (IF('HHV-LHV-MW'!EC68="",0,('HHV-LHV-MW'!EC68-DR133)^2))          +        (IF('HHV-LHV-MW'!EO68="",0,('HHV-LHV-MW'!EO68-DR133)^2))          )     *(1/($BO$116-1))  )))))</f>
        <v/>
      </c>
      <c r="DT133" s="890" t="str">
        <f t="shared" si="107"/>
        <v/>
      </c>
      <c r="DU133" s="890" t="str">
        <f t="shared" si="108"/>
        <v/>
      </c>
      <c r="DV133" s="636" t="str">
        <f>IF('HHV-LHV-MW'!DE68="","",IF(AND('HHV-LHV-MW'!DE68&gt;=0,'HHV-LHV-MW'!DE68&lt;=0.09),2,  IF(AND('HHV-LHV-MW'!DE68&gt;=0.1,'HHV-LHV-MW'!DE68&lt;=0.9),7,  IF(AND('HHV-LHV-MW'!DE68&gt;=1,'HHV-LHV-MW'!DE68&lt;=4.9),10,   IF(AND('HHV-LHV-MW'!DE68&gt;=5,'HHV-LHV-MW'!DE68&lt;=10),12, 15)))))</f>
        <v/>
      </c>
      <c r="DW133" s="636" t="str">
        <f>IF('HHV-LHV-MW'!DE68="","",5*'HHV-LHV-MW'!DE68)</f>
        <v/>
      </c>
      <c r="DX133" s="635" t="str">
        <f t="shared" si="109"/>
        <v/>
      </c>
      <c r="DY133" s="636" t="str">
        <f>IF(OR(DX133="",'HHV-LHV-MW'!DE68=0),"",DX133/'HHV-LHV-MW'!DE68)</f>
        <v/>
      </c>
      <c r="DZ133" s="636" t="str">
        <f>IF(OR(DY133="",DP133="",'HHV-LHV-MW'!DE68=""),"",((DY133*DP133*('HHV-LHV-MW'!DE68/100))/23.685)^2)</f>
        <v/>
      </c>
      <c r="EA133" s="636" t="str">
        <f>IF(OR(DY133="",DQ133="",'HHV-LHV-MW'!DE68=""),"",((DY133*DQ133*('HHV-LHV-MW'!DE68/100))/23.685)^2)</f>
        <v/>
      </c>
      <c r="EB133" s="639" t="str">
        <f t="shared" si="110"/>
        <v/>
      </c>
      <c r="EC133" s="891" t="str">
        <f t="shared" si="111"/>
        <v/>
      </c>
      <c r="ED133" s="643" t="str">
        <f>IF(M133="","",VLOOKUP(M133,'HHV-LHV-MW'!$A$3:$H$40,7,FALSE))</f>
        <v/>
      </c>
      <c r="EE133" s="875" t="str">
        <f>IF($BO$116=1,     IF(OR(ED133="",'HHV-LHV-MW'!DE68="",DY133=""),"",(ED133*('HHV-LHV-MW'!DE68/100)*DY133)^2),IF(OR(ED133="",DR133="",DU133=""),"",(ED133*(DR133/100)*DU133)^2))</f>
        <v/>
      </c>
      <c r="EF133" s="635" t="str">
        <f>IF(M133="","",VLOOKUP(M133,'HHV-LHV-MW'!$A$3:$I$40,9,FALSE))</f>
        <v/>
      </c>
      <c r="EG133" s="875" t="str">
        <f>IF($BO$116=1,     IF(OR(EF133="",'HHV-LHV-MW'!DE68="",DY133=""),"",(EF133*('HHV-LHV-MW'!DE68/100)*DY133)^2),IF(OR(EF133="",DR133="",DU133=""),"",(EF133*(DR133/100)*DU133)^2))</f>
        <v/>
      </c>
      <c r="EH133" s="635" t="str">
        <f>IF(M133="","",(VLOOKUP(M133,'HHV-LHV-MW'!$A$3:$F$40,6,FALSE))    )</f>
        <v/>
      </c>
      <c r="EI133" s="875" t="str">
        <f>IF($BO$116=1,     IF(OR(EH133="",'HHV-LHV-MW'!DE68="",DY133=""),"",(EH133*('HHV-LHV-MW'!DE68/100)*DY133)^2),IF(OR(EH133="",DR133="",DU133=""),"",(EH133*(DR133/100)*DU133)^2))</f>
        <v/>
      </c>
      <c r="EJ133" s="638" t="str">
        <f>IF($BO$116=1,     IF(OR(EH133="",EF133="",$N$103="",$N$103=0,'HHV-LHV-MW'!DE68="",DY133="",$EG$145=""),"", ((EH133*((EF133*('HHV-LHV-MW'!DE68/100))/$N$103))^2)*((DY133^2)+($EG$145^2))),              IF(OR(EH133="",EF133="",DR133="",DU133="",$EG$145="",$N$103="",$N$103=0),"",      ((EH133*((EF133*(DR133/100))/$N$103))^2)*((DU133^2)+($EG$145^2))             ))</f>
        <v/>
      </c>
      <c r="EK133" s="889" t="str">
        <f>IF(S133="","",VLOOKUP(S133,'HHV-LHV-MW'!$A$3:$H$40,4,FALSE))</f>
        <v/>
      </c>
      <c r="EL133" s="889" t="str">
        <f>IF(S133="","",VLOOKUP(S133,'HHV-LHV-MW'!$A$3:$H$40,5,FALSE))</f>
        <v/>
      </c>
      <c r="EM133" s="890" t="str">
        <f>IF($BO$126="","",((PRODUCT('HHV-LHV-MW'!FB68)+PRODUCT('HHV-LHV-MW'!FN68)+PRODUCT('HHV-LHV-MW'!FZ68)+PRODUCT('HHV-LHV-MW'!GL68))/$BO$126))</f>
        <v/>
      </c>
      <c r="EN133" s="890" t="str">
        <f>IF($BO$126="","",(IF($BO$126=1,"",  (SQRT(  (      (IF('HHV-LHV-MW'!FB68="",0,('HHV-LHV-MW'!FB68-EM133)^2))      +        (IF('HHV-LHV-MW'!FN68="",0,('HHV-LHV-MW'!FN68-EM133)^2))       +        (IF('HHV-LHV-MW'!FZ68="",0,('HHV-LHV-MW'!FZ68-EM133)^2))          +        (IF('HHV-LHV-MW'!GL68="",0,('HHV-LHV-MW'!GL68-EM133)^2))          )     *(1/($BO$126-1))  )))))</f>
        <v/>
      </c>
      <c r="EO133" s="890" t="str">
        <f t="shared" si="112"/>
        <v/>
      </c>
      <c r="EP133" s="890" t="str">
        <f t="shared" si="113"/>
        <v/>
      </c>
      <c r="EQ133" s="636" t="str">
        <f>IF('HHV-LHV-MW'!FB68="","",IF(AND('HHV-LHV-MW'!FB68&gt;=0,'HHV-LHV-MW'!FB68&lt;=0.09),2,  IF(AND('HHV-LHV-MW'!FB68&gt;=0.1,'HHV-LHV-MW'!FB68&lt;=0.9),7,  IF(AND('HHV-LHV-MW'!FB68&gt;=1,'HHV-LHV-MW'!FB68&lt;=4.9),10,   IF(AND('HHV-LHV-MW'!FB68&gt;=5,'HHV-LHV-MW'!FB68&lt;=10),12, 15)))))</f>
        <v/>
      </c>
      <c r="ER133" s="636" t="str">
        <f>IF('HHV-LHV-MW'!FB68="","",5*'HHV-LHV-MW'!FB68)</f>
        <v/>
      </c>
      <c r="ES133" s="635" t="str">
        <f t="shared" si="114"/>
        <v/>
      </c>
      <c r="ET133" s="636" t="str">
        <f>IF(OR(ES133="",'HHV-LHV-MW'!FB68=0),"",ES133/'HHV-LHV-MW'!FB68)</f>
        <v/>
      </c>
      <c r="EU133" s="636" t="str">
        <f>IF(OR(ET133="",EK133="",'HHV-LHV-MW'!FB68=""),"",((ET133*EK133*('HHV-LHV-MW'!FB68/100))/23.685)^2)</f>
        <v/>
      </c>
      <c r="EV133" s="636" t="str">
        <f>IF(OR(ET133="",EL133="",'HHV-LHV-MW'!FB68=""),"",((ET133*EL133*('HHV-LHV-MW'!FB68/100))/23.685)^2)</f>
        <v/>
      </c>
      <c r="EW133" s="639" t="str">
        <f t="shared" si="115"/>
        <v/>
      </c>
      <c r="EX133" s="891" t="str">
        <f t="shared" si="116"/>
        <v/>
      </c>
      <c r="EY133" s="643" t="str">
        <f>IF(S133="","",VLOOKUP(S133,'HHV-LHV-MW'!$A$3:$H$40,7,FALSE))</f>
        <v/>
      </c>
      <c r="EZ133" s="875" t="str">
        <f>IF($BO$126=1,     IF(OR(EY133="",'HHV-LHV-MW'!FB68="",ET133=""),"",(EY133*('HHV-LHV-MW'!FB68/100)*ET133)^2),IF(OR(EY133="",EM133="",EP133=""),"",(EY133*(EM133/100)*EP133)^2))</f>
        <v/>
      </c>
      <c r="FA133" s="635" t="str">
        <f>IF(S133="","",VLOOKUP(S133,'HHV-LHV-MW'!$A$3:$I$40,9,FALSE))</f>
        <v/>
      </c>
      <c r="FB133" s="875" t="str">
        <f>IF($BO$126=1,     IF(OR(FA133="",'HHV-LHV-MW'!FB68="",ET133=""),"",(FA133*('HHV-LHV-MW'!FB68/100)*ET133)^2),IF(OR(FA133="",EM133="",EP133=""),"",(FA133*(EM133/100)*EP133)^2))</f>
        <v/>
      </c>
      <c r="FC133" s="635" t="str">
        <f>IF(S133="","",(VLOOKUP(S133,'HHV-LHV-MW'!$A$3:$F$40,6,FALSE))    )</f>
        <v/>
      </c>
      <c r="FD133" s="875" t="str">
        <f>IF($BO$126=1,     IF(OR(FC133="",'HHV-LHV-MW'!FB68="",ET133=""),"",(FC133*('HHV-LHV-MW'!FB68/100)*ET133)^2),IF(OR(FC133="",EM133="",EP133=""),"",(FC133*(EM133/100)*EP133)^2))</f>
        <v/>
      </c>
      <c r="FE133" s="638" t="str">
        <f>IF($BO$126=1,     IF(OR(FC133="",FA133="",$T$103="",$T$103=0,'HHV-LHV-MW'!FB68="",ET133="",$FB$145=""),"", ((FC133*((FA133*('HHV-LHV-MW'!FB68/100))/$T$103))^2)*((ET133^2)+($FB$145^2))),              IF(OR(FC133="",FA133="",EM133="",EP133="",$FB$145="",$T$103="",$T$103=0),"",      ((FC133*((FA133*(EM133/100))/$T$103))^2)*((EP133^2)+($FB$145^2))             ))</f>
        <v/>
      </c>
      <c r="FF133" s="889" t="str">
        <f>IF(Y133="","",VLOOKUP(Y133,'HHV-LHV-MW'!$A$3:$H$40,4,FALSE))</f>
        <v/>
      </c>
      <c r="FG133" s="889" t="str">
        <f>IF(Y133="","",VLOOKUP(Y133,'HHV-LHV-MW'!$A$3:$H$40,5,FALSE))</f>
        <v/>
      </c>
      <c r="FH133" s="890" t="str">
        <f>IF($BO$136="","",((PRODUCT('HHV-LHV-MW'!GY68)+PRODUCT('HHV-LHV-MW'!HK68)+PRODUCT('HHV-LHV-MW'!HW68)+PRODUCT('HHV-LHV-MW'!II68))/$BO$136))</f>
        <v/>
      </c>
      <c r="FI133" s="890" t="str">
        <f>IF($BO$136="","",(IF($BO$136=1,"",  (SQRT(  (      (IF('HHV-LHV-MW'!GY68="",0,('HHV-LHV-MW'!GY68-FH133)^2))      +        (IF('HHV-LHV-MW'!HK68="",0,('HHV-LHV-MW'!HK68-FH133)^2))       +        (IF('HHV-LHV-MW'!HW68="",0,('HHV-LHV-MW'!HW68-FH133)^2))          +        (IF('HHV-LHV-MW'!II68="",0,('HHV-LHV-MW'!II68-FH133)^2))          )     *(1/($BO$136-1))  )))))</f>
        <v/>
      </c>
      <c r="FJ133" s="890" t="str">
        <f t="shared" si="117"/>
        <v/>
      </c>
      <c r="FK133" s="890" t="str">
        <f t="shared" si="118"/>
        <v/>
      </c>
      <c r="FL133" s="636" t="str">
        <f>IF('HHV-LHV-MW'!GY68="","",IF(AND('HHV-LHV-MW'!GY68&gt;=0,'HHV-LHV-MW'!GY68&lt;=0.09),2,  IF(AND('HHV-LHV-MW'!GY68&gt;=0.1,'HHV-LHV-MW'!GY68&lt;=0.9),7,  IF(AND('HHV-LHV-MW'!GY68&gt;=1,'HHV-LHV-MW'!GY68&lt;=4.9),10,   IF(AND('HHV-LHV-MW'!GY68&gt;=5,'HHV-LHV-MW'!GY68&lt;=10),12, 15)))))</f>
        <v/>
      </c>
      <c r="FM133" s="636" t="str">
        <f>IF('HHV-LHV-MW'!GY68="","",5*'HHV-LHV-MW'!GY68)</f>
        <v/>
      </c>
      <c r="FN133" s="635" t="str">
        <f t="shared" si="119"/>
        <v/>
      </c>
      <c r="FO133" s="636" t="str">
        <f>IF(OR(FN133="",'HHV-LHV-MW'!GY68=0),"",FN133/'HHV-LHV-MW'!GY68)</f>
        <v/>
      </c>
      <c r="FP133" s="636" t="str">
        <f>IF(OR(FO133="",FF133="",'HHV-LHV-MW'!GY68=""),"",((FO133*FF133*('HHV-LHV-MW'!GY68/100))/23.685)^2)</f>
        <v/>
      </c>
      <c r="FQ133" s="636" t="str">
        <f>IF(OR(FO133="",FG133="",'HHV-LHV-MW'!GY68=""),"",((FO133*FG133*('HHV-LHV-MW'!GY68/100))/23.685)^2)</f>
        <v/>
      </c>
      <c r="FR133" s="639" t="str">
        <f t="shared" si="120"/>
        <v/>
      </c>
      <c r="FS133" s="891" t="str">
        <f t="shared" si="121"/>
        <v/>
      </c>
      <c r="FT133" s="643" t="str">
        <f>IF(Y133="","",VLOOKUP(Y133,'HHV-LHV-MW'!$A$3:$H$40,7,FALSE))</f>
        <v/>
      </c>
      <c r="FU133" s="875" t="str">
        <f>IF($BO$136=1,     IF(OR(FT133="",'HHV-LHV-MW'!GY68="",FO133=""),"",(FT133*('HHV-LHV-MW'!GY68/100)*FO133)^2),IF(OR(FT133="",FH133="",FK133=""),"",(FT133*(FH133/100)*FK133)^2))</f>
        <v/>
      </c>
      <c r="FV133" s="635" t="str">
        <f>IF(Y133="","",VLOOKUP(Y133,'HHV-LHV-MW'!$A$3:$I$40,9,FALSE))</f>
        <v/>
      </c>
      <c r="FW133" s="875" t="str">
        <f>IF($BO$136=1,     IF(OR(FV133="",'HHV-LHV-MW'!GY68="",FO133=""),"",(FV133*('HHV-LHV-MW'!GY68/100)*FO133)^2),IF(OR(FV133="",FH133="",FK133=""),"",(FV133*(FH133/100)*FK133)^2))</f>
        <v/>
      </c>
      <c r="FX133" s="635" t="str">
        <f>IF(Y133="","",(VLOOKUP(Y133,'HHV-LHV-MW'!$A$3:$F$40,6,FALSE))    )</f>
        <v/>
      </c>
      <c r="FY133" s="875" t="str">
        <f>IF($BO$136=1,     IF(OR(FX133="",'HHV-LHV-MW'!GY68="",FO133=""),"",(FX133*('HHV-LHV-MW'!GY68/100)*FO133)^2),IF(OR(FX133="",FH133="",FK133=""),"",(FX133*(FH133/100)*FK133)^2))</f>
        <v/>
      </c>
      <c r="FZ133" s="638" t="str">
        <f>IF($BO$136=1,     IF(OR(FX133="",FV133="",$Z$103="",$Z$103=0,'HHV-LHV-MW'!GY68="",FO133="",$FW$145=""),"", ((FX133*((FV133*('HHV-LHV-MW'!GY68/100))/$Z$103))^2)*((FO133^2)+($FW$145^2))),              IF(OR(FX133="",FV133="",FH133="",FK133="",$FW$145="",$Z$103="",$Z$103=0),"",      ((FX133*((FV133*(FH133/100))/$Z$103))^2)*((FK133^2)+($FW$145^2))             ))</f>
        <v/>
      </c>
      <c r="GA133" s="889" t="str">
        <f>IF(AE133="","",VLOOKUP(AE133,'HHV-LHV-MW'!$A$3:$H$40,4,FALSE))</f>
        <v/>
      </c>
      <c r="GB133" s="889" t="str">
        <f>IF(AE133="","",VLOOKUP(AE133,'HHV-LHV-MW'!$A$3:$H$40,5,FALSE))</f>
        <v/>
      </c>
      <c r="GC133" s="890" t="str">
        <f>IF($BW$96="","",((PRODUCT('HHV-LHV-MW'!IV68)+PRODUCT('HHV-LHV-MW'!JH68)+PRODUCT('HHV-LHV-MW'!JT68)+PRODUCT('HHV-LHV-MW'!KF68))/$BW$96))</f>
        <v/>
      </c>
      <c r="GD133" s="890" t="str">
        <f>IF($BW$96="","",(IF($BW$96=1,"",  (SQRT(  (      (IF('HHV-LHV-MW'!IV68="",0,('HHV-LHV-MW'!IV68-GC133)^2))      +        (IF('HHV-LHV-MW'!JH68="",0,('HHV-LHV-MW'!JH68-GC133)^2))       +        (IF('HHV-LHV-MW'!JT68="",0,('HHV-LHV-MW'!JT68-GC133)^2))          +        (IF('HHV-LHV-MW'!KF68="",0,('HHV-LHV-MW'!KF68-GC133)^2))          )     *(1/($BW$96-1))  )))))</f>
        <v/>
      </c>
      <c r="GE133" s="890" t="str">
        <f t="shared" si="122"/>
        <v/>
      </c>
      <c r="GF133" s="890" t="str">
        <f t="shared" si="123"/>
        <v/>
      </c>
      <c r="GG133" s="636" t="str">
        <f>IF('HHV-LHV-MW'!IV68="","",IF(AND('HHV-LHV-MW'!IV68&gt;=0,'HHV-LHV-MW'!IV68&lt;=0.09),2,  IF(AND('HHV-LHV-MW'!IV68&gt;=0.1,'HHV-LHV-MW'!IV68&lt;=0.9),7,  IF(AND('HHV-LHV-MW'!IV68&gt;=1,'HHV-LHV-MW'!IV68&lt;=4.9),10,   IF(AND('HHV-LHV-MW'!IV68&gt;=5,'HHV-LHV-MW'!IV68&lt;=10),12, 15)))))</f>
        <v/>
      </c>
      <c r="GH133" s="636" t="str">
        <f>IF('HHV-LHV-MW'!IV68="","",5*'HHV-LHV-MW'!IV68)</f>
        <v/>
      </c>
      <c r="GI133" s="635" t="str">
        <f t="shared" si="124"/>
        <v/>
      </c>
      <c r="GJ133" s="636" t="str">
        <f>IF(OR(GI133="",'HHV-LHV-MW'!IV68=0),"",GI133/'HHV-LHV-MW'!IV68)</f>
        <v/>
      </c>
      <c r="GK133" s="636" t="str">
        <f>IF(OR(GJ133="",GA133="",'HHV-LHV-MW'!IV68=""),"",((GJ133*GA133*('HHV-LHV-MW'!IV68/100))/23.685)^2)</f>
        <v/>
      </c>
      <c r="GL133" s="636" t="str">
        <f>IF(OR(GJ133="",GB133="",'HHV-LHV-MW'!IV68=""),"",((GJ133*GB133*('HHV-LHV-MW'!IV68/100))/23.685)^2)</f>
        <v/>
      </c>
      <c r="GM133" s="639" t="str">
        <f t="shared" si="125"/>
        <v/>
      </c>
      <c r="GN133" s="891" t="str">
        <f t="shared" si="126"/>
        <v/>
      </c>
      <c r="GO133" s="643" t="str">
        <f>IF(AE133="","",VLOOKUP(AE133,'HHV-LHV-MW'!$A$3:$H$40,7,FALSE))</f>
        <v/>
      </c>
      <c r="GP133" s="875" t="str">
        <f>IF($BW$96=1,     IF(OR(GO133="",'HHV-LHV-MW'!IV68="",GJ133=""),"",(GO133*('HHV-LHV-MW'!IV68/100)*GJ133)^2),IF(OR(GO133="",GC133="",GF133=""),"",(GO133*(GC133/100)*GF133)^2))</f>
        <v/>
      </c>
      <c r="GQ133" s="635" t="str">
        <f>IF(AE133="","",VLOOKUP(AE133,'HHV-LHV-MW'!$A$3:$I$40,9,FALSE))</f>
        <v/>
      </c>
      <c r="GR133" s="875" t="str">
        <f>IF($BW$96=1,     IF(OR(GQ133="",'HHV-LHV-MW'!IV68="",GJ133=""),"",(GQ133*('HHV-LHV-MW'!IV68/100)*GJ133)^2),IF(OR(GQ133="",GC133="",GF133=""),"",(GQ133*(GC133/100)*GF133)^2))</f>
        <v/>
      </c>
      <c r="GS133" s="635" t="str">
        <f>IF(AE133="","",(VLOOKUP(AE133,'HHV-LHV-MW'!$A$3:$F$40,6,FALSE))    )</f>
        <v/>
      </c>
      <c r="GT133" s="875" t="str">
        <f>IF($BW$96=1,     IF(OR(GS133="",'HHV-LHV-MW'!IV68="",GJ133=""),"",(GS133*('HHV-LHV-MW'!IV68/100)*GJ133)^2),IF(OR(GS133="",GC133="",GF133=""),"",(GS133*(GC133/100)*GF133)^2))</f>
        <v/>
      </c>
      <c r="GU133" s="638" t="str">
        <f>IF($BW$96=1,     IF(OR(GS133="",GQ133="",$AF$103="",$AF$103=0,'HHV-LHV-MW'!IV68="",GJ133="",$GR$145=""),"", ((GS133*((GQ133*('HHV-LHV-MW'!IV68/100))/$AF$103))^2)*((GJ133^2)+($GR$145^2))),              IF(OR(GS133="",GQ133="",GC133="",GF133="",$GR$145="",$AF$103="",$AF$103=0),"",      ((GS133*((GQ133*(GC133/100))/$AF$103))^2)*((GF133^2)+($GR$145^2))             ))</f>
        <v/>
      </c>
      <c r="GV133" s="889" t="str">
        <f>IF(AK133="","",VLOOKUP(AK133,'HHV-LHV-MW'!$A$3:$H$40,4,FALSE))</f>
        <v/>
      </c>
      <c r="GW133" s="889" t="str">
        <f>IF(AK133="","",VLOOKUP(AK133,'HHV-LHV-MW'!$A$3:$H$40,5,FALSE))</f>
        <v/>
      </c>
      <c r="GX133" s="890" t="str">
        <f>IF($BW$106="","",((PRODUCT('HHV-LHV-MW'!KS68)+PRODUCT('HHV-LHV-MW'!LE68)+PRODUCT('HHV-LHV-MW'!LQ68)+PRODUCT('HHV-LHV-MW'!MC68))/$BW$106))</f>
        <v/>
      </c>
      <c r="GY133" s="890" t="str">
        <f>IF($BW$106="","",(IF($BW$106=1,"",  (SQRT(  (      (IF('HHV-LHV-MW'!KS68="",0,('HHV-LHV-MW'!KS68-GX133)^2))      +        (IF('HHV-LHV-MW'!LE68="",0,('HHV-LHV-MW'!LE68-GX133)^2))       +        (IF('HHV-LHV-MW'!LQ68="",0,('HHV-LHV-MW'!LQ68-GX133)^2))          +        (IF('HHV-LHV-MW'!MC68="",0,('HHV-LHV-MW'!MC68-GX133)^2))          )     *(1/($BW$106-1))  )))))</f>
        <v/>
      </c>
      <c r="GZ133" s="890" t="str">
        <f t="shared" si="127"/>
        <v/>
      </c>
      <c r="HA133" s="890" t="str">
        <f t="shared" si="128"/>
        <v/>
      </c>
      <c r="HB133" s="636" t="str">
        <f>IF('HHV-LHV-MW'!KS68="","",IF(AND('HHV-LHV-MW'!KS68&gt;=0,'HHV-LHV-MW'!KS68&lt;=0.09),2,  IF(AND('HHV-LHV-MW'!KS68&gt;=0.1,'HHV-LHV-MW'!KS68&lt;=0.9),7,  IF(AND('HHV-LHV-MW'!KS68&gt;=1,'HHV-LHV-MW'!KS68&lt;=4.9),10,   IF(AND('HHV-LHV-MW'!KS68&gt;=5,'HHV-LHV-MW'!KS68&lt;=10),12, 15)))))</f>
        <v/>
      </c>
      <c r="HC133" s="636" t="str">
        <f>IF('HHV-LHV-MW'!KS68="","",5*'HHV-LHV-MW'!KS68)</f>
        <v/>
      </c>
      <c r="HD133" s="635" t="str">
        <f t="shared" si="129"/>
        <v/>
      </c>
      <c r="HE133" s="636" t="str">
        <f>IF(OR(HD133="",'HHV-LHV-MW'!KS68=0),"",HD133/'HHV-LHV-MW'!KS68)</f>
        <v/>
      </c>
      <c r="HF133" s="636" t="str">
        <f>IF(OR(HE133="",GV133="",'HHV-LHV-MW'!KS68=""),"",((HE133*GV133*('HHV-LHV-MW'!KS68/100))/23.685)^2)</f>
        <v/>
      </c>
      <c r="HG133" s="636" t="str">
        <f>IF(OR(HE133="",GW133="",'HHV-LHV-MW'!KS68=""),"",((HE133*GW133*('HHV-LHV-MW'!KS68/100))/23.685)^2)</f>
        <v/>
      </c>
      <c r="HH133" s="639" t="str">
        <f t="shared" si="130"/>
        <v/>
      </c>
      <c r="HI133" s="891" t="str">
        <f t="shared" si="131"/>
        <v/>
      </c>
      <c r="HJ133" s="643" t="str">
        <f>IF(AK133="","",VLOOKUP(AK133,'HHV-LHV-MW'!$A$3:$H$40,7,FALSE))</f>
        <v/>
      </c>
      <c r="HK133" s="875" t="str">
        <f>IF($BW$106=1,     IF(OR(HJ133="",'HHV-LHV-MW'!KS68="",HE133=""),"",(HJ133*('HHV-LHV-MW'!KS68/100)*HE133)^2),IF(OR(HJ133="",GX133="",HA133=""),"",(HJ133*(GX133/100)*HA133)^2))</f>
        <v/>
      </c>
      <c r="HL133" s="635" t="str">
        <f>IF(AK133="","",VLOOKUP(AK133,'HHV-LHV-MW'!$A$3:$I$40,9,FALSE))</f>
        <v/>
      </c>
      <c r="HM133" s="875" t="str">
        <f>IF($BW$106=1,     IF(OR(HL133="",'HHV-LHV-MW'!KS68="",HE133=""),"",(HL133*('HHV-LHV-MW'!KS68/100)*HE133)^2),IF(OR(HL133="",GX133="",HA133=""),"",(HL133*(GX133/100)*HA133)^2))</f>
        <v/>
      </c>
      <c r="HN133" s="635" t="str">
        <f>IF(AK133="","",(VLOOKUP(AK133,'HHV-LHV-MW'!$A$3:$F$40,6,FALSE))    )</f>
        <v/>
      </c>
      <c r="HO133" s="875" t="str">
        <f>IF($BW$106=1,     IF(OR(HN133="",'HHV-LHV-MW'!KS68="",HE133=""),"",(HN133*('HHV-LHV-MW'!KS68/100)*HE133)^2),IF(OR(HN133="",GX133="",HA133=""),"",(HN133*(GX133/100)*HA133)^2))</f>
        <v/>
      </c>
      <c r="HP133" s="638" t="str">
        <f>IF($BW$106=1,     IF(OR(HN133="",HL133="",$AL$103="",$AL$103=0,'HHV-LHV-MW'!KS68="",HE133="",$HM$145=""),"", ((HN133*((HL133*('HHV-LHV-MW'!KS68/100))/$AL$103))^2)*((HE133^2)+($HM$145^2))),              IF(OR(HN133="",HL133="",GX133="",HA133="",$HM$145="",$AL$103="",$AL$103=0),"",      ((HN133*((HL133*(GX133/100))/$AL$103))^2)*((HA133^2)+($HM$145^2))             ))</f>
        <v/>
      </c>
      <c r="HQ133" s="889" t="str">
        <f>IF(AQ133="","",VLOOKUP(AQ133,'HHV-LHV-MW'!$A$3:$H$40,4,FALSE))</f>
        <v/>
      </c>
      <c r="HR133" s="889" t="str">
        <f>IF(AQ133="","",VLOOKUP(AQ133,'HHV-LHV-MW'!$A$3:$H$40,5,FALSE))</f>
        <v/>
      </c>
      <c r="HS133" s="890" t="str">
        <f>IF($BW$116="","",((PRODUCT('HHV-LHV-MW'!MP68)+PRODUCT('HHV-LHV-MW'!NB68)+PRODUCT('HHV-LHV-MW'!NN68)+PRODUCT('HHV-LHV-MW'!NZ68))/$BW$116))</f>
        <v/>
      </c>
      <c r="HT133" s="890" t="str">
        <f>IF($BW$116="","",(IF($BW$116=1,"",  (SQRT(  (      (IF('HHV-LHV-MW'!MP68="",0,('HHV-LHV-MW'!MP68-HS133)^2))      +        (IF('HHV-LHV-MW'!NB68="",0,('HHV-LHV-MW'!NB68-HS133)^2))       +        (IF('HHV-LHV-MW'!NN68="",0,('HHV-LHV-MW'!NN68-HS133)^2))          +        (IF('HHV-LHV-MW'!NZ68="",0,('HHV-LHV-MW'!NZ68-HS133)^2))          )     *(1/($BW$116-1))  )))))</f>
        <v/>
      </c>
      <c r="HU133" s="890" t="str">
        <f t="shared" si="132"/>
        <v/>
      </c>
      <c r="HV133" s="890" t="str">
        <f t="shared" si="133"/>
        <v/>
      </c>
      <c r="HW133" s="636" t="str">
        <f>IF('HHV-LHV-MW'!MP68="","",IF(AND('HHV-LHV-MW'!MP68&gt;=0,'HHV-LHV-MW'!MP68&lt;=0.09),2,  IF(AND('HHV-LHV-MW'!MP68&gt;=0.1,'HHV-LHV-MW'!MP68&lt;=0.9),7,  IF(AND('HHV-LHV-MW'!MP68&gt;=1,'HHV-LHV-MW'!MP68&lt;=4.9),10,   IF(AND('HHV-LHV-MW'!MP68&gt;=5,'HHV-LHV-MW'!MP68&lt;=10),12, 15)))))</f>
        <v/>
      </c>
      <c r="HX133" s="636" t="str">
        <f>IF('HHV-LHV-MW'!MP68="","",5*'HHV-LHV-MW'!MP68)</f>
        <v/>
      </c>
      <c r="HY133" s="635" t="str">
        <f t="shared" si="134"/>
        <v/>
      </c>
      <c r="HZ133" s="636" t="str">
        <f>IF(OR(HY133="",'HHV-LHV-MW'!MP68=0),"",HY133/'HHV-LHV-MW'!MP68)</f>
        <v/>
      </c>
      <c r="IA133" s="636" t="str">
        <f>IF(OR(HZ133="",HQ133="",'HHV-LHV-MW'!MP68=""),"",((HZ133*HQ133*('HHV-LHV-MW'!MP68/100))/23.685)^2)</f>
        <v/>
      </c>
      <c r="IB133" s="636" t="str">
        <f>IF(OR(HZ133="",HR133="",'HHV-LHV-MW'!MP68=""),"",((HZ133*HR133*('HHV-LHV-MW'!MP68/100))/23.685)^2)</f>
        <v/>
      </c>
      <c r="IC133" s="639" t="str">
        <f t="shared" si="135"/>
        <v/>
      </c>
      <c r="ID133" s="891" t="str">
        <f t="shared" si="136"/>
        <v/>
      </c>
      <c r="IE133" s="643" t="str">
        <f>IF(AQ133="","",VLOOKUP(AQ133,'HHV-LHV-MW'!$A$3:$H$40,7,FALSE))</f>
        <v/>
      </c>
      <c r="IF133" s="875" t="str">
        <f>IF($BW$116=1,     IF(OR(IE133="",'HHV-LHV-MW'!MP68="",HZ133=""),"",(IE133*('HHV-LHV-MW'!MP68/100)*HZ133)^2),IF(OR(IE133="",HS133="",HV133=""),"",(IE133*(HS133/100)*HV133)^2))</f>
        <v/>
      </c>
      <c r="IG133" s="635" t="str">
        <f>IF(AQ133="","",VLOOKUP(AQ133,'HHV-LHV-MW'!$A$3:$I$40,9,FALSE))</f>
        <v/>
      </c>
      <c r="IH133" s="875" t="str">
        <f>IF($BW$116=1,     IF(OR(IG133="",'HHV-LHV-MW'!MP68="",HZ133=""),"",(IG133*('HHV-LHV-MW'!MP68/100)*HZ133)^2),IF(OR(IG133="",HS133="",HV133=""),"",(IG133*(HS133/100)*HV133)^2))</f>
        <v/>
      </c>
      <c r="II133" s="635" t="str">
        <f>IF(AQ133="","",(VLOOKUP(AQ133,'HHV-LHV-MW'!$A$3:$F$40,6,FALSE))    )</f>
        <v/>
      </c>
      <c r="IJ133" s="875" t="str">
        <f>IF($BW$116=1,     IF(OR(II133="",'HHV-LHV-MW'!MP68="",HZ133=""),"",(II133*('HHV-LHV-MW'!MP68/100)*HZ133)^2),IF(OR(II133="",HS133="",HV133=""),"",(II133*(HS133/100)*HV133)^2))</f>
        <v/>
      </c>
      <c r="IK133" s="638" t="str">
        <f>IF($BW$116=1,     IF(OR(II133="",IG133="",$AR$103="",$AR$103=0,'HHV-LHV-MW'!MP68="",HZ133="",$IH$145=""),"", ((II133*((IG133*('HHV-LHV-MW'!MP68/100))/$AR$103))^2)*((HZ133^2)+($IH$145^2))),              IF(OR(II133="",IG133="",HS133="",HV133="",$IH$145="",$AR$103="",$AR$103=0),"",      ((II133*((IG133*(HS133/100))/$AR$103))^2)*((HV133^2)+($IH$145^2))             ))</f>
        <v/>
      </c>
      <c r="IL133" s="889" t="str">
        <f>IF(AW133="","",VLOOKUP(AW133,'HHV-LHV-MW'!$A$3:$H$40,4,FALSE))</f>
        <v/>
      </c>
      <c r="IM133" s="889" t="str">
        <f>IF(AW133="","",VLOOKUP(AW133,'HHV-LHV-MW'!$A$3:$H$40,5,FALSE))</f>
        <v/>
      </c>
      <c r="IN133" s="890" t="str">
        <f>IF($BW$126="","",((PRODUCT('HHV-LHV-MW'!ON68)+PRODUCT('HHV-LHV-MW'!OZ68)+PRODUCT('HHV-LHV-MW'!PL68)+PRODUCT('HHV-LHV-MW'!PX68))/$BW$126))</f>
        <v/>
      </c>
      <c r="IO133" s="890" t="str">
        <f>IF($BW$126="","",(IF($BW$126=1,"",  (SQRT(  (      (IF('HHV-LHV-MW'!ON68="",0,('HHV-LHV-MW'!ON68-IN133)^2))      +        (IF('HHV-LHV-MW'!OZ68="",0,('HHV-LHV-MW'!OZ68-IN133)^2))       +        (IF('HHV-LHV-MW'!PL68="",0,('HHV-LHV-MW'!PL68-IN133)^2))          +        (IF('HHV-LHV-MW'!PX68="",0,('HHV-LHV-MW'!PX68-IN133)^2))          )     *(1/($BW$126-1))  )))))</f>
        <v/>
      </c>
      <c r="IP133" s="890" t="str">
        <f t="shared" si="137"/>
        <v/>
      </c>
      <c r="IQ133" s="890" t="str">
        <f t="shared" si="138"/>
        <v/>
      </c>
      <c r="IR133" s="636" t="str">
        <f>IF('HHV-LHV-MW'!ON68="","",IF(AND('HHV-LHV-MW'!ON68&gt;=0,'HHV-LHV-MW'!ON68&lt;=0.09),2,  IF(AND('HHV-LHV-MW'!ON68&gt;=0.1,'HHV-LHV-MW'!ON68&lt;=0.9),7,  IF(AND('HHV-LHV-MW'!ON68&gt;=1,'HHV-LHV-MW'!ON68&lt;=4.9),10,   IF(AND('HHV-LHV-MW'!ON68&gt;=5,'HHV-LHV-MW'!ON68&lt;=10),12, 15)))))</f>
        <v/>
      </c>
      <c r="IS133" s="636" t="str">
        <f>IF('HHV-LHV-MW'!ON68="","",5*'HHV-LHV-MW'!ON68)</f>
        <v/>
      </c>
      <c r="IT133" s="635" t="str">
        <f t="shared" si="139"/>
        <v/>
      </c>
      <c r="IU133" s="636" t="str">
        <f>IF(OR(IT133="",'HHV-LHV-MW'!ON68=0),"",IT133/'HHV-LHV-MW'!ON68)</f>
        <v/>
      </c>
      <c r="IV133" s="636" t="str">
        <f>IF(OR(IU133="",IL133="",'HHV-LHV-MW'!ON68=""),"",((IU133*IL133*('HHV-LHV-MW'!ON68/100))/23.685)^2)</f>
        <v/>
      </c>
      <c r="IW133" s="636" t="str">
        <f>IF(OR(IU133="",IM133="",'HHV-LHV-MW'!ON68=""),"",((IU133*IM133*('HHV-LHV-MW'!ON68/100))/23.685)^2)</f>
        <v/>
      </c>
      <c r="IX133" s="639" t="str">
        <f t="shared" si="140"/>
        <v/>
      </c>
      <c r="IY133" s="891" t="str">
        <f t="shared" si="141"/>
        <v/>
      </c>
      <c r="IZ133" s="643" t="str">
        <f>IF(AW133="","",VLOOKUP(AW133,'HHV-LHV-MW'!$A$3:$H$40,7,FALSE))</f>
        <v/>
      </c>
      <c r="JA133" s="875" t="str">
        <f>IF($BW$126=1,     IF(OR(IZ133="",'HHV-LHV-MW'!ON68="",IU133=""),"",(IZ133*('HHV-LHV-MW'!ON68/100)*IU133)^2),IF(OR(IZ133="",IN133="",IQ133=""),"",(IZ133*(IN133/100)*IQ133)^2))</f>
        <v/>
      </c>
      <c r="JB133" s="635" t="str">
        <f>IF(AW133="","",VLOOKUP(AW133,'HHV-LHV-MW'!$A$3:$I$40,9,FALSE))</f>
        <v/>
      </c>
      <c r="JC133" s="875" t="str">
        <f>IF($BW$126=1,     IF(OR(JB133="",'HHV-LHV-MW'!ON68="",IU133=""),"",(JB133*('HHV-LHV-MW'!ON68/100)*IU133)^2),IF(OR(JB133="",IN133="",IQ133=""),"",(JB133*(IN133/100)*IQ133)^2))</f>
        <v/>
      </c>
      <c r="JD133" s="635" t="str">
        <f>IF(AW133="","",(VLOOKUP(AW133,'HHV-LHV-MW'!$A$3:$F$40,6,FALSE))    )</f>
        <v/>
      </c>
      <c r="JE133" s="875" t="str">
        <f>IF($BW$126=1,     IF(OR(JD133="",'HHV-LHV-MW'!ON68="",IU133=""),"",(JD133*('HHV-LHV-MW'!ON68/100)*IU133)^2),IF(OR(JD133="",IN133="",IQ133=""),"",(JD133*(IN133/100)*IQ133)^2))</f>
        <v/>
      </c>
      <c r="JF133" s="638" t="str">
        <f>IF($BW$126=1,     IF(OR(JD133="",JB133="",$AX$103="",$AX$103=0,'HHV-LHV-MW'!ON68="",IU133="",$JC$145=""),"", ((JD133*((JB133*('HHV-LHV-MW'!ON68/100))/$AX$103))^2)*((IU133^2)+($JC$145^2))),              IF(OR(JD133="",JB133="",IN133="",IQ133="",$JC$145="",$AX$103="",$AX$103=0),"",      ((JD133*((JB133*(IN133/100))/$AX$103))^2)*((IQ133^2)+($JC$145^2))             ))</f>
        <v/>
      </c>
      <c r="JG133" s="889" t="str">
        <f>IF(BC133="","",VLOOKUP(BC133,'HHV-LHV-MW'!$A$3:$H$40,4,FALSE))</f>
        <v/>
      </c>
      <c r="JH133" s="889" t="str">
        <f>IF(BC133="","",VLOOKUP(BC133,'HHV-LHV-MW'!$A$3:$H$40,5,FALSE))</f>
        <v/>
      </c>
      <c r="JI133" s="890" t="str">
        <f>IF($BW$136="","",((PRODUCT('HHV-LHV-MW'!QK68)+PRODUCT('HHV-LHV-MW'!QW68)+PRODUCT('HHV-LHV-MW'!RI68)+PRODUCT('HHV-LHV-MW'!RU68))/$BW$136))</f>
        <v/>
      </c>
      <c r="JJ133" s="890" t="str">
        <f>IF($BW$136="","",(IF($BW$136=1,"",  (SQRT(  (      (IF('HHV-LHV-MW'!QK68="",0,('HHV-LHV-MW'!QK68-JI133)^2))      +        (IF('HHV-LHV-MW'!QW68="",0,('HHV-LHV-MW'!QW68-JI133)^2))       +        (IF('HHV-LHV-MW'!RI68="",0,('HHV-LHV-MW'!RI68-JI133)^2))          +        (IF('HHV-LHV-MW'!RU68="",0,('HHV-LHV-MW'!RU68-JI133)^2))          )     *(1/($BW$136-1))  )))))</f>
        <v/>
      </c>
      <c r="JK133" s="890" t="str">
        <f t="shared" si="142"/>
        <v/>
      </c>
      <c r="JL133" s="890" t="str">
        <f t="shared" si="143"/>
        <v/>
      </c>
      <c r="JM133" s="636" t="str">
        <f>IF('HHV-LHV-MW'!QK68="","",IF(AND('HHV-LHV-MW'!QK68&gt;=0,'HHV-LHV-MW'!QK68&lt;=0.09),2,  IF(AND('HHV-LHV-MW'!QK68&gt;=0.1,'HHV-LHV-MW'!QK68&lt;=0.9),7,  IF(AND('HHV-LHV-MW'!QK68&gt;=1,'HHV-LHV-MW'!QK68&lt;=4.9),10,   IF(AND('HHV-LHV-MW'!QK68&gt;=5,'HHV-LHV-MW'!QK68&lt;=10),12, 15)))))</f>
        <v/>
      </c>
      <c r="JN133" s="636" t="str">
        <f>IF('HHV-LHV-MW'!QK68="","",5*'HHV-LHV-MW'!QK68)</f>
        <v/>
      </c>
      <c r="JO133" s="635" t="str">
        <f t="shared" si="144"/>
        <v/>
      </c>
      <c r="JP133" s="636" t="str">
        <f>IF(OR(JO133="",'HHV-LHV-MW'!QK68=0),"",JO133/'HHV-LHV-MW'!QK68)</f>
        <v/>
      </c>
      <c r="JQ133" s="636" t="str">
        <f>IF(OR(JP133="",JG133="",'HHV-LHV-MW'!QK68=""),"",((JP133*JG133*('HHV-LHV-MW'!QK68/100))/23.685)^2)</f>
        <v/>
      </c>
      <c r="JR133" s="636" t="str">
        <f>IF(OR(JP133="",JH133="",'HHV-LHV-MW'!QK68=""),"",((JP133*JH133*('HHV-LHV-MW'!QK68/100))/23.685)^2)</f>
        <v/>
      </c>
      <c r="JS133" s="639" t="str">
        <f t="shared" si="145"/>
        <v/>
      </c>
      <c r="JT133" s="891" t="str">
        <f t="shared" si="146"/>
        <v/>
      </c>
      <c r="JU133" s="643" t="str">
        <f>IF(BC133="","",VLOOKUP(BC133,'HHV-LHV-MW'!$A$3:$H$40,7,FALSE))</f>
        <v/>
      </c>
      <c r="JV133" s="875" t="str">
        <f>IF($BW$136=1,     IF(OR(JU133="",'HHV-LHV-MW'!QK68="",JP133=""),"",(JU133*('HHV-LHV-MW'!QK68/100)*JP133)^2),IF(OR(JU133="",JI133="",JL133=""),"",(JU133*(JI133/100)*JL133)^2))</f>
        <v/>
      </c>
      <c r="JW133" s="635" t="str">
        <f>IF(BC133="","",VLOOKUP(BC133,'HHV-LHV-MW'!$A$3:$I$40,9,FALSE))</f>
        <v/>
      </c>
      <c r="JX133" s="875" t="str">
        <f>IF($BW$136=1,     IF(OR(JW133="",'HHV-LHV-MW'!QK68="",JP133=""),"",(JW133*('HHV-LHV-MW'!QK68/100)*JP133)^2),IF(OR(JW133="",JI133="",JL133=""),"",(JW133*(JI133/100)*JL133)^2))</f>
        <v/>
      </c>
      <c r="JY133" s="635" t="str">
        <f>IF(BC133="","",(VLOOKUP(BC133,'HHV-LHV-MW'!$A$3:$F$40,6,FALSE))    )</f>
        <v/>
      </c>
      <c r="JZ133" s="875" t="str">
        <f>IF($BW$136=1,     IF(OR(JY133="",'HHV-LHV-MW'!QK68="",JP133=""),"",(JY133*('HHV-LHV-MW'!QK68/100)*JP133)^2),IF(OR(JY133="",JI133="",JL133=""),"",(JY133*(JI133/100)*JL133)^2))</f>
        <v/>
      </c>
      <c r="KA133" s="638" t="str">
        <f>IF($BW$136=1,     IF(OR(JY133="",JW133="",$BD$103="",$BD$103=0,'HHV-LHV-MW'!QK68="",JP133="",$JX$145=""),"", ((JY133*((JW133*('HHV-LHV-MW'!QK68/100))/$BD$103))^2)*((JP133^2)+($JX$145^2))),              IF(OR(JY133="",JW133="",JI133="",JL133="",$JX$145="",$BD$103="",$BD$103=0),"",      ((JY133*((JW133*(JI133/100))/$BD$103))^2)*((JL133^2)+($JX$145^2))             ))</f>
        <v/>
      </c>
      <c r="KB133" s="874"/>
      <c r="KC133" s="874"/>
      <c r="KD133" s="874"/>
      <c r="KE133" s="874"/>
      <c r="KF133" s="874"/>
      <c r="KG133" s="874"/>
      <c r="KH133" s="865"/>
      <c r="KI133" s="865"/>
      <c r="KJ133" s="865"/>
      <c r="KK133" s="865"/>
      <c r="KL133" s="865"/>
      <c r="KM133" s="865"/>
      <c r="KN133" s="865"/>
      <c r="KO133" s="865"/>
      <c r="KP133" s="865"/>
      <c r="KQ133" s="865"/>
      <c r="KR133" s="865"/>
      <c r="KS133" s="865"/>
      <c r="KT133" s="865"/>
      <c r="KU133" s="865"/>
      <c r="KV133" s="865"/>
      <c r="KW133" s="865"/>
      <c r="KX133" s="865"/>
      <c r="KY133" s="865"/>
      <c r="KZ133" s="865"/>
      <c r="LA133" s="865"/>
      <c r="LB133" s="865"/>
      <c r="LC133" s="865"/>
      <c r="LD133" s="865"/>
      <c r="LE133" s="865"/>
      <c r="LF133" s="865"/>
    </row>
    <row r="134" spans="1:318" ht="16.2" thickBot="1">
      <c r="A134" s="864"/>
      <c r="B134" s="502"/>
      <c r="C134" s="502"/>
      <c r="D134" s="502"/>
      <c r="E134" s="502"/>
      <c r="F134" s="511"/>
      <c r="G134" s="864"/>
      <c r="H134" s="502"/>
      <c r="I134" s="502"/>
      <c r="J134" s="502"/>
      <c r="K134" s="502"/>
      <c r="L134" s="511"/>
      <c r="M134" s="864"/>
      <c r="N134" s="502"/>
      <c r="O134" s="502"/>
      <c r="P134" s="502"/>
      <c r="Q134" s="502"/>
      <c r="R134" s="511"/>
      <c r="S134" s="864"/>
      <c r="T134" s="502"/>
      <c r="U134" s="502"/>
      <c r="V134" s="502"/>
      <c r="W134" s="502"/>
      <c r="X134" s="511"/>
      <c r="Y134" s="864"/>
      <c r="Z134" s="502"/>
      <c r="AA134" s="502"/>
      <c r="AB134" s="502"/>
      <c r="AC134" s="502"/>
      <c r="AD134" s="511"/>
      <c r="AE134" s="864"/>
      <c r="AF134" s="502"/>
      <c r="AG134" s="502"/>
      <c r="AH134" s="502"/>
      <c r="AI134" s="502"/>
      <c r="AJ134" s="511"/>
      <c r="AK134" s="864"/>
      <c r="AL134" s="502"/>
      <c r="AM134" s="502"/>
      <c r="AN134" s="502"/>
      <c r="AO134" s="502"/>
      <c r="AP134" s="511"/>
      <c r="AQ134" s="864"/>
      <c r="AR134" s="502"/>
      <c r="AS134" s="502"/>
      <c r="AT134" s="502"/>
      <c r="AU134" s="502"/>
      <c r="AV134" s="511"/>
      <c r="AW134" s="864"/>
      <c r="AX134" s="502"/>
      <c r="AY134" s="502"/>
      <c r="AZ134" s="502"/>
      <c r="BA134" s="502"/>
      <c r="BB134" s="511"/>
      <c r="BC134" s="864"/>
      <c r="BD134" s="502"/>
      <c r="BE134" s="502"/>
      <c r="BF134" s="502"/>
      <c r="BG134" s="502"/>
      <c r="BH134" s="865"/>
      <c r="BI134" s="865"/>
      <c r="BQ134" s="865"/>
      <c r="BY134" s="874"/>
      <c r="BZ134" s="888" t="str">
        <f>IF(A134="","",VLOOKUP(A134,'HHV-LHV-MW'!$A$3:$H$40,4,FALSE))</f>
        <v/>
      </c>
      <c r="CA134" s="889" t="str">
        <f>IF(A134="","",VLOOKUP(A134,'HHV-LHV-MW'!$A$3:$H$40,5,FALSE))</f>
        <v/>
      </c>
      <c r="CB134" s="890" t="str">
        <f>IF($BO$96="","",((PRODUCT('HHV-LHV-MW'!K69)+PRODUCT('HHV-LHV-MW'!W69)+PRODUCT('HHV-LHV-MW'!AI69)+PRODUCT('HHV-LHV-MW'!AU69))/$BO$96))</f>
        <v/>
      </c>
      <c r="CC134" s="890" t="str">
        <f>IF($BO$96="","",(IF($BO$96=1,"",  (SQRT(  (      (IF('HHV-LHV-MW'!K69="",0,('HHV-LHV-MW'!K69-CB134)^2))      +        (IF('HHV-LHV-MW'!W69="",0,('HHV-LHV-MW'!W69-CB134)^2))       +        (IF('HHV-LHV-MW'!AI69="",0,('HHV-LHV-MW'!AI69-CB134)^2))          +        (IF('HHV-LHV-MW'!AU69="",0,('HHV-LHV-MW'!AU69-CB134)^2))          )     *(1/($BO$96-1))  )))))</f>
        <v/>
      </c>
      <c r="CD134" s="890" t="str">
        <f t="shared" si="97"/>
        <v/>
      </c>
      <c r="CE134" s="890" t="str">
        <f t="shared" si="98"/>
        <v/>
      </c>
      <c r="CF134" s="636" t="str">
        <f>IF('HHV-LHV-MW'!K69="","",IF(AND('HHV-LHV-MW'!K69&gt;=0,'HHV-LHV-MW'!K69&lt;=0.09),2,  IF(AND('HHV-LHV-MW'!K69&gt;=0.1,'HHV-LHV-MW'!K69&lt;=0.9),7,  IF(AND('HHV-LHV-MW'!K69&gt;=1,'HHV-LHV-MW'!K69&lt;=4.9),10,   IF(AND('HHV-LHV-MW'!K69&gt;=5,'HHV-LHV-MW'!K69&lt;=10),12, 15)))))</f>
        <v/>
      </c>
      <c r="CG134" s="636" t="str">
        <f>IF('HHV-LHV-MW'!K69="","",5*'HHV-LHV-MW'!K69)</f>
        <v/>
      </c>
      <c r="CH134" s="635" t="str">
        <f t="shared" si="99"/>
        <v/>
      </c>
      <c r="CI134" s="636" t="str">
        <f>IF(OR(CH134="",'HHV-LHV-MW'!K69=0),"",CH134/'HHV-LHV-MW'!K69)</f>
        <v/>
      </c>
      <c r="CJ134" s="636" t="str">
        <f>IF(OR(CI134="",BZ134="",'HHV-LHV-MW'!K69=""),"",((CI134*BZ134*('HHV-LHV-MW'!K69/100))/23.685)^2)</f>
        <v/>
      </c>
      <c r="CK134" s="636" t="str">
        <f>IF(OR(CI134="",CA134="",'HHV-LHV-MW'!K69=""),"",((CI134*CA134*('HHV-LHV-MW'!K69/100))/23.685)^2)</f>
        <v/>
      </c>
      <c r="CL134" s="639" t="str">
        <f t="shared" si="100"/>
        <v/>
      </c>
      <c r="CM134" s="892" t="str">
        <f t="shared" si="101"/>
        <v/>
      </c>
      <c r="CN134" s="639" t="str">
        <f>IF(A134="","",VLOOKUP(A134,'HHV-LHV-MW'!$A$3:$H$40,7,FALSE))</f>
        <v/>
      </c>
      <c r="CO134" s="636" t="str">
        <f>IF($BO$96=1,     IF(OR(CN134="",'HHV-LHV-MW'!K69="",CI134=""),"",(CN134*('HHV-LHV-MW'!K69/100)*CI134)^2),IF(OR(CN134="",CB134="",CE134=""),"",(CN134*(CB134/100)*CE134)^2))</f>
        <v/>
      </c>
      <c r="CP134" s="635" t="str">
        <f>IF(A134="","",VLOOKUP(A134,'HHV-LHV-MW'!$A$3:$I$40,9,FALSE))</f>
        <v/>
      </c>
      <c r="CQ134" s="636" t="str">
        <f>IF($BO$96=1,     IF(OR(CP134="",'HHV-LHV-MW'!K69="",CI134=""),"",(CP134*('HHV-LHV-MW'!K69/100)*CI134)^2),IF(OR(CP134="",CB134="",CE134=""),"",(CP134*(CB134/100)*CE134)^2))</f>
        <v/>
      </c>
      <c r="CR134" s="636" t="str">
        <f>IF(A134="","",(VLOOKUP(A134,'HHV-LHV-MW'!$A$3:$F$40,6,FALSE))    )</f>
        <v/>
      </c>
      <c r="CS134" s="636" t="str">
        <f>IF($BO$96=1,     IF(OR(CR134="",'HHV-LHV-MW'!K69="",CI134=""),"",(CR134*('HHV-LHV-MW'!K69/100)*CI134)^2),IF(OR(CR134="",CB134="",CE134=""),"",(CR134*(CB134/100)*CE134)^2))</f>
        <v/>
      </c>
      <c r="CT134" s="640" t="str">
        <f>IF($BO$96=1,     IF(OR(CR134="",CP134="",$B$103="",$B$103=0,'HHV-LHV-MW'!K69="",CI134="",$CQ$145=""),"", ((CR134*((CP134*('HHV-LHV-MW'!K69/100))/$B$103))^2)*((CI134^2)+($CQ$145^2))),              IF(OR(CR134="",CP134="",CB134="",CE134="",$CQ$145="",$B$103="",$B$103=0),"",      ((CR134*((CP134*(CB134/100))/$B$103))^2)*((CE134^2)+($CQ$145^2))             ))</f>
        <v/>
      </c>
      <c r="CU134" s="889" t="str">
        <f>IF(G134="","",VLOOKUP(G134,'HHV-LHV-MW'!$A$3:$H$40,4,FALSE))</f>
        <v/>
      </c>
      <c r="CV134" s="889" t="str">
        <f>IF(G134="","",VLOOKUP(G134,'HHV-LHV-MW'!$A$3:$H$40,5,FALSE))</f>
        <v/>
      </c>
      <c r="CW134" s="890" t="str">
        <f>IF($BO$106="","",((PRODUCT('HHV-LHV-MW'!BH69)+PRODUCT('HHV-LHV-MW'!BT69)+PRODUCT('HHV-LHV-MW'!CF69)+PRODUCT('HHV-LHV-MW'!CR69))/$BO$106))</f>
        <v/>
      </c>
      <c r="CX134" s="890" t="str">
        <f>IF($BO$106="","",(IF($BO$106=1,"",  (SQRT(  (      (IF('HHV-LHV-MW'!BH69="",0,('HHV-LHV-MW'!BH69-CW134)^2))      +        (IF('HHV-LHV-MW'!BT69="",0,('HHV-LHV-MW'!BT69-CW134)^2))       +        (IF('HHV-LHV-MW'!CF69="",0,('HHV-LHV-MW'!CF69-CW134)^2))          +        (IF('HHV-LHV-MW'!CR69="",0,('HHV-LHV-MW'!CR69-CW134)^2))          )     *(1/($BO$106-1))  )))))</f>
        <v/>
      </c>
      <c r="CY134" s="890" t="str">
        <f t="shared" si="102"/>
        <v/>
      </c>
      <c r="CZ134" s="890" t="str">
        <f t="shared" si="103"/>
        <v/>
      </c>
      <c r="DA134" s="636" t="str">
        <f>IF('HHV-LHV-MW'!BH69="","",IF(AND('HHV-LHV-MW'!BH69&gt;=0,'HHV-LHV-MW'!BH69&lt;=0.09),2,  IF(AND('HHV-LHV-MW'!BH69&gt;=0.1,'HHV-LHV-MW'!BH69&lt;=0.9),7,  IF(AND('HHV-LHV-MW'!BH69&gt;=1,'HHV-LHV-MW'!BH69&lt;=4.9),10,   IF(AND('HHV-LHV-MW'!BH69&gt;=5,'HHV-LHV-MW'!BH69&lt;=10),12, 15)))))</f>
        <v/>
      </c>
      <c r="DB134" s="636" t="str">
        <f>IF('HHV-LHV-MW'!BH69="","",5*'HHV-LHV-MW'!BH69)</f>
        <v/>
      </c>
      <c r="DC134" s="635" t="str">
        <f t="shared" si="104"/>
        <v/>
      </c>
      <c r="DD134" s="636" t="str">
        <f>IF(OR(DC134="",'HHV-LHV-MW'!BH69=0),"",DC134/'HHV-LHV-MW'!BH69)</f>
        <v/>
      </c>
      <c r="DE134" s="635" t="str">
        <f>IF(OR(DD134="",CU134="",'HHV-LHV-MW'!BH69=""),"",((DD134*CU134*('HHV-LHV-MW'!BH69/100))/23.685)^2)</f>
        <v/>
      </c>
      <c r="DF134" s="636" t="str">
        <f>IF(OR(DD134="",CV134="",'HHV-LHV-MW'!BH69=""),"",((DD134*CV134*('HHV-LHV-MW'!BH69/100))/23.685)^2)</f>
        <v/>
      </c>
      <c r="DG134" s="639" t="str">
        <f t="shared" si="105"/>
        <v/>
      </c>
      <c r="DH134" s="891" t="str">
        <f t="shared" si="106"/>
        <v/>
      </c>
      <c r="DI134" s="635" t="str">
        <f>IF(G134="","",VLOOKUP(G134,'HHV-LHV-MW'!$A$3:$H$40,7,FALSE))</f>
        <v/>
      </c>
      <c r="DJ134" s="875" t="str">
        <f>IF($BO$106=1,     IF(OR(DI134="",'HHV-LHV-MW'!BH69="",DD134=""),"",(DI134*('HHV-LHV-MW'!BH69/100)*DD134)^2),IF(OR(DI134="",CW134="",CZ134=""),"",(DI134*(CW134/100)*CZ134)^2))</f>
        <v/>
      </c>
      <c r="DK134" s="635" t="str">
        <f>IF(G134="","",VLOOKUP(G134,'HHV-LHV-MW'!$A$3:$I$40,9,FALSE))</f>
        <v/>
      </c>
      <c r="DL134" s="875" t="str">
        <f>IF($BO$106=1,     IF(OR(DK134="",'HHV-LHV-MW'!BH69="",DD134=""),"",(DK134*('HHV-LHV-MW'!BH69/100)*DD134)^2),IF(OR(DK134="",CW134="",CZ134=""),"",(DK134*(CW134/100)*CZ134)^2))</f>
        <v/>
      </c>
      <c r="DM134" s="635" t="str">
        <f>IF(G134="","",(VLOOKUP(G134,'HHV-LHV-MW'!$A$3:$F$40,6,FALSE))    )</f>
        <v/>
      </c>
      <c r="DN134" s="875" t="str">
        <f>IF($BO$106=1,     IF(OR(DM134="",'HHV-LHV-MW'!BH69="",DD134=""),"",(DM134*('HHV-LHV-MW'!BH69/100)*DD134)^2),IF(OR(DM134="",CW134="",CZ134=""),"",(DM134*(CW134/100)*CZ134)^2))</f>
        <v/>
      </c>
      <c r="DO134" s="638" t="str">
        <f>IF($BO$106=1,     IF(OR(DM134="",DK134="",$H$103="",$H$103=0,'HHV-LHV-MW'!BH69="",DD134="",$DL$145=""),"", ((DM134*((DK134*('HHV-LHV-MW'!BH69/100))/$H$103))^2)*((DD134^2)+($DL$145^2))),              IF(OR(DM134="",DK134="",CW134="",CZ134="",$DL$145="",$H$103="",$H$103=0),"",      ((DM134*((DK134*(CW134/100))/$H$103))^2)*((CZ134^2)+($DL$145^2))             ))</f>
        <v/>
      </c>
      <c r="DP134" s="889" t="str">
        <f>IF(M134="","",VLOOKUP(M134,'HHV-LHV-MW'!$A$3:$H$40,4,FALSE))</f>
        <v/>
      </c>
      <c r="DQ134" s="889" t="str">
        <f>IF(M134="","",VLOOKUP(M134,'HHV-LHV-MW'!$A$3:$H$40,5,FALSE))</f>
        <v/>
      </c>
      <c r="DR134" s="890" t="str">
        <f>IF($BO$116="","",((PRODUCT('HHV-LHV-MW'!DE69)+PRODUCT('HHV-LHV-MW'!DQ69)+PRODUCT('HHV-LHV-MW'!EC69)+PRODUCT('HHV-LHV-MW'!EO69))/$BO$116))</f>
        <v/>
      </c>
      <c r="DS134" s="890" t="str">
        <f>IF($BO$116="","",(IF($BO$116=1,"",  (SQRT(  (      (IF('HHV-LHV-MW'!DE69="",0,('HHV-LHV-MW'!DE69-DR134)^2))      +        (IF('HHV-LHV-MW'!DQ69="",0,('HHV-LHV-MW'!DQ69-DR134)^2))       +        (IF('HHV-LHV-MW'!EC69="",0,('HHV-LHV-MW'!EC69-DR134)^2))          +        (IF('HHV-LHV-MW'!EO69="",0,('HHV-LHV-MW'!EO69-DR134)^2))          )     *(1/($BO$116-1))  )))))</f>
        <v/>
      </c>
      <c r="DT134" s="890" t="str">
        <f t="shared" si="107"/>
        <v/>
      </c>
      <c r="DU134" s="890" t="str">
        <f t="shared" si="108"/>
        <v/>
      </c>
      <c r="DV134" s="636" t="str">
        <f>IF('HHV-LHV-MW'!DE69="","",IF(AND('HHV-LHV-MW'!DE69&gt;=0,'HHV-LHV-MW'!DE69&lt;=0.09),2,  IF(AND('HHV-LHV-MW'!DE69&gt;=0.1,'HHV-LHV-MW'!DE69&lt;=0.9),7,  IF(AND('HHV-LHV-MW'!DE69&gt;=1,'HHV-LHV-MW'!DE69&lt;=4.9),10,   IF(AND('HHV-LHV-MW'!DE69&gt;=5,'HHV-LHV-MW'!DE69&lt;=10),12, 15)))))</f>
        <v/>
      </c>
      <c r="DW134" s="636" t="str">
        <f>IF('HHV-LHV-MW'!DE69="","",5*'HHV-LHV-MW'!DE69)</f>
        <v/>
      </c>
      <c r="DX134" s="635" t="str">
        <f t="shared" si="109"/>
        <v/>
      </c>
      <c r="DY134" s="636" t="str">
        <f>IF(OR(DX134="",'HHV-LHV-MW'!DE69=0),"",DX134/'HHV-LHV-MW'!DE69)</f>
        <v/>
      </c>
      <c r="DZ134" s="636" t="str">
        <f>IF(OR(DY134="",DP134="",'HHV-LHV-MW'!DE69=""),"",((DY134*DP134*('HHV-LHV-MW'!DE69/100))/23.685)^2)</f>
        <v/>
      </c>
      <c r="EA134" s="636" t="str">
        <f>IF(OR(DY134="",DQ134="",'HHV-LHV-MW'!DE69=""),"",((DY134*DQ134*('HHV-LHV-MW'!DE69/100))/23.685)^2)</f>
        <v/>
      </c>
      <c r="EB134" s="639" t="str">
        <f t="shared" si="110"/>
        <v/>
      </c>
      <c r="EC134" s="891" t="str">
        <f t="shared" si="111"/>
        <v/>
      </c>
      <c r="ED134" s="643" t="str">
        <f>IF(M134="","",VLOOKUP(M134,'HHV-LHV-MW'!$A$3:$H$40,7,FALSE))</f>
        <v/>
      </c>
      <c r="EE134" s="875" t="str">
        <f>IF($BO$116=1,     IF(OR(ED134="",'HHV-LHV-MW'!DE69="",DY134=""),"",(ED134*('HHV-LHV-MW'!DE69/100)*DY134)^2),IF(OR(ED134="",DR134="",DU134=""),"",(ED134*(DR134/100)*DU134)^2))</f>
        <v/>
      </c>
      <c r="EF134" s="635" t="str">
        <f>IF(M134="","",VLOOKUP(M134,'HHV-LHV-MW'!$A$3:$I$40,9,FALSE))</f>
        <v/>
      </c>
      <c r="EG134" s="875" t="str">
        <f>IF($BO$116=1,     IF(OR(EF134="",'HHV-LHV-MW'!DE69="",DY134=""),"",(EF134*('HHV-LHV-MW'!DE69/100)*DY134)^2),IF(OR(EF134="",DR134="",DU134=""),"",(EF134*(DR134/100)*DU134)^2))</f>
        <v/>
      </c>
      <c r="EH134" s="635" t="str">
        <f>IF(M134="","",(VLOOKUP(M134,'HHV-LHV-MW'!$A$3:$F$40,6,FALSE))    )</f>
        <v/>
      </c>
      <c r="EI134" s="875" t="str">
        <f>IF($BO$116=1,     IF(OR(EH134="",'HHV-LHV-MW'!DE69="",DY134=""),"",(EH134*('HHV-LHV-MW'!DE69/100)*DY134)^2),IF(OR(EH134="",DR134="",DU134=""),"",(EH134*(DR134/100)*DU134)^2))</f>
        <v/>
      </c>
      <c r="EJ134" s="638" t="str">
        <f>IF($BO$116=1,     IF(OR(EH134="",EF134="",$N$103="",$N$103=0,'HHV-LHV-MW'!DE69="",DY134="",$EG$145=""),"", ((EH134*((EF134*('HHV-LHV-MW'!DE69/100))/$N$103))^2)*((DY134^2)+($EG$145^2))),              IF(OR(EH134="",EF134="",DR134="",DU134="",$EG$145="",$N$103="",$N$103=0),"",      ((EH134*((EF134*(DR134/100))/$N$103))^2)*((DU134^2)+($EG$145^2))             ))</f>
        <v/>
      </c>
      <c r="EK134" s="889" t="str">
        <f>IF(S134="","",VLOOKUP(S134,'HHV-LHV-MW'!$A$3:$H$40,4,FALSE))</f>
        <v/>
      </c>
      <c r="EL134" s="889" t="str">
        <f>IF(S134="","",VLOOKUP(S134,'HHV-LHV-MW'!$A$3:$H$40,5,FALSE))</f>
        <v/>
      </c>
      <c r="EM134" s="890" t="str">
        <f>IF($BO$126="","",((PRODUCT('HHV-LHV-MW'!FB69)+PRODUCT('HHV-LHV-MW'!FN69)+PRODUCT('HHV-LHV-MW'!FZ69)+PRODUCT('HHV-LHV-MW'!GL69))/$BO$126))</f>
        <v/>
      </c>
      <c r="EN134" s="890" t="str">
        <f>IF($BO$126="","",(IF($BO$126=1,"",  (SQRT(  (      (IF('HHV-LHV-MW'!FB69="",0,('HHV-LHV-MW'!FB69-EM134)^2))      +        (IF('HHV-LHV-MW'!FN69="",0,('HHV-LHV-MW'!FN69-EM134)^2))       +        (IF('HHV-LHV-MW'!FZ69="",0,('HHV-LHV-MW'!FZ69-EM134)^2))          +        (IF('HHV-LHV-MW'!GL69="",0,('HHV-LHV-MW'!GL69-EM134)^2))          )     *(1/($BO$126-1))  )))))</f>
        <v/>
      </c>
      <c r="EO134" s="890" t="str">
        <f t="shared" si="112"/>
        <v/>
      </c>
      <c r="EP134" s="890" t="str">
        <f t="shared" si="113"/>
        <v/>
      </c>
      <c r="EQ134" s="636" t="str">
        <f>IF('HHV-LHV-MW'!FB69="","",IF(AND('HHV-LHV-MW'!FB69&gt;=0,'HHV-LHV-MW'!FB69&lt;=0.09),2,  IF(AND('HHV-LHV-MW'!FB69&gt;=0.1,'HHV-LHV-MW'!FB69&lt;=0.9),7,  IF(AND('HHV-LHV-MW'!FB69&gt;=1,'HHV-LHV-MW'!FB69&lt;=4.9),10,   IF(AND('HHV-LHV-MW'!FB69&gt;=5,'HHV-LHV-MW'!FB69&lt;=10),12, 15)))))</f>
        <v/>
      </c>
      <c r="ER134" s="636" t="str">
        <f>IF('HHV-LHV-MW'!FB69="","",5*'HHV-LHV-MW'!FB69)</f>
        <v/>
      </c>
      <c r="ES134" s="635" t="str">
        <f t="shared" si="114"/>
        <v/>
      </c>
      <c r="ET134" s="636" t="str">
        <f>IF(OR(ES134="",'HHV-LHV-MW'!FB69=0),"",ES134/'HHV-LHV-MW'!FB69)</f>
        <v/>
      </c>
      <c r="EU134" s="636" t="str">
        <f>IF(OR(ET134="",EK134="",'HHV-LHV-MW'!FB69=""),"",((ET134*EK134*('HHV-LHV-MW'!FB69/100))/23.685)^2)</f>
        <v/>
      </c>
      <c r="EV134" s="636" t="str">
        <f>IF(OR(ET134="",EL134="",'HHV-LHV-MW'!FB69=""),"",((ET134*EL134*('HHV-LHV-MW'!FB69/100))/23.685)^2)</f>
        <v/>
      </c>
      <c r="EW134" s="639" t="str">
        <f t="shared" si="115"/>
        <v/>
      </c>
      <c r="EX134" s="891" t="str">
        <f t="shared" si="116"/>
        <v/>
      </c>
      <c r="EY134" s="643" t="str">
        <f>IF(S134="","",VLOOKUP(S134,'HHV-LHV-MW'!$A$3:$H$40,7,FALSE))</f>
        <v/>
      </c>
      <c r="EZ134" s="875" t="str">
        <f>IF($BO$126=1,     IF(OR(EY134="",'HHV-LHV-MW'!FB69="",ET134=""),"",(EY134*('HHV-LHV-MW'!FB69/100)*ET134)^2),IF(OR(EY134="",EM134="",EP134=""),"",(EY134*(EM134/100)*EP134)^2))</f>
        <v/>
      </c>
      <c r="FA134" s="635" t="str">
        <f>IF(S134="","",VLOOKUP(S134,'HHV-LHV-MW'!$A$3:$I$40,9,FALSE))</f>
        <v/>
      </c>
      <c r="FB134" s="875" t="str">
        <f>IF($BO$126=1,     IF(OR(FA134="",'HHV-LHV-MW'!FB69="",ET134=""),"",(FA134*('HHV-LHV-MW'!FB69/100)*ET134)^2),IF(OR(FA134="",EM134="",EP134=""),"",(FA134*(EM134/100)*EP134)^2))</f>
        <v/>
      </c>
      <c r="FC134" s="635" t="str">
        <f>IF(S134="","",(VLOOKUP(S134,'HHV-LHV-MW'!$A$3:$F$40,6,FALSE))    )</f>
        <v/>
      </c>
      <c r="FD134" s="875" t="str">
        <f>IF($BO$126=1,     IF(OR(FC134="",'HHV-LHV-MW'!FB69="",ET134=""),"",(FC134*('HHV-LHV-MW'!FB69/100)*ET134)^2),IF(OR(FC134="",EM134="",EP134=""),"",(FC134*(EM134/100)*EP134)^2))</f>
        <v/>
      </c>
      <c r="FE134" s="638" t="str">
        <f>IF($BO$126=1,     IF(OR(FC134="",FA134="",$T$103="",$T$103=0,'HHV-LHV-MW'!FB69="",ET134="",$FB$145=""),"", ((FC134*((FA134*('HHV-LHV-MW'!FB69/100))/$T$103))^2)*((ET134^2)+($FB$145^2))),              IF(OR(FC134="",FA134="",EM134="",EP134="",$FB$145="",$T$103="",$T$103=0),"",      ((FC134*((FA134*(EM134/100))/$T$103))^2)*((EP134^2)+($FB$145^2))             ))</f>
        <v/>
      </c>
      <c r="FF134" s="889" t="str">
        <f>IF(Y134="","",VLOOKUP(Y134,'HHV-LHV-MW'!$A$3:$H$40,4,FALSE))</f>
        <v/>
      </c>
      <c r="FG134" s="889" t="str">
        <f>IF(Y134="","",VLOOKUP(Y134,'HHV-LHV-MW'!$A$3:$H$40,5,FALSE))</f>
        <v/>
      </c>
      <c r="FH134" s="890" t="str">
        <f>IF($BO$136="","",((PRODUCT('HHV-LHV-MW'!GY69)+PRODUCT('HHV-LHV-MW'!HK69)+PRODUCT('HHV-LHV-MW'!HW69)+PRODUCT('HHV-LHV-MW'!II69))/$BO$136))</f>
        <v/>
      </c>
      <c r="FI134" s="890" t="str">
        <f>IF($BO$136="","",(IF($BO$136=1,"",  (SQRT(  (      (IF('HHV-LHV-MW'!GY69="",0,('HHV-LHV-MW'!GY69-FH134)^2))      +        (IF('HHV-LHV-MW'!HK69="",0,('HHV-LHV-MW'!HK69-FH134)^2))       +        (IF('HHV-LHV-MW'!HW69="",0,('HHV-LHV-MW'!HW69-FH134)^2))          +        (IF('HHV-LHV-MW'!II69="",0,('HHV-LHV-MW'!II69-FH134)^2))          )     *(1/($BO$136-1))  )))))</f>
        <v/>
      </c>
      <c r="FJ134" s="890" t="str">
        <f t="shared" si="117"/>
        <v/>
      </c>
      <c r="FK134" s="890" t="str">
        <f t="shared" si="118"/>
        <v/>
      </c>
      <c r="FL134" s="636" t="str">
        <f>IF('HHV-LHV-MW'!GY69="","",IF(AND('HHV-LHV-MW'!GY69&gt;=0,'HHV-LHV-MW'!GY69&lt;=0.09),2,  IF(AND('HHV-LHV-MW'!GY69&gt;=0.1,'HHV-LHV-MW'!GY69&lt;=0.9),7,  IF(AND('HHV-LHV-MW'!GY69&gt;=1,'HHV-LHV-MW'!GY69&lt;=4.9),10,   IF(AND('HHV-LHV-MW'!GY69&gt;=5,'HHV-LHV-MW'!GY69&lt;=10),12, 15)))))</f>
        <v/>
      </c>
      <c r="FM134" s="636" t="str">
        <f>IF('HHV-LHV-MW'!GY69="","",5*'HHV-LHV-MW'!GY69)</f>
        <v/>
      </c>
      <c r="FN134" s="635" t="str">
        <f t="shared" si="119"/>
        <v/>
      </c>
      <c r="FO134" s="636" t="str">
        <f>IF(OR(FN134="",'HHV-LHV-MW'!GY69=0),"",FN134/'HHV-LHV-MW'!GY69)</f>
        <v/>
      </c>
      <c r="FP134" s="636" t="str">
        <f>IF(OR(FO134="",FF134="",'HHV-LHV-MW'!GY69=""),"",((FO134*FF134*('HHV-LHV-MW'!GY69/100))/23.685)^2)</f>
        <v/>
      </c>
      <c r="FQ134" s="636" t="str">
        <f>IF(OR(FO134="",FG134="",'HHV-LHV-MW'!GY69=""),"",((FO134*FG134*('HHV-LHV-MW'!GY69/100))/23.685)^2)</f>
        <v/>
      </c>
      <c r="FR134" s="639" t="str">
        <f t="shared" si="120"/>
        <v/>
      </c>
      <c r="FS134" s="891" t="str">
        <f t="shared" si="121"/>
        <v/>
      </c>
      <c r="FT134" s="643" t="str">
        <f>IF(Y134="","",VLOOKUP(Y134,'HHV-LHV-MW'!$A$3:$H$40,7,FALSE))</f>
        <v/>
      </c>
      <c r="FU134" s="875" t="str">
        <f>IF($BO$136=1,     IF(OR(FT134="",'HHV-LHV-MW'!GY69="",FO134=""),"",(FT134*('HHV-LHV-MW'!GY69/100)*FO134)^2),IF(OR(FT134="",FH134="",FK134=""),"",(FT134*(FH134/100)*FK134)^2))</f>
        <v/>
      </c>
      <c r="FV134" s="635" t="str">
        <f>IF(Y134="","",VLOOKUP(Y134,'HHV-LHV-MW'!$A$3:$I$40,9,FALSE))</f>
        <v/>
      </c>
      <c r="FW134" s="875" t="str">
        <f>IF($BO$136=1,     IF(OR(FV134="",'HHV-LHV-MW'!GY69="",FO134=""),"",(FV134*('HHV-LHV-MW'!GY69/100)*FO134)^2),IF(OR(FV134="",FH134="",FK134=""),"",(FV134*(FH134/100)*FK134)^2))</f>
        <v/>
      </c>
      <c r="FX134" s="635" t="str">
        <f>IF(Y134="","",(VLOOKUP(Y134,'HHV-LHV-MW'!$A$3:$F$40,6,FALSE))    )</f>
        <v/>
      </c>
      <c r="FY134" s="875" t="str">
        <f>IF($BO$136=1,     IF(OR(FX134="",'HHV-LHV-MW'!GY69="",FO134=""),"",(FX134*('HHV-LHV-MW'!GY69/100)*FO134)^2),IF(OR(FX134="",FH134="",FK134=""),"",(FX134*(FH134/100)*FK134)^2))</f>
        <v/>
      </c>
      <c r="FZ134" s="638" t="str">
        <f>IF($BO$136=1,     IF(OR(FX134="",FV134="",$Z$103="",$Z$103=0,'HHV-LHV-MW'!GY69="",FO134="",$FW$145=""),"", ((FX134*((FV134*('HHV-LHV-MW'!GY69/100))/$Z$103))^2)*((FO134^2)+($FW$145^2))),              IF(OR(FX134="",FV134="",FH134="",FK134="",$FW$145="",$Z$103="",$Z$103=0),"",      ((FX134*((FV134*(FH134/100))/$Z$103))^2)*((FK134^2)+($FW$145^2))             ))</f>
        <v/>
      </c>
      <c r="GA134" s="889" t="str">
        <f>IF(AE134="","",VLOOKUP(AE134,'HHV-LHV-MW'!$A$3:$H$40,4,FALSE))</f>
        <v/>
      </c>
      <c r="GB134" s="889" t="str">
        <f>IF(AE134="","",VLOOKUP(AE134,'HHV-LHV-MW'!$A$3:$H$40,5,FALSE))</f>
        <v/>
      </c>
      <c r="GC134" s="890" t="str">
        <f>IF($BW$96="","",((PRODUCT('HHV-LHV-MW'!IV69)+PRODUCT('HHV-LHV-MW'!JH69)+PRODUCT('HHV-LHV-MW'!JT69)+PRODUCT('HHV-LHV-MW'!KF69))/$BW$96))</f>
        <v/>
      </c>
      <c r="GD134" s="890" t="str">
        <f>IF($BW$96="","",(IF($BW$96=1,"",  (SQRT(  (      (IF('HHV-LHV-MW'!IV69="",0,('HHV-LHV-MW'!IV69-GC134)^2))      +        (IF('HHV-LHV-MW'!JH69="",0,('HHV-LHV-MW'!JH69-GC134)^2))       +        (IF('HHV-LHV-MW'!JT69="",0,('HHV-LHV-MW'!JT69-GC134)^2))          +        (IF('HHV-LHV-MW'!KF69="",0,('HHV-LHV-MW'!KF69-GC134)^2))          )     *(1/($BW$96-1))  )))))</f>
        <v/>
      </c>
      <c r="GE134" s="890" t="str">
        <f t="shared" si="122"/>
        <v/>
      </c>
      <c r="GF134" s="890" t="str">
        <f t="shared" si="123"/>
        <v/>
      </c>
      <c r="GG134" s="636" t="str">
        <f>IF('HHV-LHV-MW'!IV69="","",IF(AND('HHV-LHV-MW'!IV69&gt;=0,'HHV-LHV-MW'!IV69&lt;=0.09),2,  IF(AND('HHV-LHV-MW'!IV69&gt;=0.1,'HHV-LHV-MW'!IV69&lt;=0.9),7,  IF(AND('HHV-LHV-MW'!IV69&gt;=1,'HHV-LHV-MW'!IV69&lt;=4.9),10,   IF(AND('HHV-LHV-MW'!IV69&gt;=5,'HHV-LHV-MW'!IV69&lt;=10),12, 15)))))</f>
        <v/>
      </c>
      <c r="GH134" s="636" t="str">
        <f>IF('HHV-LHV-MW'!IV69="","",5*'HHV-LHV-MW'!IV69)</f>
        <v/>
      </c>
      <c r="GI134" s="635" t="str">
        <f t="shared" si="124"/>
        <v/>
      </c>
      <c r="GJ134" s="636" t="str">
        <f>IF(OR(GI134="",'HHV-LHV-MW'!IV69=0),"",GI134/'HHV-LHV-MW'!IV69)</f>
        <v/>
      </c>
      <c r="GK134" s="636" t="str">
        <f>IF(OR(GJ134="",GA134="",'HHV-LHV-MW'!IV69=""),"",((GJ134*GA134*('HHV-LHV-MW'!IV69/100))/23.685)^2)</f>
        <v/>
      </c>
      <c r="GL134" s="636" t="str">
        <f>IF(OR(GJ134="",GB134="",'HHV-LHV-MW'!IV69=""),"",((GJ134*GB134*('HHV-LHV-MW'!IV69/100))/23.685)^2)</f>
        <v/>
      </c>
      <c r="GM134" s="639" t="str">
        <f t="shared" si="125"/>
        <v/>
      </c>
      <c r="GN134" s="891" t="str">
        <f t="shared" si="126"/>
        <v/>
      </c>
      <c r="GO134" s="643" t="str">
        <f>IF(AE134="","",VLOOKUP(AE134,'HHV-LHV-MW'!$A$3:$H$40,7,FALSE))</f>
        <v/>
      </c>
      <c r="GP134" s="875" t="str">
        <f>IF($BW$96=1,     IF(OR(GO134="",'HHV-LHV-MW'!IV69="",GJ134=""),"",(GO134*('HHV-LHV-MW'!IV69/100)*GJ134)^2),IF(OR(GO134="",GC134="",GF134=""),"",(GO134*(GC134/100)*GF134)^2))</f>
        <v/>
      </c>
      <c r="GQ134" s="635" t="str">
        <f>IF(AE134="","",VLOOKUP(AE134,'HHV-LHV-MW'!$A$3:$I$40,9,FALSE))</f>
        <v/>
      </c>
      <c r="GR134" s="875" t="str">
        <f>IF($BW$96=1,     IF(OR(GQ134="",'HHV-LHV-MW'!IV69="",GJ134=""),"",(GQ134*('HHV-LHV-MW'!IV69/100)*GJ134)^2),IF(OR(GQ134="",GC134="",GF134=""),"",(GQ134*(GC134/100)*GF134)^2))</f>
        <v/>
      </c>
      <c r="GS134" s="635" t="str">
        <f>IF(AE134="","",(VLOOKUP(AE134,'HHV-LHV-MW'!$A$3:$F$40,6,FALSE))    )</f>
        <v/>
      </c>
      <c r="GT134" s="875" t="str">
        <f>IF($BW$96=1,     IF(OR(GS134="",'HHV-LHV-MW'!IV69="",GJ134=""),"",(GS134*('HHV-LHV-MW'!IV69/100)*GJ134)^2),IF(OR(GS134="",GC134="",GF134=""),"",(GS134*(GC134/100)*GF134)^2))</f>
        <v/>
      </c>
      <c r="GU134" s="638" t="str">
        <f>IF($BW$96=1,     IF(OR(GS134="",GQ134="",$AF$103="",$AF$103=0,'HHV-LHV-MW'!IV69="",GJ134="",$GR$145=""),"", ((GS134*((GQ134*('HHV-LHV-MW'!IV69/100))/$AF$103))^2)*((GJ134^2)+($GR$145^2))),              IF(OR(GS134="",GQ134="",GC134="",GF134="",$GR$145="",$AF$103="",$AF$103=0),"",      ((GS134*((GQ134*(GC134/100))/$AF$103))^2)*((GF134^2)+($GR$145^2))             ))</f>
        <v/>
      </c>
      <c r="GV134" s="889" t="str">
        <f>IF(AK134="","",VLOOKUP(AK134,'HHV-LHV-MW'!$A$3:$H$40,4,FALSE))</f>
        <v/>
      </c>
      <c r="GW134" s="889" t="str">
        <f>IF(AK134="","",VLOOKUP(AK134,'HHV-LHV-MW'!$A$3:$H$40,5,FALSE))</f>
        <v/>
      </c>
      <c r="GX134" s="890" t="str">
        <f>IF($BW$106="","",((PRODUCT('HHV-LHV-MW'!KS69)+PRODUCT('HHV-LHV-MW'!LE69)+PRODUCT('HHV-LHV-MW'!LQ69)+PRODUCT('HHV-LHV-MW'!MC69))/$BW$106))</f>
        <v/>
      </c>
      <c r="GY134" s="890" t="str">
        <f>IF($BW$106="","",(IF($BW$106=1,"",  (SQRT(  (      (IF('HHV-LHV-MW'!KS69="",0,('HHV-LHV-MW'!KS69-GX134)^2))      +        (IF('HHV-LHV-MW'!LE69="",0,('HHV-LHV-MW'!LE69-GX134)^2))       +        (IF('HHV-LHV-MW'!LQ69="",0,('HHV-LHV-MW'!LQ69-GX134)^2))          +        (IF('HHV-LHV-MW'!MC69="",0,('HHV-LHV-MW'!MC69-GX134)^2))          )     *(1/($BW$106-1))  )))))</f>
        <v/>
      </c>
      <c r="GZ134" s="890" t="str">
        <f t="shared" si="127"/>
        <v/>
      </c>
      <c r="HA134" s="890" t="str">
        <f t="shared" si="128"/>
        <v/>
      </c>
      <c r="HB134" s="636" t="str">
        <f>IF('HHV-LHV-MW'!KS69="","",IF(AND('HHV-LHV-MW'!KS69&gt;=0,'HHV-LHV-MW'!KS69&lt;=0.09),2,  IF(AND('HHV-LHV-MW'!KS69&gt;=0.1,'HHV-LHV-MW'!KS69&lt;=0.9),7,  IF(AND('HHV-LHV-MW'!KS69&gt;=1,'HHV-LHV-MW'!KS69&lt;=4.9),10,   IF(AND('HHV-LHV-MW'!KS69&gt;=5,'HHV-LHV-MW'!KS69&lt;=10),12, 15)))))</f>
        <v/>
      </c>
      <c r="HC134" s="636" t="str">
        <f>IF('HHV-LHV-MW'!KS69="","",5*'HHV-LHV-MW'!KS69)</f>
        <v/>
      </c>
      <c r="HD134" s="635" t="str">
        <f t="shared" si="129"/>
        <v/>
      </c>
      <c r="HE134" s="636" t="str">
        <f>IF(OR(HD134="",'HHV-LHV-MW'!KS69=0),"",HD134/'HHV-LHV-MW'!KS69)</f>
        <v/>
      </c>
      <c r="HF134" s="636" t="str">
        <f>IF(OR(HE134="",GV134="",'HHV-LHV-MW'!KS69=""),"",((HE134*GV134*('HHV-LHV-MW'!KS69/100))/23.685)^2)</f>
        <v/>
      </c>
      <c r="HG134" s="636" t="str">
        <f>IF(OR(HE134="",GW134="",'HHV-LHV-MW'!KS69=""),"",((HE134*GW134*('HHV-LHV-MW'!KS69/100))/23.685)^2)</f>
        <v/>
      </c>
      <c r="HH134" s="639" t="str">
        <f t="shared" si="130"/>
        <v/>
      </c>
      <c r="HI134" s="891" t="str">
        <f t="shared" si="131"/>
        <v/>
      </c>
      <c r="HJ134" s="643" t="str">
        <f>IF(AK134="","",VLOOKUP(AK134,'HHV-LHV-MW'!$A$3:$H$40,7,FALSE))</f>
        <v/>
      </c>
      <c r="HK134" s="875" t="str">
        <f>IF($BW$106=1,     IF(OR(HJ134="",'HHV-LHV-MW'!KS69="",HE134=""),"",(HJ134*('HHV-LHV-MW'!KS69/100)*HE134)^2),IF(OR(HJ134="",GX134="",HA134=""),"",(HJ134*(GX134/100)*HA134)^2))</f>
        <v/>
      </c>
      <c r="HL134" s="635" t="str">
        <f>IF(AK134="","",VLOOKUP(AK134,'HHV-LHV-MW'!$A$3:$I$40,9,FALSE))</f>
        <v/>
      </c>
      <c r="HM134" s="875" t="str">
        <f>IF($BW$106=1,     IF(OR(HL134="",'HHV-LHV-MW'!KS69="",HE134=""),"",(HL134*('HHV-LHV-MW'!KS69/100)*HE134)^2),IF(OR(HL134="",GX134="",HA134=""),"",(HL134*(GX134/100)*HA134)^2))</f>
        <v/>
      </c>
      <c r="HN134" s="635" t="str">
        <f>IF(AK134="","",(VLOOKUP(AK134,'HHV-LHV-MW'!$A$3:$F$40,6,FALSE))    )</f>
        <v/>
      </c>
      <c r="HO134" s="875" t="str">
        <f>IF($BW$106=1,     IF(OR(HN134="",'HHV-LHV-MW'!KS69="",HE134=""),"",(HN134*('HHV-LHV-MW'!KS69/100)*HE134)^2),IF(OR(HN134="",GX134="",HA134=""),"",(HN134*(GX134/100)*HA134)^2))</f>
        <v/>
      </c>
      <c r="HP134" s="638" t="str">
        <f>IF($BW$106=1,     IF(OR(HN134="",HL134="",$AL$103="",$AL$103=0,'HHV-LHV-MW'!KS69="",HE134="",$HM$145=""),"", ((HN134*((HL134*('HHV-LHV-MW'!KS69/100))/$AL$103))^2)*((HE134^2)+($HM$145^2))),              IF(OR(HN134="",HL134="",GX134="",HA134="",$HM$145="",$AL$103="",$AL$103=0),"",      ((HN134*((HL134*(GX134/100))/$AL$103))^2)*((HA134^2)+($HM$145^2))             ))</f>
        <v/>
      </c>
      <c r="HQ134" s="889" t="str">
        <f>IF(AQ134="","",VLOOKUP(AQ134,'HHV-LHV-MW'!$A$3:$H$40,4,FALSE))</f>
        <v/>
      </c>
      <c r="HR134" s="889" t="str">
        <f>IF(AQ134="","",VLOOKUP(AQ134,'HHV-LHV-MW'!$A$3:$H$40,5,FALSE))</f>
        <v/>
      </c>
      <c r="HS134" s="890" t="str">
        <f>IF($BW$116="","",((PRODUCT('HHV-LHV-MW'!MP69)+PRODUCT('HHV-LHV-MW'!NB69)+PRODUCT('HHV-LHV-MW'!NN69)+PRODUCT('HHV-LHV-MW'!NZ69))/$BW$116))</f>
        <v/>
      </c>
      <c r="HT134" s="890" t="str">
        <f>IF($BW$116="","",(IF($BW$116=1,"",  (SQRT(  (      (IF('HHV-LHV-MW'!MP69="",0,('HHV-LHV-MW'!MP69-HS134)^2))      +        (IF('HHV-LHV-MW'!NB69="",0,('HHV-LHV-MW'!NB69-HS134)^2))       +        (IF('HHV-LHV-MW'!NN69="",0,('HHV-LHV-MW'!NN69-HS134)^2))          +        (IF('HHV-LHV-MW'!NZ69="",0,('HHV-LHV-MW'!NZ69-HS134)^2))          )     *(1/($BW$116-1))  )))))</f>
        <v/>
      </c>
      <c r="HU134" s="890" t="str">
        <f t="shared" si="132"/>
        <v/>
      </c>
      <c r="HV134" s="890" t="str">
        <f t="shared" si="133"/>
        <v/>
      </c>
      <c r="HW134" s="636" t="str">
        <f>IF('HHV-LHV-MW'!MP69="","",IF(AND('HHV-LHV-MW'!MP69&gt;=0,'HHV-LHV-MW'!MP69&lt;=0.09),2,  IF(AND('HHV-LHV-MW'!MP69&gt;=0.1,'HHV-LHV-MW'!MP69&lt;=0.9),7,  IF(AND('HHV-LHV-MW'!MP69&gt;=1,'HHV-LHV-MW'!MP69&lt;=4.9),10,   IF(AND('HHV-LHV-MW'!MP69&gt;=5,'HHV-LHV-MW'!MP69&lt;=10),12, 15)))))</f>
        <v/>
      </c>
      <c r="HX134" s="636" t="str">
        <f>IF('HHV-LHV-MW'!MP69="","",5*'HHV-LHV-MW'!MP69)</f>
        <v/>
      </c>
      <c r="HY134" s="635" t="str">
        <f t="shared" si="134"/>
        <v/>
      </c>
      <c r="HZ134" s="636" t="str">
        <f>IF(OR(HY134="",'HHV-LHV-MW'!MP69=0),"",HY134/'HHV-LHV-MW'!MP69)</f>
        <v/>
      </c>
      <c r="IA134" s="636" t="str">
        <f>IF(OR(HZ134="",HQ134="",'HHV-LHV-MW'!MP69=""),"",((HZ134*HQ134*('HHV-LHV-MW'!MP69/100))/23.685)^2)</f>
        <v/>
      </c>
      <c r="IB134" s="636" t="str">
        <f>IF(OR(HZ134="",HR134="",'HHV-LHV-MW'!MP69=""),"",((HZ134*HR134*('HHV-LHV-MW'!MP69/100))/23.685)^2)</f>
        <v/>
      </c>
      <c r="IC134" s="639" t="str">
        <f t="shared" si="135"/>
        <v/>
      </c>
      <c r="ID134" s="891" t="str">
        <f t="shared" si="136"/>
        <v/>
      </c>
      <c r="IE134" s="643" t="str">
        <f>IF(AQ134="","",VLOOKUP(AQ134,'HHV-LHV-MW'!$A$3:$H$40,7,FALSE))</f>
        <v/>
      </c>
      <c r="IF134" s="875" t="str">
        <f>IF($BW$116=1,     IF(OR(IE134="",'HHV-LHV-MW'!MP69="",HZ134=""),"",(IE134*('HHV-LHV-MW'!MP69/100)*HZ134)^2),IF(OR(IE134="",HS134="",HV134=""),"",(IE134*(HS134/100)*HV134)^2))</f>
        <v/>
      </c>
      <c r="IG134" s="635" t="str">
        <f>IF(AQ134="","",VLOOKUP(AQ134,'HHV-LHV-MW'!$A$3:$I$40,9,FALSE))</f>
        <v/>
      </c>
      <c r="IH134" s="875" t="str">
        <f>IF($BW$116=1,     IF(OR(IG134="",'HHV-LHV-MW'!MP69="",HZ134=""),"",(IG134*('HHV-LHV-MW'!MP69/100)*HZ134)^2),IF(OR(IG134="",HS134="",HV134=""),"",(IG134*(HS134/100)*HV134)^2))</f>
        <v/>
      </c>
      <c r="II134" s="635" t="str">
        <f>IF(AQ134="","",(VLOOKUP(AQ134,'HHV-LHV-MW'!$A$3:$F$40,6,FALSE))    )</f>
        <v/>
      </c>
      <c r="IJ134" s="875" t="str">
        <f>IF($BW$116=1,     IF(OR(II134="",'HHV-LHV-MW'!MP69="",HZ134=""),"",(II134*('HHV-LHV-MW'!MP69/100)*HZ134)^2),IF(OR(II134="",HS134="",HV134=""),"",(II134*(HS134/100)*HV134)^2))</f>
        <v/>
      </c>
      <c r="IK134" s="638" t="str">
        <f>IF($BW$116=1,     IF(OR(II134="",IG134="",$AR$103="",$AR$103=0,'HHV-LHV-MW'!MP69="",HZ134="",$IH$145=""),"", ((II134*((IG134*('HHV-LHV-MW'!MP69/100))/$AR$103))^2)*((HZ134^2)+($IH$145^2))),              IF(OR(II134="",IG134="",HS134="",HV134="",$IH$145="",$AR$103="",$AR$103=0),"",      ((II134*((IG134*(HS134/100))/$AR$103))^2)*((HV134^2)+($IH$145^2))             ))</f>
        <v/>
      </c>
      <c r="IL134" s="889" t="str">
        <f>IF(AW134="","",VLOOKUP(AW134,'HHV-LHV-MW'!$A$3:$H$40,4,FALSE))</f>
        <v/>
      </c>
      <c r="IM134" s="889" t="str">
        <f>IF(AW134="","",VLOOKUP(AW134,'HHV-LHV-MW'!$A$3:$H$40,5,FALSE))</f>
        <v/>
      </c>
      <c r="IN134" s="890" t="str">
        <f>IF($BW$126="","",((PRODUCT('HHV-LHV-MW'!ON69)+PRODUCT('HHV-LHV-MW'!OZ69)+PRODUCT('HHV-LHV-MW'!PL69)+PRODUCT('HHV-LHV-MW'!PX69))/$BW$126))</f>
        <v/>
      </c>
      <c r="IO134" s="890" t="str">
        <f>IF($BW$126="","",(IF($BW$126=1,"",  (SQRT(  (      (IF('HHV-LHV-MW'!ON69="",0,('HHV-LHV-MW'!ON69-IN134)^2))      +        (IF('HHV-LHV-MW'!OZ69="",0,('HHV-LHV-MW'!OZ69-IN134)^2))       +        (IF('HHV-LHV-MW'!PL69="",0,('HHV-LHV-MW'!PL69-IN134)^2))          +        (IF('HHV-LHV-MW'!PX69="",0,('HHV-LHV-MW'!PX69-IN134)^2))          )     *(1/($BW$126-1))  )))))</f>
        <v/>
      </c>
      <c r="IP134" s="890" t="str">
        <f t="shared" si="137"/>
        <v/>
      </c>
      <c r="IQ134" s="890" t="str">
        <f t="shared" si="138"/>
        <v/>
      </c>
      <c r="IR134" s="636" t="str">
        <f>IF('HHV-LHV-MW'!ON69="","",IF(AND('HHV-LHV-MW'!ON69&gt;=0,'HHV-LHV-MW'!ON69&lt;=0.09),2,  IF(AND('HHV-LHV-MW'!ON69&gt;=0.1,'HHV-LHV-MW'!ON69&lt;=0.9),7,  IF(AND('HHV-LHV-MW'!ON69&gt;=1,'HHV-LHV-MW'!ON69&lt;=4.9),10,   IF(AND('HHV-LHV-MW'!ON69&gt;=5,'HHV-LHV-MW'!ON69&lt;=10),12, 15)))))</f>
        <v/>
      </c>
      <c r="IS134" s="636" t="str">
        <f>IF('HHV-LHV-MW'!ON69="","",5*'HHV-LHV-MW'!ON69)</f>
        <v/>
      </c>
      <c r="IT134" s="635" t="str">
        <f t="shared" si="139"/>
        <v/>
      </c>
      <c r="IU134" s="636" t="str">
        <f>IF(OR(IT134="",'HHV-LHV-MW'!ON69=0),"",IT134/'HHV-LHV-MW'!ON69)</f>
        <v/>
      </c>
      <c r="IV134" s="636" t="str">
        <f>IF(OR(IU134="",IL134="",'HHV-LHV-MW'!ON69=""),"",((IU134*IL134*('HHV-LHV-MW'!ON69/100))/23.685)^2)</f>
        <v/>
      </c>
      <c r="IW134" s="636" t="str">
        <f>IF(OR(IU134="",IM134="",'HHV-LHV-MW'!ON69=""),"",((IU134*IM134*('HHV-LHV-MW'!ON69/100))/23.685)^2)</f>
        <v/>
      </c>
      <c r="IX134" s="639" t="str">
        <f t="shared" si="140"/>
        <v/>
      </c>
      <c r="IY134" s="891" t="str">
        <f t="shared" si="141"/>
        <v/>
      </c>
      <c r="IZ134" s="643" t="str">
        <f>IF(AW134="","",VLOOKUP(AW134,'HHV-LHV-MW'!$A$3:$H$40,7,FALSE))</f>
        <v/>
      </c>
      <c r="JA134" s="875" t="str">
        <f>IF($BW$126=1,     IF(OR(IZ134="",'HHV-LHV-MW'!ON69="",IU134=""),"",(IZ134*('HHV-LHV-MW'!ON69/100)*IU134)^2),IF(OR(IZ134="",IN134="",IQ134=""),"",(IZ134*(IN134/100)*IQ134)^2))</f>
        <v/>
      </c>
      <c r="JB134" s="635" t="str">
        <f>IF(AW134="","",VLOOKUP(AW134,'HHV-LHV-MW'!$A$3:$I$40,9,FALSE))</f>
        <v/>
      </c>
      <c r="JC134" s="875" t="str">
        <f>IF($BW$126=1,     IF(OR(JB134="",'HHV-LHV-MW'!ON69="",IU134=""),"",(JB134*('HHV-LHV-MW'!ON69/100)*IU134)^2),IF(OR(JB134="",IN134="",IQ134=""),"",(JB134*(IN134/100)*IQ134)^2))</f>
        <v/>
      </c>
      <c r="JD134" s="635" t="str">
        <f>IF(AW134="","",(VLOOKUP(AW134,'HHV-LHV-MW'!$A$3:$F$40,6,FALSE))    )</f>
        <v/>
      </c>
      <c r="JE134" s="875" t="str">
        <f>IF($BW$126=1,     IF(OR(JD134="",'HHV-LHV-MW'!ON69="",IU134=""),"",(JD134*('HHV-LHV-MW'!ON69/100)*IU134)^2),IF(OR(JD134="",IN134="",IQ134=""),"",(JD134*(IN134/100)*IQ134)^2))</f>
        <v/>
      </c>
      <c r="JF134" s="638" t="str">
        <f>IF($BW$126=1,     IF(OR(JD134="",JB134="",$AX$103="",$AX$103=0,'HHV-LHV-MW'!ON69="",IU134="",$JC$145=""),"", ((JD134*((JB134*('HHV-LHV-MW'!ON69/100))/$AX$103))^2)*((IU134^2)+($JC$145^2))),              IF(OR(JD134="",JB134="",IN134="",IQ134="",$JC$145="",$AX$103="",$AX$103=0),"",      ((JD134*((JB134*(IN134/100))/$AX$103))^2)*((IQ134^2)+($JC$145^2))             ))</f>
        <v/>
      </c>
      <c r="JG134" s="889" t="str">
        <f>IF(BC134="","",VLOOKUP(BC134,'HHV-LHV-MW'!$A$3:$H$40,4,FALSE))</f>
        <v/>
      </c>
      <c r="JH134" s="889" t="str">
        <f>IF(BC134="","",VLOOKUP(BC134,'HHV-LHV-MW'!$A$3:$H$40,5,FALSE))</f>
        <v/>
      </c>
      <c r="JI134" s="890" t="str">
        <f>IF($BW$136="","",((PRODUCT('HHV-LHV-MW'!QK69)+PRODUCT('HHV-LHV-MW'!QW69)+PRODUCT('HHV-LHV-MW'!RI69)+PRODUCT('HHV-LHV-MW'!RU69))/$BW$136))</f>
        <v/>
      </c>
      <c r="JJ134" s="890" t="str">
        <f>IF($BW$136="","",(IF($BW$136=1,"",  (SQRT(  (      (IF('HHV-LHV-MW'!QK69="",0,('HHV-LHV-MW'!QK69-JI134)^2))      +        (IF('HHV-LHV-MW'!QW69="",0,('HHV-LHV-MW'!QW69-JI134)^2))       +        (IF('HHV-LHV-MW'!RI69="",0,('HHV-LHV-MW'!RI69-JI134)^2))          +        (IF('HHV-LHV-MW'!RU69="",0,('HHV-LHV-MW'!RU69-JI134)^2))          )     *(1/($BW$136-1))  )))))</f>
        <v/>
      </c>
      <c r="JK134" s="890" t="str">
        <f t="shared" si="142"/>
        <v/>
      </c>
      <c r="JL134" s="890" t="str">
        <f t="shared" si="143"/>
        <v/>
      </c>
      <c r="JM134" s="636" t="str">
        <f>IF('HHV-LHV-MW'!QK69="","",IF(AND('HHV-LHV-MW'!QK69&gt;=0,'HHV-LHV-MW'!QK69&lt;=0.09),2,  IF(AND('HHV-LHV-MW'!QK69&gt;=0.1,'HHV-LHV-MW'!QK69&lt;=0.9),7,  IF(AND('HHV-LHV-MW'!QK69&gt;=1,'HHV-LHV-MW'!QK69&lt;=4.9),10,   IF(AND('HHV-LHV-MW'!QK69&gt;=5,'HHV-LHV-MW'!QK69&lt;=10),12, 15)))))</f>
        <v/>
      </c>
      <c r="JN134" s="636" t="str">
        <f>IF('HHV-LHV-MW'!QK69="","",5*'HHV-LHV-MW'!QK69)</f>
        <v/>
      </c>
      <c r="JO134" s="635" t="str">
        <f t="shared" si="144"/>
        <v/>
      </c>
      <c r="JP134" s="636" t="str">
        <f>IF(OR(JO134="",'HHV-LHV-MW'!QK69=0),"",JO134/'HHV-LHV-MW'!QK69)</f>
        <v/>
      </c>
      <c r="JQ134" s="636" t="str">
        <f>IF(OR(JP134="",JG134="",'HHV-LHV-MW'!QK69=""),"",((JP134*JG134*('HHV-LHV-MW'!QK69/100))/23.685)^2)</f>
        <v/>
      </c>
      <c r="JR134" s="636" t="str">
        <f>IF(OR(JP134="",JH134="",'HHV-LHV-MW'!QK69=""),"",((JP134*JH134*('HHV-LHV-MW'!QK69/100))/23.685)^2)</f>
        <v/>
      </c>
      <c r="JS134" s="639" t="str">
        <f t="shared" si="145"/>
        <v/>
      </c>
      <c r="JT134" s="891" t="str">
        <f t="shared" si="146"/>
        <v/>
      </c>
      <c r="JU134" s="643" t="str">
        <f>IF(BC134="","",VLOOKUP(BC134,'HHV-LHV-MW'!$A$3:$H$40,7,FALSE))</f>
        <v/>
      </c>
      <c r="JV134" s="875" t="str">
        <f>IF($BW$136=1,     IF(OR(JU134="",'HHV-LHV-MW'!QK69="",JP134=""),"",(JU134*('HHV-LHV-MW'!QK69/100)*JP134)^2),IF(OR(JU134="",JI134="",JL134=""),"",(JU134*(JI134/100)*JL134)^2))</f>
        <v/>
      </c>
      <c r="JW134" s="635" t="str">
        <f>IF(BC134="","",VLOOKUP(BC134,'HHV-LHV-MW'!$A$3:$I$40,9,FALSE))</f>
        <v/>
      </c>
      <c r="JX134" s="875" t="str">
        <f>IF($BW$136=1,     IF(OR(JW134="",'HHV-LHV-MW'!QK69="",JP134=""),"",(JW134*('HHV-LHV-MW'!QK69/100)*JP134)^2),IF(OR(JW134="",JI134="",JL134=""),"",(JW134*(JI134/100)*JL134)^2))</f>
        <v/>
      </c>
      <c r="JY134" s="635" t="str">
        <f>IF(BC134="","",(VLOOKUP(BC134,'HHV-LHV-MW'!$A$3:$F$40,6,FALSE))    )</f>
        <v/>
      </c>
      <c r="JZ134" s="875" t="str">
        <f>IF($BW$136=1,     IF(OR(JY134="",'HHV-LHV-MW'!QK69="",JP134=""),"",(JY134*('HHV-LHV-MW'!QK69/100)*JP134)^2),IF(OR(JY134="",JI134="",JL134=""),"",(JY134*(JI134/100)*JL134)^2))</f>
        <v/>
      </c>
      <c r="KA134" s="638" t="str">
        <f>IF($BW$136=1,     IF(OR(JY134="",JW134="",$BD$103="",$BD$103=0,'HHV-LHV-MW'!QK69="",JP134="",$JX$145=""),"", ((JY134*((JW134*('HHV-LHV-MW'!QK69/100))/$BD$103))^2)*((JP134^2)+($JX$145^2))),              IF(OR(JY134="",JW134="",JI134="",JL134="",$JX$145="",$BD$103="",$BD$103=0),"",      ((JY134*((JW134*(JI134/100))/$BD$103))^2)*((JL134^2)+($JX$145^2))             ))</f>
        <v/>
      </c>
      <c r="KB134" s="874"/>
      <c r="KC134" s="874"/>
      <c r="KD134" s="874"/>
      <c r="KE134" s="874"/>
      <c r="KF134" s="874"/>
      <c r="KG134" s="874"/>
      <c r="KH134" s="865"/>
      <c r="KI134" s="865"/>
      <c r="KJ134" s="865"/>
      <c r="KK134" s="865"/>
      <c r="KL134" s="865"/>
      <c r="KM134" s="865"/>
      <c r="KN134" s="865"/>
      <c r="KO134" s="865"/>
      <c r="KP134" s="865"/>
      <c r="KQ134" s="865"/>
      <c r="KR134" s="865"/>
      <c r="KS134" s="865"/>
      <c r="KT134" s="865"/>
      <c r="KU134" s="865"/>
      <c r="KV134" s="865"/>
      <c r="KW134" s="865"/>
      <c r="KX134" s="865"/>
      <c r="KY134" s="865"/>
      <c r="KZ134" s="865"/>
      <c r="LA134" s="865"/>
      <c r="LB134" s="865"/>
      <c r="LC134" s="865"/>
      <c r="LD134" s="865"/>
      <c r="LE134" s="865"/>
      <c r="LF134" s="865"/>
    </row>
    <row r="135" spans="1:318" ht="21" thickBot="1">
      <c r="A135" s="864"/>
      <c r="B135" s="502"/>
      <c r="C135" s="502"/>
      <c r="D135" s="502"/>
      <c r="E135" s="502"/>
      <c r="F135" s="511"/>
      <c r="G135" s="864"/>
      <c r="H135" s="502"/>
      <c r="I135" s="502"/>
      <c r="J135" s="502"/>
      <c r="K135" s="502"/>
      <c r="L135" s="511"/>
      <c r="M135" s="864"/>
      <c r="N135" s="502"/>
      <c r="O135" s="502"/>
      <c r="P135" s="502"/>
      <c r="Q135" s="502"/>
      <c r="R135" s="511"/>
      <c r="S135" s="864"/>
      <c r="T135" s="502"/>
      <c r="U135" s="502"/>
      <c r="V135" s="502"/>
      <c r="W135" s="502"/>
      <c r="X135" s="511"/>
      <c r="Y135" s="864"/>
      <c r="Z135" s="502"/>
      <c r="AA135" s="502"/>
      <c r="AB135" s="502"/>
      <c r="AC135" s="502"/>
      <c r="AD135" s="511"/>
      <c r="AE135" s="864"/>
      <c r="AF135" s="502"/>
      <c r="AG135" s="502"/>
      <c r="AH135" s="502"/>
      <c r="AI135" s="502"/>
      <c r="AJ135" s="511"/>
      <c r="AK135" s="864"/>
      <c r="AL135" s="502"/>
      <c r="AM135" s="502"/>
      <c r="AN135" s="502"/>
      <c r="AO135" s="502"/>
      <c r="AP135" s="511"/>
      <c r="AQ135" s="864"/>
      <c r="AR135" s="502"/>
      <c r="AS135" s="502"/>
      <c r="AT135" s="502"/>
      <c r="AU135" s="502"/>
      <c r="AV135" s="511"/>
      <c r="AW135" s="864"/>
      <c r="AX135" s="502"/>
      <c r="AY135" s="502"/>
      <c r="AZ135" s="502"/>
      <c r="BA135" s="502"/>
      <c r="BB135" s="511"/>
      <c r="BC135" s="864"/>
      <c r="BD135" s="502"/>
      <c r="BE135" s="502"/>
      <c r="BF135" s="502"/>
      <c r="BG135" s="502"/>
      <c r="BH135" s="865"/>
      <c r="BI135" s="865"/>
      <c r="BJ135" s="2527" t="s">
        <v>333</v>
      </c>
      <c r="BK135" s="2528"/>
      <c r="BL135" s="2528"/>
      <c r="BM135" s="2528"/>
      <c r="BN135" s="2528"/>
      <c r="BO135" s="2528"/>
      <c r="BP135" s="2529"/>
      <c r="BQ135" s="865"/>
      <c r="BR135" s="2527" t="s">
        <v>940</v>
      </c>
      <c r="BS135" s="2528"/>
      <c r="BT135" s="2528"/>
      <c r="BU135" s="2528"/>
      <c r="BV135" s="2528"/>
      <c r="BW135" s="2528"/>
      <c r="BX135" s="2529"/>
      <c r="BY135" s="874"/>
      <c r="BZ135" s="888" t="str">
        <f>IF(A135="","",VLOOKUP(A135,'HHV-LHV-MW'!$A$3:$H$40,4,FALSE))</f>
        <v/>
      </c>
      <c r="CA135" s="889" t="str">
        <f>IF(A135="","",VLOOKUP(A135,'HHV-LHV-MW'!$A$3:$H$40,5,FALSE))</f>
        <v/>
      </c>
      <c r="CB135" s="890" t="str">
        <f>IF($BO$96="","",((PRODUCT('HHV-LHV-MW'!K70)+PRODUCT('HHV-LHV-MW'!W70)+PRODUCT('HHV-LHV-MW'!AI70)+PRODUCT('HHV-LHV-MW'!AU70))/$BO$96))</f>
        <v/>
      </c>
      <c r="CC135" s="890" t="str">
        <f>IF($BO$96="","",(IF($BO$96=1,"",  (SQRT(  (      (IF('HHV-LHV-MW'!K70="",0,('HHV-LHV-MW'!K70-CB135)^2))      +        (IF('HHV-LHV-MW'!W70="",0,('HHV-LHV-MW'!W70-CB135)^2))       +        (IF('HHV-LHV-MW'!AI70="",0,('HHV-LHV-MW'!AI70-CB135)^2))          +        (IF('HHV-LHV-MW'!AU70="",0,('HHV-LHV-MW'!AU70-CB135)^2))          )     *(1/($BO$96-1))  )))))</f>
        <v/>
      </c>
      <c r="CD135" s="890" t="str">
        <f t="shared" si="97"/>
        <v/>
      </c>
      <c r="CE135" s="890" t="str">
        <f t="shared" si="98"/>
        <v/>
      </c>
      <c r="CF135" s="636" t="str">
        <f>IF('HHV-LHV-MW'!K70="","",IF(AND('HHV-LHV-MW'!K70&gt;=0,'HHV-LHV-MW'!K70&lt;=0.09),2,  IF(AND('HHV-LHV-MW'!K70&gt;=0.1,'HHV-LHV-MW'!K70&lt;=0.9),7,  IF(AND('HHV-LHV-MW'!K70&gt;=1,'HHV-LHV-MW'!K70&lt;=4.9),10,   IF(AND('HHV-LHV-MW'!K70&gt;=5,'HHV-LHV-MW'!K70&lt;=10),12, 15)))))</f>
        <v/>
      </c>
      <c r="CG135" s="636" t="str">
        <f>IF('HHV-LHV-MW'!K70="","",5*'HHV-LHV-MW'!K70)</f>
        <v/>
      </c>
      <c r="CH135" s="635" t="str">
        <f t="shared" si="99"/>
        <v/>
      </c>
      <c r="CI135" s="636" t="str">
        <f>IF(OR(CH135="",'HHV-LHV-MW'!K70=0),"",CH135/'HHV-LHV-MW'!K70)</f>
        <v/>
      </c>
      <c r="CJ135" s="636" t="str">
        <f>IF(OR(CI135="",BZ135="",'HHV-LHV-MW'!K70=""),"",((CI135*BZ135*('HHV-LHV-MW'!K70/100))/23.685)^2)</f>
        <v/>
      </c>
      <c r="CK135" s="636" t="str">
        <f>IF(OR(CI135="",CA135="",'HHV-LHV-MW'!K70=""),"",((CI135*CA135*('HHV-LHV-MW'!K70/100))/23.685)^2)</f>
        <v/>
      </c>
      <c r="CL135" s="639" t="str">
        <f t="shared" si="100"/>
        <v/>
      </c>
      <c r="CM135" s="892" t="str">
        <f t="shared" si="101"/>
        <v/>
      </c>
      <c r="CN135" s="639" t="str">
        <f>IF(A135="","",VLOOKUP(A135,'HHV-LHV-MW'!$A$3:$H$40,7,FALSE))</f>
        <v/>
      </c>
      <c r="CO135" s="636" t="str">
        <f>IF($BO$96=1,     IF(OR(CN135="",'HHV-LHV-MW'!K70="",CI135=""),"",(CN135*('HHV-LHV-MW'!K70/100)*CI135)^2),IF(OR(CN135="",CB135="",CE135=""),"",(CN135*(CB135/100)*CE135)^2))</f>
        <v/>
      </c>
      <c r="CP135" s="635" t="str">
        <f>IF(A135="","",VLOOKUP(A135,'HHV-LHV-MW'!$A$3:$I$40,9,FALSE))</f>
        <v/>
      </c>
      <c r="CQ135" s="636" t="str">
        <f>IF($BO$96=1,     IF(OR(CP135="",'HHV-LHV-MW'!K70="",CI135=""),"",(CP135*('HHV-LHV-MW'!K70/100)*CI135)^2),IF(OR(CP135="",CB135="",CE135=""),"",(CP135*(CB135/100)*CE135)^2))</f>
        <v/>
      </c>
      <c r="CR135" s="636" t="str">
        <f>IF(A135="","",(VLOOKUP(A135,'HHV-LHV-MW'!$A$3:$F$40,6,FALSE))    )</f>
        <v/>
      </c>
      <c r="CS135" s="636" t="str">
        <f>IF($BO$96=1,     IF(OR(CR135="",'HHV-LHV-MW'!K70="",CI135=""),"",(CR135*('HHV-LHV-MW'!K70/100)*CI135)^2),IF(OR(CR135="",CB135="",CE135=""),"",(CR135*(CB135/100)*CE135)^2))</f>
        <v/>
      </c>
      <c r="CT135" s="640" t="str">
        <f>IF($BO$96=1,     IF(OR(CR135="",CP135="",$B$103="",$B$103=0,'HHV-LHV-MW'!K70="",CI135="",$CQ$145=""),"", ((CR135*((CP135*('HHV-LHV-MW'!K70/100))/$B$103))^2)*((CI135^2)+($CQ$145^2))),              IF(OR(CR135="",CP135="",CB135="",CE135="",$CQ$145="",$B$103="",$B$103=0),"",      ((CR135*((CP135*(CB135/100))/$B$103))^2)*((CE135^2)+($CQ$145^2))             ))</f>
        <v/>
      </c>
      <c r="CU135" s="889" t="str">
        <f>IF(G135="","",VLOOKUP(G135,'HHV-LHV-MW'!$A$3:$H$40,4,FALSE))</f>
        <v/>
      </c>
      <c r="CV135" s="889" t="str">
        <f>IF(G135="","",VLOOKUP(G135,'HHV-LHV-MW'!$A$3:$H$40,5,FALSE))</f>
        <v/>
      </c>
      <c r="CW135" s="890" t="str">
        <f>IF($BO$106="","",((PRODUCT('HHV-LHV-MW'!BH70)+PRODUCT('HHV-LHV-MW'!BT70)+PRODUCT('HHV-LHV-MW'!CF70)+PRODUCT('HHV-LHV-MW'!CR70))/$BO$106))</f>
        <v/>
      </c>
      <c r="CX135" s="890" t="str">
        <f>IF($BO$106="","",(IF($BO$106=1,"",  (SQRT(  (      (IF('HHV-LHV-MW'!BH70="",0,('HHV-LHV-MW'!BH70-CW135)^2))      +        (IF('HHV-LHV-MW'!BT70="",0,('HHV-LHV-MW'!BT70-CW135)^2))       +        (IF('HHV-LHV-MW'!CF70="",0,('HHV-LHV-MW'!CF70-CW135)^2))          +        (IF('HHV-LHV-MW'!CR70="",0,('HHV-LHV-MW'!CR70-CW135)^2))          )     *(1/($BO$106-1))  )))))</f>
        <v/>
      </c>
      <c r="CY135" s="890" t="str">
        <f t="shared" si="102"/>
        <v/>
      </c>
      <c r="CZ135" s="890" t="str">
        <f t="shared" si="103"/>
        <v/>
      </c>
      <c r="DA135" s="636" t="str">
        <f>IF('HHV-LHV-MW'!BH70="","",IF(AND('HHV-LHV-MW'!BH70&gt;=0,'HHV-LHV-MW'!BH70&lt;=0.09),2,  IF(AND('HHV-LHV-MW'!BH70&gt;=0.1,'HHV-LHV-MW'!BH70&lt;=0.9),7,  IF(AND('HHV-LHV-MW'!BH70&gt;=1,'HHV-LHV-MW'!BH70&lt;=4.9),10,   IF(AND('HHV-LHV-MW'!BH70&gt;=5,'HHV-LHV-MW'!BH70&lt;=10),12, 15)))))</f>
        <v/>
      </c>
      <c r="DB135" s="636" t="str">
        <f>IF('HHV-LHV-MW'!BH70="","",5*'HHV-LHV-MW'!BH70)</f>
        <v/>
      </c>
      <c r="DC135" s="635" t="str">
        <f t="shared" si="104"/>
        <v/>
      </c>
      <c r="DD135" s="636" t="str">
        <f>IF(OR(DC135="",'HHV-LHV-MW'!BH70=0),"",DC135/'HHV-LHV-MW'!BH70)</f>
        <v/>
      </c>
      <c r="DE135" s="635" t="str">
        <f>IF(OR(DD135="",CU135="",'HHV-LHV-MW'!BH70=""),"",((DD135*CU135*('HHV-LHV-MW'!BH70/100))/23.685)^2)</f>
        <v/>
      </c>
      <c r="DF135" s="636" t="str">
        <f>IF(OR(DD135="",CV135="",'HHV-LHV-MW'!BH70=""),"",((DD135*CV135*('HHV-LHV-MW'!BH70/100))/23.685)^2)</f>
        <v/>
      </c>
      <c r="DG135" s="639" t="str">
        <f t="shared" si="105"/>
        <v/>
      </c>
      <c r="DH135" s="891" t="str">
        <f t="shared" si="106"/>
        <v/>
      </c>
      <c r="DI135" s="635" t="str">
        <f>IF(G135="","",VLOOKUP(G135,'HHV-LHV-MW'!$A$3:$H$40,7,FALSE))</f>
        <v/>
      </c>
      <c r="DJ135" s="875" t="str">
        <f>IF($BO$106=1,     IF(OR(DI135="",'HHV-LHV-MW'!BH70="",DD135=""),"",(DI135*('HHV-LHV-MW'!BH70/100)*DD135)^2),IF(OR(DI135="",CW135="",CZ135=""),"",(DI135*(CW135/100)*CZ135)^2))</f>
        <v/>
      </c>
      <c r="DK135" s="635" t="str">
        <f>IF(G135="","",VLOOKUP(G135,'HHV-LHV-MW'!$A$3:$I$40,9,FALSE))</f>
        <v/>
      </c>
      <c r="DL135" s="875" t="str">
        <f>IF($BO$106=1,     IF(OR(DK135="",'HHV-LHV-MW'!BH70="",DD135=""),"",(DK135*('HHV-LHV-MW'!BH70/100)*DD135)^2),IF(OR(DK135="",CW135="",CZ135=""),"",(DK135*(CW135/100)*CZ135)^2))</f>
        <v/>
      </c>
      <c r="DM135" s="635" t="str">
        <f>IF(G135="","",(VLOOKUP(G135,'HHV-LHV-MW'!$A$3:$F$40,6,FALSE))    )</f>
        <v/>
      </c>
      <c r="DN135" s="875" t="str">
        <f>IF($BO$106=1,     IF(OR(DM135="",'HHV-LHV-MW'!BH70="",DD135=""),"",(DM135*('HHV-LHV-MW'!BH70/100)*DD135)^2),IF(OR(DM135="",CW135="",CZ135=""),"",(DM135*(CW135/100)*CZ135)^2))</f>
        <v/>
      </c>
      <c r="DO135" s="638" t="str">
        <f>IF($BO$106=1,     IF(OR(DM135="",DK135="",$H$103="",$H$103=0,'HHV-LHV-MW'!BH70="",DD135="",$DL$145=""),"", ((DM135*((DK135*('HHV-LHV-MW'!BH70/100))/$H$103))^2)*((DD135^2)+($DL$145^2))),              IF(OR(DM135="",DK135="",CW135="",CZ135="",$DL$145="",$H$103="",$H$103=0),"",      ((DM135*((DK135*(CW135/100))/$H$103))^2)*((CZ135^2)+($DL$145^2))             ))</f>
        <v/>
      </c>
      <c r="DP135" s="889" t="str">
        <f>IF(M135="","",VLOOKUP(M135,'HHV-LHV-MW'!$A$3:$H$40,4,FALSE))</f>
        <v/>
      </c>
      <c r="DQ135" s="889" t="str">
        <f>IF(M135="","",VLOOKUP(M135,'HHV-LHV-MW'!$A$3:$H$40,5,FALSE))</f>
        <v/>
      </c>
      <c r="DR135" s="890" t="str">
        <f>IF($BO$116="","",((PRODUCT('HHV-LHV-MW'!DE70)+PRODUCT('HHV-LHV-MW'!DQ70)+PRODUCT('HHV-LHV-MW'!EC70)+PRODUCT('HHV-LHV-MW'!EO70))/$BO$116))</f>
        <v/>
      </c>
      <c r="DS135" s="890" t="str">
        <f>IF($BO$116="","",(IF($BO$116=1,"",  (SQRT(  (      (IF('HHV-LHV-MW'!DE70="",0,('HHV-LHV-MW'!DE70-DR135)^2))      +        (IF('HHV-LHV-MW'!DQ70="",0,('HHV-LHV-MW'!DQ70-DR135)^2))       +        (IF('HHV-LHV-MW'!EC70="",0,('HHV-LHV-MW'!EC70-DR135)^2))          +        (IF('HHV-LHV-MW'!EO70="",0,('HHV-LHV-MW'!EO70-DR135)^2))          )     *(1/($BO$116-1))  )))))</f>
        <v/>
      </c>
      <c r="DT135" s="890" t="str">
        <f t="shared" si="107"/>
        <v/>
      </c>
      <c r="DU135" s="890" t="str">
        <f t="shared" si="108"/>
        <v/>
      </c>
      <c r="DV135" s="636" t="str">
        <f>IF('HHV-LHV-MW'!DE70="","",IF(AND('HHV-LHV-MW'!DE70&gt;=0,'HHV-LHV-MW'!DE70&lt;=0.09),2,  IF(AND('HHV-LHV-MW'!DE70&gt;=0.1,'HHV-LHV-MW'!DE70&lt;=0.9),7,  IF(AND('HHV-LHV-MW'!DE70&gt;=1,'HHV-LHV-MW'!DE70&lt;=4.9),10,   IF(AND('HHV-LHV-MW'!DE70&gt;=5,'HHV-LHV-MW'!DE70&lt;=10),12, 15)))))</f>
        <v/>
      </c>
      <c r="DW135" s="636" t="str">
        <f>IF('HHV-LHV-MW'!DE70="","",5*'HHV-LHV-MW'!DE70)</f>
        <v/>
      </c>
      <c r="DX135" s="635" t="str">
        <f t="shared" si="109"/>
        <v/>
      </c>
      <c r="DY135" s="636" t="str">
        <f>IF(OR(DX135="",'HHV-LHV-MW'!DE70=0),"",DX135/'HHV-LHV-MW'!DE70)</f>
        <v/>
      </c>
      <c r="DZ135" s="636" t="str">
        <f>IF(OR(DY135="",DP135="",'HHV-LHV-MW'!DE70=""),"",((DY135*DP135*('HHV-LHV-MW'!DE70/100))/23.685)^2)</f>
        <v/>
      </c>
      <c r="EA135" s="636" t="str">
        <f>IF(OR(DY135="",DQ135="",'HHV-LHV-MW'!DE70=""),"",((DY135*DQ135*('HHV-LHV-MW'!DE70/100))/23.685)^2)</f>
        <v/>
      </c>
      <c r="EB135" s="639" t="str">
        <f t="shared" si="110"/>
        <v/>
      </c>
      <c r="EC135" s="891" t="str">
        <f t="shared" si="111"/>
        <v/>
      </c>
      <c r="ED135" s="643" t="str">
        <f>IF(M135="","",VLOOKUP(M135,'HHV-LHV-MW'!$A$3:$H$40,7,FALSE))</f>
        <v/>
      </c>
      <c r="EE135" s="875" t="str">
        <f>IF($BO$116=1,     IF(OR(ED135="",'HHV-LHV-MW'!DE70="",DY135=""),"",(ED135*('HHV-LHV-MW'!DE70/100)*DY135)^2),IF(OR(ED135="",DR135="",DU135=""),"",(ED135*(DR135/100)*DU135)^2))</f>
        <v/>
      </c>
      <c r="EF135" s="635" t="str">
        <f>IF(M135="","",VLOOKUP(M135,'HHV-LHV-MW'!$A$3:$I$40,9,FALSE))</f>
        <v/>
      </c>
      <c r="EG135" s="875" t="str">
        <f>IF($BO$116=1,     IF(OR(EF135="",'HHV-LHV-MW'!DE70="",DY135=""),"",(EF135*('HHV-LHV-MW'!DE70/100)*DY135)^2),IF(OR(EF135="",DR135="",DU135=""),"",(EF135*(DR135/100)*DU135)^2))</f>
        <v/>
      </c>
      <c r="EH135" s="635" t="str">
        <f>IF(M135="","",(VLOOKUP(M135,'HHV-LHV-MW'!$A$3:$F$40,6,FALSE))    )</f>
        <v/>
      </c>
      <c r="EI135" s="875" t="str">
        <f>IF($BO$116=1,     IF(OR(EH135="",'HHV-LHV-MW'!DE70="",DY135=""),"",(EH135*('HHV-LHV-MW'!DE70/100)*DY135)^2),IF(OR(EH135="",DR135="",DU135=""),"",(EH135*(DR135/100)*DU135)^2))</f>
        <v/>
      </c>
      <c r="EJ135" s="638" t="str">
        <f>IF($BO$116=1,     IF(OR(EH135="",EF135="",$N$103="",$N$103=0,'HHV-LHV-MW'!DE70="",DY135="",$EG$145=""),"", ((EH135*((EF135*('HHV-LHV-MW'!DE70/100))/$N$103))^2)*((DY135^2)+($EG$145^2))),              IF(OR(EH135="",EF135="",DR135="",DU135="",$EG$145="",$N$103="",$N$103=0),"",      ((EH135*((EF135*(DR135/100))/$N$103))^2)*((DU135^2)+($EG$145^2))             ))</f>
        <v/>
      </c>
      <c r="EK135" s="889" t="str">
        <f>IF(S135="","",VLOOKUP(S135,'HHV-LHV-MW'!$A$3:$H$40,4,FALSE))</f>
        <v/>
      </c>
      <c r="EL135" s="889" t="str">
        <f>IF(S135="","",VLOOKUP(S135,'HHV-LHV-MW'!$A$3:$H$40,5,FALSE))</f>
        <v/>
      </c>
      <c r="EM135" s="890" t="str">
        <f>IF($BO$126="","",((PRODUCT('HHV-LHV-MW'!FB70)+PRODUCT('HHV-LHV-MW'!FN70)+PRODUCT('HHV-LHV-MW'!FZ70)+PRODUCT('HHV-LHV-MW'!GL70))/$BO$126))</f>
        <v/>
      </c>
      <c r="EN135" s="890" t="str">
        <f>IF($BO$126="","",(IF($BO$126=1,"",  (SQRT(  (      (IF('HHV-LHV-MW'!FB70="",0,('HHV-LHV-MW'!FB70-EM135)^2))      +        (IF('HHV-LHV-MW'!FN70="",0,('HHV-LHV-MW'!FN70-EM135)^2))       +        (IF('HHV-LHV-MW'!FZ70="",0,('HHV-LHV-MW'!FZ70-EM135)^2))          +        (IF('HHV-LHV-MW'!GL70="",0,('HHV-LHV-MW'!GL70-EM135)^2))          )     *(1/($BO$126-1))  )))))</f>
        <v/>
      </c>
      <c r="EO135" s="890" t="str">
        <f t="shared" si="112"/>
        <v/>
      </c>
      <c r="EP135" s="890" t="str">
        <f t="shared" si="113"/>
        <v/>
      </c>
      <c r="EQ135" s="636" t="str">
        <f>IF('HHV-LHV-MW'!FB70="","",IF(AND('HHV-LHV-MW'!FB70&gt;=0,'HHV-LHV-MW'!FB70&lt;=0.09),2,  IF(AND('HHV-LHV-MW'!FB70&gt;=0.1,'HHV-LHV-MW'!FB70&lt;=0.9),7,  IF(AND('HHV-LHV-MW'!FB70&gt;=1,'HHV-LHV-MW'!FB70&lt;=4.9),10,   IF(AND('HHV-LHV-MW'!FB70&gt;=5,'HHV-LHV-MW'!FB70&lt;=10),12, 15)))))</f>
        <v/>
      </c>
      <c r="ER135" s="636" t="str">
        <f>IF('HHV-LHV-MW'!FB70="","",5*'HHV-LHV-MW'!FB70)</f>
        <v/>
      </c>
      <c r="ES135" s="635" t="str">
        <f t="shared" si="114"/>
        <v/>
      </c>
      <c r="ET135" s="636" t="str">
        <f>IF(OR(ES135="",'HHV-LHV-MW'!FB70=0),"",ES135/'HHV-LHV-MW'!FB70)</f>
        <v/>
      </c>
      <c r="EU135" s="636" t="str">
        <f>IF(OR(ET135="",EK135="",'HHV-LHV-MW'!FB70=""),"",((ET135*EK135*('HHV-LHV-MW'!FB70/100))/23.685)^2)</f>
        <v/>
      </c>
      <c r="EV135" s="636" t="str">
        <f>IF(OR(ET135="",EL135="",'HHV-LHV-MW'!FB70=""),"",((ET135*EL135*('HHV-LHV-MW'!FB70/100))/23.685)^2)</f>
        <v/>
      </c>
      <c r="EW135" s="639" t="str">
        <f t="shared" si="115"/>
        <v/>
      </c>
      <c r="EX135" s="891" t="str">
        <f t="shared" si="116"/>
        <v/>
      </c>
      <c r="EY135" s="643" t="str">
        <f>IF(S135="","",VLOOKUP(S135,'HHV-LHV-MW'!$A$3:$H$40,7,FALSE))</f>
        <v/>
      </c>
      <c r="EZ135" s="875" t="str">
        <f>IF($BO$126=1,     IF(OR(EY135="",'HHV-LHV-MW'!FB70="",ET135=""),"",(EY135*('HHV-LHV-MW'!FB70/100)*ET135)^2),IF(OR(EY135="",EM135="",EP135=""),"",(EY135*(EM135/100)*EP135)^2))</f>
        <v/>
      </c>
      <c r="FA135" s="635" t="str">
        <f>IF(S135="","",VLOOKUP(S135,'HHV-LHV-MW'!$A$3:$I$40,9,FALSE))</f>
        <v/>
      </c>
      <c r="FB135" s="875" t="str">
        <f>IF($BO$126=1,     IF(OR(FA135="",'HHV-LHV-MW'!FB70="",ET135=""),"",(FA135*('HHV-LHV-MW'!FB70/100)*ET135)^2),IF(OR(FA135="",EM135="",EP135=""),"",(FA135*(EM135/100)*EP135)^2))</f>
        <v/>
      </c>
      <c r="FC135" s="635" t="str">
        <f>IF(S135="","",(VLOOKUP(S135,'HHV-LHV-MW'!$A$3:$F$40,6,FALSE))    )</f>
        <v/>
      </c>
      <c r="FD135" s="875" t="str">
        <f>IF($BO$126=1,     IF(OR(FC135="",'HHV-LHV-MW'!FB70="",ET135=""),"",(FC135*('HHV-LHV-MW'!FB70/100)*ET135)^2),IF(OR(FC135="",EM135="",EP135=""),"",(FC135*(EM135/100)*EP135)^2))</f>
        <v/>
      </c>
      <c r="FE135" s="638" t="str">
        <f>IF($BO$126=1,     IF(OR(FC135="",FA135="",$T$103="",$T$103=0,'HHV-LHV-MW'!FB70="",ET135="",$FB$145=""),"", ((FC135*((FA135*('HHV-LHV-MW'!FB70/100))/$T$103))^2)*((ET135^2)+($FB$145^2))),              IF(OR(FC135="",FA135="",EM135="",EP135="",$FB$145="",$T$103="",$T$103=0),"",      ((FC135*((FA135*(EM135/100))/$T$103))^2)*((EP135^2)+($FB$145^2))             ))</f>
        <v/>
      </c>
      <c r="FF135" s="889" t="str">
        <f>IF(Y135="","",VLOOKUP(Y135,'HHV-LHV-MW'!$A$3:$H$40,4,FALSE))</f>
        <v/>
      </c>
      <c r="FG135" s="889" t="str">
        <f>IF(Y135="","",VLOOKUP(Y135,'HHV-LHV-MW'!$A$3:$H$40,5,FALSE))</f>
        <v/>
      </c>
      <c r="FH135" s="890" t="str">
        <f>IF($BO$136="","",((PRODUCT('HHV-LHV-MW'!GY70)+PRODUCT('HHV-LHV-MW'!HK70)+PRODUCT('HHV-LHV-MW'!HW70)+PRODUCT('HHV-LHV-MW'!II70))/$BO$136))</f>
        <v/>
      </c>
      <c r="FI135" s="890" t="str">
        <f>IF($BO$136="","",(IF($BO$136=1,"",  (SQRT(  (      (IF('HHV-LHV-MW'!GY70="",0,('HHV-LHV-MW'!GY70-FH135)^2))      +        (IF('HHV-LHV-MW'!HK70="",0,('HHV-LHV-MW'!HK70-FH135)^2))       +        (IF('HHV-LHV-MW'!HW70="",0,('HHV-LHV-MW'!HW70-FH135)^2))          +        (IF('HHV-LHV-MW'!II70="",0,('HHV-LHV-MW'!II70-FH135)^2))          )     *(1/($BO$136-1))  )))))</f>
        <v/>
      </c>
      <c r="FJ135" s="890" t="str">
        <f t="shared" si="117"/>
        <v/>
      </c>
      <c r="FK135" s="890" t="str">
        <f t="shared" si="118"/>
        <v/>
      </c>
      <c r="FL135" s="636" t="str">
        <f>IF('HHV-LHV-MW'!GY70="","",IF(AND('HHV-LHV-MW'!GY70&gt;=0,'HHV-LHV-MW'!GY70&lt;=0.09),2,  IF(AND('HHV-LHV-MW'!GY70&gt;=0.1,'HHV-LHV-MW'!GY70&lt;=0.9),7,  IF(AND('HHV-LHV-MW'!GY70&gt;=1,'HHV-LHV-MW'!GY70&lt;=4.9),10,   IF(AND('HHV-LHV-MW'!GY70&gt;=5,'HHV-LHV-MW'!GY70&lt;=10),12, 15)))))</f>
        <v/>
      </c>
      <c r="FM135" s="636" t="str">
        <f>IF('HHV-LHV-MW'!GY70="","",5*'HHV-LHV-MW'!GY70)</f>
        <v/>
      </c>
      <c r="FN135" s="635" t="str">
        <f t="shared" si="119"/>
        <v/>
      </c>
      <c r="FO135" s="636" t="str">
        <f>IF(OR(FN135="",'HHV-LHV-MW'!GY70=0),"",FN135/'HHV-LHV-MW'!GY70)</f>
        <v/>
      </c>
      <c r="FP135" s="636" t="str">
        <f>IF(OR(FO135="",FF135="",'HHV-LHV-MW'!GY70=""),"",((FO135*FF135*('HHV-LHV-MW'!GY70/100))/23.685)^2)</f>
        <v/>
      </c>
      <c r="FQ135" s="636" t="str">
        <f>IF(OR(FO135="",FG135="",'HHV-LHV-MW'!GY70=""),"",((FO135*FG135*('HHV-LHV-MW'!GY70/100))/23.685)^2)</f>
        <v/>
      </c>
      <c r="FR135" s="639" t="str">
        <f t="shared" si="120"/>
        <v/>
      </c>
      <c r="FS135" s="891" t="str">
        <f t="shared" si="121"/>
        <v/>
      </c>
      <c r="FT135" s="643" t="str">
        <f>IF(Y135="","",VLOOKUP(Y135,'HHV-LHV-MW'!$A$3:$H$40,7,FALSE))</f>
        <v/>
      </c>
      <c r="FU135" s="875" t="str">
        <f>IF($BO$136=1,     IF(OR(FT135="",'HHV-LHV-MW'!GY70="",FO135=""),"",(FT135*('HHV-LHV-MW'!GY70/100)*FO135)^2),IF(OR(FT135="",FH135="",FK135=""),"",(FT135*(FH135/100)*FK135)^2))</f>
        <v/>
      </c>
      <c r="FV135" s="635" t="str">
        <f>IF(Y135="","",VLOOKUP(Y135,'HHV-LHV-MW'!$A$3:$I$40,9,FALSE))</f>
        <v/>
      </c>
      <c r="FW135" s="875" t="str">
        <f>IF($BO$136=1,     IF(OR(FV135="",'HHV-LHV-MW'!GY70="",FO135=""),"",(FV135*('HHV-LHV-MW'!GY70/100)*FO135)^2),IF(OR(FV135="",FH135="",FK135=""),"",(FV135*(FH135/100)*FK135)^2))</f>
        <v/>
      </c>
      <c r="FX135" s="635" t="str">
        <f>IF(Y135="","",(VLOOKUP(Y135,'HHV-LHV-MW'!$A$3:$F$40,6,FALSE))    )</f>
        <v/>
      </c>
      <c r="FY135" s="875" t="str">
        <f>IF($BO$136=1,     IF(OR(FX135="",'HHV-LHV-MW'!GY70="",FO135=""),"",(FX135*('HHV-LHV-MW'!GY70/100)*FO135)^2),IF(OR(FX135="",FH135="",FK135=""),"",(FX135*(FH135/100)*FK135)^2))</f>
        <v/>
      </c>
      <c r="FZ135" s="638" t="str">
        <f>IF($BO$136=1,     IF(OR(FX135="",FV135="",$Z$103="",$Z$103=0,'HHV-LHV-MW'!GY70="",FO135="",$FW$145=""),"", ((FX135*((FV135*('HHV-LHV-MW'!GY70/100))/$Z$103))^2)*((FO135^2)+($FW$145^2))),              IF(OR(FX135="",FV135="",FH135="",FK135="",$FW$145="",$Z$103="",$Z$103=0),"",      ((FX135*((FV135*(FH135/100))/$Z$103))^2)*((FK135^2)+($FW$145^2))             ))</f>
        <v/>
      </c>
      <c r="GA135" s="889" t="str">
        <f>IF(AE135="","",VLOOKUP(AE135,'HHV-LHV-MW'!$A$3:$H$40,4,FALSE))</f>
        <v/>
      </c>
      <c r="GB135" s="889" t="str">
        <f>IF(AE135="","",VLOOKUP(AE135,'HHV-LHV-MW'!$A$3:$H$40,5,FALSE))</f>
        <v/>
      </c>
      <c r="GC135" s="890" t="str">
        <f>IF($BW$96="","",((PRODUCT('HHV-LHV-MW'!IV70)+PRODUCT('HHV-LHV-MW'!JH70)+PRODUCT('HHV-LHV-MW'!JT70)+PRODUCT('HHV-LHV-MW'!KF70))/$BW$96))</f>
        <v/>
      </c>
      <c r="GD135" s="890" t="str">
        <f>IF($BW$96="","",(IF($BW$96=1,"",  (SQRT(  (      (IF('HHV-LHV-MW'!IV70="",0,('HHV-LHV-MW'!IV70-GC135)^2))      +        (IF('HHV-LHV-MW'!JH70="",0,('HHV-LHV-MW'!JH70-GC135)^2))       +        (IF('HHV-LHV-MW'!JT70="",0,('HHV-LHV-MW'!JT70-GC135)^2))          +        (IF('HHV-LHV-MW'!KF70="",0,('HHV-LHV-MW'!KF70-GC135)^2))          )     *(1/($BW$96-1))  )))))</f>
        <v/>
      </c>
      <c r="GE135" s="890" t="str">
        <f t="shared" si="122"/>
        <v/>
      </c>
      <c r="GF135" s="890" t="str">
        <f t="shared" si="123"/>
        <v/>
      </c>
      <c r="GG135" s="636" t="str">
        <f>IF('HHV-LHV-MW'!IV70="","",IF(AND('HHV-LHV-MW'!IV70&gt;=0,'HHV-LHV-MW'!IV70&lt;=0.09),2,  IF(AND('HHV-LHV-MW'!IV70&gt;=0.1,'HHV-LHV-MW'!IV70&lt;=0.9),7,  IF(AND('HHV-LHV-MW'!IV70&gt;=1,'HHV-LHV-MW'!IV70&lt;=4.9),10,   IF(AND('HHV-LHV-MW'!IV70&gt;=5,'HHV-LHV-MW'!IV70&lt;=10),12, 15)))))</f>
        <v/>
      </c>
      <c r="GH135" s="636" t="str">
        <f>IF('HHV-LHV-MW'!IV70="","",5*'HHV-LHV-MW'!IV70)</f>
        <v/>
      </c>
      <c r="GI135" s="635" t="str">
        <f t="shared" si="124"/>
        <v/>
      </c>
      <c r="GJ135" s="636" t="str">
        <f>IF(OR(GI135="",'HHV-LHV-MW'!IV70=0),"",GI135/'HHV-LHV-MW'!IV70)</f>
        <v/>
      </c>
      <c r="GK135" s="636" t="str">
        <f>IF(OR(GJ135="",GA135="",'HHV-LHV-MW'!IV70=""),"",((GJ135*GA135*('HHV-LHV-MW'!IV70/100))/23.685)^2)</f>
        <v/>
      </c>
      <c r="GL135" s="636" t="str">
        <f>IF(OR(GJ135="",GB135="",'HHV-LHV-MW'!IV70=""),"",((GJ135*GB135*('HHV-LHV-MW'!IV70/100))/23.685)^2)</f>
        <v/>
      </c>
      <c r="GM135" s="639" t="str">
        <f t="shared" si="125"/>
        <v/>
      </c>
      <c r="GN135" s="891" t="str">
        <f t="shared" si="126"/>
        <v/>
      </c>
      <c r="GO135" s="643" t="str">
        <f>IF(AE135="","",VLOOKUP(AE135,'HHV-LHV-MW'!$A$3:$H$40,7,FALSE))</f>
        <v/>
      </c>
      <c r="GP135" s="875" t="str">
        <f>IF($BW$96=1,     IF(OR(GO135="",'HHV-LHV-MW'!IV70="",GJ135=""),"",(GO135*('HHV-LHV-MW'!IV70/100)*GJ135)^2),IF(OR(GO135="",GC135="",GF135=""),"",(GO135*(GC135/100)*GF135)^2))</f>
        <v/>
      </c>
      <c r="GQ135" s="635" t="str">
        <f>IF(AE135="","",VLOOKUP(AE135,'HHV-LHV-MW'!$A$3:$I$40,9,FALSE))</f>
        <v/>
      </c>
      <c r="GR135" s="875" t="str">
        <f>IF($BW$96=1,     IF(OR(GQ135="",'HHV-LHV-MW'!IV70="",GJ135=""),"",(GQ135*('HHV-LHV-MW'!IV70/100)*GJ135)^2),IF(OR(GQ135="",GC135="",GF135=""),"",(GQ135*(GC135/100)*GF135)^2))</f>
        <v/>
      </c>
      <c r="GS135" s="635" t="str">
        <f>IF(AE135="","",(VLOOKUP(AE135,'HHV-LHV-MW'!$A$3:$F$40,6,FALSE))    )</f>
        <v/>
      </c>
      <c r="GT135" s="875" t="str">
        <f>IF($BW$96=1,     IF(OR(GS135="",'HHV-LHV-MW'!IV70="",GJ135=""),"",(GS135*('HHV-LHV-MW'!IV70/100)*GJ135)^2),IF(OR(GS135="",GC135="",GF135=""),"",(GS135*(GC135/100)*GF135)^2))</f>
        <v/>
      </c>
      <c r="GU135" s="638" t="str">
        <f>IF($BW$96=1,     IF(OR(GS135="",GQ135="",$AF$103="",$AF$103=0,'HHV-LHV-MW'!IV70="",GJ135="",$GR$145=""),"", ((GS135*((GQ135*('HHV-LHV-MW'!IV70/100))/$AF$103))^2)*((GJ135^2)+($GR$145^2))),              IF(OR(GS135="",GQ135="",GC135="",GF135="",$GR$145="",$AF$103="",$AF$103=0),"",      ((GS135*((GQ135*(GC135/100))/$AF$103))^2)*((GF135^2)+($GR$145^2))             ))</f>
        <v/>
      </c>
      <c r="GV135" s="889" t="str">
        <f>IF(AK135="","",VLOOKUP(AK135,'HHV-LHV-MW'!$A$3:$H$40,4,FALSE))</f>
        <v/>
      </c>
      <c r="GW135" s="889" t="str">
        <f>IF(AK135="","",VLOOKUP(AK135,'HHV-LHV-MW'!$A$3:$H$40,5,FALSE))</f>
        <v/>
      </c>
      <c r="GX135" s="890" t="str">
        <f>IF($BW$106="","",((PRODUCT('HHV-LHV-MW'!KS70)+PRODUCT('HHV-LHV-MW'!LE70)+PRODUCT('HHV-LHV-MW'!LQ70)+PRODUCT('HHV-LHV-MW'!MC70))/$BW$106))</f>
        <v/>
      </c>
      <c r="GY135" s="890" t="str">
        <f>IF($BW$106="","",(IF($BW$106=1,"",  (SQRT(  (      (IF('HHV-LHV-MW'!KS70="",0,('HHV-LHV-MW'!KS70-GX135)^2))      +        (IF('HHV-LHV-MW'!LE70="",0,('HHV-LHV-MW'!LE70-GX135)^2))       +        (IF('HHV-LHV-MW'!LQ70="",0,('HHV-LHV-MW'!LQ70-GX135)^2))          +        (IF('HHV-LHV-MW'!MC70="",0,('HHV-LHV-MW'!MC70-GX135)^2))          )     *(1/($BW$106-1))  )))))</f>
        <v/>
      </c>
      <c r="GZ135" s="890" t="str">
        <f t="shared" si="127"/>
        <v/>
      </c>
      <c r="HA135" s="890" t="str">
        <f t="shared" si="128"/>
        <v/>
      </c>
      <c r="HB135" s="636" t="str">
        <f>IF('HHV-LHV-MW'!KS70="","",IF(AND('HHV-LHV-MW'!KS70&gt;=0,'HHV-LHV-MW'!KS70&lt;=0.09),2,  IF(AND('HHV-LHV-MW'!KS70&gt;=0.1,'HHV-LHV-MW'!KS70&lt;=0.9),7,  IF(AND('HHV-LHV-MW'!KS70&gt;=1,'HHV-LHV-MW'!KS70&lt;=4.9),10,   IF(AND('HHV-LHV-MW'!KS70&gt;=5,'HHV-LHV-MW'!KS70&lt;=10),12, 15)))))</f>
        <v/>
      </c>
      <c r="HC135" s="636" t="str">
        <f>IF('HHV-LHV-MW'!KS70="","",5*'HHV-LHV-MW'!KS70)</f>
        <v/>
      </c>
      <c r="HD135" s="635" t="str">
        <f t="shared" si="129"/>
        <v/>
      </c>
      <c r="HE135" s="636" t="str">
        <f>IF(OR(HD135="",'HHV-LHV-MW'!KS70=0),"",HD135/'HHV-LHV-MW'!KS70)</f>
        <v/>
      </c>
      <c r="HF135" s="636" t="str">
        <f>IF(OR(HE135="",GV135="",'HHV-LHV-MW'!KS70=""),"",((HE135*GV135*('HHV-LHV-MW'!KS70/100))/23.685)^2)</f>
        <v/>
      </c>
      <c r="HG135" s="636" t="str">
        <f>IF(OR(HE135="",GW135="",'HHV-LHV-MW'!KS70=""),"",((HE135*GW135*('HHV-LHV-MW'!KS70/100))/23.685)^2)</f>
        <v/>
      </c>
      <c r="HH135" s="639" t="str">
        <f t="shared" si="130"/>
        <v/>
      </c>
      <c r="HI135" s="891" t="str">
        <f t="shared" si="131"/>
        <v/>
      </c>
      <c r="HJ135" s="643" t="str">
        <f>IF(AK135="","",VLOOKUP(AK135,'HHV-LHV-MW'!$A$3:$H$40,7,FALSE))</f>
        <v/>
      </c>
      <c r="HK135" s="875" t="str">
        <f>IF($BW$106=1,     IF(OR(HJ135="",'HHV-LHV-MW'!KS70="",HE135=""),"",(HJ135*('HHV-LHV-MW'!KS70/100)*HE135)^2),IF(OR(HJ135="",GX135="",HA135=""),"",(HJ135*(GX135/100)*HA135)^2))</f>
        <v/>
      </c>
      <c r="HL135" s="635" t="str">
        <f>IF(AK135="","",VLOOKUP(AK135,'HHV-LHV-MW'!$A$3:$I$40,9,FALSE))</f>
        <v/>
      </c>
      <c r="HM135" s="875" t="str">
        <f>IF($BW$106=1,     IF(OR(HL135="",'HHV-LHV-MW'!KS70="",HE135=""),"",(HL135*('HHV-LHV-MW'!KS70/100)*HE135)^2),IF(OR(HL135="",GX135="",HA135=""),"",(HL135*(GX135/100)*HA135)^2))</f>
        <v/>
      </c>
      <c r="HN135" s="635" t="str">
        <f>IF(AK135="","",(VLOOKUP(AK135,'HHV-LHV-MW'!$A$3:$F$40,6,FALSE))    )</f>
        <v/>
      </c>
      <c r="HO135" s="875" t="str">
        <f>IF($BW$106=1,     IF(OR(HN135="",'HHV-LHV-MW'!KS70="",HE135=""),"",(HN135*('HHV-LHV-MW'!KS70/100)*HE135)^2),IF(OR(HN135="",GX135="",HA135=""),"",(HN135*(GX135/100)*HA135)^2))</f>
        <v/>
      </c>
      <c r="HP135" s="638" t="str">
        <f>IF($BW$106=1,     IF(OR(HN135="",HL135="",$AL$103="",$AL$103=0,'HHV-LHV-MW'!KS70="",HE135="",$HM$145=""),"", ((HN135*((HL135*('HHV-LHV-MW'!KS70/100))/$AL$103))^2)*((HE135^2)+($HM$145^2))),              IF(OR(HN135="",HL135="",GX135="",HA135="",$HM$145="",$AL$103="",$AL$103=0),"",      ((HN135*((HL135*(GX135/100))/$AL$103))^2)*((HA135^2)+($HM$145^2))             ))</f>
        <v/>
      </c>
      <c r="HQ135" s="889" t="str">
        <f>IF(AQ135="","",VLOOKUP(AQ135,'HHV-LHV-MW'!$A$3:$H$40,4,FALSE))</f>
        <v/>
      </c>
      <c r="HR135" s="889" t="str">
        <f>IF(AQ135="","",VLOOKUP(AQ135,'HHV-LHV-MW'!$A$3:$H$40,5,FALSE))</f>
        <v/>
      </c>
      <c r="HS135" s="890" t="str">
        <f>IF($BW$116="","",((PRODUCT('HHV-LHV-MW'!MP70)+PRODUCT('HHV-LHV-MW'!NB70)+PRODUCT('HHV-LHV-MW'!NN70)+PRODUCT('HHV-LHV-MW'!NZ70))/$BW$116))</f>
        <v/>
      </c>
      <c r="HT135" s="890" t="str">
        <f>IF($BW$116="","",(IF($BW$116=1,"",  (SQRT(  (      (IF('HHV-LHV-MW'!MP70="",0,('HHV-LHV-MW'!MP70-HS135)^2))      +        (IF('HHV-LHV-MW'!NB70="",0,('HHV-LHV-MW'!NB70-HS135)^2))       +        (IF('HHV-LHV-MW'!NN70="",0,('HHV-LHV-MW'!NN70-HS135)^2))          +        (IF('HHV-LHV-MW'!NZ70="",0,('HHV-LHV-MW'!NZ70-HS135)^2))          )     *(1/($BW$116-1))  )))))</f>
        <v/>
      </c>
      <c r="HU135" s="890" t="str">
        <f t="shared" si="132"/>
        <v/>
      </c>
      <c r="HV135" s="890" t="str">
        <f t="shared" si="133"/>
        <v/>
      </c>
      <c r="HW135" s="636" t="str">
        <f>IF('HHV-LHV-MW'!MP70="","",IF(AND('HHV-LHV-MW'!MP70&gt;=0,'HHV-LHV-MW'!MP70&lt;=0.09),2,  IF(AND('HHV-LHV-MW'!MP70&gt;=0.1,'HHV-LHV-MW'!MP70&lt;=0.9),7,  IF(AND('HHV-LHV-MW'!MP70&gt;=1,'HHV-LHV-MW'!MP70&lt;=4.9),10,   IF(AND('HHV-LHV-MW'!MP70&gt;=5,'HHV-LHV-MW'!MP70&lt;=10),12, 15)))))</f>
        <v/>
      </c>
      <c r="HX135" s="636" t="str">
        <f>IF('HHV-LHV-MW'!MP70="","",5*'HHV-LHV-MW'!MP70)</f>
        <v/>
      </c>
      <c r="HY135" s="635" t="str">
        <f t="shared" si="134"/>
        <v/>
      </c>
      <c r="HZ135" s="636" t="str">
        <f>IF(OR(HY135="",'HHV-LHV-MW'!MP70=0),"",HY135/'HHV-LHV-MW'!MP70)</f>
        <v/>
      </c>
      <c r="IA135" s="636" t="str">
        <f>IF(OR(HZ135="",HQ135="",'HHV-LHV-MW'!MP70=""),"",((HZ135*HQ135*('HHV-LHV-MW'!MP70/100))/23.685)^2)</f>
        <v/>
      </c>
      <c r="IB135" s="636" t="str">
        <f>IF(OR(HZ135="",HR135="",'HHV-LHV-MW'!MP70=""),"",((HZ135*HR135*('HHV-LHV-MW'!MP70/100))/23.685)^2)</f>
        <v/>
      </c>
      <c r="IC135" s="639" t="str">
        <f t="shared" si="135"/>
        <v/>
      </c>
      <c r="ID135" s="891" t="str">
        <f t="shared" si="136"/>
        <v/>
      </c>
      <c r="IE135" s="643" t="str">
        <f>IF(AQ135="","",VLOOKUP(AQ135,'HHV-LHV-MW'!$A$3:$H$40,7,FALSE))</f>
        <v/>
      </c>
      <c r="IF135" s="875" t="str">
        <f>IF($BW$116=1,     IF(OR(IE135="",'HHV-LHV-MW'!MP70="",HZ135=""),"",(IE135*('HHV-LHV-MW'!MP70/100)*HZ135)^2),IF(OR(IE135="",HS135="",HV135=""),"",(IE135*(HS135/100)*HV135)^2))</f>
        <v/>
      </c>
      <c r="IG135" s="635" t="str">
        <f>IF(AQ135="","",VLOOKUP(AQ135,'HHV-LHV-MW'!$A$3:$I$40,9,FALSE))</f>
        <v/>
      </c>
      <c r="IH135" s="875" t="str">
        <f>IF($BW$116=1,     IF(OR(IG135="",'HHV-LHV-MW'!MP70="",HZ135=""),"",(IG135*('HHV-LHV-MW'!MP70/100)*HZ135)^2),IF(OR(IG135="",HS135="",HV135=""),"",(IG135*(HS135/100)*HV135)^2))</f>
        <v/>
      </c>
      <c r="II135" s="635" t="str">
        <f>IF(AQ135="","",(VLOOKUP(AQ135,'HHV-LHV-MW'!$A$3:$F$40,6,FALSE))    )</f>
        <v/>
      </c>
      <c r="IJ135" s="875" t="str">
        <f>IF($BW$116=1,     IF(OR(II135="",'HHV-LHV-MW'!MP70="",HZ135=""),"",(II135*('HHV-LHV-MW'!MP70/100)*HZ135)^2),IF(OR(II135="",HS135="",HV135=""),"",(II135*(HS135/100)*HV135)^2))</f>
        <v/>
      </c>
      <c r="IK135" s="638" t="str">
        <f>IF($BW$116=1,     IF(OR(II135="",IG135="",$AR$103="",$AR$103=0,'HHV-LHV-MW'!MP70="",HZ135="",$IH$145=""),"", ((II135*((IG135*('HHV-LHV-MW'!MP70/100))/$AR$103))^2)*((HZ135^2)+($IH$145^2))),              IF(OR(II135="",IG135="",HS135="",HV135="",$IH$145="",$AR$103="",$AR$103=0),"",      ((II135*((IG135*(HS135/100))/$AR$103))^2)*((HV135^2)+($IH$145^2))             ))</f>
        <v/>
      </c>
      <c r="IL135" s="889" t="str">
        <f>IF(AW135="","",VLOOKUP(AW135,'HHV-LHV-MW'!$A$3:$H$40,4,FALSE))</f>
        <v/>
      </c>
      <c r="IM135" s="889" t="str">
        <f>IF(AW135="","",VLOOKUP(AW135,'HHV-LHV-MW'!$A$3:$H$40,5,FALSE))</f>
        <v/>
      </c>
      <c r="IN135" s="890" t="str">
        <f>IF($BW$126="","",((PRODUCT('HHV-LHV-MW'!ON70)+PRODUCT('HHV-LHV-MW'!OZ70)+PRODUCT('HHV-LHV-MW'!PL70)+PRODUCT('HHV-LHV-MW'!PX70))/$BW$126))</f>
        <v/>
      </c>
      <c r="IO135" s="890" t="str">
        <f>IF($BW$126="","",(IF($BW$126=1,"",  (SQRT(  (      (IF('HHV-LHV-MW'!ON70="",0,('HHV-LHV-MW'!ON70-IN135)^2))      +        (IF('HHV-LHV-MW'!OZ70="",0,('HHV-LHV-MW'!OZ70-IN135)^2))       +        (IF('HHV-LHV-MW'!PL70="",0,('HHV-LHV-MW'!PL70-IN135)^2))          +        (IF('HHV-LHV-MW'!PX70="",0,('HHV-LHV-MW'!PX70-IN135)^2))          )     *(1/($BW$126-1))  )))))</f>
        <v/>
      </c>
      <c r="IP135" s="890" t="str">
        <f t="shared" si="137"/>
        <v/>
      </c>
      <c r="IQ135" s="890" t="str">
        <f t="shared" si="138"/>
        <v/>
      </c>
      <c r="IR135" s="636" t="str">
        <f>IF('HHV-LHV-MW'!ON70="","",IF(AND('HHV-LHV-MW'!ON70&gt;=0,'HHV-LHV-MW'!ON70&lt;=0.09),2,  IF(AND('HHV-LHV-MW'!ON70&gt;=0.1,'HHV-LHV-MW'!ON70&lt;=0.9),7,  IF(AND('HHV-LHV-MW'!ON70&gt;=1,'HHV-LHV-MW'!ON70&lt;=4.9),10,   IF(AND('HHV-LHV-MW'!ON70&gt;=5,'HHV-LHV-MW'!ON70&lt;=10),12, 15)))))</f>
        <v/>
      </c>
      <c r="IS135" s="636" t="str">
        <f>IF('HHV-LHV-MW'!ON70="","",5*'HHV-LHV-MW'!ON70)</f>
        <v/>
      </c>
      <c r="IT135" s="635" t="str">
        <f t="shared" si="139"/>
        <v/>
      </c>
      <c r="IU135" s="636" t="str">
        <f>IF(OR(IT135="",'HHV-LHV-MW'!ON70=0),"",IT135/'HHV-LHV-MW'!ON70)</f>
        <v/>
      </c>
      <c r="IV135" s="636" t="str">
        <f>IF(OR(IU135="",IL135="",'HHV-LHV-MW'!ON70=""),"",((IU135*IL135*('HHV-LHV-MW'!ON70/100))/23.685)^2)</f>
        <v/>
      </c>
      <c r="IW135" s="636" t="str">
        <f>IF(OR(IU135="",IM135="",'HHV-LHV-MW'!ON70=""),"",((IU135*IM135*('HHV-LHV-MW'!ON70/100))/23.685)^2)</f>
        <v/>
      </c>
      <c r="IX135" s="639" t="str">
        <f t="shared" si="140"/>
        <v/>
      </c>
      <c r="IY135" s="891" t="str">
        <f t="shared" si="141"/>
        <v/>
      </c>
      <c r="IZ135" s="643" t="str">
        <f>IF(AW135="","",VLOOKUP(AW135,'HHV-LHV-MW'!$A$3:$H$40,7,FALSE))</f>
        <v/>
      </c>
      <c r="JA135" s="875" t="str">
        <f>IF($BW$126=1,     IF(OR(IZ135="",'HHV-LHV-MW'!ON70="",IU135=""),"",(IZ135*('HHV-LHV-MW'!ON70/100)*IU135)^2),IF(OR(IZ135="",IN135="",IQ135=""),"",(IZ135*(IN135/100)*IQ135)^2))</f>
        <v/>
      </c>
      <c r="JB135" s="635" t="str">
        <f>IF(AW135="","",VLOOKUP(AW135,'HHV-LHV-MW'!$A$3:$I$40,9,FALSE))</f>
        <v/>
      </c>
      <c r="JC135" s="875" t="str">
        <f>IF($BW$126=1,     IF(OR(JB135="",'HHV-LHV-MW'!ON70="",IU135=""),"",(JB135*('HHV-LHV-MW'!ON70/100)*IU135)^2),IF(OR(JB135="",IN135="",IQ135=""),"",(JB135*(IN135/100)*IQ135)^2))</f>
        <v/>
      </c>
      <c r="JD135" s="635" t="str">
        <f>IF(AW135="","",(VLOOKUP(AW135,'HHV-LHV-MW'!$A$3:$F$40,6,FALSE))    )</f>
        <v/>
      </c>
      <c r="JE135" s="875" t="str">
        <f>IF($BW$126=1,     IF(OR(JD135="",'HHV-LHV-MW'!ON70="",IU135=""),"",(JD135*('HHV-LHV-MW'!ON70/100)*IU135)^2),IF(OR(JD135="",IN135="",IQ135=""),"",(JD135*(IN135/100)*IQ135)^2))</f>
        <v/>
      </c>
      <c r="JF135" s="638" t="str">
        <f>IF($BW$126=1,     IF(OR(JD135="",JB135="",$AX$103="",$AX$103=0,'HHV-LHV-MW'!ON70="",IU135="",$JC$145=""),"", ((JD135*((JB135*('HHV-LHV-MW'!ON70/100))/$AX$103))^2)*((IU135^2)+($JC$145^2))),              IF(OR(JD135="",JB135="",IN135="",IQ135="",$JC$145="",$AX$103="",$AX$103=0),"",      ((JD135*((JB135*(IN135/100))/$AX$103))^2)*((IQ135^2)+($JC$145^2))             ))</f>
        <v/>
      </c>
      <c r="JG135" s="889" t="str">
        <f>IF(BC135="","",VLOOKUP(BC135,'HHV-LHV-MW'!$A$3:$H$40,4,FALSE))</f>
        <v/>
      </c>
      <c r="JH135" s="889" t="str">
        <f>IF(BC135="","",VLOOKUP(BC135,'HHV-LHV-MW'!$A$3:$H$40,5,FALSE))</f>
        <v/>
      </c>
      <c r="JI135" s="890" t="str">
        <f>IF($BW$136="","",((PRODUCT('HHV-LHV-MW'!QK70)+PRODUCT('HHV-LHV-MW'!QW70)+PRODUCT('HHV-LHV-MW'!RI70)+PRODUCT('HHV-LHV-MW'!RU70))/$BW$136))</f>
        <v/>
      </c>
      <c r="JJ135" s="890" t="str">
        <f>IF($BW$136="","",(IF($BW$136=1,"",  (SQRT(  (      (IF('HHV-LHV-MW'!QK70="",0,('HHV-LHV-MW'!QK70-JI135)^2))      +        (IF('HHV-LHV-MW'!QW70="",0,('HHV-LHV-MW'!QW70-JI135)^2))       +        (IF('HHV-LHV-MW'!RI70="",0,('HHV-LHV-MW'!RI70-JI135)^2))          +        (IF('HHV-LHV-MW'!RU70="",0,('HHV-LHV-MW'!RU70-JI135)^2))          )     *(1/($BW$136-1))  )))))</f>
        <v/>
      </c>
      <c r="JK135" s="890" t="str">
        <f t="shared" si="142"/>
        <v/>
      </c>
      <c r="JL135" s="890" t="str">
        <f t="shared" si="143"/>
        <v/>
      </c>
      <c r="JM135" s="636" t="str">
        <f>IF('HHV-LHV-MW'!QK70="","",IF(AND('HHV-LHV-MW'!QK70&gt;=0,'HHV-LHV-MW'!QK70&lt;=0.09),2,  IF(AND('HHV-LHV-MW'!QK70&gt;=0.1,'HHV-LHV-MW'!QK70&lt;=0.9),7,  IF(AND('HHV-LHV-MW'!QK70&gt;=1,'HHV-LHV-MW'!QK70&lt;=4.9),10,   IF(AND('HHV-LHV-MW'!QK70&gt;=5,'HHV-LHV-MW'!QK70&lt;=10),12, 15)))))</f>
        <v/>
      </c>
      <c r="JN135" s="636" t="str">
        <f>IF('HHV-LHV-MW'!QK70="","",5*'HHV-LHV-MW'!QK70)</f>
        <v/>
      </c>
      <c r="JO135" s="635" t="str">
        <f t="shared" si="144"/>
        <v/>
      </c>
      <c r="JP135" s="636" t="str">
        <f>IF(OR(JO135="",'HHV-LHV-MW'!QK70=0),"",JO135/'HHV-LHV-MW'!QK70)</f>
        <v/>
      </c>
      <c r="JQ135" s="636" t="str">
        <f>IF(OR(JP135="",JG135="",'HHV-LHV-MW'!QK70=""),"",((JP135*JG135*('HHV-LHV-MW'!QK70/100))/23.685)^2)</f>
        <v/>
      </c>
      <c r="JR135" s="636" t="str">
        <f>IF(OR(JP135="",JH135="",'HHV-LHV-MW'!QK70=""),"",((JP135*JH135*('HHV-LHV-MW'!QK70/100))/23.685)^2)</f>
        <v/>
      </c>
      <c r="JS135" s="639" t="str">
        <f t="shared" si="145"/>
        <v/>
      </c>
      <c r="JT135" s="891" t="str">
        <f t="shared" si="146"/>
        <v/>
      </c>
      <c r="JU135" s="643" t="str">
        <f>IF(BC135="","",VLOOKUP(BC135,'HHV-LHV-MW'!$A$3:$H$40,7,FALSE))</f>
        <v/>
      </c>
      <c r="JV135" s="875" t="str">
        <f>IF($BW$136=1,     IF(OR(JU135="",'HHV-LHV-MW'!QK70="",JP135=""),"",(JU135*('HHV-LHV-MW'!QK70/100)*JP135)^2),IF(OR(JU135="",JI135="",JL135=""),"",(JU135*(JI135/100)*JL135)^2))</f>
        <v/>
      </c>
      <c r="JW135" s="635" t="str">
        <f>IF(BC135="","",VLOOKUP(BC135,'HHV-LHV-MW'!$A$3:$I$40,9,FALSE))</f>
        <v/>
      </c>
      <c r="JX135" s="875" t="str">
        <f>IF($BW$136=1,     IF(OR(JW135="",'HHV-LHV-MW'!QK70="",JP135=""),"",(JW135*('HHV-LHV-MW'!QK70/100)*JP135)^2),IF(OR(JW135="",JI135="",JL135=""),"",(JW135*(JI135/100)*JL135)^2))</f>
        <v/>
      </c>
      <c r="JY135" s="635" t="str">
        <f>IF(BC135="","",(VLOOKUP(BC135,'HHV-LHV-MW'!$A$3:$F$40,6,FALSE))    )</f>
        <v/>
      </c>
      <c r="JZ135" s="875" t="str">
        <f>IF($BW$136=1,     IF(OR(JY135="",'HHV-LHV-MW'!QK70="",JP135=""),"",(JY135*('HHV-LHV-MW'!QK70/100)*JP135)^2),IF(OR(JY135="",JI135="",JL135=""),"",(JY135*(JI135/100)*JL135)^2))</f>
        <v/>
      </c>
      <c r="KA135" s="638" t="str">
        <f>IF($BW$136=1,     IF(OR(JY135="",JW135="",$BD$103="",$BD$103=0,'HHV-LHV-MW'!QK70="",JP135="",$JX$145=""),"", ((JY135*((JW135*('HHV-LHV-MW'!QK70/100))/$BD$103))^2)*((JP135^2)+($JX$145^2))),              IF(OR(JY135="",JW135="",JI135="",JL135="",$JX$145="",$BD$103="",$BD$103=0),"",      ((JY135*((JW135*(JI135/100))/$BD$103))^2)*((JL135^2)+($JX$145^2))             ))</f>
        <v/>
      </c>
      <c r="KB135" s="874"/>
      <c r="KC135" s="874"/>
      <c r="KD135" s="874"/>
      <c r="KE135" s="874"/>
      <c r="KF135" s="874"/>
      <c r="KG135" s="874"/>
      <c r="KH135" s="865"/>
      <c r="KI135" s="865"/>
      <c r="KJ135" s="865"/>
      <c r="KK135" s="865"/>
      <c r="KL135" s="865"/>
      <c r="KM135" s="865"/>
      <c r="KN135" s="865"/>
      <c r="KO135" s="865"/>
      <c r="KP135" s="865"/>
      <c r="KQ135" s="865"/>
      <c r="KR135" s="865"/>
      <c r="KS135" s="865"/>
      <c r="KT135" s="865"/>
      <c r="KU135" s="865"/>
      <c r="KV135" s="865"/>
      <c r="KW135" s="865"/>
      <c r="KX135" s="865"/>
      <c r="KY135" s="865"/>
      <c r="KZ135" s="865"/>
      <c r="LA135" s="865"/>
      <c r="LB135" s="865"/>
      <c r="LC135" s="865"/>
      <c r="LD135" s="865"/>
      <c r="LE135" s="865"/>
      <c r="LF135" s="865"/>
    </row>
    <row r="136" spans="1:318" ht="19.2" thickBot="1">
      <c r="A136" s="864"/>
      <c r="B136" s="502"/>
      <c r="C136" s="502"/>
      <c r="D136" s="502"/>
      <c r="E136" s="502"/>
      <c r="F136" s="511"/>
      <c r="G136" s="864"/>
      <c r="H136" s="502"/>
      <c r="I136" s="502"/>
      <c r="J136" s="502"/>
      <c r="K136" s="502"/>
      <c r="L136" s="511"/>
      <c r="M136" s="864"/>
      <c r="N136" s="502"/>
      <c r="O136" s="502"/>
      <c r="P136" s="502"/>
      <c r="Q136" s="502"/>
      <c r="R136" s="511"/>
      <c r="S136" s="864"/>
      <c r="T136" s="502"/>
      <c r="U136" s="502"/>
      <c r="V136" s="502"/>
      <c r="W136" s="502"/>
      <c r="X136" s="511"/>
      <c r="Y136" s="864"/>
      <c r="Z136" s="502"/>
      <c r="AA136" s="502"/>
      <c r="AB136" s="502"/>
      <c r="AC136" s="502"/>
      <c r="AD136" s="511"/>
      <c r="AE136" s="864"/>
      <c r="AF136" s="502"/>
      <c r="AG136" s="502"/>
      <c r="AH136" s="502"/>
      <c r="AI136" s="502"/>
      <c r="AJ136" s="511"/>
      <c r="AK136" s="864"/>
      <c r="AL136" s="502"/>
      <c r="AM136" s="502"/>
      <c r="AN136" s="502"/>
      <c r="AO136" s="502"/>
      <c r="AP136" s="511"/>
      <c r="AQ136" s="864"/>
      <c r="AR136" s="502"/>
      <c r="AS136" s="502"/>
      <c r="AT136" s="502"/>
      <c r="AU136" s="502"/>
      <c r="AV136" s="511"/>
      <c r="AW136" s="864"/>
      <c r="AX136" s="502"/>
      <c r="AY136" s="502"/>
      <c r="AZ136" s="502"/>
      <c r="BA136" s="502"/>
      <c r="BB136" s="511"/>
      <c r="BC136" s="864"/>
      <c r="BD136" s="502"/>
      <c r="BE136" s="502"/>
      <c r="BF136" s="502"/>
      <c r="BG136" s="502"/>
      <c r="BH136" s="865"/>
      <c r="BI136" s="865"/>
      <c r="BJ136" s="1143" t="s">
        <v>1468</v>
      </c>
      <c r="BK136" s="2481"/>
      <c r="BL136" s="2481"/>
      <c r="BM136" s="2481"/>
      <c r="BN136" s="1144"/>
      <c r="BO136" s="2439"/>
      <c r="BP136" s="2439"/>
      <c r="BQ136" s="865"/>
      <c r="BR136" s="1143" t="s">
        <v>1468</v>
      </c>
      <c r="BS136" s="2481"/>
      <c r="BT136" s="2481"/>
      <c r="BU136" s="2481"/>
      <c r="BV136" s="1144"/>
      <c r="BW136" s="2439"/>
      <c r="BX136" s="2439"/>
      <c r="BY136" s="874"/>
      <c r="BZ136" s="888" t="str">
        <f>IF(A136="","",VLOOKUP(A136,'HHV-LHV-MW'!$A$3:$H$40,4,FALSE))</f>
        <v/>
      </c>
      <c r="CA136" s="889" t="str">
        <f>IF(A136="","",VLOOKUP(A136,'HHV-LHV-MW'!$A$3:$H$40,5,FALSE))</f>
        <v/>
      </c>
      <c r="CB136" s="890" t="str">
        <f>IF($BO$96="","",((PRODUCT('HHV-LHV-MW'!K71)+PRODUCT('HHV-LHV-MW'!W71)+PRODUCT('HHV-LHV-MW'!AI71)+PRODUCT('HHV-LHV-MW'!AU71))/$BO$96))</f>
        <v/>
      </c>
      <c r="CC136" s="890" t="str">
        <f>IF($BO$96="","",(IF($BO$96=1,"",  (SQRT(  (      (IF('HHV-LHV-MW'!K71="",0,('HHV-LHV-MW'!K71-CB136)^2))      +        (IF('HHV-LHV-MW'!W71="",0,('HHV-LHV-MW'!W71-CB136)^2))       +        (IF('HHV-LHV-MW'!AI71="",0,('HHV-LHV-MW'!AI71-CB136)^2))          +        (IF('HHV-LHV-MW'!AU71="",0,('HHV-LHV-MW'!AU71-CB136)^2))          )     *(1/($BO$96-1))  )))))</f>
        <v/>
      </c>
      <c r="CD136" s="890" t="str">
        <f t="shared" si="97"/>
        <v/>
      </c>
      <c r="CE136" s="890" t="str">
        <f t="shared" si="98"/>
        <v/>
      </c>
      <c r="CF136" s="636" t="str">
        <f>IF('HHV-LHV-MW'!K71="","",IF(AND('HHV-LHV-MW'!K71&gt;=0,'HHV-LHV-MW'!K71&lt;=0.09),2,  IF(AND('HHV-LHV-MW'!K71&gt;=0.1,'HHV-LHV-MW'!K71&lt;=0.9),7,  IF(AND('HHV-LHV-MW'!K71&gt;=1,'HHV-LHV-MW'!K71&lt;=4.9),10,   IF(AND('HHV-LHV-MW'!K71&gt;=5,'HHV-LHV-MW'!K71&lt;=10),12, 15)))))</f>
        <v/>
      </c>
      <c r="CG136" s="636" t="str">
        <f>IF('HHV-LHV-MW'!K71="","",5*'HHV-LHV-MW'!K71)</f>
        <v/>
      </c>
      <c r="CH136" s="635" t="str">
        <f t="shared" si="99"/>
        <v/>
      </c>
      <c r="CI136" s="636" t="str">
        <f>IF(OR(CH136="",'HHV-LHV-MW'!K71=0),"",CH136/'HHV-LHV-MW'!K71)</f>
        <v/>
      </c>
      <c r="CJ136" s="636" t="str">
        <f>IF(OR(CI136="",BZ136="",'HHV-LHV-MW'!K71=""),"",((CI136*BZ136*('HHV-LHV-MW'!K71/100))/23.685)^2)</f>
        <v/>
      </c>
      <c r="CK136" s="636" t="str">
        <f>IF(OR(CI136="",CA136="",'HHV-LHV-MW'!K71=""),"",((CI136*CA136*('HHV-LHV-MW'!K71/100))/23.685)^2)</f>
        <v/>
      </c>
      <c r="CL136" s="639" t="str">
        <f t="shared" si="100"/>
        <v/>
      </c>
      <c r="CM136" s="892" t="str">
        <f t="shared" si="101"/>
        <v/>
      </c>
      <c r="CN136" s="639" t="str">
        <f>IF(A136="","",VLOOKUP(A136,'HHV-LHV-MW'!$A$3:$H$40,7,FALSE))</f>
        <v/>
      </c>
      <c r="CO136" s="636" t="str">
        <f>IF($BO$96=1,     IF(OR(CN136="",'HHV-LHV-MW'!K71="",CI136=""),"",(CN136*('HHV-LHV-MW'!K71/100)*CI136)^2),IF(OR(CN136="",CB136="",CE136=""),"",(CN136*(CB136/100)*CE136)^2))</f>
        <v/>
      </c>
      <c r="CP136" s="635" t="str">
        <f>IF(A136="","",VLOOKUP(A136,'HHV-LHV-MW'!$A$3:$I$40,9,FALSE))</f>
        <v/>
      </c>
      <c r="CQ136" s="636" t="str">
        <f>IF($BO$96=1,     IF(OR(CP136="",'HHV-LHV-MW'!K71="",CI136=""),"",(CP136*('HHV-LHV-MW'!K71/100)*CI136)^2),IF(OR(CP136="",CB136="",CE136=""),"",(CP136*(CB136/100)*CE136)^2))</f>
        <v/>
      </c>
      <c r="CR136" s="636" t="str">
        <f>IF(A136="","",(VLOOKUP(A136,'HHV-LHV-MW'!$A$3:$F$40,6,FALSE))    )</f>
        <v/>
      </c>
      <c r="CS136" s="636" t="str">
        <f>IF($BO$96=1,     IF(OR(CR136="",'HHV-LHV-MW'!K71="",CI136=""),"",(CR136*('HHV-LHV-MW'!K71/100)*CI136)^2),IF(OR(CR136="",CB136="",CE136=""),"",(CR136*(CB136/100)*CE136)^2))</f>
        <v/>
      </c>
      <c r="CT136" s="640" t="str">
        <f>IF($BO$96=1,     IF(OR(CR136="",CP136="",$B$103="",$B$103=0,'HHV-LHV-MW'!K71="",CI136="",$CQ$145=""),"", ((CR136*((CP136*('HHV-LHV-MW'!K71/100))/$B$103))^2)*((CI136^2)+($CQ$145^2))),              IF(OR(CR136="",CP136="",CB136="",CE136="",$CQ$145="",$B$103="",$B$103=0),"",      ((CR136*((CP136*(CB136/100))/$B$103))^2)*((CE136^2)+($CQ$145^2))             ))</f>
        <v/>
      </c>
      <c r="CU136" s="889" t="str">
        <f>IF(G136="","",VLOOKUP(G136,'HHV-LHV-MW'!$A$3:$H$40,4,FALSE))</f>
        <v/>
      </c>
      <c r="CV136" s="889" t="str">
        <f>IF(G136="","",VLOOKUP(G136,'HHV-LHV-MW'!$A$3:$H$40,5,FALSE))</f>
        <v/>
      </c>
      <c r="CW136" s="890" t="str">
        <f>IF($BO$106="","",((PRODUCT('HHV-LHV-MW'!BH71)+PRODUCT('HHV-LHV-MW'!BT71)+PRODUCT('HHV-LHV-MW'!CF71)+PRODUCT('HHV-LHV-MW'!CR71))/$BO$106))</f>
        <v/>
      </c>
      <c r="CX136" s="890" t="str">
        <f>IF($BO$106="","",(IF($BO$106=1,"",  (SQRT(  (      (IF('HHV-LHV-MW'!BH71="",0,('HHV-LHV-MW'!BH71-CW136)^2))      +        (IF('HHV-LHV-MW'!BT71="",0,('HHV-LHV-MW'!BT71-CW136)^2))       +        (IF('HHV-LHV-MW'!CF71="",0,('HHV-LHV-MW'!CF71-CW136)^2))          +        (IF('HHV-LHV-MW'!CR71="",0,('HHV-LHV-MW'!CR71-CW136)^2))          )     *(1/($BO$106-1))  )))))</f>
        <v/>
      </c>
      <c r="CY136" s="890" t="str">
        <f t="shared" si="102"/>
        <v/>
      </c>
      <c r="CZ136" s="890" t="str">
        <f t="shared" si="103"/>
        <v/>
      </c>
      <c r="DA136" s="636" t="str">
        <f>IF('HHV-LHV-MW'!BH71="","",IF(AND('HHV-LHV-MW'!BH71&gt;=0,'HHV-LHV-MW'!BH71&lt;=0.09),2,  IF(AND('HHV-LHV-MW'!BH71&gt;=0.1,'HHV-LHV-MW'!BH71&lt;=0.9),7,  IF(AND('HHV-LHV-MW'!BH71&gt;=1,'HHV-LHV-MW'!BH71&lt;=4.9),10,   IF(AND('HHV-LHV-MW'!BH71&gt;=5,'HHV-LHV-MW'!BH71&lt;=10),12, 15)))))</f>
        <v/>
      </c>
      <c r="DB136" s="636" t="str">
        <f>IF('HHV-LHV-MW'!BH71="","",5*'HHV-LHV-MW'!BH71)</f>
        <v/>
      </c>
      <c r="DC136" s="635" t="str">
        <f t="shared" si="104"/>
        <v/>
      </c>
      <c r="DD136" s="636" t="str">
        <f>IF(OR(DC136="",'HHV-LHV-MW'!BH71=0),"",DC136/'HHV-LHV-MW'!BH71)</f>
        <v/>
      </c>
      <c r="DE136" s="635" t="str">
        <f>IF(OR(DD136="",CU136="",'HHV-LHV-MW'!BH71=""),"",((DD136*CU136*('HHV-LHV-MW'!BH71/100))/23.685)^2)</f>
        <v/>
      </c>
      <c r="DF136" s="636" t="str">
        <f>IF(OR(DD136="",CV136="",'HHV-LHV-MW'!BH71=""),"",((DD136*CV136*('HHV-LHV-MW'!BH71/100))/23.685)^2)</f>
        <v/>
      </c>
      <c r="DG136" s="639" t="str">
        <f t="shared" si="105"/>
        <v/>
      </c>
      <c r="DH136" s="891" t="str">
        <f t="shared" si="106"/>
        <v/>
      </c>
      <c r="DI136" s="635" t="str">
        <f>IF(G136="","",VLOOKUP(G136,'HHV-LHV-MW'!$A$3:$H$40,7,FALSE))</f>
        <v/>
      </c>
      <c r="DJ136" s="875" t="str">
        <f>IF($BO$106=1,     IF(OR(DI136="",'HHV-LHV-MW'!BH71="",DD136=""),"",(DI136*('HHV-LHV-MW'!BH71/100)*DD136)^2),IF(OR(DI136="",CW136="",CZ136=""),"",(DI136*(CW136/100)*CZ136)^2))</f>
        <v/>
      </c>
      <c r="DK136" s="635" t="str">
        <f>IF(G136="","",VLOOKUP(G136,'HHV-LHV-MW'!$A$3:$I$40,9,FALSE))</f>
        <v/>
      </c>
      <c r="DL136" s="875" t="str">
        <f>IF($BO$106=1,     IF(OR(DK136="",'HHV-LHV-MW'!BH71="",DD136=""),"",(DK136*('HHV-LHV-MW'!BH71/100)*DD136)^2),IF(OR(DK136="",CW136="",CZ136=""),"",(DK136*(CW136/100)*CZ136)^2))</f>
        <v/>
      </c>
      <c r="DM136" s="635" t="str">
        <f>IF(G136="","",(VLOOKUP(G136,'HHV-LHV-MW'!$A$3:$F$40,6,FALSE))    )</f>
        <v/>
      </c>
      <c r="DN136" s="875" t="str">
        <f>IF($BO$106=1,     IF(OR(DM136="",'HHV-LHV-MW'!BH71="",DD136=""),"",(DM136*('HHV-LHV-MW'!BH71/100)*DD136)^2),IF(OR(DM136="",CW136="",CZ136=""),"",(DM136*(CW136/100)*CZ136)^2))</f>
        <v/>
      </c>
      <c r="DO136" s="638" t="str">
        <f>IF($BO$106=1,     IF(OR(DM136="",DK136="",$H$103="",$H$103=0,'HHV-LHV-MW'!BH71="",DD136="",$DL$145=""),"", ((DM136*((DK136*('HHV-LHV-MW'!BH71/100))/$H$103))^2)*((DD136^2)+($DL$145^2))),              IF(OR(DM136="",DK136="",CW136="",CZ136="",$DL$145="",$H$103="",$H$103=0),"",      ((DM136*((DK136*(CW136/100))/$H$103))^2)*((CZ136^2)+($DL$145^2))             ))</f>
        <v/>
      </c>
      <c r="DP136" s="889" t="str">
        <f>IF(M136="","",VLOOKUP(M136,'HHV-LHV-MW'!$A$3:$H$40,4,FALSE))</f>
        <v/>
      </c>
      <c r="DQ136" s="889" t="str">
        <f>IF(M136="","",VLOOKUP(M136,'HHV-LHV-MW'!$A$3:$H$40,5,FALSE))</f>
        <v/>
      </c>
      <c r="DR136" s="890" t="str">
        <f>IF($BO$116="","",((PRODUCT('HHV-LHV-MW'!DE71)+PRODUCT('HHV-LHV-MW'!DQ71)+PRODUCT('HHV-LHV-MW'!EC71)+PRODUCT('HHV-LHV-MW'!EO71))/$BO$116))</f>
        <v/>
      </c>
      <c r="DS136" s="890" t="str">
        <f>IF($BO$116="","",(IF($BO$116=1,"",  (SQRT(  (      (IF('HHV-LHV-MW'!DE71="",0,('HHV-LHV-MW'!DE71-DR136)^2))      +        (IF('HHV-LHV-MW'!DQ71="",0,('HHV-LHV-MW'!DQ71-DR136)^2))       +        (IF('HHV-LHV-MW'!EC71="",0,('HHV-LHV-MW'!EC71-DR136)^2))          +        (IF('HHV-LHV-MW'!EO71="",0,('HHV-LHV-MW'!EO71-DR136)^2))          )     *(1/($BO$116-1))  )))))</f>
        <v/>
      </c>
      <c r="DT136" s="890" t="str">
        <f t="shared" si="107"/>
        <v/>
      </c>
      <c r="DU136" s="890" t="str">
        <f t="shared" si="108"/>
        <v/>
      </c>
      <c r="DV136" s="636" t="str">
        <f>IF('HHV-LHV-MW'!DE71="","",IF(AND('HHV-LHV-MW'!DE71&gt;=0,'HHV-LHV-MW'!DE71&lt;=0.09),2,  IF(AND('HHV-LHV-MW'!DE71&gt;=0.1,'HHV-LHV-MW'!DE71&lt;=0.9),7,  IF(AND('HHV-LHV-MW'!DE71&gt;=1,'HHV-LHV-MW'!DE71&lt;=4.9),10,   IF(AND('HHV-LHV-MW'!DE71&gt;=5,'HHV-LHV-MW'!DE71&lt;=10),12, 15)))))</f>
        <v/>
      </c>
      <c r="DW136" s="636" t="str">
        <f>IF('HHV-LHV-MW'!DE71="","",5*'HHV-LHV-MW'!DE71)</f>
        <v/>
      </c>
      <c r="DX136" s="635" t="str">
        <f t="shared" si="109"/>
        <v/>
      </c>
      <c r="DY136" s="636" t="str">
        <f>IF(OR(DX136="",'HHV-LHV-MW'!DE71=0),"",DX136/'HHV-LHV-MW'!DE71)</f>
        <v/>
      </c>
      <c r="DZ136" s="636" t="str">
        <f>IF(OR(DY136="",DP136="",'HHV-LHV-MW'!DE71=""),"",((DY136*DP136*('HHV-LHV-MW'!DE71/100))/23.685)^2)</f>
        <v/>
      </c>
      <c r="EA136" s="636" t="str">
        <f>IF(OR(DY136="",DQ136="",'HHV-LHV-MW'!DE71=""),"",((DY136*DQ136*('HHV-LHV-MW'!DE71/100))/23.685)^2)</f>
        <v/>
      </c>
      <c r="EB136" s="639" t="str">
        <f t="shared" si="110"/>
        <v/>
      </c>
      <c r="EC136" s="891" t="str">
        <f t="shared" si="111"/>
        <v/>
      </c>
      <c r="ED136" s="643" t="str">
        <f>IF(M136="","",VLOOKUP(M136,'HHV-LHV-MW'!$A$3:$H$40,7,FALSE))</f>
        <v/>
      </c>
      <c r="EE136" s="875" t="str">
        <f>IF($BO$116=1,     IF(OR(ED136="",'HHV-LHV-MW'!DE71="",DY136=""),"",(ED136*('HHV-LHV-MW'!DE71/100)*DY136)^2),IF(OR(ED136="",DR136="",DU136=""),"",(ED136*(DR136/100)*DU136)^2))</f>
        <v/>
      </c>
      <c r="EF136" s="635" t="str">
        <f>IF(M136="","",VLOOKUP(M136,'HHV-LHV-MW'!$A$3:$I$40,9,FALSE))</f>
        <v/>
      </c>
      <c r="EG136" s="875" t="str">
        <f>IF($BO$116=1,     IF(OR(EF136="",'HHV-LHV-MW'!DE71="",DY136=""),"",(EF136*('HHV-LHV-MW'!DE71/100)*DY136)^2),IF(OR(EF136="",DR136="",DU136=""),"",(EF136*(DR136/100)*DU136)^2))</f>
        <v/>
      </c>
      <c r="EH136" s="635" t="str">
        <f>IF(M136="","",(VLOOKUP(M136,'HHV-LHV-MW'!$A$3:$F$40,6,FALSE))    )</f>
        <v/>
      </c>
      <c r="EI136" s="875" t="str">
        <f>IF($BO$116=1,     IF(OR(EH136="",'HHV-LHV-MW'!DE71="",DY136=""),"",(EH136*('HHV-LHV-MW'!DE71/100)*DY136)^2),IF(OR(EH136="",DR136="",DU136=""),"",(EH136*(DR136/100)*DU136)^2))</f>
        <v/>
      </c>
      <c r="EJ136" s="638" t="str">
        <f>IF($BO$116=1,     IF(OR(EH136="",EF136="",$N$103="",$N$103=0,'HHV-LHV-MW'!DE71="",DY136="",$EG$145=""),"", ((EH136*((EF136*('HHV-LHV-MW'!DE71/100))/$N$103))^2)*((DY136^2)+($EG$145^2))),              IF(OR(EH136="",EF136="",DR136="",DU136="",$EG$145="",$N$103="",$N$103=0),"",      ((EH136*((EF136*(DR136/100))/$N$103))^2)*((DU136^2)+($EG$145^2))             ))</f>
        <v/>
      </c>
      <c r="EK136" s="889" t="str">
        <f>IF(S136="","",VLOOKUP(S136,'HHV-LHV-MW'!$A$3:$H$40,4,FALSE))</f>
        <v/>
      </c>
      <c r="EL136" s="889" t="str">
        <f>IF(S136="","",VLOOKUP(S136,'HHV-LHV-MW'!$A$3:$H$40,5,FALSE))</f>
        <v/>
      </c>
      <c r="EM136" s="890" t="str">
        <f>IF($BO$126="","",((PRODUCT('HHV-LHV-MW'!FB71)+PRODUCT('HHV-LHV-MW'!FN71)+PRODUCT('HHV-LHV-MW'!FZ71)+PRODUCT('HHV-LHV-MW'!GL71))/$BO$126))</f>
        <v/>
      </c>
      <c r="EN136" s="890" t="str">
        <f>IF($BO$126="","",(IF($BO$126=1,"",  (SQRT(  (      (IF('HHV-LHV-MW'!FB71="",0,('HHV-LHV-MW'!FB71-EM136)^2))      +        (IF('HHV-LHV-MW'!FN71="",0,('HHV-LHV-MW'!FN71-EM136)^2))       +        (IF('HHV-LHV-MW'!FZ71="",0,('HHV-LHV-MW'!FZ71-EM136)^2))          +        (IF('HHV-LHV-MW'!GL71="",0,('HHV-LHV-MW'!GL71-EM136)^2))          )     *(1/($BO$126-1))  )))))</f>
        <v/>
      </c>
      <c r="EO136" s="890" t="str">
        <f t="shared" si="112"/>
        <v/>
      </c>
      <c r="EP136" s="890" t="str">
        <f t="shared" si="113"/>
        <v/>
      </c>
      <c r="EQ136" s="636" t="str">
        <f>IF('HHV-LHV-MW'!FB71="","",IF(AND('HHV-LHV-MW'!FB71&gt;=0,'HHV-LHV-MW'!FB71&lt;=0.09),2,  IF(AND('HHV-LHV-MW'!FB71&gt;=0.1,'HHV-LHV-MW'!FB71&lt;=0.9),7,  IF(AND('HHV-LHV-MW'!FB71&gt;=1,'HHV-LHV-MW'!FB71&lt;=4.9),10,   IF(AND('HHV-LHV-MW'!FB71&gt;=5,'HHV-LHV-MW'!FB71&lt;=10),12, 15)))))</f>
        <v/>
      </c>
      <c r="ER136" s="636" t="str">
        <f>IF('HHV-LHV-MW'!FB71="","",5*'HHV-LHV-MW'!FB71)</f>
        <v/>
      </c>
      <c r="ES136" s="635" t="str">
        <f t="shared" si="114"/>
        <v/>
      </c>
      <c r="ET136" s="636" t="str">
        <f>IF(OR(ES136="",'HHV-LHV-MW'!FB71=0),"",ES136/'HHV-LHV-MW'!FB71)</f>
        <v/>
      </c>
      <c r="EU136" s="636" t="str">
        <f>IF(OR(ET136="",EK136="",'HHV-LHV-MW'!FB71=""),"",((ET136*EK136*('HHV-LHV-MW'!FB71/100))/23.685)^2)</f>
        <v/>
      </c>
      <c r="EV136" s="636" t="str">
        <f>IF(OR(ET136="",EL136="",'HHV-LHV-MW'!FB71=""),"",((ET136*EL136*('HHV-LHV-MW'!FB71/100))/23.685)^2)</f>
        <v/>
      </c>
      <c r="EW136" s="639" t="str">
        <f t="shared" si="115"/>
        <v/>
      </c>
      <c r="EX136" s="891" t="str">
        <f t="shared" si="116"/>
        <v/>
      </c>
      <c r="EY136" s="643" t="str">
        <f>IF(S136="","",VLOOKUP(S136,'HHV-LHV-MW'!$A$3:$H$40,7,FALSE))</f>
        <v/>
      </c>
      <c r="EZ136" s="875" t="str">
        <f>IF($BO$126=1,     IF(OR(EY136="",'HHV-LHV-MW'!FB71="",ET136=""),"",(EY136*('HHV-LHV-MW'!FB71/100)*ET136)^2),IF(OR(EY136="",EM136="",EP136=""),"",(EY136*(EM136/100)*EP136)^2))</f>
        <v/>
      </c>
      <c r="FA136" s="635" t="str">
        <f>IF(S136="","",VLOOKUP(S136,'HHV-LHV-MW'!$A$3:$I$40,9,FALSE))</f>
        <v/>
      </c>
      <c r="FB136" s="875" t="str">
        <f>IF($BO$126=1,     IF(OR(FA136="",'HHV-LHV-MW'!FB71="",ET136=""),"",(FA136*('HHV-LHV-MW'!FB71/100)*ET136)^2),IF(OR(FA136="",EM136="",EP136=""),"",(FA136*(EM136/100)*EP136)^2))</f>
        <v/>
      </c>
      <c r="FC136" s="635" t="str">
        <f>IF(S136="","",(VLOOKUP(S136,'HHV-LHV-MW'!$A$3:$F$40,6,FALSE))    )</f>
        <v/>
      </c>
      <c r="FD136" s="875" t="str">
        <f>IF($BO$126=1,     IF(OR(FC136="",'HHV-LHV-MW'!FB71="",ET136=""),"",(FC136*('HHV-LHV-MW'!FB71/100)*ET136)^2),IF(OR(FC136="",EM136="",EP136=""),"",(FC136*(EM136/100)*EP136)^2))</f>
        <v/>
      </c>
      <c r="FE136" s="638" t="str">
        <f>IF($BO$126=1,     IF(OR(FC136="",FA136="",$T$103="",$T$103=0,'HHV-LHV-MW'!FB71="",ET136="",$FB$145=""),"", ((FC136*((FA136*('HHV-LHV-MW'!FB71/100))/$T$103))^2)*((ET136^2)+($FB$145^2))),              IF(OR(FC136="",FA136="",EM136="",EP136="",$FB$145="",$T$103="",$T$103=0),"",      ((FC136*((FA136*(EM136/100))/$T$103))^2)*((EP136^2)+($FB$145^2))             ))</f>
        <v/>
      </c>
      <c r="FF136" s="889" t="str">
        <f>IF(Y136="","",VLOOKUP(Y136,'HHV-LHV-MW'!$A$3:$H$40,4,FALSE))</f>
        <v/>
      </c>
      <c r="FG136" s="889" t="str">
        <f>IF(Y136="","",VLOOKUP(Y136,'HHV-LHV-MW'!$A$3:$H$40,5,FALSE))</f>
        <v/>
      </c>
      <c r="FH136" s="890" t="str">
        <f>IF($BO$136="","",((PRODUCT('HHV-LHV-MW'!GY71)+PRODUCT('HHV-LHV-MW'!HK71)+PRODUCT('HHV-LHV-MW'!HW71)+PRODUCT('HHV-LHV-MW'!II71))/$BO$136))</f>
        <v/>
      </c>
      <c r="FI136" s="890" t="str">
        <f>IF($BO$136="","",(IF($BO$136=1,"",  (SQRT(  (      (IF('HHV-LHV-MW'!GY71="",0,('HHV-LHV-MW'!GY71-FH136)^2))      +        (IF('HHV-LHV-MW'!HK71="",0,('HHV-LHV-MW'!HK71-FH136)^2))       +        (IF('HHV-LHV-MW'!HW71="",0,('HHV-LHV-MW'!HW71-FH136)^2))          +        (IF('HHV-LHV-MW'!II71="",0,('HHV-LHV-MW'!II71-FH136)^2))          )     *(1/($BO$136-1))  )))))</f>
        <v/>
      </c>
      <c r="FJ136" s="890" t="str">
        <f t="shared" si="117"/>
        <v/>
      </c>
      <c r="FK136" s="890" t="str">
        <f t="shared" si="118"/>
        <v/>
      </c>
      <c r="FL136" s="636" t="str">
        <f>IF('HHV-LHV-MW'!GY71="","",IF(AND('HHV-LHV-MW'!GY71&gt;=0,'HHV-LHV-MW'!GY71&lt;=0.09),2,  IF(AND('HHV-LHV-MW'!GY71&gt;=0.1,'HHV-LHV-MW'!GY71&lt;=0.9),7,  IF(AND('HHV-LHV-MW'!GY71&gt;=1,'HHV-LHV-MW'!GY71&lt;=4.9),10,   IF(AND('HHV-LHV-MW'!GY71&gt;=5,'HHV-LHV-MW'!GY71&lt;=10),12, 15)))))</f>
        <v/>
      </c>
      <c r="FM136" s="636" t="str">
        <f>IF('HHV-LHV-MW'!GY71="","",5*'HHV-LHV-MW'!GY71)</f>
        <v/>
      </c>
      <c r="FN136" s="635" t="str">
        <f t="shared" si="119"/>
        <v/>
      </c>
      <c r="FO136" s="636" t="str">
        <f>IF(OR(FN136="",'HHV-LHV-MW'!GY71=0),"",FN136/'HHV-LHV-MW'!GY71)</f>
        <v/>
      </c>
      <c r="FP136" s="636" t="str">
        <f>IF(OR(FO136="",FF136="",'HHV-LHV-MW'!GY71=""),"",((FO136*FF136*('HHV-LHV-MW'!GY71/100))/23.685)^2)</f>
        <v/>
      </c>
      <c r="FQ136" s="636" t="str">
        <f>IF(OR(FO136="",FG136="",'HHV-LHV-MW'!GY71=""),"",((FO136*FG136*('HHV-LHV-MW'!GY71/100))/23.685)^2)</f>
        <v/>
      </c>
      <c r="FR136" s="639" t="str">
        <f t="shared" si="120"/>
        <v/>
      </c>
      <c r="FS136" s="891" t="str">
        <f t="shared" si="121"/>
        <v/>
      </c>
      <c r="FT136" s="643" t="str">
        <f>IF(Y136="","",VLOOKUP(Y136,'HHV-LHV-MW'!$A$3:$H$40,7,FALSE))</f>
        <v/>
      </c>
      <c r="FU136" s="875" t="str">
        <f>IF($BO$136=1,     IF(OR(FT136="",'HHV-LHV-MW'!GY71="",FO136=""),"",(FT136*('HHV-LHV-MW'!GY71/100)*FO136)^2),IF(OR(FT136="",FH136="",FK136=""),"",(FT136*(FH136/100)*FK136)^2))</f>
        <v/>
      </c>
      <c r="FV136" s="635" t="str">
        <f>IF(Y136="","",VLOOKUP(Y136,'HHV-LHV-MW'!$A$3:$I$40,9,FALSE))</f>
        <v/>
      </c>
      <c r="FW136" s="875" t="str">
        <f>IF($BO$136=1,     IF(OR(FV136="",'HHV-LHV-MW'!GY71="",FO136=""),"",(FV136*('HHV-LHV-MW'!GY71/100)*FO136)^2),IF(OR(FV136="",FH136="",FK136=""),"",(FV136*(FH136/100)*FK136)^2))</f>
        <v/>
      </c>
      <c r="FX136" s="635" t="str">
        <f>IF(Y136="","",(VLOOKUP(Y136,'HHV-LHV-MW'!$A$3:$F$40,6,FALSE))    )</f>
        <v/>
      </c>
      <c r="FY136" s="875" t="str">
        <f>IF($BO$136=1,     IF(OR(FX136="",'HHV-LHV-MW'!GY71="",FO136=""),"",(FX136*('HHV-LHV-MW'!GY71/100)*FO136)^2),IF(OR(FX136="",FH136="",FK136=""),"",(FX136*(FH136/100)*FK136)^2))</f>
        <v/>
      </c>
      <c r="FZ136" s="638" t="str">
        <f>IF($BO$136=1,     IF(OR(FX136="",FV136="",$Z$103="",$Z$103=0,'HHV-LHV-MW'!GY71="",FO136="",$FW$145=""),"", ((FX136*((FV136*('HHV-LHV-MW'!GY71/100))/$Z$103))^2)*((FO136^2)+($FW$145^2))),              IF(OR(FX136="",FV136="",FH136="",FK136="",$FW$145="",$Z$103="",$Z$103=0),"",      ((FX136*((FV136*(FH136/100))/$Z$103))^2)*((FK136^2)+($FW$145^2))             ))</f>
        <v/>
      </c>
      <c r="GA136" s="889" t="str">
        <f>IF(AE136="","",VLOOKUP(AE136,'HHV-LHV-MW'!$A$3:$H$40,4,FALSE))</f>
        <v/>
      </c>
      <c r="GB136" s="889" t="str">
        <f>IF(AE136="","",VLOOKUP(AE136,'HHV-LHV-MW'!$A$3:$H$40,5,FALSE))</f>
        <v/>
      </c>
      <c r="GC136" s="890" t="str">
        <f>IF($BW$96="","",((PRODUCT('HHV-LHV-MW'!IV71)+PRODUCT('HHV-LHV-MW'!JH71)+PRODUCT('HHV-LHV-MW'!JT71)+PRODUCT('HHV-LHV-MW'!KF71))/$BW$96))</f>
        <v/>
      </c>
      <c r="GD136" s="890" t="str">
        <f>IF($BW$96="","",(IF($BW$96=1,"",  (SQRT(  (      (IF('HHV-LHV-MW'!IV71="",0,('HHV-LHV-MW'!IV71-GC136)^2))      +        (IF('HHV-LHV-MW'!JH71="",0,('HHV-LHV-MW'!JH71-GC136)^2))       +        (IF('HHV-LHV-MW'!JT71="",0,('HHV-LHV-MW'!JT71-GC136)^2))          +        (IF('HHV-LHV-MW'!KF71="",0,('HHV-LHV-MW'!KF71-GC136)^2))          )     *(1/($BW$96-1))  )))))</f>
        <v/>
      </c>
      <c r="GE136" s="890" t="str">
        <f t="shared" si="122"/>
        <v/>
      </c>
      <c r="GF136" s="890" t="str">
        <f t="shared" si="123"/>
        <v/>
      </c>
      <c r="GG136" s="636" t="str">
        <f>IF('HHV-LHV-MW'!IV71="","",IF(AND('HHV-LHV-MW'!IV71&gt;=0,'HHV-LHV-MW'!IV71&lt;=0.09),2,  IF(AND('HHV-LHV-MW'!IV71&gt;=0.1,'HHV-LHV-MW'!IV71&lt;=0.9),7,  IF(AND('HHV-LHV-MW'!IV71&gt;=1,'HHV-LHV-MW'!IV71&lt;=4.9),10,   IF(AND('HHV-LHV-MW'!IV71&gt;=5,'HHV-LHV-MW'!IV71&lt;=10),12, 15)))))</f>
        <v/>
      </c>
      <c r="GH136" s="636" t="str">
        <f>IF('HHV-LHV-MW'!IV71="","",5*'HHV-LHV-MW'!IV71)</f>
        <v/>
      </c>
      <c r="GI136" s="635" t="str">
        <f t="shared" si="124"/>
        <v/>
      </c>
      <c r="GJ136" s="636" t="str">
        <f>IF(OR(GI136="",'HHV-LHV-MW'!IV71=0),"",GI136/'HHV-LHV-MW'!IV71)</f>
        <v/>
      </c>
      <c r="GK136" s="636" t="str">
        <f>IF(OR(GJ136="",GA136="",'HHV-LHV-MW'!IV71=""),"",((GJ136*GA136*('HHV-LHV-MW'!IV71/100))/23.685)^2)</f>
        <v/>
      </c>
      <c r="GL136" s="636" t="str">
        <f>IF(OR(GJ136="",GB136="",'HHV-LHV-MW'!IV71=""),"",((GJ136*GB136*('HHV-LHV-MW'!IV71/100))/23.685)^2)</f>
        <v/>
      </c>
      <c r="GM136" s="639" t="str">
        <f t="shared" si="125"/>
        <v/>
      </c>
      <c r="GN136" s="891" t="str">
        <f t="shared" si="126"/>
        <v/>
      </c>
      <c r="GO136" s="643" t="str">
        <f>IF(AE136="","",VLOOKUP(AE136,'HHV-LHV-MW'!$A$3:$H$40,7,FALSE))</f>
        <v/>
      </c>
      <c r="GP136" s="875" t="str">
        <f>IF($BW$96=1,     IF(OR(GO136="",'HHV-LHV-MW'!IV71="",GJ136=""),"",(GO136*('HHV-LHV-MW'!IV71/100)*GJ136)^2),IF(OR(GO136="",GC136="",GF136=""),"",(GO136*(GC136/100)*GF136)^2))</f>
        <v/>
      </c>
      <c r="GQ136" s="635" t="str">
        <f>IF(AE136="","",VLOOKUP(AE136,'HHV-LHV-MW'!$A$3:$I$40,9,FALSE))</f>
        <v/>
      </c>
      <c r="GR136" s="875" t="str">
        <f>IF($BW$96=1,     IF(OR(GQ136="",'HHV-LHV-MW'!IV71="",GJ136=""),"",(GQ136*('HHV-LHV-MW'!IV71/100)*GJ136)^2),IF(OR(GQ136="",GC136="",GF136=""),"",(GQ136*(GC136/100)*GF136)^2))</f>
        <v/>
      </c>
      <c r="GS136" s="635" t="str">
        <f>IF(AE136="","",(VLOOKUP(AE136,'HHV-LHV-MW'!$A$3:$F$40,6,FALSE))    )</f>
        <v/>
      </c>
      <c r="GT136" s="875" t="str">
        <f>IF($BW$96=1,     IF(OR(GS136="",'HHV-LHV-MW'!IV71="",GJ136=""),"",(GS136*('HHV-LHV-MW'!IV71/100)*GJ136)^2),IF(OR(GS136="",GC136="",GF136=""),"",(GS136*(GC136/100)*GF136)^2))</f>
        <v/>
      </c>
      <c r="GU136" s="638" t="str">
        <f>IF($BW$96=1,     IF(OR(GS136="",GQ136="",$AF$103="",$AF$103=0,'HHV-LHV-MW'!IV71="",GJ136="",$GR$145=""),"", ((GS136*((GQ136*('HHV-LHV-MW'!IV71/100))/$AF$103))^2)*((GJ136^2)+($GR$145^2))),              IF(OR(GS136="",GQ136="",GC136="",GF136="",$GR$145="",$AF$103="",$AF$103=0),"",      ((GS136*((GQ136*(GC136/100))/$AF$103))^2)*((GF136^2)+($GR$145^2))             ))</f>
        <v/>
      </c>
      <c r="GV136" s="889" t="str">
        <f>IF(AK136="","",VLOOKUP(AK136,'HHV-LHV-MW'!$A$3:$H$40,4,FALSE))</f>
        <v/>
      </c>
      <c r="GW136" s="889" t="str">
        <f>IF(AK136="","",VLOOKUP(AK136,'HHV-LHV-MW'!$A$3:$H$40,5,FALSE))</f>
        <v/>
      </c>
      <c r="GX136" s="890" t="str">
        <f>IF($BW$106="","",((PRODUCT('HHV-LHV-MW'!KS71)+PRODUCT('HHV-LHV-MW'!LE71)+PRODUCT('HHV-LHV-MW'!LQ71)+PRODUCT('HHV-LHV-MW'!MC71))/$BW$106))</f>
        <v/>
      </c>
      <c r="GY136" s="890" t="str">
        <f>IF($BW$106="","",(IF($BW$106=1,"",  (SQRT(  (      (IF('HHV-LHV-MW'!KS71="",0,('HHV-LHV-MW'!KS71-GX136)^2))      +        (IF('HHV-LHV-MW'!LE71="",0,('HHV-LHV-MW'!LE71-GX136)^2))       +        (IF('HHV-LHV-MW'!LQ71="",0,('HHV-LHV-MW'!LQ71-GX136)^2))          +        (IF('HHV-LHV-MW'!MC71="",0,('HHV-LHV-MW'!MC71-GX136)^2))          )     *(1/($BW$106-1))  )))))</f>
        <v/>
      </c>
      <c r="GZ136" s="890" t="str">
        <f t="shared" si="127"/>
        <v/>
      </c>
      <c r="HA136" s="890" t="str">
        <f t="shared" si="128"/>
        <v/>
      </c>
      <c r="HB136" s="636" t="str">
        <f>IF('HHV-LHV-MW'!KS71="","",IF(AND('HHV-LHV-MW'!KS71&gt;=0,'HHV-LHV-MW'!KS71&lt;=0.09),2,  IF(AND('HHV-LHV-MW'!KS71&gt;=0.1,'HHV-LHV-MW'!KS71&lt;=0.9),7,  IF(AND('HHV-LHV-MW'!KS71&gt;=1,'HHV-LHV-MW'!KS71&lt;=4.9),10,   IF(AND('HHV-LHV-MW'!KS71&gt;=5,'HHV-LHV-MW'!KS71&lt;=10),12, 15)))))</f>
        <v/>
      </c>
      <c r="HC136" s="636" t="str">
        <f>IF('HHV-LHV-MW'!KS71="","",5*'HHV-LHV-MW'!KS71)</f>
        <v/>
      </c>
      <c r="HD136" s="635" t="str">
        <f t="shared" si="129"/>
        <v/>
      </c>
      <c r="HE136" s="636" t="str">
        <f>IF(OR(HD136="",'HHV-LHV-MW'!KS71=0),"",HD136/'HHV-LHV-MW'!KS71)</f>
        <v/>
      </c>
      <c r="HF136" s="636" t="str">
        <f>IF(OR(HE136="",GV136="",'HHV-LHV-MW'!KS71=""),"",((HE136*GV136*('HHV-LHV-MW'!KS71/100))/23.685)^2)</f>
        <v/>
      </c>
      <c r="HG136" s="636" t="str">
        <f>IF(OR(HE136="",GW136="",'HHV-LHV-MW'!KS71=""),"",((HE136*GW136*('HHV-LHV-MW'!KS71/100))/23.685)^2)</f>
        <v/>
      </c>
      <c r="HH136" s="639" t="str">
        <f t="shared" si="130"/>
        <v/>
      </c>
      <c r="HI136" s="891" t="str">
        <f t="shared" si="131"/>
        <v/>
      </c>
      <c r="HJ136" s="643" t="str">
        <f>IF(AK136="","",VLOOKUP(AK136,'HHV-LHV-MW'!$A$3:$H$40,7,FALSE))</f>
        <v/>
      </c>
      <c r="HK136" s="875" t="str">
        <f>IF($BW$106=1,     IF(OR(HJ136="",'HHV-LHV-MW'!KS71="",HE136=""),"",(HJ136*('HHV-LHV-MW'!KS71/100)*HE136)^2),IF(OR(HJ136="",GX136="",HA136=""),"",(HJ136*(GX136/100)*HA136)^2))</f>
        <v/>
      </c>
      <c r="HL136" s="635" t="str">
        <f>IF(AK136="","",VLOOKUP(AK136,'HHV-LHV-MW'!$A$3:$I$40,9,FALSE))</f>
        <v/>
      </c>
      <c r="HM136" s="875" t="str">
        <f>IF($BW$106=1,     IF(OR(HL136="",'HHV-LHV-MW'!KS71="",HE136=""),"",(HL136*('HHV-LHV-MW'!KS71/100)*HE136)^2),IF(OR(HL136="",GX136="",HA136=""),"",(HL136*(GX136/100)*HA136)^2))</f>
        <v/>
      </c>
      <c r="HN136" s="635" t="str">
        <f>IF(AK136="","",(VLOOKUP(AK136,'HHV-LHV-MW'!$A$3:$F$40,6,FALSE))    )</f>
        <v/>
      </c>
      <c r="HO136" s="875" t="str">
        <f>IF($BW$106=1,     IF(OR(HN136="",'HHV-LHV-MW'!KS71="",HE136=""),"",(HN136*('HHV-LHV-MW'!KS71/100)*HE136)^2),IF(OR(HN136="",GX136="",HA136=""),"",(HN136*(GX136/100)*HA136)^2))</f>
        <v/>
      </c>
      <c r="HP136" s="638" t="str">
        <f>IF($BW$106=1,     IF(OR(HN136="",HL136="",$AL$103="",$AL$103=0,'HHV-LHV-MW'!KS71="",HE136="",$HM$145=""),"", ((HN136*((HL136*('HHV-LHV-MW'!KS71/100))/$AL$103))^2)*((HE136^2)+($HM$145^2))),              IF(OR(HN136="",HL136="",GX136="",HA136="",$HM$145="",$AL$103="",$AL$103=0),"",      ((HN136*((HL136*(GX136/100))/$AL$103))^2)*((HA136^2)+($HM$145^2))             ))</f>
        <v/>
      </c>
      <c r="HQ136" s="889" t="str">
        <f>IF(AQ136="","",VLOOKUP(AQ136,'HHV-LHV-MW'!$A$3:$H$40,4,FALSE))</f>
        <v/>
      </c>
      <c r="HR136" s="889" t="str">
        <f>IF(AQ136="","",VLOOKUP(AQ136,'HHV-LHV-MW'!$A$3:$H$40,5,FALSE))</f>
        <v/>
      </c>
      <c r="HS136" s="890" t="str">
        <f>IF($BW$116="","",((PRODUCT('HHV-LHV-MW'!MP71)+PRODUCT('HHV-LHV-MW'!NB71)+PRODUCT('HHV-LHV-MW'!NN71)+PRODUCT('HHV-LHV-MW'!NZ71))/$BW$116))</f>
        <v/>
      </c>
      <c r="HT136" s="890" t="str">
        <f>IF($BW$116="","",(IF($BW$116=1,"",  (SQRT(  (      (IF('HHV-LHV-MW'!MP71="",0,('HHV-LHV-MW'!MP71-HS136)^2))      +        (IF('HHV-LHV-MW'!NB71="",0,('HHV-LHV-MW'!NB71-HS136)^2))       +        (IF('HHV-LHV-MW'!NN71="",0,('HHV-LHV-MW'!NN71-HS136)^2))          +        (IF('HHV-LHV-MW'!NZ71="",0,('HHV-LHV-MW'!NZ71-HS136)^2))          )     *(1/($BW$116-1))  )))))</f>
        <v/>
      </c>
      <c r="HU136" s="890" t="str">
        <f t="shared" si="132"/>
        <v/>
      </c>
      <c r="HV136" s="890" t="str">
        <f t="shared" si="133"/>
        <v/>
      </c>
      <c r="HW136" s="636" t="str">
        <f>IF('HHV-LHV-MW'!MP71="","",IF(AND('HHV-LHV-MW'!MP71&gt;=0,'HHV-LHV-MW'!MP71&lt;=0.09),2,  IF(AND('HHV-LHV-MW'!MP71&gt;=0.1,'HHV-LHV-MW'!MP71&lt;=0.9),7,  IF(AND('HHV-LHV-MW'!MP71&gt;=1,'HHV-LHV-MW'!MP71&lt;=4.9),10,   IF(AND('HHV-LHV-MW'!MP71&gt;=5,'HHV-LHV-MW'!MP71&lt;=10),12, 15)))))</f>
        <v/>
      </c>
      <c r="HX136" s="636" t="str">
        <f>IF('HHV-LHV-MW'!MP71="","",5*'HHV-LHV-MW'!MP71)</f>
        <v/>
      </c>
      <c r="HY136" s="635" t="str">
        <f t="shared" si="134"/>
        <v/>
      </c>
      <c r="HZ136" s="636" t="str">
        <f>IF(OR(HY136="",'HHV-LHV-MW'!MP71=0),"",HY136/'HHV-LHV-MW'!MP71)</f>
        <v/>
      </c>
      <c r="IA136" s="636" t="str">
        <f>IF(OR(HZ136="",HQ136="",'HHV-LHV-MW'!MP71=""),"",((HZ136*HQ136*('HHV-LHV-MW'!MP71/100))/23.685)^2)</f>
        <v/>
      </c>
      <c r="IB136" s="636" t="str">
        <f>IF(OR(HZ136="",HR136="",'HHV-LHV-MW'!MP71=""),"",((HZ136*HR136*('HHV-LHV-MW'!MP71/100))/23.685)^2)</f>
        <v/>
      </c>
      <c r="IC136" s="639" t="str">
        <f t="shared" si="135"/>
        <v/>
      </c>
      <c r="ID136" s="891" t="str">
        <f t="shared" si="136"/>
        <v/>
      </c>
      <c r="IE136" s="643" t="str">
        <f>IF(AQ136="","",VLOOKUP(AQ136,'HHV-LHV-MW'!$A$3:$H$40,7,FALSE))</f>
        <v/>
      </c>
      <c r="IF136" s="875" t="str">
        <f>IF($BW$116=1,     IF(OR(IE136="",'HHV-LHV-MW'!MP71="",HZ136=""),"",(IE136*('HHV-LHV-MW'!MP71/100)*HZ136)^2),IF(OR(IE136="",HS136="",HV136=""),"",(IE136*(HS136/100)*HV136)^2))</f>
        <v/>
      </c>
      <c r="IG136" s="635" t="str">
        <f>IF(AQ136="","",VLOOKUP(AQ136,'HHV-LHV-MW'!$A$3:$I$40,9,FALSE))</f>
        <v/>
      </c>
      <c r="IH136" s="875" t="str">
        <f>IF($BW$116=1,     IF(OR(IG136="",'HHV-LHV-MW'!MP71="",HZ136=""),"",(IG136*('HHV-LHV-MW'!MP71/100)*HZ136)^2),IF(OR(IG136="",HS136="",HV136=""),"",(IG136*(HS136/100)*HV136)^2))</f>
        <v/>
      </c>
      <c r="II136" s="635" t="str">
        <f>IF(AQ136="","",(VLOOKUP(AQ136,'HHV-LHV-MW'!$A$3:$F$40,6,FALSE))    )</f>
        <v/>
      </c>
      <c r="IJ136" s="875" t="str">
        <f>IF($BW$116=1,     IF(OR(II136="",'HHV-LHV-MW'!MP71="",HZ136=""),"",(II136*('HHV-LHV-MW'!MP71/100)*HZ136)^2),IF(OR(II136="",HS136="",HV136=""),"",(II136*(HS136/100)*HV136)^2))</f>
        <v/>
      </c>
      <c r="IK136" s="638" t="str">
        <f>IF($BW$116=1,     IF(OR(II136="",IG136="",$AR$103="",$AR$103=0,'HHV-LHV-MW'!MP71="",HZ136="",$IH$145=""),"", ((II136*((IG136*('HHV-LHV-MW'!MP71/100))/$AR$103))^2)*((HZ136^2)+($IH$145^2))),              IF(OR(II136="",IG136="",HS136="",HV136="",$IH$145="",$AR$103="",$AR$103=0),"",      ((II136*((IG136*(HS136/100))/$AR$103))^2)*((HV136^2)+($IH$145^2))             ))</f>
        <v/>
      </c>
      <c r="IL136" s="889" t="str">
        <f>IF(AW136="","",VLOOKUP(AW136,'HHV-LHV-MW'!$A$3:$H$40,4,FALSE))</f>
        <v/>
      </c>
      <c r="IM136" s="889" t="str">
        <f>IF(AW136="","",VLOOKUP(AW136,'HHV-LHV-MW'!$A$3:$H$40,5,FALSE))</f>
        <v/>
      </c>
      <c r="IN136" s="890" t="str">
        <f>IF($BW$126="","",((PRODUCT('HHV-LHV-MW'!ON71)+PRODUCT('HHV-LHV-MW'!OZ71)+PRODUCT('HHV-LHV-MW'!PL71)+PRODUCT('HHV-LHV-MW'!PX71))/$BW$126))</f>
        <v/>
      </c>
      <c r="IO136" s="890" t="str">
        <f>IF($BW$126="","",(IF($BW$126=1,"",  (SQRT(  (      (IF('HHV-LHV-MW'!ON71="",0,('HHV-LHV-MW'!ON71-IN136)^2))      +        (IF('HHV-LHV-MW'!OZ71="",0,('HHV-LHV-MW'!OZ71-IN136)^2))       +        (IF('HHV-LHV-MW'!PL71="",0,('HHV-LHV-MW'!PL71-IN136)^2))          +        (IF('HHV-LHV-MW'!PX71="",0,('HHV-LHV-MW'!PX71-IN136)^2))          )     *(1/($BW$126-1))  )))))</f>
        <v/>
      </c>
      <c r="IP136" s="890" t="str">
        <f t="shared" si="137"/>
        <v/>
      </c>
      <c r="IQ136" s="890" t="str">
        <f t="shared" si="138"/>
        <v/>
      </c>
      <c r="IR136" s="636" t="str">
        <f>IF('HHV-LHV-MW'!ON71="","",IF(AND('HHV-LHV-MW'!ON71&gt;=0,'HHV-LHV-MW'!ON71&lt;=0.09),2,  IF(AND('HHV-LHV-MW'!ON71&gt;=0.1,'HHV-LHV-MW'!ON71&lt;=0.9),7,  IF(AND('HHV-LHV-MW'!ON71&gt;=1,'HHV-LHV-MW'!ON71&lt;=4.9),10,   IF(AND('HHV-LHV-MW'!ON71&gt;=5,'HHV-LHV-MW'!ON71&lt;=10),12, 15)))))</f>
        <v/>
      </c>
      <c r="IS136" s="636" t="str">
        <f>IF('HHV-LHV-MW'!ON71="","",5*'HHV-LHV-MW'!ON71)</f>
        <v/>
      </c>
      <c r="IT136" s="635" t="str">
        <f t="shared" si="139"/>
        <v/>
      </c>
      <c r="IU136" s="636" t="str">
        <f>IF(OR(IT136="",'HHV-LHV-MW'!ON71=0),"",IT136/'HHV-LHV-MW'!ON71)</f>
        <v/>
      </c>
      <c r="IV136" s="636" t="str">
        <f>IF(OR(IU136="",IL136="",'HHV-LHV-MW'!ON71=""),"",((IU136*IL136*('HHV-LHV-MW'!ON71/100))/23.685)^2)</f>
        <v/>
      </c>
      <c r="IW136" s="636" t="str">
        <f>IF(OR(IU136="",IM136="",'HHV-LHV-MW'!ON71=""),"",((IU136*IM136*('HHV-LHV-MW'!ON71/100))/23.685)^2)</f>
        <v/>
      </c>
      <c r="IX136" s="639" t="str">
        <f t="shared" si="140"/>
        <v/>
      </c>
      <c r="IY136" s="891" t="str">
        <f t="shared" si="141"/>
        <v/>
      </c>
      <c r="IZ136" s="643" t="str">
        <f>IF(AW136="","",VLOOKUP(AW136,'HHV-LHV-MW'!$A$3:$H$40,7,FALSE))</f>
        <v/>
      </c>
      <c r="JA136" s="875" t="str">
        <f>IF($BW$126=1,     IF(OR(IZ136="",'HHV-LHV-MW'!ON71="",IU136=""),"",(IZ136*('HHV-LHV-MW'!ON71/100)*IU136)^2),IF(OR(IZ136="",IN136="",IQ136=""),"",(IZ136*(IN136/100)*IQ136)^2))</f>
        <v/>
      </c>
      <c r="JB136" s="635" t="str">
        <f>IF(AW136="","",VLOOKUP(AW136,'HHV-LHV-MW'!$A$3:$I$40,9,FALSE))</f>
        <v/>
      </c>
      <c r="JC136" s="875" t="str">
        <f>IF($BW$126=1,     IF(OR(JB136="",'HHV-LHV-MW'!ON71="",IU136=""),"",(JB136*('HHV-LHV-MW'!ON71/100)*IU136)^2),IF(OR(JB136="",IN136="",IQ136=""),"",(JB136*(IN136/100)*IQ136)^2))</f>
        <v/>
      </c>
      <c r="JD136" s="635" t="str">
        <f>IF(AW136="","",(VLOOKUP(AW136,'HHV-LHV-MW'!$A$3:$F$40,6,FALSE))    )</f>
        <v/>
      </c>
      <c r="JE136" s="875" t="str">
        <f>IF($BW$126=1,     IF(OR(JD136="",'HHV-LHV-MW'!ON71="",IU136=""),"",(JD136*('HHV-LHV-MW'!ON71/100)*IU136)^2),IF(OR(JD136="",IN136="",IQ136=""),"",(JD136*(IN136/100)*IQ136)^2))</f>
        <v/>
      </c>
      <c r="JF136" s="638" t="str">
        <f>IF($BW$126=1,     IF(OR(JD136="",JB136="",$AX$103="",$AX$103=0,'HHV-LHV-MW'!ON71="",IU136="",$JC$145=""),"", ((JD136*((JB136*('HHV-LHV-MW'!ON71/100))/$AX$103))^2)*((IU136^2)+($JC$145^2))),              IF(OR(JD136="",JB136="",IN136="",IQ136="",$JC$145="",$AX$103="",$AX$103=0),"",      ((JD136*((JB136*(IN136/100))/$AX$103))^2)*((IQ136^2)+($JC$145^2))             ))</f>
        <v/>
      </c>
      <c r="JG136" s="889" t="str">
        <f>IF(BC136="","",VLOOKUP(BC136,'HHV-LHV-MW'!$A$3:$H$40,4,FALSE))</f>
        <v/>
      </c>
      <c r="JH136" s="889" t="str">
        <f>IF(BC136="","",VLOOKUP(BC136,'HHV-LHV-MW'!$A$3:$H$40,5,FALSE))</f>
        <v/>
      </c>
      <c r="JI136" s="890" t="str">
        <f>IF($BW$136="","",((PRODUCT('HHV-LHV-MW'!QK71)+PRODUCT('HHV-LHV-MW'!QW71)+PRODUCT('HHV-LHV-MW'!RI71)+PRODUCT('HHV-LHV-MW'!RU71))/$BW$136))</f>
        <v/>
      </c>
      <c r="JJ136" s="890" t="str">
        <f>IF($BW$136="","",(IF($BW$136=1,"",  (SQRT(  (      (IF('HHV-LHV-MW'!QK71="",0,('HHV-LHV-MW'!QK71-JI136)^2))      +        (IF('HHV-LHV-MW'!QW71="",0,('HHV-LHV-MW'!QW71-JI136)^2))       +        (IF('HHV-LHV-MW'!RI71="",0,('HHV-LHV-MW'!RI71-JI136)^2))          +        (IF('HHV-LHV-MW'!RU71="",0,('HHV-LHV-MW'!RU71-JI136)^2))          )     *(1/($BW$136-1))  )))))</f>
        <v/>
      </c>
      <c r="JK136" s="890" t="str">
        <f t="shared" si="142"/>
        <v/>
      </c>
      <c r="JL136" s="890" t="str">
        <f t="shared" si="143"/>
        <v/>
      </c>
      <c r="JM136" s="636" t="str">
        <f>IF('HHV-LHV-MW'!QK71="","",IF(AND('HHV-LHV-MW'!QK71&gt;=0,'HHV-LHV-MW'!QK71&lt;=0.09),2,  IF(AND('HHV-LHV-MW'!QK71&gt;=0.1,'HHV-LHV-MW'!QK71&lt;=0.9),7,  IF(AND('HHV-LHV-MW'!QK71&gt;=1,'HHV-LHV-MW'!QK71&lt;=4.9),10,   IF(AND('HHV-LHV-MW'!QK71&gt;=5,'HHV-LHV-MW'!QK71&lt;=10),12, 15)))))</f>
        <v/>
      </c>
      <c r="JN136" s="636" t="str">
        <f>IF('HHV-LHV-MW'!QK71="","",5*'HHV-LHV-MW'!QK71)</f>
        <v/>
      </c>
      <c r="JO136" s="635" t="str">
        <f t="shared" si="144"/>
        <v/>
      </c>
      <c r="JP136" s="636" t="str">
        <f>IF(OR(JO136="",'HHV-LHV-MW'!QK71=0),"",JO136/'HHV-LHV-MW'!QK71)</f>
        <v/>
      </c>
      <c r="JQ136" s="636" t="str">
        <f>IF(OR(JP136="",JG136="",'HHV-LHV-MW'!QK71=""),"",((JP136*JG136*('HHV-LHV-MW'!QK71/100))/23.685)^2)</f>
        <v/>
      </c>
      <c r="JR136" s="636" t="str">
        <f>IF(OR(JP136="",JH136="",'HHV-LHV-MW'!QK71=""),"",((JP136*JH136*('HHV-LHV-MW'!QK71/100))/23.685)^2)</f>
        <v/>
      </c>
      <c r="JS136" s="639" t="str">
        <f t="shared" si="145"/>
        <v/>
      </c>
      <c r="JT136" s="891" t="str">
        <f t="shared" si="146"/>
        <v/>
      </c>
      <c r="JU136" s="643" t="str">
        <f>IF(BC136="","",VLOOKUP(BC136,'HHV-LHV-MW'!$A$3:$H$40,7,FALSE))</f>
        <v/>
      </c>
      <c r="JV136" s="875" t="str">
        <f>IF($BW$136=1,     IF(OR(JU136="",'HHV-LHV-MW'!QK71="",JP136=""),"",(JU136*('HHV-LHV-MW'!QK71/100)*JP136)^2),IF(OR(JU136="",JI136="",JL136=""),"",(JU136*(JI136/100)*JL136)^2))</f>
        <v/>
      </c>
      <c r="JW136" s="635" t="str">
        <f>IF(BC136="","",VLOOKUP(BC136,'HHV-LHV-MW'!$A$3:$I$40,9,FALSE))</f>
        <v/>
      </c>
      <c r="JX136" s="875" t="str">
        <f>IF($BW$136=1,     IF(OR(JW136="",'HHV-LHV-MW'!QK71="",JP136=""),"",(JW136*('HHV-LHV-MW'!QK71/100)*JP136)^2),IF(OR(JW136="",JI136="",JL136=""),"",(JW136*(JI136/100)*JL136)^2))</f>
        <v/>
      </c>
      <c r="JY136" s="635" t="str">
        <f>IF(BC136="","",(VLOOKUP(BC136,'HHV-LHV-MW'!$A$3:$F$40,6,FALSE))    )</f>
        <v/>
      </c>
      <c r="JZ136" s="875" t="str">
        <f>IF($BW$136=1,     IF(OR(JY136="",'HHV-LHV-MW'!QK71="",JP136=""),"",(JY136*('HHV-LHV-MW'!QK71/100)*JP136)^2),IF(OR(JY136="",JI136="",JL136=""),"",(JY136*(JI136/100)*JL136)^2))</f>
        <v/>
      </c>
      <c r="KA136" s="638" t="str">
        <f>IF($BW$136=1,     IF(OR(JY136="",JW136="",$BD$103="",$BD$103=0,'HHV-LHV-MW'!QK71="",JP136="",$JX$145=""),"", ((JY136*((JW136*('HHV-LHV-MW'!QK71/100))/$BD$103))^2)*((JP136^2)+($JX$145^2))),              IF(OR(JY136="",JW136="",JI136="",JL136="",$JX$145="",$BD$103="",$BD$103=0),"",      ((JY136*((JW136*(JI136/100))/$BD$103))^2)*((JL136^2)+($JX$145^2))             ))</f>
        <v/>
      </c>
      <c r="KB136" s="874"/>
      <c r="KC136" s="874"/>
      <c r="KD136" s="874"/>
      <c r="KE136" s="874"/>
      <c r="KF136" s="874"/>
      <c r="KG136" s="874"/>
      <c r="KH136" s="865"/>
      <c r="KI136" s="865"/>
      <c r="KJ136" s="865"/>
      <c r="KK136" s="865"/>
      <c r="KL136" s="865"/>
      <c r="KM136" s="865"/>
      <c r="KN136" s="865"/>
      <c r="KO136" s="865"/>
      <c r="KP136" s="865"/>
      <c r="KQ136" s="865"/>
      <c r="KR136" s="865"/>
      <c r="KS136" s="865"/>
      <c r="KT136" s="865"/>
      <c r="KU136" s="865"/>
      <c r="KV136" s="865"/>
      <c r="KW136" s="865"/>
      <c r="KX136" s="865"/>
      <c r="KY136" s="865"/>
      <c r="KZ136" s="865"/>
      <c r="LA136" s="865"/>
      <c r="LB136" s="865"/>
      <c r="LC136" s="865"/>
      <c r="LD136" s="865"/>
      <c r="LE136" s="865"/>
      <c r="LF136" s="865"/>
    </row>
    <row r="137" spans="1:318" ht="21" thickBot="1">
      <c r="A137" s="864"/>
      <c r="B137" s="502"/>
      <c r="C137" s="502"/>
      <c r="D137" s="502"/>
      <c r="E137" s="502"/>
      <c r="F137" s="511"/>
      <c r="G137" s="864"/>
      <c r="H137" s="502"/>
      <c r="I137" s="502"/>
      <c r="J137" s="502"/>
      <c r="K137" s="502"/>
      <c r="L137" s="511"/>
      <c r="M137" s="864"/>
      <c r="N137" s="502"/>
      <c r="O137" s="502"/>
      <c r="P137" s="502"/>
      <c r="Q137" s="502"/>
      <c r="R137" s="511"/>
      <c r="S137" s="864"/>
      <c r="T137" s="502"/>
      <c r="U137" s="502"/>
      <c r="V137" s="502"/>
      <c r="W137" s="502"/>
      <c r="X137" s="511"/>
      <c r="Y137" s="864"/>
      <c r="Z137" s="502"/>
      <c r="AA137" s="502"/>
      <c r="AB137" s="502"/>
      <c r="AC137" s="502"/>
      <c r="AD137" s="511"/>
      <c r="AE137" s="864"/>
      <c r="AF137" s="502"/>
      <c r="AG137" s="502"/>
      <c r="AH137" s="502"/>
      <c r="AI137" s="502"/>
      <c r="AJ137" s="511"/>
      <c r="AK137" s="864"/>
      <c r="AL137" s="502"/>
      <c r="AM137" s="502"/>
      <c r="AN137" s="502"/>
      <c r="AO137" s="502"/>
      <c r="AP137" s="511"/>
      <c r="AQ137" s="864"/>
      <c r="AR137" s="502"/>
      <c r="AS137" s="502"/>
      <c r="AT137" s="502"/>
      <c r="AU137" s="502"/>
      <c r="AV137" s="511"/>
      <c r="AW137" s="864"/>
      <c r="AX137" s="502"/>
      <c r="AY137" s="502"/>
      <c r="AZ137" s="502"/>
      <c r="BA137" s="502"/>
      <c r="BB137" s="511"/>
      <c r="BC137" s="864"/>
      <c r="BD137" s="502"/>
      <c r="BE137" s="502"/>
      <c r="BF137" s="502"/>
      <c r="BG137" s="502"/>
      <c r="BH137" s="865"/>
      <c r="BI137" s="865"/>
      <c r="BJ137" s="2491" t="str">
        <f>IF(BF136="واقعي","نتايج عدم قطعيت بر اساس اطلاعات واقعي تركيب درصدهاي وارد شده:","")</f>
        <v/>
      </c>
      <c r="BK137" s="2492"/>
      <c r="BL137" s="2492"/>
      <c r="BM137" s="2492"/>
      <c r="BN137" s="2492"/>
      <c r="BO137" s="2492"/>
      <c r="BP137" s="2493"/>
      <c r="BQ137" s="865"/>
      <c r="BR137" s="2491" t="str">
        <f>IF(BN136="واقعي","نتايج عدم قطعيت بر اساس اطلاعات واقعي تركيب درصدهاي وارد شده:","")</f>
        <v/>
      </c>
      <c r="BS137" s="2492"/>
      <c r="BT137" s="2492"/>
      <c r="BU137" s="2492"/>
      <c r="BV137" s="2492"/>
      <c r="BW137" s="2492"/>
      <c r="BX137" s="2493"/>
      <c r="BY137" s="874"/>
      <c r="BZ137" s="888" t="str">
        <f>IF(A137="","",VLOOKUP(A137,'HHV-LHV-MW'!$A$3:$H$40,4,FALSE))</f>
        <v/>
      </c>
      <c r="CA137" s="889" t="str">
        <f>IF(A137="","",VLOOKUP(A137,'HHV-LHV-MW'!$A$3:$H$40,5,FALSE))</f>
        <v/>
      </c>
      <c r="CB137" s="890" t="str">
        <f>IF($BO$96="","",((PRODUCT('HHV-LHV-MW'!K72)+PRODUCT('HHV-LHV-MW'!W72)+PRODUCT('HHV-LHV-MW'!AI72)+PRODUCT('HHV-LHV-MW'!AU72))/$BO$96))</f>
        <v/>
      </c>
      <c r="CC137" s="890" t="str">
        <f>IF($BO$96="","",(IF($BO$96=1,"",  (SQRT(  (      (IF('HHV-LHV-MW'!K72="",0,('HHV-LHV-MW'!K72-CB137)^2))      +        (IF('HHV-LHV-MW'!W72="",0,('HHV-LHV-MW'!W72-CB137)^2))       +        (IF('HHV-LHV-MW'!AI72="",0,('HHV-LHV-MW'!AI72-CB137)^2))          +        (IF('HHV-LHV-MW'!AU72="",0,('HHV-LHV-MW'!AU72-CB137)^2))          )     *(1/($BO$96-1))  )))))</f>
        <v/>
      </c>
      <c r="CD137" s="890" t="str">
        <f t="shared" si="97"/>
        <v/>
      </c>
      <c r="CE137" s="890" t="str">
        <f t="shared" si="98"/>
        <v/>
      </c>
      <c r="CF137" s="636" t="str">
        <f>IF('HHV-LHV-MW'!K72="","",IF(AND('HHV-LHV-MW'!K72&gt;=0,'HHV-LHV-MW'!K72&lt;=0.09),2,  IF(AND('HHV-LHV-MW'!K72&gt;=0.1,'HHV-LHV-MW'!K72&lt;=0.9),7,  IF(AND('HHV-LHV-MW'!K72&gt;=1,'HHV-LHV-MW'!K72&lt;=4.9),10,   IF(AND('HHV-LHV-MW'!K72&gt;=5,'HHV-LHV-MW'!K72&lt;=10),12, 15)))))</f>
        <v/>
      </c>
      <c r="CG137" s="636" t="str">
        <f>IF('HHV-LHV-MW'!K72="","",5*'HHV-LHV-MW'!K72)</f>
        <v/>
      </c>
      <c r="CH137" s="635" t="str">
        <f t="shared" si="99"/>
        <v/>
      </c>
      <c r="CI137" s="636" t="str">
        <f>IF(OR(CH137="",'HHV-LHV-MW'!K72=0),"",CH137/'HHV-LHV-MW'!K72)</f>
        <v/>
      </c>
      <c r="CJ137" s="636" t="str">
        <f>IF(OR(CI137="",BZ137="",'HHV-LHV-MW'!K72=""),"",((CI137*BZ137*('HHV-LHV-MW'!K72/100))/23.685)^2)</f>
        <v/>
      </c>
      <c r="CK137" s="636" t="str">
        <f>IF(OR(CI137="",CA137="",'HHV-LHV-MW'!K72=""),"",((CI137*CA137*('HHV-LHV-MW'!K72/100))/23.685)^2)</f>
        <v/>
      </c>
      <c r="CL137" s="639" t="str">
        <f t="shared" si="100"/>
        <v/>
      </c>
      <c r="CM137" s="892" t="str">
        <f t="shared" si="101"/>
        <v/>
      </c>
      <c r="CN137" s="639" t="str">
        <f>IF(A137="","",VLOOKUP(A137,'HHV-LHV-MW'!$A$3:$H$40,7,FALSE))</f>
        <v/>
      </c>
      <c r="CO137" s="636" t="str">
        <f>IF($BO$96=1,     IF(OR(CN137="",'HHV-LHV-MW'!K72="",CI137=""),"",(CN137*('HHV-LHV-MW'!K72/100)*CI137)^2),IF(OR(CN137="",CB137="",CE137=""),"",(CN137*(CB137/100)*CE137)^2))</f>
        <v/>
      </c>
      <c r="CP137" s="635" t="str">
        <f>IF(A137="","",VLOOKUP(A137,'HHV-LHV-MW'!$A$3:$I$40,9,FALSE))</f>
        <v/>
      </c>
      <c r="CQ137" s="636" t="str">
        <f>IF($BO$96=1,     IF(OR(CP137="",'HHV-LHV-MW'!K72="",CI137=""),"",(CP137*('HHV-LHV-MW'!K72/100)*CI137)^2),IF(OR(CP137="",CB137="",CE137=""),"",(CP137*(CB137/100)*CE137)^2))</f>
        <v/>
      </c>
      <c r="CR137" s="636" t="str">
        <f>IF(A137="","",(VLOOKUP(A137,'HHV-LHV-MW'!$A$3:$F$40,6,FALSE))    )</f>
        <v/>
      </c>
      <c r="CS137" s="636" t="str">
        <f>IF($BO$96=1,     IF(OR(CR137="",'HHV-LHV-MW'!K72="",CI137=""),"",(CR137*('HHV-LHV-MW'!K72/100)*CI137)^2),IF(OR(CR137="",CB137="",CE137=""),"",(CR137*(CB137/100)*CE137)^2))</f>
        <v/>
      </c>
      <c r="CT137" s="640" t="str">
        <f>IF($BO$96=1,     IF(OR(CR137="",CP137="",$B$103="",$B$103=0,'HHV-LHV-MW'!K72="",CI137="",$CQ$145=""),"", ((CR137*((CP137*('HHV-LHV-MW'!K72/100))/$B$103))^2)*((CI137^2)+($CQ$145^2))),              IF(OR(CR137="",CP137="",CB137="",CE137="",$CQ$145="",$B$103="",$B$103=0),"",      ((CR137*((CP137*(CB137/100))/$B$103))^2)*((CE137^2)+($CQ$145^2))             ))</f>
        <v/>
      </c>
      <c r="CU137" s="889" t="str">
        <f>IF(G137="","",VLOOKUP(G137,'HHV-LHV-MW'!$A$3:$H$40,4,FALSE))</f>
        <v/>
      </c>
      <c r="CV137" s="889" t="str">
        <f>IF(G137="","",VLOOKUP(G137,'HHV-LHV-MW'!$A$3:$H$40,5,FALSE))</f>
        <v/>
      </c>
      <c r="CW137" s="890" t="str">
        <f>IF($BO$106="","",((PRODUCT('HHV-LHV-MW'!BH72)+PRODUCT('HHV-LHV-MW'!BT72)+PRODUCT('HHV-LHV-MW'!CF72)+PRODUCT('HHV-LHV-MW'!CR72))/$BO$106))</f>
        <v/>
      </c>
      <c r="CX137" s="890" t="str">
        <f>IF($BO$106="","",(IF($BO$106=1,"",  (SQRT(  (      (IF('HHV-LHV-MW'!BH72="",0,('HHV-LHV-MW'!BH72-CW137)^2))      +        (IF('HHV-LHV-MW'!BT72="",0,('HHV-LHV-MW'!BT72-CW137)^2))       +        (IF('HHV-LHV-MW'!CF72="",0,('HHV-LHV-MW'!CF72-CW137)^2))          +        (IF('HHV-LHV-MW'!CR72="",0,('HHV-LHV-MW'!CR72-CW137)^2))          )     *(1/($BO$106-1))  )))))</f>
        <v/>
      </c>
      <c r="CY137" s="890" t="str">
        <f t="shared" si="102"/>
        <v/>
      </c>
      <c r="CZ137" s="890" t="str">
        <f t="shared" si="103"/>
        <v/>
      </c>
      <c r="DA137" s="636" t="str">
        <f>IF('HHV-LHV-MW'!BH72="","",IF(AND('HHV-LHV-MW'!BH72&gt;=0,'HHV-LHV-MW'!BH72&lt;=0.09),2,  IF(AND('HHV-LHV-MW'!BH72&gt;=0.1,'HHV-LHV-MW'!BH72&lt;=0.9),7,  IF(AND('HHV-LHV-MW'!BH72&gt;=1,'HHV-LHV-MW'!BH72&lt;=4.9),10,   IF(AND('HHV-LHV-MW'!BH72&gt;=5,'HHV-LHV-MW'!BH72&lt;=10),12, 15)))))</f>
        <v/>
      </c>
      <c r="DB137" s="636" t="str">
        <f>IF('HHV-LHV-MW'!BH72="","",5*'HHV-LHV-MW'!BH72)</f>
        <v/>
      </c>
      <c r="DC137" s="635" t="str">
        <f t="shared" si="104"/>
        <v/>
      </c>
      <c r="DD137" s="636" t="str">
        <f>IF(OR(DC137="",'HHV-LHV-MW'!BH72=0),"",DC137/'HHV-LHV-MW'!BH72)</f>
        <v/>
      </c>
      <c r="DE137" s="635" t="str">
        <f>IF(OR(DD137="",CU137="",'HHV-LHV-MW'!BH72=""),"",((DD137*CU137*('HHV-LHV-MW'!BH72/100))/23.685)^2)</f>
        <v/>
      </c>
      <c r="DF137" s="636" t="str">
        <f>IF(OR(DD137="",CV137="",'HHV-LHV-MW'!BH72=""),"",((DD137*CV137*('HHV-LHV-MW'!BH72/100))/23.685)^2)</f>
        <v/>
      </c>
      <c r="DG137" s="639" t="str">
        <f t="shared" si="105"/>
        <v/>
      </c>
      <c r="DH137" s="891" t="str">
        <f t="shared" si="106"/>
        <v/>
      </c>
      <c r="DI137" s="635" t="str">
        <f>IF(G137="","",VLOOKUP(G137,'HHV-LHV-MW'!$A$3:$H$40,7,FALSE))</f>
        <v/>
      </c>
      <c r="DJ137" s="875" t="str">
        <f>IF($BO$106=1,     IF(OR(DI137="",'HHV-LHV-MW'!BH72="",DD137=""),"",(DI137*('HHV-LHV-MW'!BH72/100)*DD137)^2),IF(OR(DI137="",CW137="",CZ137=""),"",(DI137*(CW137/100)*CZ137)^2))</f>
        <v/>
      </c>
      <c r="DK137" s="635" t="str">
        <f>IF(G137="","",VLOOKUP(G137,'HHV-LHV-MW'!$A$3:$I$40,9,FALSE))</f>
        <v/>
      </c>
      <c r="DL137" s="875" t="str">
        <f>IF($BO$106=1,     IF(OR(DK137="",'HHV-LHV-MW'!BH72="",DD137=""),"",(DK137*('HHV-LHV-MW'!BH72/100)*DD137)^2),IF(OR(DK137="",CW137="",CZ137=""),"",(DK137*(CW137/100)*CZ137)^2))</f>
        <v/>
      </c>
      <c r="DM137" s="635" t="str">
        <f>IF(G137="","",(VLOOKUP(G137,'HHV-LHV-MW'!$A$3:$F$40,6,FALSE))    )</f>
        <v/>
      </c>
      <c r="DN137" s="875" t="str">
        <f>IF($BO$106=1,     IF(OR(DM137="",'HHV-LHV-MW'!BH72="",DD137=""),"",(DM137*('HHV-LHV-MW'!BH72/100)*DD137)^2),IF(OR(DM137="",CW137="",CZ137=""),"",(DM137*(CW137/100)*CZ137)^2))</f>
        <v/>
      </c>
      <c r="DO137" s="638" t="str">
        <f>IF($BO$106=1,     IF(OR(DM137="",DK137="",$H$103="",$H$103=0,'HHV-LHV-MW'!BH72="",DD137="",$DL$145=""),"", ((DM137*((DK137*('HHV-LHV-MW'!BH72/100))/$H$103))^2)*((DD137^2)+($DL$145^2))),              IF(OR(DM137="",DK137="",CW137="",CZ137="",$DL$145="",$H$103="",$H$103=0),"",      ((DM137*((DK137*(CW137/100))/$H$103))^2)*((CZ137^2)+($DL$145^2))             ))</f>
        <v/>
      </c>
      <c r="DP137" s="889" t="str">
        <f>IF(M137="","",VLOOKUP(M137,'HHV-LHV-MW'!$A$3:$H$40,4,FALSE))</f>
        <v/>
      </c>
      <c r="DQ137" s="889" t="str">
        <f>IF(M137="","",VLOOKUP(M137,'HHV-LHV-MW'!$A$3:$H$40,5,FALSE))</f>
        <v/>
      </c>
      <c r="DR137" s="890" t="str">
        <f>IF($BO$116="","",((PRODUCT('HHV-LHV-MW'!DE72)+PRODUCT('HHV-LHV-MW'!DQ72)+PRODUCT('HHV-LHV-MW'!EC72)+PRODUCT('HHV-LHV-MW'!EO72))/$BO$116))</f>
        <v/>
      </c>
      <c r="DS137" s="890" t="str">
        <f>IF($BO$116="","",(IF($BO$116=1,"",  (SQRT(  (      (IF('HHV-LHV-MW'!DE72="",0,('HHV-LHV-MW'!DE72-DR137)^2))      +        (IF('HHV-LHV-MW'!DQ72="",0,('HHV-LHV-MW'!DQ72-DR137)^2))       +        (IF('HHV-LHV-MW'!EC72="",0,('HHV-LHV-MW'!EC72-DR137)^2))          +        (IF('HHV-LHV-MW'!EO72="",0,('HHV-LHV-MW'!EO72-DR137)^2))          )     *(1/($BO$116-1))  )))))</f>
        <v/>
      </c>
      <c r="DT137" s="890" t="str">
        <f t="shared" si="107"/>
        <v/>
      </c>
      <c r="DU137" s="890" t="str">
        <f t="shared" si="108"/>
        <v/>
      </c>
      <c r="DV137" s="636" t="str">
        <f>IF('HHV-LHV-MW'!DE72="","",IF(AND('HHV-LHV-MW'!DE72&gt;=0,'HHV-LHV-MW'!DE72&lt;=0.09),2,  IF(AND('HHV-LHV-MW'!DE72&gt;=0.1,'HHV-LHV-MW'!DE72&lt;=0.9),7,  IF(AND('HHV-LHV-MW'!DE72&gt;=1,'HHV-LHV-MW'!DE72&lt;=4.9),10,   IF(AND('HHV-LHV-MW'!DE72&gt;=5,'HHV-LHV-MW'!DE72&lt;=10),12, 15)))))</f>
        <v/>
      </c>
      <c r="DW137" s="636" t="str">
        <f>IF('HHV-LHV-MW'!DE72="","",5*'HHV-LHV-MW'!DE72)</f>
        <v/>
      </c>
      <c r="DX137" s="635" t="str">
        <f t="shared" si="109"/>
        <v/>
      </c>
      <c r="DY137" s="636" t="str">
        <f>IF(OR(DX137="",'HHV-LHV-MW'!DE72=0),"",DX137/'HHV-LHV-MW'!DE72)</f>
        <v/>
      </c>
      <c r="DZ137" s="636" t="str">
        <f>IF(OR(DY137="",DP137="",'HHV-LHV-MW'!DE72=""),"",((DY137*DP137*('HHV-LHV-MW'!DE72/100))/23.685)^2)</f>
        <v/>
      </c>
      <c r="EA137" s="636" t="str">
        <f>IF(OR(DY137="",DQ137="",'HHV-LHV-MW'!DE72=""),"",((DY137*DQ137*('HHV-LHV-MW'!DE72/100))/23.685)^2)</f>
        <v/>
      </c>
      <c r="EB137" s="639" t="str">
        <f t="shared" si="110"/>
        <v/>
      </c>
      <c r="EC137" s="891" t="str">
        <f t="shared" si="111"/>
        <v/>
      </c>
      <c r="ED137" s="643" t="str">
        <f>IF(M137="","",VLOOKUP(M137,'HHV-LHV-MW'!$A$3:$H$40,7,FALSE))</f>
        <v/>
      </c>
      <c r="EE137" s="875" t="str">
        <f>IF($BO$116=1,     IF(OR(ED137="",'HHV-LHV-MW'!DE72="",DY137=""),"",(ED137*('HHV-LHV-MW'!DE72/100)*DY137)^2),IF(OR(ED137="",DR137="",DU137=""),"",(ED137*(DR137/100)*DU137)^2))</f>
        <v/>
      </c>
      <c r="EF137" s="635" t="str">
        <f>IF(M137="","",VLOOKUP(M137,'HHV-LHV-MW'!$A$3:$I$40,9,FALSE))</f>
        <v/>
      </c>
      <c r="EG137" s="875" t="str">
        <f>IF($BO$116=1,     IF(OR(EF137="",'HHV-LHV-MW'!DE72="",DY137=""),"",(EF137*('HHV-LHV-MW'!DE72/100)*DY137)^2),IF(OR(EF137="",DR137="",DU137=""),"",(EF137*(DR137/100)*DU137)^2))</f>
        <v/>
      </c>
      <c r="EH137" s="635" t="str">
        <f>IF(M137="","",(VLOOKUP(M137,'HHV-LHV-MW'!$A$3:$F$40,6,FALSE))    )</f>
        <v/>
      </c>
      <c r="EI137" s="875" t="str">
        <f>IF($BO$116=1,     IF(OR(EH137="",'HHV-LHV-MW'!DE72="",DY137=""),"",(EH137*('HHV-LHV-MW'!DE72/100)*DY137)^2),IF(OR(EH137="",DR137="",DU137=""),"",(EH137*(DR137/100)*DU137)^2))</f>
        <v/>
      </c>
      <c r="EJ137" s="638" t="str">
        <f>IF($BO$116=1,     IF(OR(EH137="",EF137="",$N$103="",$N$103=0,'HHV-LHV-MW'!DE72="",DY137="",$EG$145=""),"", ((EH137*((EF137*('HHV-LHV-MW'!DE72/100))/$N$103))^2)*((DY137^2)+($EG$145^2))),              IF(OR(EH137="",EF137="",DR137="",DU137="",$EG$145="",$N$103="",$N$103=0),"",      ((EH137*((EF137*(DR137/100))/$N$103))^2)*((DU137^2)+($EG$145^2))             ))</f>
        <v/>
      </c>
      <c r="EK137" s="889" t="str">
        <f>IF(S137="","",VLOOKUP(S137,'HHV-LHV-MW'!$A$3:$H$40,4,FALSE))</f>
        <v/>
      </c>
      <c r="EL137" s="889" t="str">
        <f>IF(S137="","",VLOOKUP(S137,'HHV-LHV-MW'!$A$3:$H$40,5,FALSE))</f>
        <v/>
      </c>
      <c r="EM137" s="890" t="str">
        <f>IF($BO$126="","",((PRODUCT('HHV-LHV-MW'!FB72)+PRODUCT('HHV-LHV-MW'!FN72)+PRODUCT('HHV-LHV-MW'!FZ72)+PRODUCT('HHV-LHV-MW'!GL72))/$BO$126))</f>
        <v/>
      </c>
      <c r="EN137" s="890" t="str">
        <f>IF($BO$126="","",(IF($BO$126=1,"",  (SQRT(  (      (IF('HHV-LHV-MW'!FB72="",0,('HHV-LHV-MW'!FB72-EM137)^2))      +        (IF('HHV-LHV-MW'!FN72="",0,('HHV-LHV-MW'!FN72-EM137)^2))       +        (IF('HHV-LHV-MW'!FZ72="",0,('HHV-LHV-MW'!FZ72-EM137)^2))          +        (IF('HHV-LHV-MW'!GL72="",0,('HHV-LHV-MW'!GL72-EM137)^2))          )     *(1/($BO$126-1))  )))))</f>
        <v/>
      </c>
      <c r="EO137" s="890" t="str">
        <f t="shared" si="112"/>
        <v/>
      </c>
      <c r="EP137" s="890" t="str">
        <f t="shared" si="113"/>
        <v/>
      </c>
      <c r="EQ137" s="636" t="str">
        <f>IF('HHV-LHV-MW'!FB72="","",IF(AND('HHV-LHV-MW'!FB72&gt;=0,'HHV-LHV-MW'!FB72&lt;=0.09),2,  IF(AND('HHV-LHV-MW'!FB72&gt;=0.1,'HHV-LHV-MW'!FB72&lt;=0.9),7,  IF(AND('HHV-LHV-MW'!FB72&gt;=1,'HHV-LHV-MW'!FB72&lt;=4.9),10,   IF(AND('HHV-LHV-MW'!FB72&gt;=5,'HHV-LHV-MW'!FB72&lt;=10),12, 15)))))</f>
        <v/>
      </c>
      <c r="ER137" s="636" t="str">
        <f>IF('HHV-LHV-MW'!FB72="","",5*'HHV-LHV-MW'!FB72)</f>
        <v/>
      </c>
      <c r="ES137" s="635" t="str">
        <f t="shared" si="114"/>
        <v/>
      </c>
      <c r="ET137" s="636" t="str">
        <f>IF(OR(ES137="",'HHV-LHV-MW'!FB72=0),"",ES137/'HHV-LHV-MW'!FB72)</f>
        <v/>
      </c>
      <c r="EU137" s="636" t="str">
        <f>IF(OR(ET137="",EK137="",'HHV-LHV-MW'!FB72=""),"",((ET137*EK137*('HHV-LHV-MW'!FB72/100))/23.685)^2)</f>
        <v/>
      </c>
      <c r="EV137" s="636" t="str">
        <f>IF(OR(ET137="",EL137="",'HHV-LHV-MW'!FB72=""),"",((ET137*EL137*('HHV-LHV-MW'!FB72/100))/23.685)^2)</f>
        <v/>
      </c>
      <c r="EW137" s="639" t="str">
        <f t="shared" si="115"/>
        <v/>
      </c>
      <c r="EX137" s="891" t="str">
        <f t="shared" si="116"/>
        <v/>
      </c>
      <c r="EY137" s="643" t="str">
        <f>IF(S137="","",VLOOKUP(S137,'HHV-LHV-MW'!$A$3:$H$40,7,FALSE))</f>
        <v/>
      </c>
      <c r="EZ137" s="875" t="str">
        <f>IF($BO$126=1,     IF(OR(EY137="",'HHV-LHV-MW'!FB72="",ET137=""),"",(EY137*('HHV-LHV-MW'!FB72/100)*ET137)^2),IF(OR(EY137="",EM137="",EP137=""),"",(EY137*(EM137/100)*EP137)^2))</f>
        <v/>
      </c>
      <c r="FA137" s="635" t="str">
        <f>IF(S137="","",VLOOKUP(S137,'HHV-LHV-MW'!$A$3:$I$40,9,FALSE))</f>
        <v/>
      </c>
      <c r="FB137" s="875" t="str">
        <f>IF($BO$126=1,     IF(OR(FA137="",'HHV-LHV-MW'!FB72="",ET137=""),"",(FA137*('HHV-LHV-MW'!FB72/100)*ET137)^2),IF(OR(FA137="",EM137="",EP137=""),"",(FA137*(EM137/100)*EP137)^2))</f>
        <v/>
      </c>
      <c r="FC137" s="635" t="str">
        <f>IF(S137="","",(VLOOKUP(S137,'HHV-LHV-MW'!$A$3:$F$40,6,FALSE))    )</f>
        <v/>
      </c>
      <c r="FD137" s="875" t="str">
        <f>IF($BO$126=1,     IF(OR(FC137="",'HHV-LHV-MW'!FB72="",ET137=""),"",(FC137*('HHV-LHV-MW'!FB72/100)*ET137)^2),IF(OR(FC137="",EM137="",EP137=""),"",(FC137*(EM137/100)*EP137)^2))</f>
        <v/>
      </c>
      <c r="FE137" s="638" t="str">
        <f>IF($BO$126=1,     IF(OR(FC137="",FA137="",$T$103="",$T$103=0,'HHV-LHV-MW'!FB72="",ET137="",$FB$145=""),"", ((FC137*((FA137*('HHV-LHV-MW'!FB72/100))/$T$103))^2)*((ET137^2)+($FB$145^2))),              IF(OR(FC137="",FA137="",EM137="",EP137="",$FB$145="",$T$103="",$T$103=0),"",      ((FC137*((FA137*(EM137/100))/$T$103))^2)*((EP137^2)+($FB$145^2))             ))</f>
        <v/>
      </c>
      <c r="FF137" s="889" t="str">
        <f>IF(Y137="","",VLOOKUP(Y137,'HHV-LHV-MW'!$A$3:$H$40,4,FALSE))</f>
        <v/>
      </c>
      <c r="FG137" s="889" t="str">
        <f>IF(Y137="","",VLOOKUP(Y137,'HHV-LHV-MW'!$A$3:$H$40,5,FALSE))</f>
        <v/>
      </c>
      <c r="FH137" s="890" t="str">
        <f>IF($BO$136="","",((PRODUCT('HHV-LHV-MW'!GY72)+PRODUCT('HHV-LHV-MW'!HK72)+PRODUCT('HHV-LHV-MW'!HW72)+PRODUCT('HHV-LHV-MW'!II72))/$BO$136))</f>
        <v/>
      </c>
      <c r="FI137" s="890" t="str">
        <f>IF($BO$136="","",(IF($BO$136=1,"",  (SQRT(  (      (IF('HHV-LHV-MW'!GY72="",0,('HHV-LHV-MW'!GY72-FH137)^2))      +        (IF('HHV-LHV-MW'!HK72="",0,('HHV-LHV-MW'!HK72-FH137)^2))       +        (IF('HHV-LHV-MW'!HW72="",0,('HHV-LHV-MW'!HW72-FH137)^2))          +        (IF('HHV-LHV-MW'!II72="",0,('HHV-LHV-MW'!II72-FH137)^2))          )     *(1/($BO$136-1))  )))))</f>
        <v/>
      </c>
      <c r="FJ137" s="890" t="str">
        <f t="shared" si="117"/>
        <v/>
      </c>
      <c r="FK137" s="890" t="str">
        <f t="shared" si="118"/>
        <v/>
      </c>
      <c r="FL137" s="636" t="str">
        <f>IF('HHV-LHV-MW'!GY72="","",IF(AND('HHV-LHV-MW'!GY72&gt;=0,'HHV-LHV-MW'!GY72&lt;=0.09),2,  IF(AND('HHV-LHV-MW'!GY72&gt;=0.1,'HHV-LHV-MW'!GY72&lt;=0.9),7,  IF(AND('HHV-LHV-MW'!GY72&gt;=1,'HHV-LHV-MW'!GY72&lt;=4.9),10,   IF(AND('HHV-LHV-MW'!GY72&gt;=5,'HHV-LHV-MW'!GY72&lt;=10),12, 15)))))</f>
        <v/>
      </c>
      <c r="FM137" s="636" t="str">
        <f>IF('HHV-LHV-MW'!GY72="","",5*'HHV-LHV-MW'!GY72)</f>
        <v/>
      </c>
      <c r="FN137" s="635" t="str">
        <f t="shared" si="119"/>
        <v/>
      </c>
      <c r="FO137" s="636" t="str">
        <f>IF(OR(FN137="",'HHV-LHV-MW'!GY72=0),"",FN137/'HHV-LHV-MW'!GY72)</f>
        <v/>
      </c>
      <c r="FP137" s="636" t="str">
        <f>IF(OR(FO137="",FF137="",'HHV-LHV-MW'!GY72=""),"",((FO137*FF137*('HHV-LHV-MW'!GY72/100))/23.685)^2)</f>
        <v/>
      </c>
      <c r="FQ137" s="636" t="str">
        <f>IF(OR(FO137="",FG137="",'HHV-LHV-MW'!GY72=""),"",((FO137*FG137*('HHV-LHV-MW'!GY72/100))/23.685)^2)</f>
        <v/>
      </c>
      <c r="FR137" s="639" t="str">
        <f t="shared" si="120"/>
        <v/>
      </c>
      <c r="FS137" s="891" t="str">
        <f t="shared" si="121"/>
        <v/>
      </c>
      <c r="FT137" s="643" t="str">
        <f>IF(Y137="","",VLOOKUP(Y137,'HHV-LHV-MW'!$A$3:$H$40,7,FALSE))</f>
        <v/>
      </c>
      <c r="FU137" s="875" t="str">
        <f>IF($BO$136=1,     IF(OR(FT137="",'HHV-LHV-MW'!GY72="",FO137=""),"",(FT137*('HHV-LHV-MW'!GY72/100)*FO137)^2),IF(OR(FT137="",FH137="",FK137=""),"",(FT137*(FH137/100)*FK137)^2))</f>
        <v/>
      </c>
      <c r="FV137" s="635" t="str">
        <f>IF(Y137="","",VLOOKUP(Y137,'HHV-LHV-MW'!$A$3:$I$40,9,FALSE))</f>
        <v/>
      </c>
      <c r="FW137" s="875" t="str">
        <f>IF($BO$136=1,     IF(OR(FV137="",'HHV-LHV-MW'!GY72="",FO137=""),"",(FV137*('HHV-LHV-MW'!GY72/100)*FO137)^2),IF(OR(FV137="",FH137="",FK137=""),"",(FV137*(FH137/100)*FK137)^2))</f>
        <v/>
      </c>
      <c r="FX137" s="635" t="str">
        <f>IF(Y137="","",(VLOOKUP(Y137,'HHV-LHV-MW'!$A$3:$F$40,6,FALSE))    )</f>
        <v/>
      </c>
      <c r="FY137" s="875" t="str">
        <f>IF($BO$136=1,     IF(OR(FX137="",'HHV-LHV-MW'!GY72="",FO137=""),"",(FX137*('HHV-LHV-MW'!GY72/100)*FO137)^2),IF(OR(FX137="",FH137="",FK137=""),"",(FX137*(FH137/100)*FK137)^2))</f>
        <v/>
      </c>
      <c r="FZ137" s="638" t="str">
        <f>IF($BO$136=1,     IF(OR(FX137="",FV137="",$Z$103="",$Z$103=0,'HHV-LHV-MW'!GY72="",FO137="",$FW$145=""),"", ((FX137*((FV137*('HHV-LHV-MW'!GY72/100))/$Z$103))^2)*((FO137^2)+($FW$145^2))),              IF(OR(FX137="",FV137="",FH137="",FK137="",$FW$145="",$Z$103="",$Z$103=0),"",      ((FX137*((FV137*(FH137/100))/$Z$103))^2)*((FK137^2)+($FW$145^2))             ))</f>
        <v/>
      </c>
      <c r="GA137" s="889" t="str">
        <f>IF(AE137="","",VLOOKUP(AE137,'HHV-LHV-MW'!$A$3:$H$40,4,FALSE))</f>
        <v/>
      </c>
      <c r="GB137" s="889" t="str">
        <f>IF(AE137="","",VLOOKUP(AE137,'HHV-LHV-MW'!$A$3:$H$40,5,FALSE))</f>
        <v/>
      </c>
      <c r="GC137" s="890" t="str">
        <f>IF($BW$96="","",((PRODUCT('HHV-LHV-MW'!IV72)+PRODUCT('HHV-LHV-MW'!JH72)+PRODUCT('HHV-LHV-MW'!JT72)+PRODUCT('HHV-LHV-MW'!KF72))/$BW$96))</f>
        <v/>
      </c>
      <c r="GD137" s="890" t="str">
        <f>IF($BW$96="","",(IF($BW$96=1,"",  (SQRT(  (      (IF('HHV-LHV-MW'!IV72="",0,('HHV-LHV-MW'!IV72-GC137)^2))      +        (IF('HHV-LHV-MW'!JH72="",0,('HHV-LHV-MW'!JH72-GC137)^2))       +        (IF('HHV-LHV-MW'!JT72="",0,('HHV-LHV-MW'!JT72-GC137)^2))          +        (IF('HHV-LHV-MW'!KF72="",0,('HHV-LHV-MW'!KF72-GC137)^2))          )     *(1/($BW$96-1))  )))))</f>
        <v/>
      </c>
      <c r="GE137" s="890" t="str">
        <f t="shared" si="122"/>
        <v/>
      </c>
      <c r="GF137" s="890" t="str">
        <f t="shared" si="123"/>
        <v/>
      </c>
      <c r="GG137" s="636" t="str">
        <f>IF('HHV-LHV-MW'!IV72="","",IF(AND('HHV-LHV-MW'!IV72&gt;=0,'HHV-LHV-MW'!IV72&lt;=0.09),2,  IF(AND('HHV-LHV-MW'!IV72&gt;=0.1,'HHV-LHV-MW'!IV72&lt;=0.9),7,  IF(AND('HHV-LHV-MW'!IV72&gt;=1,'HHV-LHV-MW'!IV72&lt;=4.9),10,   IF(AND('HHV-LHV-MW'!IV72&gt;=5,'HHV-LHV-MW'!IV72&lt;=10),12, 15)))))</f>
        <v/>
      </c>
      <c r="GH137" s="636" t="str">
        <f>IF('HHV-LHV-MW'!IV72="","",5*'HHV-LHV-MW'!IV72)</f>
        <v/>
      </c>
      <c r="GI137" s="635" t="str">
        <f t="shared" si="124"/>
        <v/>
      </c>
      <c r="GJ137" s="636" t="str">
        <f>IF(OR(GI137="",'HHV-LHV-MW'!IV72=0),"",GI137/'HHV-LHV-MW'!IV72)</f>
        <v/>
      </c>
      <c r="GK137" s="636" t="str">
        <f>IF(OR(GJ137="",GA137="",'HHV-LHV-MW'!IV72=""),"",((GJ137*GA137*('HHV-LHV-MW'!IV72/100))/23.685)^2)</f>
        <v/>
      </c>
      <c r="GL137" s="636" t="str">
        <f>IF(OR(GJ137="",GB137="",'HHV-LHV-MW'!IV72=""),"",((GJ137*GB137*('HHV-LHV-MW'!IV72/100))/23.685)^2)</f>
        <v/>
      </c>
      <c r="GM137" s="639" t="str">
        <f t="shared" si="125"/>
        <v/>
      </c>
      <c r="GN137" s="891" t="str">
        <f t="shared" si="126"/>
        <v/>
      </c>
      <c r="GO137" s="643" t="str">
        <f>IF(AE137="","",VLOOKUP(AE137,'HHV-LHV-MW'!$A$3:$H$40,7,FALSE))</f>
        <v/>
      </c>
      <c r="GP137" s="875" t="str">
        <f>IF($BW$96=1,     IF(OR(GO137="",'HHV-LHV-MW'!IV72="",GJ137=""),"",(GO137*('HHV-LHV-MW'!IV72/100)*GJ137)^2),IF(OR(GO137="",GC137="",GF137=""),"",(GO137*(GC137/100)*GF137)^2))</f>
        <v/>
      </c>
      <c r="GQ137" s="635" t="str">
        <f>IF(AE137="","",VLOOKUP(AE137,'HHV-LHV-MW'!$A$3:$I$40,9,FALSE))</f>
        <v/>
      </c>
      <c r="GR137" s="875" t="str">
        <f>IF($BW$96=1,     IF(OR(GQ137="",'HHV-LHV-MW'!IV72="",GJ137=""),"",(GQ137*('HHV-LHV-MW'!IV72/100)*GJ137)^2),IF(OR(GQ137="",GC137="",GF137=""),"",(GQ137*(GC137/100)*GF137)^2))</f>
        <v/>
      </c>
      <c r="GS137" s="635" t="str">
        <f>IF(AE137="","",(VLOOKUP(AE137,'HHV-LHV-MW'!$A$3:$F$40,6,FALSE))    )</f>
        <v/>
      </c>
      <c r="GT137" s="875" t="str">
        <f>IF($BW$96=1,     IF(OR(GS137="",'HHV-LHV-MW'!IV72="",GJ137=""),"",(GS137*('HHV-LHV-MW'!IV72/100)*GJ137)^2),IF(OR(GS137="",GC137="",GF137=""),"",(GS137*(GC137/100)*GF137)^2))</f>
        <v/>
      </c>
      <c r="GU137" s="638" t="str">
        <f>IF($BW$96=1,     IF(OR(GS137="",GQ137="",$AF$103="",$AF$103=0,'HHV-LHV-MW'!IV72="",GJ137="",$GR$145=""),"", ((GS137*((GQ137*('HHV-LHV-MW'!IV72/100))/$AF$103))^2)*((GJ137^2)+($GR$145^2))),              IF(OR(GS137="",GQ137="",GC137="",GF137="",$GR$145="",$AF$103="",$AF$103=0),"",      ((GS137*((GQ137*(GC137/100))/$AF$103))^2)*((GF137^2)+($GR$145^2))             ))</f>
        <v/>
      </c>
      <c r="GV137" s="889" t="str">
        <f>IF(AK137="","",VLOOKUP(AK137,'HHV-LHV-MW'!$A$3:$H$40,4,FALSE))</f>
        <v/>
      </c>
      <c r="GW137" s="889" t="str">
        <f>IF(AK137="","",VLOOKUP(AK137,'HHV-LHV-MW'!$A$3:$H$40,5,FALSE))</f>
        <v/>
      </c>
      <c r="GX137" s="890" t="str">
        <f>IF($BW$106="","",((PRODUCT('HHV-LHV-MW'!KS72)+PRODUCT('HHV-LHV-MW'!LE72)+PRODUCT('HHV-LHV-MW'!LQ72)+PRODUCT('HHV-LHV-MW'!MC72))/$BW$106))</f>
        <v/>
      </c>
      <c r="GY137" s="890" t="str">
        <f>IF($BW$106="","",(IF($BW$106=1,"",  (SQRT(  (      (IF('HHV-LHV-MW'!KS72="",0,('HHV-LHV-MW'!KS72-GX137)^2))      +        (IF('HHV-LHV-MW'!LE72="",0,('HHV-LHV-MW'!LE72-GX137)^2))       +        (IF('HHV-LHV-MW'!LQ72="",0,('HHV-LHV-MW'!LQ72-GX137)^2))          +        (IF('HHV-LHV-MW'!MC72="",0,('HHV-LHV-MW'!MC72-GX137)^2))          )     *(1/($BW$106-1))  )))))</f>
        <v/>
      </c>
      <c r="GZ137" s="890" t="str">
        <f t="shared" si="127"/>
        <v/>
      </c>
      <c r="HA137" s="890" t="str">
        <f t="shared" si="128"/>
        <v/>
      </c>
      <c r="HB137" s="636" t="str">
        <f>IF('HHV-LHV-MW'!KS72="","",IF(AND('HHV-LHV-MW'!KS72&gt;=0,'HHV-LHV-MW'!KS72&lt;=0.09),2,  IF(AND('HHV-LHV-MW'!KS72&gt;=0.1,'HHV-LHV-MW'!KS72&lt;=0.9),7,  IF(AND('HHV-LHV-MW'!KS72&gt;=1,'HHV-LHV-MW'!KS72&lt;=4.9),10,   IF(AND('HHV-LHV-MW'!KS72&gt;=5,'HHV-LHV-MW'!KS72&lt;=10),12, 15)))))</f>
        <v/>
      </c>
      <c r="HC137" s="636" t="str">
        <f>IF('HHV-LHV-MW'!KS72="","",5*'HHV-LHV-MW'!KS72)</f>
        <v/>
      </c>
      <c r="HD137" s="635" t="str">
        <f t="shared" si="129"/>
        <v/>
      </c>
      <c r="HE137" s="636" t="str">
        <f>IF(OR(HD137="",'HHV-LHV-MW'!KS72=0),"",HD137/'HHV-LHV-MW'!KS72)</f>
        <v/>
      </c>
      <c r="HF137" s="636" t="str">
        <f>IF(OR(HE137="",GV137="",'HHV-LHV-MW'!KS72=""),"",((HE137*GV137*('HHV-LHV-MW'!KS72/100))/23.685)^2)</f>
        <v/>
      </c>
      <c r="HG137" s="636" t="str">
        <f>IF(OR(HE137="",GW137="",'HHV-LHV-MW'!KS72=""),"",((HE137*GW137*('HHV-LHV-MW'!KS72/100))/23.685)^2)</f>
        <v/>
      </c>
      <c r="HH137" s="639" t="str">
        <f t="shared" si="130"/>
        <v/>
      </c>
      <c r="HI137" s="891" t="str">
        <f t="shared" si="131"/>
        <v/>
      </c>
      <c r="HJ137" s="643" t="str">
        <f>IF(AK137="","",VLOOKUP(AK137,'HHV-LHV-MW'!$A$3:$H$40,7,FALSE))</f>
        <v/>
      </c>
      <c r="HK137" s="875" t="str">
        <f>IF($BW$106=1,     IF(OR(HJ137="",'HHV-LHV-MW'!KS72="",HE137=""),"",(HJ137*('HHV-LHV-MW'!KS72/100)*HE137)^2),IF(OR(HJ137="",GX137="",HA137=""),"",(HJ137*(GX137/100)*HA137)^2))</f>
        <v/>
      </c>
      <c r="HL137" s="635" t="str">
        <f>IF(AK137="","",VLOOKUP(AK137,'HHV-LHV-MW'!$A$3:$I$40,9,FALSE))</f>
        <v/>
      </c>
      <c r="HM137" s="875" t="str">
        <f>IF($BW$106=1,     IF(OR(HL137="",'HHV-LHV-MW'!KS72="",HE137=""),"",(HL137*('HHV-LHV-MW'!KS72/100)*HE137)^2),IF(OR(HL137="",GX137="",HA137=""),"",(HL137*(GX137/100)*HA137)^2))</f>
        <v/>
      </c>
      <c r="HN137" s="635" t="str">
        <f>IF(AK137="","",(VLOOKUP(AK137,'HHV-LHV-MW'!$A$3:$F$40,6,FALSE))    )</f>
        <v/>
      </c>
      <c r="HO137" s="875" t="str">
        <f>IF($BW$106=1,     IF(OR(HN137="",'HHV-LHV-MW'!KS72="",HE137=""),"",(HN137*('HHV-LHV-MW'!KS72/100)*HE137)^2),IF(OR(HN137="",GX137="",HA137=""),"",(HN137*(GX137/100)*HA137)^2))</f>
        <v/>
      </c>
      <c r="HP137" s="638" t="str">
        <f>IF($BW$106=1,     IF(OR(HN137="",HL137="",$AL$103="",$AL$103=0,'HHV-LHV-MW'!KS72="",HE137="",$HM$145=""),"", ((HN137*((HL137*('HHV-LHV-MW'!KS72/100))/$AL$103))^2)*((HE137^2)+($HM$145^2))),              IF(OR(HN137="",HL137="",GX137="",HA137="",$HM$145="",$AL$103="",$AL$103=0),"",      ((HN137*((HL137*(GX137/100))/$AL$103))^2)*((HA137^2)+($HM$145^2))             ))</f>
        <v/>
      </c>
      <c r="HQ137" s="889" t="str">
        <f>IF(AQ137="","",VLOOKUP(AQ137,'HHV-LHV-MW'!$A$3:$H$40,4,FALSE))</f>
        <v/>
      </c>
      <c r="HR137" s="889" t="str">
        <f>IF(AQ137="","",VLOOKUP(AQ137,'HHV-LHV-MW'!$A$3:$H$40,5,FALSE))</f>
        <v/>
      </c>
      <c r="HS137" s="890" t="str">
        <f>IF($BW$116="","",((PRODUCT('HHV-LHV-MW'!MP72)+PRODUCT('HHV-LHV-MW'!NB72)+PRODUCT('HHV-LHV-MW'!NN72)+PRODUCT('HHV-LHV-MW'!NZ72))/$BW$116))</f>
        <v/>
      </c>
      <c r="HT137" s="890" t="str">
        <f>IF($BW$116="","",(IF($BW$116=1,"",  (SQRT(  (      (IF('HHV-LHV-MW'!MP72="",0,('HHV-LHV-MW'!MP72-HS137)^2))      +        (IF('HHV-LHV-MW'!NB72="",0,('HHV-LHV-MW'!NB72-HS137)^2))       +        (IF('HHV-LHV-MW'!NN72="",0,('HHV-LHV-MW'!NN72-HS137)^2))          +        (IF('HHV-LHV-MW'!NZ72="",0,('HHV-LHV-MW'!NZ72-HS137)^2))          )     *(1/($BW$116-1))  )))))</f>
        <v/>
      </c>
      <c r="HU137" s="890" t="str">
        <f t="shared" si="132"/>
        <v/>
      </c>
      <c r="HV137" s="890" t="str">
        <f t="shared" si="133"/>
        <v/>
      </c>
      <c r="HW137" s="636" t="str">
        <f>IF('HHV-LHV-MW'!MP72="","",IF(AND('HHV-LHV-MW'!MP72&gt;=0,'HHV-LHV-MW'!MP72&lt;=0.09),2,  IF(AND('HHV-LHV-MW'!MP72&gt;=0.1,'HHV-LHV-MW'!MP72&lt;=0.9),7,  IF(AND('HHV-LHV-MW'!MP72&gt;=1,'HHV-LHV-MW'!MP72&lt;=4.9),10,   IF(AND('HHV-LHV-MW'!MP72&gt;=5,'HHV-LHV-MW'!MP72&lt;=10),12, 15)))))</f>
        <v/>
      </c>
      <c r="HX137" s="636" t="str">
        <f>IF('HHV-LHV-MW'!MP72="","",5*'HHV-LHV-MW'!MP72)</f>
        <v/>
      </c>
      <c r="HY137" s="635" t="str">
        <f t="shared" si="134"/>
        <v/>
      </c>
      <c r="HZ137" s="636" t="str">
        <f>IF(OR(HY137="",'HHV-LHV-MW'!MP72=0),"",HY137/'HHV-LHV-MW'!MP72)</f>
        <v/>
      </c>
      <c r="IA137" s="636" t="str">
        <f>IF(OR(HZ137="",HQ137="",'HHV-LHV-MW'!MP72=""),"",((HZ137*HQ137*('HHV-LHV-MW'!MP72/100))/23.685)^2)</f>
        <v/>
      </c>
      <c r="IB137" s="636" t="str">
        <f>IF(OR(HZ137="",HR137="",'HHV-LHV-MW'!MP72=""),"",((HZ137*HR137*('HHV-LHV-MW'!MP72/100))/23.685)^2)</f>
        <v/>
      </c>
      <c r="IC137" s="639" t="str">
        <f t="shared" si="135"/>
        <v/>
      </c>
      <c r="ID137" s="891" t="str">
        <f t="shared" si="136"/>
        <v/>
      </c>
      <c r="IE137" s="643" t="str">
        <f>IF(AQ137="","",VLOOKUP(AQ137,'HHV-LHV-MW'!$A$3:$H$40,7,FALSE))</f>
        <v/>
      </c>
      <c r="IF137" s="875" t="str">
        <f>IF($BW$116=1,     IF(OR(IE137="",'HHV-LHV-MW'!MP72="",HZ137=""),"",(IE137*('HHV-LHV-MW'!MP72/100)*HZ137)^2),IF(OR(IE137="",HS137="",HV137=""),"",(IE137*(HS137/100)*HV137)^2))</f>
        <v/>
      </c>
      <c r="IG137" s="635" t="str">
        <f>IF(AQ137="","",VLOOKUP(AQ137,'HHV-LHV-MW'!$A$3:$I$40,9,FALSE))</f>
        <v/>
      </c>
      <c r="IH137" s="875" t="str">
        <f>IF($BW$116=1,     IF(OR(IG137="",'HHV-LHV-MW'!MP72="",HZ137=""),"",(IG137*('HHV-LHV-MW'!MP72/100)*HZ137)^2),IF(OR(IG137="",HS137="",HV137=""),"",(IG137*(HS137/100)*HV137)^2))</f>
        <v/>
      </c>
      <c r="II137" s="635" t="str">
        <f>IF(AQ137="","",(VLOOKUP(AQ137,'HHV-LHV-MW'!$A$3:$F$40,6,FALSE))    )</f>
        <v/>
      </c>
      <c r="IJ137" s="875" t="str">
        <f>IF($BW$116=1,     IF(OR(II137="",'HHV-LHV-MW'!MP72="",HZ137=""),"",(II137*('HHV-LHV-MW'!MP72/100)*HZ137)^2),IF(OR(II137="",HS137="",HV137=""),"",(II137*(HS137/100)*HV137)^2))</f>
        <v/>
      </c>
      <c r="IK137" s="638" t="str">
        <f>IF($BW$116=1,     IF(OR(II137="",IG137="",$AR$103="",$AR$103=0,'HHV-LHV-MW'!MP72="",HZ137="",$IH$145=""),"", ((II137*((IG137*('HHV-LHV-MW'!MP72/100))/$AR$103))^2)*((HZ137^2)+($IH$145^2))),              IF(OR(II137="",IG137="",HS137="",HV137="",$IH$145="",$AR$103="",$AR$103=0),"",      ((II137*((IG137*(HS137/100))/$AR$103))^2)*((HV137^2)+($IH$145^2))             ))</f>
        <v/>
      </c>
      <c r="IL137" s="889" t="str">
        <f>IF(AW137="","",VLOOKUP(AW137,'HHV-LHV-MW'!$A$3:$H$40,4,FALSE))</f>
        <v/>
      </c>
      <c r="IM137" s="889" t="str">
        <f>IF(AW137="","",VLOOKUP(AW137,'HHV-LHV-MW'!$A$3:$H$40,5,FALSE))</f>
        <v/>
      </c>
      <c r="IN137" s="890" t="str">
        <f>IF($BW$126="","",((PRODUCT('HHV-LHV-MW'!ON72)+PRODUCT('HHV-LHV-MW'!OZ72)+PRODUCT('HHV-LHV-MW'!PL72)+PRODUCT('HHV-LHV-MW'!PX72))/$BW$126))</f>
        <v/>
      </c>
      <c r="IO137" s="890" t="str">
        <f>IF($BW$126="","",(IF($BW$126=1,"",  (SQRT(  (      (IF('HHV-LHV-MW'!ON72="",0,('HHV-LHV-MW'!ON72-IN137)^2))      +        (IF('HHV-LHV-MW'!OZ72="",0,('HHV-LHV-MW'!OZ72-IN137)^2))       +        (IF('HHV-LHV-MW'!PL72="",0,('HHV-LHV-MW'!PL72-IN137)^2))          +        (IF('HHV-LHV-MW'!PX72="",0,('HHV-LHV-MW'!PX72-IN137)^2))          )     *(1/($BW$126-1))  )))))</f>
        <v/>
      </c>
      <c r="IP137" s="890" t="str">
        <f t="shared" si="137"/>
        <v/>
      </c>
      <c r="IQ137" s="890" t="str">
        <f t="shared" si="138"/>
        <v/>
      </c>
      <c r="IR137" s="636" t="str">
        <f>IF('HHV-LHV-MW'!ON72="","",IF(AND('HHV-LHV-MW'!ON72&gt;=0,'HHV-LHV-MW'!ON72&lt;=0.09),2,  IF(AND('HHV-LHV-MW'!ON72&gt;=0.1,'HHV-LHV-MW'!ON72&lt;=0.9),7,  IF(AND('HHV-LHV-MW'!ON72&gt;=1,'HHV-LHV-MW'!ON72&lt;=4.9),10,   IF(AND('HHV-LHV-MW'!ON72&gt;=5,'HHV-LHV-MW'!ON72&lt;=10),12, 15)))))</f>
        <v/>
      </c>
      <c r="IS137" s="636" t="str">
        <f>IF('HHV-LHV-MW'!ON72="","",5*'HHV-LHV-MW'!ON72)</f>
        <v/>
      </c>
      <c r="IT137" s="635" t="str">
        <f t="shared" si="139"/>
        <v/>
      </c>
      <c r="IU137" s="636" t="str">
        <f>IF(OR(IT137="",'HHV-LHV-MW'!ON72=0),"",IT137/'HHV-LHV-MW'!ON72)</f>
        <v/>
      </c>
      <c r="IV137" s="636" t="str">
        <f>IF(OR(IU137="",IL137="",'HHV-LHV-MW'!ON72=""),"",((IU137*IL137*('HHV-LHV-MW'!ON72/100))/23.685)^2)</f>
        <v/>
      </c>
      <c r="IW137" s="636" t="str">
        <f>IF(OR(IU137="",IM137="",'HHV-LHV-MW'!ON72=""),"",((IU137*IM137*('HHV-LHV-MW'!ON72/100))/23.685)^2)</f>
        <v/>
      </c>
      <c r="IX137" s="639" t="str">
        <f t="shared" si="140"/>
        <v/>
      </c>
      <c r="IY137" s="891" t="str">
        <f t="shared" si="141"/>
        <v/>
      </c>
      <c r="IZ137" s="643" t="str">
        <f>IF(AW137="","",VLOOKUP(AW137,'HHV-LHV-MW'!$A$3:$H$40,7,FALSE))</f>
        <v/>
      </c>
      <c r="JA137" s="875" t="str">
        <f>IF($BW$126=1,     IF(OR(IZ137="",'HHV-LHV-MW'!ON72="",IU137=""),"",(IZ137*('HHV-LHV-MW'!ON72/100)*IU137)^2),IF(OR(IZ137="",IN137="",IQ137=""),"",(IZ137*(IN137/100)*IQ137)^2))</f>
        <v/>
      </c>
      <c r="JB137" s="635" t="str">
        <f>IF(AW137="","",VLOOKUP(AW137,'HHV-LHV-MW'!$A$3:$I$40,9,FALSE))</f>
        <v/>
      </c>
      <c r="JC137" s="875" t="str">
        <f>IF($BW$126=1,     IF(OR(JB137="",'HHV-LHV-MW'!ON72="",IU137=""),"",(JB137*('HHV-LHV-MW'!ON72/100)*IU137)^2),IF(OR(JB137="",IN137="",IQ137=""),"",(JB137*(IN137/100)*IQ137)^2))</f>
        <v/>
      </c>
      <c r="JD137" s="635" t="str">
        <f>IF(AW137="","",(VLOOKUP(AW137,'HHV-LHV-MW'!$A$3:$F$40,6,FALSE))    )</f>
        <v/>
      </c>
      <c r="JE137" s="875" t="str">
        <f>IF($BW$126=1,     IF(OR(JD137="",'HHV-LHV-MW'!ON72="",IU137=""),"",(JD137*('HHV-LHV-MW'!ON72/100)*IU137)^2),IF(OR(JD137="",IN137="",IQ137=""),"",(JD137*(IN137/100)*IQ137)^2))</f>
        <v/>
      </c>
      <c r="JF137" s="638" t="str">
        <f>IF($BW$126=1,     IF(OR(JD137="",JB137="",$AX$103="",$AX$103=0,'HHV-LHV-MW'!ON72="",IU137="",$JC$145=""),"", ((JD137*((JB137*('HHV-LHV-MW'!ON72/100))/$AX$103))^2)*((IU137^2)+($JC$145^2))),              IF(OR(JD137="",JB137="",IN137="",IQ137="",$JC$145="",$AX$103="",$AX$103=0),"",      ((JD137*((JB137*(IN137/100))/$AX$103))^2)*((IQ137^2)+($JC$145^2))             ))</f>
        <v/>
      </c>
      <c r="JG137" s="889" t="str">
        <f>IF(BC137="","",VLOOKUP(BC137,'HHV-LHV-MW'!$A$3:$H$40,4,FALSE))</f>
        <v/>
      </c>
      <c r="JH137" s="889" t="str">
        <f>IF(BC137="","",VLOOKUP(BC137,'HHV-LHV-MW'!$A$3:$H$40,5,FALSE))</f>
        <v/>
      </c>
      <c r="JI137" s="890" t="str">
        <f>IF($BW$136="","",((PRODUCT('HHV-LHV-MW'!QK72)+PRODUCT('HHV-LHV-MW'!QW72)+PRODUCT('HHV-LHV-MW'!RI72)+PRODUCT('HHV-LHV-MW'!RU72))/$BW$136))</f>
        <v/>
      </c>
      <c r="JJ137" s="890" t="str">
        <f>IF($BW$136="","",(IF($BW$136=1,"",  (SQRT(  (      (IF('HHV-LHV-MW'!QK72="",0,('HHV-LHV-MW'!QK72-JI137)^2))      +        (IF('HHV-LHV-MW'!QW72="",0,('HHV-LHV-MW'!QW72-JI137)^2))       +        (IF('HHV-LHV-MW'!RI72="",0,('HHV-LHV-MW'!RI72-JI137)^2))          +        (IF('HHV-LHV-MW'!RU72="",0,('HHV-LHV-MW'!RU72-JI137)^2))          )     *(1/($BW$136-1))  )))))</f>
        <v/>
      </c>
      <c r="JK137" s="890" t="str">
        <f t="shared" si="142"/>
        <v/>
      </c>
      <c r="JL137" s="890" t="str">
        <f t="shared" si="143"/>
        <v/>
      </c>
      <c r="JM137" s="636" t="str">
        <f>IF('HHV-LHV-MW'!QK72="","",IF(AND('HHV-LHV-MW'!QK72&gt;=0,'HHV-LHV-MW'!QK72&lt;=0.09),2,  IF(AND('HHV-LHV-MW'!QK72&gt;=0.1,'HHV-LHV-MW'!QK72&lt;=0.9),7,  IF(AND('HHV-LHV-MW'!QK72&gt;=1,'HHV-LHV-MW'!QK72&lt;=4.9),10,   IF(AND('HHV-LHV-MW'!QK72&gt;=5,'HHV-LHV-MW'!QK72&lt;=10),12, 15)))))</f>
        <v/>
      </c>
      <c r="JN137" s="636" t="str">
        <f>IF('HHV-LHV-MW'!QK72="","",5*'HHV-LHV-MW'!QK72)</f>
        <v/>
      </c>
      <c r="JO137" s="635" t="str">
        <f t="shared" si="144"/>
        <v/>
      </c>
      <c r="JP137" s="636" t="str">
        <f>IF(OR(JO137="",'HHV-LHV-MW'!QK72=0),"",JO137/'HHV-LHV-MW'!QK72)</f>
        <v/>
      </c>
      <c r="JQ137" s="636" t="str">
        <f>IF(OR(JP137="",JG137="",'HHV-LHV-MW'!QK72=""),"",((JP137*JG137*('HHV-LHV-MW'!QK72/100))/23.685)^2)</f>
        <v/>
      </c>
      <c r="JR137" s="636" t="str">
        <f>IF(OR(JP137="",JH137="",'HHV-LHV-MW'!QK72=""),"",((JP137*JH137*('HHV-LHV-MW'!QK72/100))/23.685)^2)</f>
        <v/>
      </c>
      <c r="JS137" s="639" t="str">
        <f t="shared" si="145"/>
        <v/>
      </c>
      <c r="JT137" s="891" t="str">
        <f t="shared" si="146"/>
        <v/>
      </c>
      <c r="JU137" s="643" t="str">
        <f>IF(BC137="","",VLOOKUP(BC137,'HHV-LHV-MW'!$A$3:$H$40,7,FALSE))</f>
        <v/>
      </c>
      <c r="JV137" s="875" t="str">
        <f>IF($BW$136=1,     IF(OR(JU137="",'HHV-LHV-MW'!QK72="",JP137=""),"",(JU137*('HHV-LHV-MW'!QK72/100)*JP137)^2),IF(OR(JU137="",JI137="",JL137=""),"",(JU137*(JI137/100)*JL137)^2))</f>
        <v/>
      </c>
      <c r="JW137" s="635" t="str">
        <f>IF(BC137="","",VLOOKUP(BC137,'HHV-LHV-MW'!$A$3:$I$40,9,FALSE))</f>
        <v/>
      </c>
      <c r="JX137" s="875" t="str">
        <f>IF($BW$136=1,     IF(OR(JW137="",'HHV-LHV-MW'!QK72="",JP137=""),"",(JW137*('HHV-LHV-MW'!QK72/100)*JP137)^2),IF(OR(JW137="",JI137="",JL137=""),"",(JW137*(JI137/100)*JL137)^2))</f>
        <v/>
      </c>
      <c r="JY137" s="635" t="str">
        <f>IF(BC137="","",(VLOOKUP(BC137,'HHV-LHV-MW'!$A$3:$F$40,6,FALSE))    )</f>
        <v/>
      </c>
      <c r="JZ137" s="875" t="str">
        <f>IF($BW$136=1,     IF(OR(JY137="",'HHV-LHV-MW'!QK72="",JP137=""),"",(JY137*('HHV-LHV-MW'!QK72/100)*JP137)^2),IF(OR(JY137="",JI137="",JL137=""),"",(JY137*(JI137/100)*JL137)^2))</f>
        <v/>
      </c>
      <c r="KA137" s="638" t="str">
        <f>IF($BW$136=1,     IF(OR(JY137="",JW137="",$BD$103="",$BD$103=0,'HHV-LHV-MW'!QK72="",JP137="",$JX$145=""),"", ((JY137*((JW137*('HHV-LHV-MW'!QK72/100))/$BD$103))^2)*((JP137^2)+($JX$145^2))),              IF(OR(JY137="",JW137="",JI137="",JL137="",$JX$145="",$BD$103="",$BD$103=0),"",      ((JY137*((JW137*(JI137/100))/$BD$103))^2)*((JL137^2)+($JX$145^2))             ))</f>
        <v/>
      </c>
      <c r="KB137" s="874"/>
      <c r="KC137" s="874"/>
      <c r="KD137" s="874"/>
      <c r="KE137" s="874"/>
      <c r="KF137" s="874"/>
      <c r="KG137" s="874"/>
      <c r="KH137" s="865"/>
      <c r="KI137" s="865"/>
      <c r="KJ137" s="865"/>
      <c r="KK137" s="865"/>
      <c r="KL137" s="865"/>
      <c r="KM137" s="865"/>
      <c r="KN137" s="865"/>
      <c r="KO137" s="865"/>
      <c r="KP137" s="865"/>
      <c r="KQ137" s="865"/>
      <c r="KR137" s="865"/>
      <c r="KS137" s="865"/>
      <c r="KT137" s="865"/>
      <c r="KU137" s="865"/>
      <c r="KV137" s="865"/>
      <c r="KW137" s="865"/>
      <c r="KX137" s="865"/>
      <c r="KY137" s="865"/>
      <c r="KZ137" s="865"/>
      <c r="LA137" s="865"/>
      <c r="LB137" s="865"/>
      <c r="LC137" s="865"/>
      <c r="LD137" s="865"/>
      <c r="LE137" s="865"/>
      <c r="LF137" s="865"/>
    </row>
    <row r="138" spans="1:318" ht="19.2" thickBot="1">
      <c r="A138" s="864"/>
      <c r="B138" s="502"/>
      <c r="C138" s="502"/>
      <c r="D138" s="502"/>
      <c r="E138" s="502"/>
      <c r="F138" s="511"/>
      <c r="G138" s="864"/>
      <c r="H138" s="502"/>
      <c r="I138" s="502"/>
      <c r="J138" s="502"/>
      <c r="K138" s="502"/>
      <c r="L138" s="511"/>
      <c r="M138" s="864"/>
      <c r="N138" s="502"/>
      <c r="O138" s="502"/>
      <c r="P138" s="502"/>
      <c r="Q138" s="502"/>
      <c r="R138" s="511"/>
      <c r="S138" s="864"/>
      <c r="T138" s="502"/>
      <c r="U138" s="502"/>
      <c r="V138" s="502"/>
      <c r="W138" s="502"/>
      <c r="X138" s="511"/>
      <c r="Y138" s="864"/>
      <c r="Z138" s="502"/>
      <c r="AA138" s="502"/>
      <c r="AB138" s="502"/>
      <c r="AC138" s="502"/>
      <c r="AD138" s="511"/>
      <c r="AE138" s="864"/>
      <c r="AF138" s="502"/>
      <c r="AG138" s="502"/>
      <c r="AH138" s="502"/>
      <c r="AI138" s="502"/>
      <c r="AJ138" s="511"/>
      <c r="AK138" s="864"/>
      <c r="AL138" s="502"/>
      <c r="AM138" s="502"/>
      <c r="AN138" s="502"/>
      <c r="AO138" s="502"/>
      <c r="AP138" s="511"/>
      <c r="AQ138" s="864"/>
      <c r="AR138" s="502"/>
      <c r="AS138" s="502"/>
      <c r="AT138" s="502"/>
      <c r="AU138" s="502"/>
      <c r="AV138" s="511"/>
      <c r="AW138" s="864"/>
      <c r="AX138" s="502"/>
      <c r="AY138" s="502"/>
      <c r="AZ138" s="502"/>
      <c r="BA138" s="502"/>
      <c r="BB138" s="511"/>
      <c r="BC138" s="864"/>
      <c r="BD138" s="502"/>
      <c r="BE138" s="502"/>
      <c r="BF138" s="502"/>
      <c r="BG138" s="502"/>
      <c r="BH138" s="865"/>
      <c r="BI138" s="865"/>
      <c r="BJ138" s="1143" t="s">
        <v>1506</v>
      </c>
      <c r="BK138" s="2481"/>
      <c r="BL138" s="2481"/>
      <c r="BM138" s="2481"/>
      <c r="BN138" s="1144"/>
      <c r="BO138" s="2482" t="str">
        <f>IF(BO136="","",IF(BO136=1,FP143,FR143))</f>
        <v/>
      </c>
      <c r="BP138" s="2483"/>
      <c r="BQ138" s="865"/>
      <c r="BR138" s="1143" t="s">
        <v>1506</v>
      </c>
      <c r="BS138" s="2481"/>
      <c r="BT138" s="2481"/>
      <c r="BU138" s="2481"/>
      <c r="BV138" s="1144"/>
      <c r="BW138" s="2482" t="str">
        <f>IF(BW136="","",IF(BW136=1,JQ143,JS143))</f>
        <v/>
      </c>
      <c r="BX138" s="2483"/>
      <c r="BY138" s="874"/>
      <c r="BZ138" s="888" t="str">
        <f>IF(A138="","",VLOOKUP(A138,'HHV-LHV-MW'!$A$3:$H$40,4,FALSE))</f>
        <v/>
      </c>
      <c r="CA138" s="889" t="str">
        <f>IF(A138="","",VLOOKUP(A138,'HHV-LHV-MW'!$A$3:$H$40,5,FALSE))</f>
        <v/>
      </c>
      <c r="CB138" s="890" t="str">
        <f>IF($BO$96="","",((PRODUCT('HHV-LHV-MW'!K73)+PRODUCT('HHV-LHV-MW'!W73)+PRODUCT('HHV-LHV-MW'!AI73)+PRODUCT('HHV-LHV-MW'!AU73))/$BO$96))</f>
        <v/>
      </c>
      <c r="CC138" s="890" t="str">
        <f>IF($BO$96="","",(IF($BO$96=1,"",  (SQRT(  (      (IF('HHV-LHV-MW'!K73="",0,('HHV-LHV-MW'!K73-CB138)^2))      +        (IF('HHV-LHV-MW'!W73="",0,('HHV-LHV-MW'!W73-CB138)^2))       +        (IF('HHV-LHV-MW'!AI73="",0,('HHV-LHV-MW'!AI73-CB138)^2))          +        (IF('HHV-LHV-MW'!AU73="",0,('HHV-LHV-MW'!AU73-CB138)^2))          )     *(1/($BO$96-1))  )))))</f>
        <v/>
      </c>
      <c r="CD138" s="890" t="str">
        <f t="shared" si="97"/>
        <v/>
      </c>
      <c r="CE138" s="890" t="str">
        <f t="shared" si="98"/>
        <v/>
      </c>
      <c r="CF138" s="636" t="str">
        <f>IF('HHV-LHV-MW'!K73="","",IF(AND('HHV-LHV-MW'!K73&gt;=0,'HHV-LHV-MW'!K73&lt;=0.09),2,  IF(AND('HHV-LHV-MW'!K73&gt;=0.1,'HHV-LHV-MW'!K73&lt;=0.9),7,  IF(AND('HHV-LHV-MW'!K73&gt;=1,'HHV-LHV-MW'!K73&lt;=4.9),10,   IF(AND('HHV-LHV-MW'!K73&gt;=5,'HHV-LHV-MW'!K73&lt;=10),12, 15)))))</f>
        <v/>
      </c>
      <c r="CG138" s="636" t="str">
        <f>IF('HHV-LHV-MW'!K73="","",5*'HHV-LHV-MW'!K73)</f>
        <v/>
      </c>
      <c r="CH138" s="635" t="str">
        <f t="shared" si="99"/>
        <v/>
      </c>
      <c r="CI138" s="636" t="str">
        <f>IF(OR(CH138="",'HHV-LHV-MW'!K73=0),"",CH138/'HHV-LHV-MW'!K73)</f>
        <v/>
      </c>
      <c r="CJ138" s="636" t="str">
        <f>IF(OR(CI138="",BZ138="",'HHV-LHV-MW'!K73=""),"",((CI138*BZ138*('HHV-LHV-MW'!K73/100))/23.685)^2)</f>
        <v/>
      </c>
      <c r="CK138" s="636" t="str">
        <f>IF(OR(CI138="",CA138="",'HHV-LHV-MW'!K73=""),"",((CI138*CA138*('HHV-LHV-MW'!K73/100))/23.685)^2)</f>
        <v/>
      </c>
      <c r="CL138" s="639" t="str">
        <f t="shared" si="100"/>
        <v/>
      </c>
      <c r="CM138" s="892" t="str">
        <f t="shared" si="101"/>
        <v/>
      </c>
      <c r="CN138" s="639" t="str">
        <f>IF(A138="","",VLOOKUP(A138,'HHV-LHV-MW'!$A$3:$H$40,7,FALSE))</f>
        <v/>
      </c>
      <c r="CO138" s="636" t="str">
        <f>IF($BO$96=1,     IF(OR(CN138="",'HHV-LHV-MW'!K73="",CI138=""),"",(CN138*('HHV-LHV-MW'!K73/100)*CI138)^2),IF(OR(CN138="",CB138="",CE138=""),"",(CN138*(CB138/100)*CE138)^2))</f>
        <v/>
      </c>
      <c r="CP138" s="635" t="str">
        <f>IF(A138="","",VLOOKUP(A138,'HHV-LHV-MW'!$A$3:$I$40,9,FALSE))</f>
        <v/>
      </c>
      <c r="CQ138" s="636" t="str">
        <f>IF($BO$96=1,     IF(OR(CP138="",'HHV-LHV-MW'!K73="",CI138=""),"",(CP138*('HHV-LHV-MW'!K73/100)*CI138)^2),IF(OR(CP138="",CB138="",CE138=""),"",(CP138*(CB138/100)*CE138)^2))</f>
        <v/>
      </c>
      <c r="CR138" s="636" t="str">
        <f>IF(A138="","",(VLOOKUP(A138,'HHV-LHV-MW'!$A$3:$F$40,6,FALSE))    )</f>
        <v/>
      </c>
      <c r="CS138" s="636" t="str">
        <f>IF($BO$96=1,     IF(OR(CR138="",'HHV-LHV-MW'!K73="",CI138=""),"",(CR138*('HHV-LHV-MW'!K73/100)*CI138)^2),IF(OR(CR138="",CB138="",CE138=""),"",(CR138*(CB138/100)*CE138)^2))</f>
        <v/>
      </c>
      <c r="CT138" s="640" t="str">
        <f>IF($BO$96=1,     IF(OR(CR138="",CP138="",$B$103="",$B$103=0,'HHV-LHV-MW'!K73="",CI138="",$CQ$145=""),"", ((CR138*((CP138*('HHV-LHV-MW'!K73/100))/$B$103))^2)*((CI138^2)+($CQ$145^2))),              IF(OR(CR138="",CP138="",CB138="",CE138="",$CQ$145="",$B$103="",$B$103=0),"",      ((CR138*((CP138*(CB138/100))/$B$103))^2)*((CE138^2)+($CQ$145^2))             ))</f>
        <v/>
      </c>
      <c r="CU138" s="889" t="str">
        <f>IF(G138="","",VLOOKUP(G138,'HHV-LHV-MW'!$A$3:$H$40,4,FALSE))</f>
        <v/>
      </c>
      <c r="CV138" s="889" t="str">
        <f>IF(G138="","",VLOOKUP(G138,'HHV-LHV-MW'!$A$3:$H$40,5,FALSE))</f>
        <v/>
      </c>
      <c r="CW138" s="890" t="str">
        <f>IF($BO$106="","",((PRODUCT('HHV-LHV-MW'!BH73)+PRODUCT('HHV-LHV-MW'!BT73)+PRODUCT('HHV-LHV-MW'!CF73)+PRODUCT('HHV-LHV-MW'!CR73))/$BO$106))</f>
        <v/>
      </c>
      <c r="CX138" s="890" t="str">
        <f>IF($BO$106="","",(IF($BO$106=1,"",  (SQRT(  (      (IF('HHV-LHV-MW'!BH73="",0,('HHV-LHV-MW'!BH73-CW138)^2))      +        (IF('HHV-LHV-MW'!BT73="",0,('HHV-LHV-MW'!BT73-CW138)^2))       +        (IF('HHV-LHV-MW'!CF73="",0,('HHV-LHV-MW'!CF73-CW138)^2))          +        (IF('HHV-LHV-MW'!CR73="",0,('HHV-LHV-MW'!CR73-CW138)^2))          )     *(1/($BO$106-1))  )))))</f>
        <v/>
      </c>
      <c r="CY138" s="890" t="str">
        <f t="shared" si="102"/>
        <v/>
      </c>
      <c r="CZ138" s="890" t="str">
        <f t="shared" si="103"/>
        <v/>
      </c>
      <c r="DA138" s="636" t="str">
        <f>IF('HHV-LHV-MW'!BH73="","",IF(AND('HHV-LHV-MW'!BH73&gt;=0,'HHV-LHV-MW'!BH73&lt;=0.09),2,  IF(AND('HHV-LHV-MW'!BH73&gt;=0.1,'HHV-LHV-MW'!BH73&lt;=0.9),7,  IF(AND('HHV-LHV-MW'!BH73&gt;=1,'HHV-LHV-MW'!BH73&lt;=4.9),10,   IF(AND('HHV-LHV-MW'!BH73&gt;=5,'HHV-LHV-MW'!BH73&lt;=10),12, 15)))))</f>
        <v/>
      </c>
      <c r="DB138" s="636" t="str">
        <f>IF('HHV-LHV-MW'!BH73="","",5*'HHV-LHV-MW'!BH73)</f>
        <v/>
      </c>
      <c r="DC138" s="635" t="str">
        <f t="shared" si="104"/>
        <v/>
      </c>
      <c r="DD138" s="636" t="str">
        <f>IF(OR(DC138="",'HHV-LHV-MW'!BH73=0),"",DC138/'HHV-LHV-MW'!BH73)</f>
        <v/>
      </c>
      <c r="DE138" s="635" t="str">
        <f>IF(OR(DD138="",CU138="",'HHV-LHV-MW'!BH73=""),"",((DD138*CU138*('HHV-LHV-MW'!BH73/100))/23.685)^2)</f>
        <v/>
      </c>
      <c r="DF138" s="636" t="str">
        <f>IF(OR(DD138="",CV138="",'HHV-LHV-MW'!BH73=""),"",((DD138*CV138*('HHV-LHV-MW'!BH73/100))/23.685)^2)</f>
        <v/>
      </c>
      <c r="DG138" s="639" t="str">
        <f t="shared" si="105"/>
        <v/>
      </c>
      <c r="DH138" s="891" t="str">
        <f t="shared" si="106"/>
        <v/>
      </c>
      <c r="DI138" s="635" t="str">
        <f>IF(G138="","",VLOOKUP(G138,'HHV-LHV-MW'!$A$3:$H$40,7,FALSE))</f>
        <v/>
      </c>
      <c r="DJ138" s="875" t="str">
        <f>IF($BO$106=1,     IF(OR(DI138="",'HHV-LHV-MW'!BH73="",DD138=""),"",(DI138*('HHV-LHV-MW'!BH73/100)*DD138)^2),IF(OR(DI138="",CW138="",CZ138=""),"",(DI138*(CW138/100)*CZ138)^2))</f>
        <v/>
      </c>
      <c r="DK138" s="635" t="str">
        <f>IF(G138="","",VLOOKUP(G138,'HHV-LHV-MW'!$A$3:$I$40,9,FALSE))</f>
        <v/>
      </c>
      <c r="DL138" s="875" t="str">
        <f>IF($BO$106=1,     IF(OR(DK138="",'HHV-LHV-MW'!BH73="",DD138=""),"",(DK138*('HHV-LHV-MW'!BH73/100)*DD138)^2),IF(OR(DK138="",CW138="",CZ138=""),"",(DK138*(CW138/100)*CZ138)^2))</f>
        <v/>
      </c>
      <c r="DM138" s="635" t="str">
        <f>IF(G138="","",(VLOOKUP(G138,'HHV-LHV-MW'!$A$3:$F$40,6,FALSE))    )</f>
        <v/>
      </c>
      <c r="DN138" s="875" t="str">
        <f>IF($BO$106=1,     IF(OR(DM138="",'HHV-LHV-MW'!BH73="",DD138=""),"",(DM138*('HHV-LHV-MW'!BH73/100)*DD138)^2),IF(OR(DM138="",CW138="",CZ138=""),"",(DM138*(CW138/100)*CZ138)^2))</f>
        <v/>
      </c>
      <c r="DO138" s="638" t="str">
        <f>IF($BO$106=1,     IF(OR(DM138="",DK138="",$H$103="",$H$103=0,'HHV-LHV-MW'!BH73="",DD138="",$DL$145=""),"", ((DM138*((DK138*('HHV-LHV-MW'!BH73/100))/$H$103))^2)*((DD138^2)+($DL$145^2))),              IF(OR(DM138="",DK138="",CW138="",CZ138="",$DL$145="",$H$103="",$H$103=0),"",      ((DM138*((DK138*(CW138/100))/$H$103))^2)*((CZ138^2)+($DL$145^2))             ))</f>
        <v/>
      </c>
      <c r="DP138" s="889" t="str">
        <f>IF(M138="","",VLOOKUP(M138,'HHV-LHV-MW'!$A$3:$H$40,4,FALSE))</f>
        <v/>
      </c>
      <c r="DQ138" s="889" t="str">
        <f>IF(M138="","",VLOOKUP(M138,'HHV-LHV-MW'!$A$3:$H$40,5,FALSE))</f>
        <v/>
      </c>
      <c r="DR138" s="890" t="str">
        <f>IF($BO$116="","",((PRODUCT('HHV-LHV-MW'!DE73)+PRODUCT('HHV-LHV-MW'!DQ73)+PRODUCT('HHV-LHV-MW'!EC73)+PRODUCT('HHV-LHV-MW'!EO73))/$BO$116))</f>
        <v/>
      </c>
      <c r="DS138" s="890" t="str">
        <f>IF($BO$116="","",(IF($BO$116=1,"",  (SQRT(  (      (IF('HHV-LHV-MW'!DE73="",0,('HHV-LHV-MW'!DE73-DR138)^2))      +        (IF('HHV-LHV-MW'!DQ73="",0,('HHV-LHV-MW'!DQ73-DR138)^2))       +        (IF('HHV-LHV-MW'!EC73="",0,('HHV-LHV-MW'!EC73-DR138)^2))          +        (IF('HHV-LHV-MW'!EO73="",0,('HHV-LHV-MW'!EO73-DR138)^2))          )     *(1/($BO$116-1))  )))))</f>
        <v/>
      </c>
      <c r="DT138" s="890" t="str">
        <f t="shared" si="107"/>
        <v/>
      </c>
      <c r="DU138" s="890" t="str">
        <f t="shared" si="108"/>
        <v/>
      </c>
      <c r="DV138" s="636" t="str">
        <f>IF('HHV-LHV-MW'!DE73="","",IF(AND('HHV-LHV-MW'!DE73&gt;=0,'HHV-LHV-MW'!DE73&lt;=0.09),2,  IF(AND('HHV-LHV-MW'!DE73&gt;=0.1,'HHV-LHV-MW'!DE73&lt;=0.9),7,  IF(AND('HHV-LHV-MW'!DE73&gt;=1,'HHV-LHV-MW'!DE73&lt;=4.9),10,   IF(AND('HHV-LHV-MW'!DE73&gt;=5,'HHV-LHV-MW'!DE73&lt;=10),12, 15)))))</f>
        <v/>
      </c>
      <c r="DW138" s="636" t="str">
        <f>IF('HHV-LHV-MW'!DE73="","",5*'HHV-LHV-MW'!DE73)</f>
        <v/>
      </c>
      <c r="DX138" s="635" t="str">
        <f t="shared" si="109"/>
        <v/>
      </c>
      <c r="DY138" s="636" t="str">
        <f>IF(OR(DX138="",'HHV-LHV-MW'!DE73=0),"",DX138/'HHV-LHV-MW'!DE73)</f>
        <v/>
      </c>
      <c r="DZ138" s="636" t="str">
        <f>IF(OR(DY138="",DP138="",'HHV-LHV-MW'!DE73=""),"",((DY138*DP138*('HHV-LHV-MW'!DE73/100))/23.685)^2)</f>
        <v/>
      </c>
      <c r="EA138" s="636" t="str">
        <f>IF(OR(DY138="",DQ138="",'HHV-LHV-MW'!DE73=""),"",((DY138*DQ138*('HHV-LHV-MW'!DE73/100))/23.685)^2)</f>
        <v/>
      </c>
      <c r="EB138" s="639" t="str">
        <f t="shared" si="110"/>
        <v/>
      </c>
      <c r="EC138" s="891" t="str">
        <f t="shared" si="111"/>
        <v/>
      </c>
      <c r="ED138" s="643" t="str">
        <f>IF(M138="","",VLOOKUP(M138,'HHV-LHV-MW'!$A$3:$H$40,7,FALSE))</f>
        <v/>
      </c>
      <c r="EE138" s="875" t="str">
        <f>IF($BO$116=1,     IF(OR(ED138="",'HHV-LHV-MW'!DE73="",DY138=""),"",(ED138*('HHV-LHV-MW'!DE73/100)*DY138)^2),IF(OR(ED138="",DR138="",DU138=""),"",(ED138*(DR138/100)*DU138)^2))</f>
        <v/>
      </c>
      <c r="EF138" s="635" t="str">
        <f>IF(M138="","",VLOOKUP(M138,'HHV-LHV-MW'!$A$3:$I$40,9,FALSE))</f>
        <v/>
      </c>
      <c r="EG138" s="875" t="str">
        <f>IF($BO$116=1,     IF(OR(EF138="",'HHV-LHV-MW'!DE73="",DY138=""),"",(EF138*('HHV-LHV-MW'!DE73/100)*DY138)^2),IF(OR(EF138="",DR138="",DU138=""),"",(EF138*(DR138/100)*DU138)^2))</f>
        <v/>
      </c>
      <c r="EH138" s="635" t="str">
        <f>IF(M138="","",(VLOOKUP(M138,'HHV-LHV-MW'!$A$3:$F$40,6,FALSE))    )</f>
        <v/>
      </c>
      <c r="EI138" s="875" t="str">
        <f>IF($BO$116=1,     IF(OR(EH138="",'HHV-LHV-MW'!DE73="",DY138=""),"",(EH138*('HHV-LHV-MW'!DE73/100)*DY138)^2),IF(OR(EH138="",DR138="",DU138=""),"",(EH138*(DR138/100)*DU138)^2))</f>
        <v/>
      </c>
      <c r="EJ138" s="638" t="str">
        <f>IF($BO$116=1,     IF(OR(EH138="",EF138="",$N$103="",$N$103=0,'HHV-LHV-MW'!DE73="",DY138="",$EG$145=""),"", ((EH138*((EF138*('HHV-LHV-MW'!DE73/100))/$N$103))^2)*((DY138^2)+($EG$145^2))),              IF(OR(EH138="",EF138="",DR138="",DU138="",$EG$145="",$N$103="",$N$103=0),"",      ((EH138*((EF138*(DR138/100))/$N$103))^2)*((DU138^2)+($EG$145^2))             ))</f>
        <v/>
      </c>
      <c r="EK138" s="889" t="str">
        <f>IF(S138="","",VLOOKUP(S138,'HHV-LHV-MW'!$A$3:$H$40,4,FALSE))</f>
        <v/>
      </c>
      <c r="EL138" s="889" t="str">
        <f>IF(S138="","",VLOOKUP(S138,'HHV-LHV-MW'!$A$3:$H$40,5,FALSE))</f>
        <v/>
      </c>
      <c r="EM138" s="890" t="str">
        <f>IF($BO$126="","",((PRODUCT('HHV-LHV-MW'!FB73)+PRODUCT('HHV-LHV-MW'!FN73)+PRODUCT('HHV-LHV-MW'!FZ73)+PRODUCT('HHV-LHV-MW'!GL73))/$BO$126))</f>
        <v/>
      </c>
      <c r="EN138" s="890" t="str">
        <f>IF($BO$126="","",(IF($BO$126=1,"",  (SQRT(  (      (IF('HHV-LHV-MW'!FB73="",0,('HHV-LHV-MW'!FB73-EM138)^2))      +        (IF('HHV-LHV-MW'!FN73="",0,('HHV-LHV-MW'!FN73-EM138)^2))       +        (IF('HHV-LHV-MW'!FZ73="",0,('HHV-LHV-MW'!FZ73-EM138)^2))          +        (IF('HHV-LHV-MW'!GL73="",0,('HHV-LHV-MW'!GL73-EM138)^2))          )     *(1/($BO$126-1))  )))))</f>
        <v/>
      </c>
      <c r="EO138" s="890" t="str">
        <f t="shared" si="112"/>
        <v/>
      </c>
      <c r="EP138" s="890" t="str">
        <f t="shared" si="113"/>
        <v/>
      </c>
      <c r="EQ138" s="636" t="str">
        <f>IF('HHV-LHV-MW'!FB73="","",IF(AND('HHV-LHV-MW'!FB73&gt;=0,'HHV-LHV-MW'!FB73&lt;=0.09),2,  IF(AND('HHV-LHV-MW'!FB73&gt;=0.1,'HHV-LHV-MW'!FB73&lt;=0.9),7,  IF(AND('HHV-LHV-MW'!FB73&gt;=1,'HHV-LHV-MW'!FB73&lt;=4.9),10,   IF(AND('HHV-LHV-MW'!FB73&gt;=5,'HHV-LHV-MW'!FB73&lt;=10),12, 15)))))</f>
        <v/>
      </c>
      <c r="ER138" s="636" t="str">
        <f>IF('HHV-LHV-MW'!FB73="","",5*'HHV-LHV-MW'!FB73)</f>
        <v/>
      </c>
      <c r="ES138" s="635" t="str">
        <f t="shared" si="114"/>
        <v/>
      </c>
      <c r="ET138" s="636" t="str">
        <f>IF(OR(ES138="",'HHV-LHV-MW'!FB73=0),"",ES138/'HHV-LHV-MW'!FB73)</f>
        <v/>
      </c>
      <c r="EU138" s="636" t="str">
        <f>IF(OR(ET138="",EK138="",'HHV-LHV-MW'!FB73=""),"",((ET138*EK138*('HHV-LHV-MW'!FB73/100))/23.685)^2)</f>
        <v/>
      </c>
      <c r="EV138" s="636" t="str">
        <f>IF(OR(ET138="",EL138="",'HHV-LHV-MW'!FB73=""),"",((ET138*EL138*('HHV-LHV-MW'!FB73/100))/23.685)^2)</f>
        <v/>
      </c>
      <c r="EW138" s="639" t="str">
        <f t="shared" si="115"/>
        <v/>
      </c>
      <c r="EX138" s="891" t="str">
        <f t="shared" si="116"/>
        <v/>
      </c>
      <c r="EY138" s="643" t="str">
        <f>IF(S138="","",VLOOKUP(S138,'HHV-LHV-MW'!$A$3:$H$40,7,FALSE))</f>
        <v/>
      </c>
      <c r="EZ138" s="875" t="str">
        <f>IF($BO$126=1,     IF(OR(EY138="",'HHV-LHV-MW'!FB73="",ET138=""),"",(EY138*('HHV-LHV-MW'!FB73/100)*ET138)^2),IF(OR(EY138="",EM138="",EP138=""),"",(EY138*(EM138/100)*EP138)^2))</f>
        <v/>
      </c>
      <c r="FA138" s="635" t="str">
        <f>IF(S138="","",VLOOKUP(S138,'HHV-LHV-MW'!$A$3:$I$40,9,FALSE))</f>
        <v/>
      </c>
      <c r="FB138" s="875" t="str">
        <f>IF($BO$126=1,     IF(OR(FA138="",'HHV-LHV-MW'!FB73="",ET138=""),"",(FA138*('HHV-LHV-MW'!FB73/100)*ET138)^2),IF(OR(FA138="",EM138="",EP138=""),"",(FA138*(EM138/100)*EP138)^2))</f>
        <v/>
      </c>
      <c r="FC138" s="635" t="str">
        <f>IF(S138="","",(VLOOKUP(S138,'HHV-LHV-MW'!$A$3:$F$40,6,FALSE))    )</f>
        <v/>
      </c>
      <c r="FD138" s="875" t="str">
        <f>IF($BO$126=1,     IF(OR(FC138="",'HHV-LHV-MW'!FB73="",ET138=""),"",(FC138*('HHV-LHV-MW'!FB73/100)*ET138)^2),IF(OR(FC138="",EM138="",EP138=""),"",(FC138*(EM138/100)*EP138)^2))</f>
        <v/>
      </c>
      <c r="FE138" s="638" t="str">
        <f>IF($BO$126=1,     IF(OR(FC138="",FA138="",$T$103="",$T$103=0,'HHV-LHV-MW'!FB73="",ET138="",$FB$145=""),"", ((FC138*((FA138*('HHV-LHV-MW'!FB73/100))/$T$103))^2)*((ET138^2)+($FB$145^2))),              IF(OR(FC138="",FA138="",EM138="",EP138="",$FB$145="",$T$103="",$T$103=0),"",      ((FC138*((FA138*(EM138/100))/$T$103))^2)*((EP138^2)+($FB$145^2))             ))</f>
        <v/>
      </c>
      <c r="FF138" s="889" t="str">
        <f>IF(Y138="","",VLOOKUP(Y138,'HHV-LHV-MW'!$A$3:$H$40,4,FALSE))</f>
        <v/>
      </c>
      <c r="FG138" s="889" t="str">
        <f>IF(Y138="","",VLOOKUP(Y138,'HHV-LHV-MW'!$A$3:$H$40,5,FALSE))</f>
        <v/>
      </c>
      <c r="FH138" s="890" t="str">
        <f>IF($BO$136="","",((PRODUCT('HHV-LHV-MW'!GY73)+PRODUCT('HHV-LHV-MW'!HK73)+PRODUCT('HHV-LHV-MW'!HW73)+PRODUCT('HHV-LHV-MW'!II73))/$BO$136))</f>
        <v/>
      </c>
      <c r="FI138" s="890" t="str">
        <f>IF($BO$136="","",(IF($BO$136=1,"",  (SQRT(  (      (IF('HHV-LHV-MW'!GY73="",0,('HHV-LHV-MW'!GY73-FH138)^2))      +        (IF('HHV-LHV-MW'!HK73="",0,('HHV-LHV-MW'!HK73-FH138)^2))       +        (IF('HHV-LHV-MW'!HW73="",0,('HHV-LHV-MW'!HW73-FH138)^2))          +        (IF('HHV-LHV-MW'!II73="",0,('HHV-LHV-MW'!II73-FH138)^2))          )     *(1/($BO$136-1))  )))))</f>
        <v/>
      </c>
      <c r="FJ138" s="890" t="str">
        <f t="shared" si="117"/>
        <v/>
      </c>
      <c r="FK138" s="890" t="str">
        <f t="shared" si="118"/>
        <v/>
      </c>
      <c r="FL138" s="636" t="str">
        <f>IF('HHV-LHV-MW'!GY73="","",IF(AND('HHV-LHV-MW'!GY73&gt;=0,'HHV-LHV-MW'!GY73&lt;=0.09),2,  IF(AND('HHV-LHV-MW'!GY73&gt;=0.1,'HHV-LHV-MW'!GY73&lt;=0.9),7,  IF(AND('HHV-LHV-MW'!GY73&gt;=1,'HHV-LHV-MW'!GY73&lt;=4.9),10,   IF(AND('HHV-LHV-MW'!GY73&gt;=5,'HHV-LHV-MW'!GY73&lt;=10),12, 15)))))</f>
        <v/>
      </c>
      <c r="FM138" s="636" t="str">
        <f>IF('HHV-LHV-MW'!GY73="","",5*'HHV-LHV-MW'!GY73)</f>
        <v/>
      </c>
      <c r="FN138" s="635" t="str">
        <f t="shared" si="119"/>
        <v/>
      </c>
      <c r="FO138" s="636" t="str">
        <f>IF(OR(FN138="",'HHV-LHV-MW'!GY73=0),"",FN138/'HHV-LHV-MW'!GY73)</f>
        <v/>
      </c>
      <c r="FP138" s="636" t="str">
        <f>IF(OR(FO138="",FF138="",'HHV-LHV-MW'!GY73=""),"",((FO138*FF138*('HHV-LHV-MW'!GY73/100))/23.685)^2)</f>
        <v/>
      </c>
      <c r="FQ138" s="636" t="str">
        <f>IF(OR(FO138="",FG138="",'HHV-LHV-MW'!GY73=""),"",((FO138*FG138*('HHV-LHV-MW'!GY73/100))/23.685)^2)</f>
        <v/>
      </c>
      <c r="FR138" s="639" t="str">
        <f t="shared" si="120"/>
        <v/>
      </c>
      <c r="FS138" s="891" t="str">
        <f t="shared" si="121"/>
        <v/>
      </c>
      <c r="FT138" s="643" t="str">
        <f>IF(Y138="","",VLOOKUP(Y138,'HHV-LHV-MW'!$A$3:$H$40,7,FALSE))</f>
        <v/>
      </c>
      <c r="FU138" s="875" t="str">
        <f>IF($BO$136=1,     IF(OR(FT138="",'HHV-LHV-MW'!GY73="",FO138=""),"",(FT138*('HHV-LHV-MW'!GY73/100)*FO138)^2),IF(OR(FT138="",FH138="",FK138=""),"",(FT138*(FH138/100)*FK138)^2))</f>
        <v/>
      </c>
      <c r="FV138" s="635" t="str">
        <f>IF(Y138="","",VLOOKUP(Y138,'HHV-LHV-MW'!$A$3:$I$40,9,FALSE))</f>
        <v/>
      </c>
      <c r="FW138" s="875" t="str">
        <f>IF($BO$136=1,     IF(OR(FV138="",'HHV-LHV-MW'!GY73="",FO138=""),"",(FV138*('HHV-LHV-MW'!GY73/100)*FO138)^2),IF(OR(FV138="",FH138="",FK138=""),"",(FV138*(FH138/100)*FK138)^2))</f>
        <v/>
      </c>
      <c r="FX138" s="635" t="str">
        <f>IF(Y138="","",(VLOOKUP(Y138,'HHV-LHV-MW'!$A$3:$F$40,6,FALSE))    )</f>
        <v/>
      </c>
      <c r="FY138" s="875" t="str">
        <f>IF($BO$136=1,     IF(OR(FX138="",'HHV-LHV-MW'!GY73="",FO138=""),"",(FX138*('HHV-LHV-MW'!GY73/100)*FO138)^2),IF(OR(FX138="",FH138="",FK138=""),"",(FX138*(FH138/100)*FK138)^2))</f>
        <v/>
      </c>
      <c r="FZ138" s="638" t="str">
        <f>IF($BO$136=1,     IF(OR(FX138="",FV138="",$Z$103="",$Z$103=0,'HHV-LHV-MW'!GY73="",FO138="",$FW$145=""),"", ((FX138*((FV138*('HHV-LHV-MW'!GY73/100))/$Z$103))^2)*((FO138^2)+($FW$145^2))),              IF(OR(FX138="",FV138="",FH138="",FK138="",$FW$145="",$Z$103="",$Z$103=0),"",      ((FX138*((FV138*(FH138/100))/$Z$103))^2)*((FK138^2)+($FW$145^2))             ))</f>
        <v/>
      </c>
      <c r="GA138" s="889" t="str">
        <f>IF(AE138="","",VLOOKUP(AE138,'HHV-LHV-MW'!$A$3:$H$40,4,FALSE))</f>
        <v/>
      </c>
      <c r="GB138" s="889" t="str">
        <f>IF(AE138="","",VLOOKUP(AE138,'HHV-LHV-MW'!$A$3:$H$40,5,FALSE))</f>
        <v/>
      </c>
      <c r="GC138" s="890" t="str">
        <f>IF($BW$96="","",((PRODUCT('HHV-LHV-MW'!IV73)+PRODUCT('HHV-LHV-MW'!JH73)+PRODUCT('HHV-LHV-MW'!JT73)+PRODUCT('HHV-LHV-MW'!KF73))/$BW$96))</f>
        <v/>
      </c>
      <c r="GD138" s="890" t="str">
        <f>IF($BW$96="","",(IF($BW$96=1,"",  (SQRT(  (      (IF('HHV-LHV-MW'!IV73="",0,('HHV-LHV-MW'!IV73-GC138)^2))      +        (IF('HHV-LHV-MW'!JH73="",0,('HHV-LHV-MW'!JH73-GC138)^2))       +        (IF('HHV-LHV-MW'!JT73="",0,('HHV-LHV-MW'!JT73-GC138)^2))          +        (IF('HHV-LHV-MW'!KF73="",0,('HHV-LHV-MW'!KF73-GC138)^2))          )     *(1/($BW$96-1))  )))))</f>
        <v/>
      </c>
      <c r="GE138" s="890" t="str">
        <f t="shared" si="122"/>
        <v/>
      </c>
      <c r="GF138" s="890" t="str">
        <f t="shared" si="123"/>
        <v/>
      </c>
      <c r="GG138" s="636" t="str">
        <f>IF('HHV-LHV-MW'!IV73="","",IF(AND('HHV-LHV-MW'!IV73&gt;=0,'HHV-LHV-MW'!IV73&lt;=0.09),2,  IF(AND('HHV-LHV-MW'!IV73&gt;=0.1,'HHV-LHV-MW'!IV73&lt;=0.9),7,  IF(AND('HHV-LHV-MW'!IV73&gt;=1,'HHV-LHV-MW'!IV73&lt;=4.9),10,   IF(AND('HHV-LHV-MW'!IV73&gt;=5,'HHV-LHV-MW'!IV73&lt;=10),12, 15)))))</f>
        <v/>
      </c>
      <c r="GH138" s="636" t="str">
        <f>IF('HHV-LHV-MW'!IV73="","",5*'HHV-LHV-MW'!IV73)</f>
        <v/>
      </c>
      <c r="GI138" s="635" t="str">
        <f t="shared" si="124"/>
        <v/>
      </c>
      <c r="GJ138" s="636" t="str">
        <f>IF(OR(GI138="",'HHV-LHV-MW'!IV73=0),"",GI138/'HHV-LHV-MW'!IV73)</f>
        <v/>
      </c>
      <c r="GK138" s="636" t="str">
        <f>IF(OR(GJ138="",GA138="",'HHV-LHV-MW'!IV73=""),"",((GJ138*GA138*('HHV-LHV-MW'!IV73/100))/23.685)^2)</f>
        <v/>
      </c>
      <c r="GL138" s="636" t="str">
        <f>IF(OR(GJ138="",GB138="",'HHV-LHV-MW'!IV73=""),"",((GJ138*GB138*('HHV-LHV-MW'!IV73/100))/23.685)^2)</f>
        <v/>
      </c>
      <c r="GM138" s="639" t="str">
        <f t="shared" si="125"/>
        <v/>
      </c>
      <c r="GN138" s="891" t="str">
        <f t="shared" si="126"/>
        <v/>
      </c>
      <c r="GO138" s="643" t="str">
        <f>IF(AE138="","",VLOOKUP(AE138,'HHV-LHV-MW'!$A$3:$H$40,7,FALSE))</f>
        <v/>
      </c>
      <c r="GP138" s="875" t="str">
        <f>IF($BW$96=1,     IF(OR(GO138="",'HHV-LHV-MW'!IV73="",GJ138=""),"",(GO138*('HHV-LHV-MW'!IV73/100)*GJ138)^2),IF(OR(GO138="",GC138="",GF138=""),"",(GO138*(GC138/100)*GF138)^2))</f>
        <v/>
      </c>
      <c r="GQ138" s="635" t="str">
        <f>IF(AE138="","",VLOOKUP(AE138,'HHV-LHV-MW'!$A$3:$I$40,9,FALSE))</f>
        <v/>
      </c>
      <c r="GR138" s="875" t="str">
        <f>IF($BW$96=1,     IF(OR(GQ138="",'HHV-LHV-MW'!IV73="",GJ138=""),"",(GQ138*('HHV-LHV-MW'!IV73/100)*GJ138)^2),IF(OR(GQ138="",GC138="",GF138=""),"",(GQ138*(GC138/100)*GF138)^2))</f>
        <v/>
      </c>
      <c r="GS138" s="635" t="str">
        <f>IF(AE138="","",(VLOOKUP(AE138,'HHV-LHV-MW'!$A$3:$F$40,6,FALSE))    )</f>
        <v/>
      </c>
      <c r="GT138" s="875" t="str">
        <f>IF($BW$96=1,     IF(OR(GS138="",'HHV-LHV-MW'!IV73="",GJ138=""),"",(GS138*('HHV-LHV-MW'!IV73/100)*GJ138)^2),IF(OR(GS138="",GC138="",GF138=""),"",(GS138*(GC138/100)*GF138)^2))</f>
        <v/>
      </c>
      <c r="GU138" s="638" t="str">
        <f>IF($BW$96=1,     IF(OR(GS138="",GQ138="",$AF$103="",$AF$103=0,'HHV-LHV-MW'!IV73="",GJ138="",$GR$145=""),"", ((GS138*((GQ138*('HHV-LHV-MW'!IV73/100))/$AF$103))^2)*((GJ138^2)+($GR$145^2))),              IF(OR(GS138="",GQ138="",GC138="",GF138="",$GR$145="",$AF$103="",$AF$103=0),"",      ((GS138*((GQ138*(GC138/100))/$AF$103))^2)*((GF138^2)+($GR$145^2))             ))</f>
        <v/>
      </c>
      <c r="GV138" s="889" t="str">
        <f>IF(AK138="","",VLOOKUP(AK138,'HHV-LHV-MW'!$A$3:$H$40,4,FALSE))</f>
        <v/>
      </c>
      <c r="GW138" s="889" t="str">
        <f>IF(AK138="","",VLOOKUP(AK138,'HHV-LHV-MW'!$A$3:$H$40,5,FALSE))</f>
        <v/>
      </c>
      <c r="GX138" s="890" t="str">
        <f>IF($BW$106="","",((PRODUCT('HHV-LHV-MW'!KS73)+PRODUCT('HHV-LHV-MW'!LE73)+PRODUCT('HHV-LHV-MW'!LQ73)+PRODUCT('HHV-LHV-MW'!MC73))/$BW$106))</f>
        <v/>
      </c>
      <c r="GY138" s="890" t="str">
        <f>IF($BW$106="","",(IF($BW$106=1,"",  (SQRT(  (      (IF('HHV-LHV-MW'!KS73="",0,('HHV-LHV-MW'!KS73-GX138)^2))      +        (IF('HHV-LHV-MW'!LE73="",0,('HHV-LHV-MW'!LE73-GX138)^2))       +        (IF('HHV-LHV-MW'!LQ73="",0,('HHV-LHV-MW'!LQ73-GX138)^2))          +        (IF('HHV-LHV-MW'!MC73="",0,('HHV-LHV-MW'!MC73-GX138)^2))          )     *(1/($BW$106-1))  )))))</f>
        <v/>
      </c>
      <c r="GZ138" s="890" t="str">
        <f t="shared" si="127"/>
        <v/>
      </c>
      <c r="HA138" s="890" t="str">
        <f t="shared" si="128"/>
        <v/>
      </c>
      <c r="HB138" s="636" t="str">
        <f>IF('HHV-LHV-MW'!KS73="","",IF(AND('HHV-LHV-MW'!KS73&gt;=0,'HHV-LHV-MW'!KS73&lt;=0.09),2,  IF(AND('HHV-LHV-MW'!KS73&gt;=0.1,'HHV-LHV-MW'!KS73&lt;=0.9),7,  IF(AND('HHV-LHV-MW'!KS73&gt;=1,'HHV-LHV-MW'!KS73&lt;=4.9),10,   IF(AND('HHV-LHV-MW'!KS73&gt;=5,'HHV-LHV-MW'!KS73&lt;=10),12, 15)))))</f>
        <v/>
      </c>
      <c r="HC138" s="636" t="str">
        <f>IF('HHV-LHV-MW'!KS73="","",5*'HHV-LHV-MW'!KS73)</f>
        <v/>
      </c>
      <c r="HD138" s="635" t="str">
        <f t="shared" si="129"/>
        <v/>
      </c>
      <c r="HE138" s="636" t="str">
        <f>IF(OR(HD138="",'HHV-LHV-MW'!KS73=0),"",HD138/'HHV-LHV-MW'!KS73)</f>
        <v/>
      </c>
      <c r="HF138" s="636" t="str">
        <f>IF(OR(HE138="",GV138="",'HHV-LHV-MW'!KS73=""),"",((HE138*GV138*('HHV-LHV-MW'!KS73/100))/23.685)^2)</f>
        <v/>
      </c>
      <c r="HG138" s="636" t="str">
        <f>IF(OR(HE138="",GW138="",'HHV-LHV-MW'!KS73=""),"",((HE138*GW138*('HHV-LHV-MW'!KS73/100))/23.685)^2)</f>
        <v/>
      </c>
      <c r="HH138" s="639" t="str">
        <f t="shared" si="130"/>
        <v/>
      </c>
      <c r="HI138" s="891" t="str">
        <f t="shared" si="131"/>
        <v/>
      </c>
      <c r="HJ138" s="643" t="str">
        <f>IF(AK138="","",VLOOKUP(AK138,'HHV-LHV-MW'!$A$3:$H$40,7,FALSE))</f>
        <v/>
      </c>
      <c r="HK138" s="875" t="str">
        <f>IF($BW$106=1,     IF(OR(HJ138="",'HHV-LHV-MW'!KS73="",HE138=""),"",(HJ138*('HHV-LHV-MW'!KS73/100)*HE138)^2),IF(OR(HJ138="",GX138="",HA138=""),"",(HJ138*(GX138/100)*HA138)^2))</f>
        <v/>
      </c>
      <c r="HL138" s="635" t="str">
        <f>IF(AK138="","",VLOOKUP(AK138,'HHV-LHV-MW'!$A$3:$I$40,9,FALSE))</f>
        <v/>
      </c>
      <c r="HM138" s="875" t="str">
        <f>IF($BW$106=1,     IF(OR(HL138="",'HHV-LHV-MW'!KS73="",HE138=""),"",(HL138*('HHV-LHV-MW'!KS73/100)*HE138)^2),IF(OR(HL138="",GX138="",HA138=""),"",(HL138*(GX138/100)*HA138)^2))</f>
        <v/>
      </c>
      <c r="HN138" s="635" t="str">
        <f>IF(AK138="","",(VLOOKUP(AK138,'HHV-LHV-MW'!$A$3:$F$40,6,FALSE))    )</f>
        <v/>
      </c>
      <c r="HO138" s="875" t="str">
        <f>IF($BW$106=1,     IF(OR(HN138="",'HHV-LHV-MW'!KS73="",HE138=""),"",(HN138*('HHV-LHV-MW'!KS73/100)*HE138)^2),IF(OR(HN138="",GX138="",HA138=""),"",(HN138*(GX138/100)*HA138)^2))</f>
        <v/>
      </c>
      <c r="HP138" s="638" t="str">
        <f>IF($BW$106=1,     IF(OR(HN138="",HL138="",$AL$103="",$AL$103=0,'HHV-LHV-MW'!KS73="",HE138="",$HM$145=""),"", ((HN138*((HL138*('HHV-LHV-MW'!KS73/100))/$AL$103))^2)*((HE138^2)+($HM$145^2))),              IF(OR(HN138="",HL138="",GX138="",HA138="",$HM$145="",$AL$103="",$AL$103=0),"",      ((HN138*((HL138*(GX138/100))/$AL$103))^2)*((HA138^2)+($HM$145^2))             ))</f>
        <v/>
      </c>
      <c r="HQ138" s="889" t="str">
        <f>IF(AQ138="","",VLOOKUP(AQ138,'HHV-LHV-MW'!$A$3:$H$40,4,FALSE))</f>
        <v/>
      </c>
      <c r="HR138" s="889" t="str">
        <f>IF(AQ138="","",VLOOKUP(AQ138,'HHV-LHV-MW'!$A$3:$H$40,5,FALSE))</f>
        <v/>
      </c>
      <c r="HS138" s="890" t="str">
        <f>IF($BW$116="","",((PRODUCT('HHV-LHV-MW'!MP73)+PRODUCT('HHV-LHV-MW'!NB73)+PRODUCT('HHV-LHV-MW'!NN73)+PRODUCT('HHV-LHV-MW'!NZ73))/$BW$116))</f>
        <v/>
      </c>
      <c r="HT138" s="890" t="str">
        <f>IF($BW$116="","",(IF($BW$116=1,"",  (SQRT(  (      (IF('HHV-LHV-MW'!MP73="",0,('HHV-LHV-MW'!MP73-HS138)^2))      +        (IF('HHV-LHV-MW'!NB73="",0,('HHV-LHV-MW'!NB73-HS138)^2))       +        (IF('HHV-LHV-MW'!NN73="",0,('HHV-LHV-MW'!NN73-HS138)^2))          +        (IF('HHV-LHV-MW'!NZ73="",0,('HHV-LHV-MW'!NZ73-HS138)^2))          )     *(1/($BW$116-1))  )))))</f>
        <v/>
      </c>
      <c r="HU138" s="890" t="str">
        <f t="shared" si="132"/>
        <v/>
      </c>
      <c r="HV138" s="890" t="str">
        <f t="shared" si="133"/>
        <v/>
      </c>
      <c r="HW138" s="636" t="str">
        <f>IF('HHV-LHV-MW'!MP73="","",IF(AND('HHV-LHV-MW'!MP73&gt;=0,'HHV-LHV-MW'!MP73&lt;=0.09),2,  IF(AND('HHV-LHV-MW'!MP73&gt;=0.1,'HHV-LHV-MW'!MP73&lt;=0.9),7,  IF(AND('HHV-LHV-MW'!MP73&gt;=1,'HHV-LHV-MW'!MP73&lt;=4.9),10,   IF(AND('HHV-LHV-MW'!MP73&gt;=5,'HHV-LHV-MW'!MP73&lt;=10),12, 15)))))</f>
        <v/>
      </c>
      <c r="HX138" s="636" t="str">
        <f>IF('HHV-LHV-MW'!MP73="","",5*'HHV-LHV-MW'!MP73)</f>
        <v/>
      </c>
      <c r="HY138" s="635" t="str">
        <f t="shared" si="134"/>
        <v/>
      </c>
      <c r="HZ138" s="636" t="str">
        <f>IF(OR(HY138="",'HHV-LHV-MW'!MP73=0),"",HY138/'HHV-LHV-MW'!MP73)</f>
        <v/>
      </c>
      <c r="IA138" s="636" t="str">
        <f>IF(OR(HZ138="",HQ138="",'HHV-LHV-MW'!MP73=""),"",((HZ138*HQ138*('HHV-LHV-MW'!MP73/100))/23.685)^2)</f>
        <v/>
      </c>
      <c r="IB138" s="636" t="str">
        <f>IF(OR(HZ138="",HR138="",'HHV-LHV-MW'!MP73=""),"",((HZ138*HR138*('HHV-LHV-MW'!MP73/100))/23.685)^2)</f>
        <v/>
      </c>
      <c r="IC138" s="639" t="str">
        <f t="shared" si="135"/>
        <v/>
      </c>
      <c r="ID138" s="891" t="str">
        <f t="shared" si="136"/>
        <v/>
      </c>
      <c r="IE138" s="643" t="str">
        <f>IF(AQ138="","",VLOOKUP(AQ138,'HHV-LHV-MW'!$A$3:$H$40,7,FALSE))</f>
        <v/>
      </c>
      <c r="IF138" s="875" t="str">
        <f>IF($BW$116=1,     IF(OR(IE138="",'HHV-LHV-MW'!MP73="",HZ138=""),"",(IE138*('HHV-LHV-MW'!MP73/100)*HZ138)^2),IF(OR(IE138="",HS138="",HV138=""),"",(IE138*(HS138/100)*HV138)^2))</f>
        <v/>
      </c>
      <c r="IG138" s="635" t="str">
        <f>IF(AQ138="","",VLOOKUP(AQ138,'HHV-LHV-MW'!$A$3:$I$40,9,FALSE))</f>
        <v/>
      </c>
      <c r="IH138" s="875" t="str">
        <f>IF($BW$116=1,     IF(OR(IG138="",'HHV-LHV-MW'!MP73="",HZ138=""),"",(IG138*('HHV-LHV-MW'!MP73/100)*HZ138)^2),IF(OR(IG138="",HS138="",HV138=""),"",(IG138*(HS138/100)*HV138)^2))</f>
        <v/>
      </c>
      <c r="II138" s="635" t="str">
        <f>IF(AQ138="","",(VLOOKUP(AQ138,'HHV-LHV-MW'!$A$3:$F$40,6,FALSE))    )</f>
        <v/>
      </c>
      <c r="IJ138" s="875" t="str">
        <f>IF($BW$116=1,     IF(OR(II138="",'HHV-LHV-MW'!MP73="",HZ138=""),"",(II138*('HHV-LHV-MW'!MP73/100)*HZ138)^2),IF(OR(II138="",HS138="",HV138=""),"",(II138*(HS138/100)*HV138)^2))</f>
        <v/>
      </c>
      <c r="IK138" s="638" t="str">
        <f>IF($BW$116=1,     IF(OR(II138="",IG138="",$AR$103="",$AR$103=0,'HHV-LHV-MW'!MP73="",HZ138="",$IH$145=""),"", ((II138*((IG138*('HHV-LHV-MW'!MP73/100))/$AR$103))^2)*((HZ138^2)+($IH$145^2))),              IF(OR(II138="",IG138="",HS138="",HV138="",$IH$145="",$AR$103="",$AR$103=0),"",      ((II138*((IG138*(HS138/100))/$AR$103))^2)*((HV138^2)+($IH$145^2))             ))</f>
        <v/>
      </c>
      <c r="IL138" s="889" t="str">
        <f>IF(AW138="","",VLOOKUP(AW138,'HHV-LHV-MW'!$A$3:$H$40,4,FALSE))</f>
        <v/>
      </c>
      <c r="IM138" s="889" t="str">
        <f>IF(AW138="","",VLOOKUP(AW138,'HHV-LHV-MW'!$A$3:$H$40,5,FALSE))</f>
        <v/>
      </c>
      <c r="IN138" s="890" t="str">
        <f>IF($BW$126="","",((PRODUCT('HHV-LHV-MW'!ON73)+PRODUCT('HHV-LHV-MW'!OZ73)+PRODUCT('HHV-LHV-MW'!PL73)+PRODUCT('HHV-LHV-MW'!PX73))/$BW$126))</f>
        <v/>
      </c>
      <c r="IO138" s="890" t="str">
        <f>IF($BW$126="","",(IF($BW$126=1,"",  (SQRT(  (      (IF('HHV-LHV-MW'!ON73="",0,('HHV-LHV-MW'!ON73-IN138)^2))      +        (IF('HHV-LHV-MW'!OZ73="",0,('HHV-LHV-MW'!OZ73-IN138)^2))       +        (IF('HHV-LHV-MW'!PL73="",0,('HHV-LHV-MW'!PL73-IN138)^2))          +        (IF('HHV-LHV-MW'!PX73="",0,('HHV-LHV-MW'!PX73-IN138)^2))          )     *(1/($BW$126-1))  )))))</f>
        <v/>
      </c>
      <c r="IP138" s="890" t="str">
        <f t="shared" si="137"/>
        <v/>
      </c>
      <c r="IQ138" s="890" t="str">
        <f t="shared" si="138"/>
        <v/>
      </c>
      <c r="IR138" s="636" t="str">
        <f>IF('HHV-LHV-MW'!ON73="","",IF(AND('HHV-LHV-MW'!ON73&gt;=0,'HHV-LHV-MW'!ON73&lt;=0.09),2,  IF(AND('HHV-LHV-MW'!ON73&gt;=0.1,'HHV-LHV-MW'!ON73&lt;=0.9),7,  IF(AND('HHV-LHV-MW'!ON73&gt;=1,'HHV-LHV-MW'!ON73&lt;=4.9),10,   IF(AND('HHV-LHV-MW'!ON73&gt;=5,'HHV-LHV-MW'!ON73&lt;=10),12, 15)))))</f>
        <v/>
      </c>
      <c r="IS138" s="636" t="str">
        <f>IF('HHV-LHV-MW'!ON73="","",5*'HHV-LHV-MW'!ON73)</f>
        <v/>
      </c>
      <c r="IT138" s="635" t="str">
        <f t="shared" si="139"/>
        <v/>
      </c>
      <c r="IU138" s="636" t="str">
        <f>IF(OR(IT138="",'HHV-LHV-MW'!ON73=0),"",IT138/'HHV-LHV-MW'!ON73)</f>
        <v/>
      </c>
      <c r="IV138" s="636" t="str">
        <f>IF(OR(IU138="",IL138="",'HHV-LHV-MW'!ON73=""),"",((IU138*IL138*('HHV-LHV-MW'!ON73/100))/23.685)^2)</f>
        <v/>
      </c>
      <c r="IW138" s="636" t="str">
        <f>IF(OR(IU138="",IM138="",'HHV-LHV-MW'!ON73=""),"",((IU138*IM138*('HHV-LHV-MW'!ON73/100))/23.685)^2)</f>
        <v/>
      </c>
      <c r="IX138" s="639" t="str">
        <f t="shared" si="140"/>
        <v/>
      </c>
      <c r="IY138" s="891" t="str">
        <f t="shared" si="141"/>
        <v/>
      </c>
      <c r="IZ138" s="643" t="str">
        <f>IF(AW138="","",VLOOKUP(AW138,'HHV-LHV-MW'!$A$3:$H$40,7,FALSE))</f>
        <v/>
      </c>
      <c r="JA138" s="875" t="str">
        <f>IF($BW$126=1,     IF(OR(IZ138="",'HHV-LHV-MW'!ON73="",IU138=""),"",(IZ138*('HHV-LHV-MW'!ON73/100)*IU138)^2),IF(OR(IZ138="",IN138="",IQ138=""),"",(IZ138*(IN138/100)*IQ138)^2))</f>
        <v/>
      </c>
      <c r="JB138" s="635" t="str">
        <f>IF(AW138="","",VLOOKUP(AW138,'HHV-LHV-MW'!$A$3:$I$40,9,FALSE))</f>
        <v/>
      </c>
      <c r="JC138" s="875" t="str">
        <f>IF($BW$126=1,     IF(OR(JB138="",'HHV-LHV-MW'!ON73="",IU138=""),"",(JB138*('HHV-LHV-MW'!ON73/100)*IU138)^2),IF(OR(JB138="",IN138="",IQ138=""),"",(JB138*(IN138/100)*IQ138)^2))</f>
        <v/>
      </c>
      <c r="JD138" s="635" t="str">
        <f>IF(AW138="","",(VLOOKUP(AW138,'HHV-LHV-MW'!$A$3:$F$40,6,FALSE))    )</f>
        <v/>
      </c>
      <c r="JE138" s="875" t="str">
        <f>IF($BW$126=1,     IF(OR(JD138="",'HHV-LHV-MW'!ON73="",IU138=""),"",(JD138*('HHV-LHV-MW'!ON73/100)*IU138)^2),IF(OR(JD138="",IN138="",IQ138=""),"",(JD138*(IN138/100)*IQ138)^2))</f>
        <v/>
      </c>
      <c r="JF138" s="638" t="str">
        <f>IF($BW$126=1,     IF(OR(JD138="",JB138="",$AX$103="",$AX$103=0,'HHV-LHV-MW'!ON73="",IU138="",$JC$145=""),"", ((JD138*((JB138*('HHV-LHV-MW'!ON73/100))/$AX$103))^2)*((IU138^2)+($JC$145^2))),              IF(OR(JD138="",JB138="",IN138="",IQ138="",$JC$145="",$AX$103="",$AX$103=0),"",      ((JD138*((JB138*(IN138/100))/$AX$103))^2)*((IQ138^2)+($JC$145^2))             ))</f>
        <v/>
      </c>
      <c r="JG138" s="889" t="str">
        <f>IF(BC138="","",VLOOKUP(BC138,'HHV-LHV-MW'!$A$3:$H$40,4,FALSE))</f>
        <v/>
      </c>
      <c r="JH138" s="889" t="str">
        <f>IF(BC138="","",VLOOKUP(BC138,'HHV-LHV-MW'!$A$3:$H$40,5,FALSE))</f>
        <v/>
      </c>
      <c r="JI138" s="890" t="str">
        <f>IF($BW$136="","",((PRODUCT('HHV-LHV-MW'!QK73)+PRODUCT('HHV-LHV-MW'!QW73)+PRODUCT('HHV-LHV-MW'!RI73)+PRODUCT('HHV-LHV-MW'!RU73))/$BW$136))</f>
        <v/>
      </c>
      <c r="JJ138" s="890" t="str">
        <f>IF($BW$136="","",(IF($BW$136=1,"",  (SQRT(  (      (IF('HHV-LHV-MW'!QK73="",0,('HHV-LHV-MW'!QK73-JI138)^2))      +        (IF('HHV-LHV-MW'!QW73="",0,('HHV-LHV-MW'!QW73-JI138)^2))       +        (IF('HHV-LHV-MW'!RI73="",0,('HHV-LHV-MW'!RI73-JI138)^2))          +        (IF('HHV-LHV-MW'!RU73="",0,('HHV-LHV-MW'!RU73-JI138)^2))          )     *(1/($BW$136-1))  )))))</f>
        <v/>
      </c>
      <c r="JK138" s="890" t="str">
        <f t="shared" si="142"/>
        <v/>
      </c>
      <c r="JL138" s="890" t="str">
        <f t="shared" si="143"/>
        <v/>
      </c>
      <c r="JM138" s="636" t="str">
        <f>IF('HHV-LHV-MW'!QK73="","",IF(AND('HHV-LHV-MW'!QK73&gt;=0,'HHV-LHV-MW'!QK73&lt;=0.09),2,  IF(AND('HHV-LHV-MW'!QK73&gt;=0.1,'HHV-LHV-MW'!QK73&lt;=0.9),7,  IF(AND('HHV-LHV-MW'!QK73&gt;=1,'HHV-LHV-MW'!QK73&lt;=4.9),10,   IF(AND('HHV-LHV-MW'!QK73&gt;=5,'HHV-LHV-MW'!QK73&lt;=10),12, 15)))))</f>
        <v/>
      </c>
      <c r="JN138" s="636" t="str">
        <f>IF('HHV-LHV-MW'!QK73="","",5*'HHV-LHV-MW'!QK73)</f>
        <v/>
      </c>
      <c r="JO138" s="635" t="str">
        <f t="shared" si="144"/>
        <v/>
      </c>
      <c r="JP138" s="636" t="str">
        <f>IF(OR(JO138="",'HHV-LHV-MW'!QK73=0),"",JO138/'HHV-LHV-MW'!QK73)</f>
        <v/>
      </c>
      <c r="JQ138" s="636" t="str">
        <f>IF(OR(JP138="",JG138="",'HHV-LHV-MW'!QK73=""),"",((JP138*JG138*('HHV-LHV-MW'!QK73/100))/23.685)^2)</f>
        <v/>
      </c>
      <c r="JR138" s="636" t="str">
        <f>IF(OR(JP138="",JH138="",'HHV-LHV-MW'!QK73=""),"",((JP138*JH138*('HHV-LHV-MW'!QK73/100))/23.685)^2)</f>
        <v/>
      </c>
      <c r="JS138" s="639" t="str">
        <f t="shared" si="145"/>
        <v/>
      </c>
      <c r="JT138" s="891" t="str">
        <f t="shared" si="146"/>
        <v/>
      </c>
      <c r="JU138" s="643" t="str">
        <f>IF(BC138="","",VLOOKUP(BC138,'HHV-LHV-MW'!$A$3:$H$40,7,FALSE))</f>
        <v/>
      </c>
      <c r="JV138" s="875" t="str">
        <f>IF($BW$136=1,     IF(OR(JU138="",'HHV-LHV-MW'!QK73="",JP138=""),"",(JU138*('HHV-LHV-MW'!QK73/100)*JP138)^2),IF(OR(JU138="",JI138="",JL138=""),"",(JU138*(JI138/100)*JL138)^2))</f>
        <v/>
      </c>
      <c r="JW138" s="635" t="str">
        <f>IF(BC138="","",VLOOKUP(BC138,'HHV-LHV-MW'!$A$3:$I$40,9,FALSE))</f>
        <v/>
      </c>
      <c r="JX138" s="875" t="str">
        <f>IF($BW$136=1,     IF(OR(JW138="",'HHV-LHV-MW'!QK73="",JP138=""),"",(JW138*('HHV-LHV-MW'!QK73/100)*JP138)^2),IF(OR(JW138="",JI138="",JL138=""),"",(JW138*(JI138/100)*JL138)^2))</f>
        <v/>
      </c>
      <c r="JY138" s="635" t="str">
        <f>IF(BC138="","",(VLOOKUP(BC138,'HHV-LHV-MW'!$A$3:$F$40,6,FALSE))    )</f>
        <v/>
      </c>
      <c r="JZ138" s="875" t="str">
        <f>IF($BW$136=1,     IF(OR(JY138="",'HHV-LHV-MW'!QK73="",JP138=""),"",(JY138*('HHV-LHV-MW'!QK73/100)*JP138)^2),IF(OR(JY138="",JI138="",JL138=""),"",(JY138*(JI138/100)*JL138)^2))</f>
        <v/>
      </c>
      <c r="KA138" s="638" t="str">
        <f>IF($BW$136=1,     IF(OR(JY138="",JW138="",$BD$103="",$BD$103=0,'HHV-LHV-MW'!QK73="",JP138="",$JX$145=""),"", ((JY138*((JW138*('HHV-LHV-MW'!QK73/100))/$BD$103))^2)*((JP138^2)+($JX$145^2))),              IF(OR(JY138="",JW138="",JI138="",JL138="",$JX$145="",$BD$103="",$BD$103=0),"",      ((JY138*((JW138*(JI138/100))/$BD$103))^2)*((JL138^2)+($JX$145^2))             ))</f>
        <v/>
      </c>
      <c r="KB138" s="874"/>
      <c r="KC138" s="874"/>
      <c r="KD138" s="874"/>
      <c r="KE138" s="874"/>
      <c r="KF138" s="874"/>
      <c r="KG138" s="874"/>
      <c r="KH138" s="865"/>
      <c r="KI138" s="865"/>
      <c r="KJ138" s="865"/>
      <c r="KK138" s="865"/>
      <c r="KL138" s="865"/>
      <c r="KM138" s="865"/>
      <c r="KN138" s="865"/>
      <c r="KO138" s="865"/>
      <c r="KP138" s="865"/>
      <c r="KQ138" s="865"/>
      <c r="KR138" s="865"/>
      <c r="KS138" s="865"/>
      <c r="KT138" s="865"/>
      <c r="KU138" s="865"/>
      <c r="KV138" s="865"/>
      <c r="KW138" s="865"/>
      <c r="KX138" s="865"/>
      <c r="KY138" s="865"/>
      <c r="KZ138" s="865"/>
      <c r="LA138" s="865"/>
      <c r="LB138" s="865"/>
      <c r="LC138" s="865"/>
      <c r="LD138" s="865"/>
      <c r="LE138" s="865"/>
      <c r="LF138" s="865"/>
    </row>
    <row r="139" spans="1:318" ht="19.2" thickBot="1">
      <c r="A139" s="864"/>
      <c r="B139" s="502"/>
      <c r="C139" s="502"/>
      <c r="D139" s="502"/>
      <c r="E139" s="502"/>
      <c r="F139" s="511"/>
      <c r="G139" s="864"/>
      <c r="H139" s="502"/>
      <c r="I139" s="502"/>
      <c r="J139" s="502"/>
      <c r="K139" s="502"/>
      <c r="L139" s="511"/>
      <c r="M139" s="864"/>
      <c r="N139" s="502"/>
      <c r="O139" s="502"/>
      <c r="P139" s="502"/>
      <c r="Q139" s="502"/>
      <c r="R139" s="511"/>
      <c r="S139" s="864"/>
      <c r="T139" s="502"/>
      <c r="U139" s="502"/>
      <c r="V139" s="502"/>
      <c r="W139" s="502"/>
      <c r="X139" s="511"/>
      <c r="Y139" s="864"/>
      <c r="Z139" s="502"/>
      <c r="AA139" s="502"/>
      <c r="AB139" s="502"/>
      <c r="AC139" s="502"/>
      <c r="AD139" s="511"/>
      <c r="AE139" s="864"/>
      <c r="AF139" s="502"/>
      <c r="AG139" s="502"/>
      <c r="AH139" s="502"/>
      <c r="AI139" s="502"/>
      <c r="AJ139" s="511"/>
      <c r="AK139" s="864"/>
      <c r="AL139" s="502"/>
      <c r="AM139" s="502"/>
      <c r="AN139" s="502"/>
      <c r="AO139" s="502"/>
      <c r="AP139" s="511"/>
      <c r="AQ139" s="864"/>
      <c r="AR139" s="502"/>
      <c r="AS139" s="502"/>
      <c r="AT139" s="502"/>
      <c r="AU139" s="502"/>
      <c r="AV139" s="511"/>
      <c r="AW139" s="864"/>
      <c r="AX139" s="502"/>
      <c r="AY139" s="502"/>
      <c r="AZ139" s="502"/>
      <c r="BA139" s="502"/>
      <c r="BB139" s="511"/>
      <c r="BC139" s="864"/>
      <c r="BD139" s="502"/>
      <c r="BE139" s="502"/>
      <c r="BF139" s="502"/>
      <c r="BG139" s="502"/>
      <c r="BH139" s="865"/>
      <c r="BI139" s="865"/>
      <c r="BJ139" s="1143" t="s">
        <v>1507</v>
      </c>
      <c r="BK139" s="2481"/>
      <c r="BL139" s="2481"/>
      <c r="BM139" s="2481"/>
      <c r="BN139" s="1144"/>
      <c r="BO139" s="2482" t="str">
        <f>IF(BO136="","",IF(BO136=1,FQ143,FS143))</f>
        <v/>
      </c>
      <c r="BP139" s="2483"/>
      <c r="BQ139" s="865"/>
      <c r="BR139" s="1143" t="s">
        <v>1507</v>
      </c>
      <c r="BS139" s="2481"/>
      <c r="BT139" s="2481"/>
      <c r="BU139" s="2481"/>
      <c r="BV139" s="1144"/>
      <c r="BW139" s="2482" t="str">
        <f>IF(BW136="","",IF(BW136=1,JR143,JT143))</f>
        <v/>
      </c>
      <c r="BX139" s="2483"/>
      <c r="BY139" s="874"/>
      <c r="BZ139" s="888" t="str">
        <f>IF(A139="","",VLOOKUP(A139,'HHV-LHV-MW'!$A$3:$H$40,4,FALSE))</f>
        <v/>
      </c>
      <c r="CA139" s="889" t="str">
        <f>IF(A139="","",VLOOKUP(A139,'HHV-LHV-MW'!$A$3:$H$40,5,FALSE))</f>
        <v/>
      </c>
      <c r="CB139" s="890" t="str">
        <f>IF($BO$96="","",((PRODUCT('HHV-LHV-MW'!K74)+PRODUCT('HHV-LHV-MW'!W74)+PRODUCT('HHV-LHV-MW'!AI74)+PRODUCT('HHV-LHV-MW'!AU74))/$BO$96))</f>
        <v/>
      </c>
      <c r="CC139" s="890" t="str">
        <f>IF($BO$96="","",(IF($BO$96=1,"",  (SQRT(  (      (IF('HHV-LHV-MW'!K74="",0,('HHV-LHV-MW'!K74-CB139)^2))      +        (IF('HHV-LHV-MW'!W74="",0,('HHV-LHV-MW'!W74-CB139)^2))       +        (IF('HHV-LHV-MW'!AI74="",0,('HHV-LHV-MW'!AI74-CB139)^2))          +        (IF('HHV-LHV-MW'!AU74="",0,('HHV-LHV-MW'!AU74-CB139)^2))          )     *(1/($BO$96-1))  )))))</f>
        <v/>
      </c>
      <c r="CD139" s="890" t="str">
        <f t="shared" si="97"/>
        <v/>
      </c>
      <c r="CE139" s="890" t="str">
        <f t="shared" si="98"/>
        <v/>
      </c>
      <c r="CF139" s="636" t="str">
        <f>IF('HHV-LHV-MW'!K74="","",IF(AND('HHV-LHV-MW'!K74&gt;=0,'HHV-LHV-MW'!K74&lt;=0.09),2,  IF(AND('HHV-LHV-MW'!K74&gt;=0.1,'HHV-LHV-MW'!K74&lt;=0.9),7,  IF(AND('HHV-LHV-MW'!K74&gt;=1,'HHV-LHV-MW'!K74&lt;=4.9),10,   IF(AND('HHV-LHV-MW'!K74&gt;=5,'HHV-LHV-MW'!K74&lt;=10),12, 15)))))</f>
        <v/>
      </c>
      <c r="CG139" s="636" t="str">
        <f>IF('HHV-LHV-MW'!K74="","",5*'HHV-LHV-MW'!K74)</f>
        <v/>
      </c>
      <c r="CH139" s="635" t="str">
        <f t="shared" si="99"/>
        <v/>
      </c>
      <c r="CI139" s="636" t="str">
        <f>IF(OR(CH139="",'HHV-LHV-MW'!K74=0),"",CH139/'HHV-LHV-MW'!K74)</f>
        <v/>
      </c>
      <c r="CJ139" s="636" t="str">
        <f>IF(OR(CI139="",BZ139="",'HHV-LHV-MW'!K74=""),"",((CI139*BZ139*('HHV-LHV-MW'!K74/100))/23.685)^2)</f>
        <v/>
      </c>
      <c r="CK139" s="636" t="str">
        <f>IF(OR(CI139="",CA139="",'HHV-LHV-MW'!K74=""),"",((CI139*CA139*('HHV-LHV-MW'!K74/100))/23.685)^2)</f>
        <v/>
      </c>
      <c r="CL139" s="639" t="str">
        <f t="shared" si="100"/>
        <v/>
      </c>
      <c r="CM139" s="892" t="str">
        <f t="shared" si="101"/>
        <v/>
      </c>
      <c r="CN139" s="639" t="str">
        <f>IF(A139="","",VLOOKUP(A139,'HHV-LHV-MW'!$A$3:$H$40,7,FALSE))</f>
        <v/>
      </c>
      <c r="CO139" s="636" t="str">
        <f>IF($BO$96=1,     IF(OR(CN139="",'HHV-LHV-MW'!K74="",CI139=""),"",(CN139*('HHV-LHV-MW'!K74/100)*CI139)^2),IF(OR(CN139="",CB139="",CE139=""),"",(CN139*(CB139/100)*CE139)^2))</f>
        <v/>
      </c>
      <c r="CP139" s="635" t="str">
        <f>IF(A139="","",VLOOKUP(A139,'HHV-LHV-MW'!$A$3:$I$40,9,FALSE))</f>
        <v/>
      </c>
      <c r="CQ139" s="636" t="str">
        <f>IF($BO$96=1,     IF(OR(CP139="",'HHV-LHV-MW'!K74="",CI139=""),"",(CP139*('HHV-LHV-MW'!K74/100)*CI139)^2),IF(OR(CP139="",CB139="",CE139=""),"",(CP139*(CB139/100)*CE139)^2))</f>
        <v/>
      </c>
      <c r="CR139" s="636" t="str">
        <f>IF(A139="","",(VLOOKUP(A139,'HHV-LHV-MW'!$A$3:$F$40,6,FALSE))    )</f>
        <v/>
      </c>
      <c r="CS139" s="636" t="str">
        <f>IF($BO$96=1,     IF(OR(CR139="",'HHV-LHV-MW'!K74="",CI139=""),"",(CR139*('HHV-LHV-MW'!K74/100)*CI139)^2),IF(OR(CR139="",CB139="",CE139=""),"",(CR139*(CB139/100)*CE139)^2))</f>
        <v/>
      </c>
      <c r="CT139" s="640" t="str">
        <f>IF($BO$96=1,     IF(OR(CR139="",CP139="",$B$103="",$B$103=0,'HHV-LHV-MW'!K74="",CI139="",$CQ$145=""),"", ((CR139*((CP139*('HHV-LHV-MW'!K74/100))/$B$103))^2)*((CI139^2)+($CQ$145^2))),              IF(OR(CR139="",CP139="",CB139="",CE139="",$CQ$145="",$B$103="",$B$103=0),"",      ((CR139*((CP139*(CB139/100))/$B$103))^2)*((CE139^2)+($CQ$145^2))             ))</f>
        <v/>
      </c>
      <c r="CU139" s="889" t="str">
        <f>IF(G139="","",VLOOKUP(G139,'HHV-LHV-MW'!$A$3:$H$40,4,FALSE))</f>
        <v/>
      </c>
      <c r="CV139" s="889" t="str">
        <f>IF(G139="","",VLOOKUP(G139,'HHV-LHV-MW'!$A$3:$H$40,5,FALSE))</f>
        <v/>
      </c>
      <c r="CW139" s="890" t="str">
        <f>IF($BO$106="","",((PRODUCT('HHV-LHV-MW'!BH74)+PRODUCT('HHV-LHV-MW'!BT74)+PRODUCT('HHV-LHV-MW'!CF74)+PRODUCT('HHV-LHV-MW'!CR74))/$BO$106))</f>
        <v/>
      </c>
      <c r="CX139" s="890" t="str">
        <f>IF($BO$106="","",(IF($BO$106=1,"",  (SQRT(  (      (IF('HHV-LHV-MW'!BH74="",0,('HHV-LHV-MW'!BH74-CW139)^2))      +        (IF('HHV-LHV-MW'!BT74="",0,('HHV-LHV-MW'!BT74-CW139)^2))       +        (IF('HHV-LHV-MW'!CF74="",0,('HHV-LHV-MW'!CF74-CW139)^2))          +        (IF('HHV-LHV-MW'!CR74="",0,('HHV-LHV-MW'!CR74-CW139)^2))          )     *(1/($BO$106-1))  )))))</f>
        <v/>
      </c>
      <c r="CY139" s="890" t="str">
        <f t="shared" si="102"/>
        <v/>
      </c>
      <c r="CZ139" s="890" t="str">
        <f t="shared" si="103"/>
        <v/>
      </c>
      <c r="DA139" s="636" t="str">
        <f>IF('HHV-LHV-MW'!BH74="","",IF(AND('HHV-LHV-MW'!BH74&gt;=0,'HHV-LHV-MW'!BH74&lt;=0.09),2,  IF(AND('HHV-LHV-MW'!BH74&gt;=0.1,'HHV-LHV-MW'!BH74&lt;=0.9),7,  IF(AND('HHV-LHV-MW'!BH74&gt;=1,'HHV-LHV-MW'!BH74&lt;=4.9),10,   IF(AND('HHV-LHV-MW'!BH74&gt;=5,'HHV-LHV-MW'!BH74&lt;=10),12, 15)))))</f>
        <v/>
      </c>
      <c r="DB139" s="636" t="str">
        <f>IF('HHV-LHV-MW'!BH74="","",5*'HHV-LHV-MW'!BH74)</f>
        <v/>
      </c>
      <c r="DC139" s="635" t="str">
        <f t="shared" si="104"/>
        <v/>
      </c>
      <c r="DD139" s="636" t="str">
        <f>IF(OR(DC139="",'HHV-LHV-MW'!BH74=0),"",DC139/'HHV-LHV-MW'!BH74)</f>
        <v/>
      </c>
      <c r="DE139" s="635" t="str">
        <f>IF(OR(DD139="",CU139="",'HHV-LHV-MW'!BH74=""),"",((DD139*CU139*('HHV-LHV-MW'!BH74/100))/23.685)^2)</f>
        <v/>
      </c>
      <c r="DF139" s="636" t="str">
        <f>IF(OR(DD139="",CV139="",'HHV-LHV-MW'!BH74=""),"",((DD139*CV139*('HHV-LHV-MW'!BH74/100))/23.685)^2)</f>
        <v/>
      </c>
      <c r="DG139" s="639" t="str">
        <f t="shared" si="105"/>
        <v/>
      </c>
      <c r="DH139" s="891" t="str">
        <f t="shared" si="106"/>
        <v/>
      </c>
      <c r="DI139" s="635" t="str">
        <f>IF(G139="","",VLOOKUP(G139,'HHV-LHV-MW'!$A$3:$H$40,7,FALSE))</f>
        <v/>
      </c>
      <c r="DJ139" s="875" t="str">
        <f>IF($BO$106=1,     IF(OR(DI139="",'HHV-LHV-MW'!BH74="",DD139=""),"",(DI139*('HHV-LHV-MW'!BH74/100)*DD139)^2),IF(OR(DI139="",CW139="",CZ139=""),"",(DI139*(CW139/100)*CZ139)^2))</f>
        <v/>
      </c>
      <c r="DK139" s="635" t="str">
        <f>IF(G139="","",VLOOKUP(G139,'HHV-LHV-MW'!$A$3:$I$40,9,FALSE))</f>
        <v/>
      </c>
      <c r="DL139" s="875" t="str">
        <f>IF($BO$106=1,     IF(OR(DK139="",'HHV-LHV-MW'!BH74="",DD139=""),"",(DK139*('HHV-LHV-MW'!BH74/100)*DD139)^2),IF(OR(DK139="",CW139="",CZ139=""),"",(DK139*(CW139/100)*CZ139)^2))</f>
        <v/>
      </c>
      <c r="DM139" s="635" t="str">
        <f>IF(G139="","",(VLOOKUP(G139,'HHV-LHV-MW'!$A$3:$F$40,6,FALSE))    )</f>
        <v/>
      </c>
      <c r="DN139" s="875" t="str">
        <f>IF($BO$106=1,     IF(OR(DM139="",'HHV-LHV-MW'!BH74="",DD139=""),"",(DM139*('HHV-LHV-MW'!BH74/100)*DD139)^2),IF(OR(DM139="",CW139="",CZ139=""),"",(DM139*(CW139/100)*CZ139)^2))</f>
        <v/>
      </c>
      <c r="DO139" s="638" t="str">
        <f>IF($BO$106=1,     IF(OR(DM139="",DK139="",$H$103="",$H$103=0,'HHV-LHV-MW'!BH74="",DD139="",$DL$145=""),"", ((DM139*((DK139*('HHV-LHV-MW'!BH74/100))/$H$103))^2)*((DD139^2)+($DL$145^2))),              IF(OR(DM139="",DK139="",CW139="",CZ139="",$DL$145="",$H$103="",$H$103=0),"",      ((DM139*((DK139*(CW139/100))/$H$103))^2)*((CZ139^2)+($DL$145^2))             ))</f>
        <v/>
      </c>
      <c r="DP139" s="889" t="str">
        <f>IF(M139="","",VLOOKUP(M139,'HHV-LHV-MW'!$A$3:$H$40,4,FALSE))</f>
        <v/>
      </c>
      <c r="DQ139" s="889" t="str">
        <f>IF(M139="","",VLOOKUP(M139,'HHV-LHV-MW'!$A$3:$H$40,5,FALSE))</f>
        <v/>
      </c>
      <c r="DR139" s="890" t="str">
        <f>IF($BO$116="","",((PRODUCT('HHV-LHV-MW'!DE74)+PRODUCT('HHV-LHV-MW'!DQ74)+PRODUCT('HHV-LHV-MW'!EC74)+PRODUCT('HHV-LHV-MW'!EO74))/$BO$116))</f>
        <v/>
      </c>
      <c r="DS139" s="890" t="str">
        <f>IF($BO$116="","",(IF($BO$116=1,"",  (SQRT(  (      (IF('HHV-LHV-MW'!DE74="",0,('HHV-LHV-MW'!DE74-DR139)^2))      +        (IF('HHV-LHV-MW'!DQ74="",0,('HHV-LHV-MW'!DQ74-DR139)^2))       +        (IF('HHV-LHV-MW'!EC74="",0,('HHV-LHV-MW'!EC74-DR139)^2))          +        (IF('HHV-LHV-MW'!EO74="",0,('HHV-LHV-MW'!EO74-DR139)^2))          )     *(1/($BO$116-1))  )))))</f>
        <v/>
      </c>
      <c r="DT139" s="890" t="str">
        <f t="shared" si="107"/>
        <v/>
      </c>
      <c r="DU139" s="890" t="str">
        <f t="shared" si="108"/>
        <v/>
      </c>
      <c r="DV139" s="636" t="str">
        <f>IF('HHV-LHV-MW'!DE74="","",IF(AND('HHV-LHV-MW'!DE74&gt;=0,'HHV-LHV-MW'!DE74&lt;=0.09),2,  IF(AND('HHV-LHV-MW'!DE74&gt;=0.1,'HHV-LHV-MW'!DE74&lt;=0.9),7,  IF(AND('HHV-LHV-MW'!DE74&gt;=1,'HHV-LHV-MW'!DE74&lt;=4.9),10,   IF(AND('HHV-LHV-MW'!DE74&gt;=5,'HHV-LHV-MW'!DE74&lt;=10),12, 15)))))</f>
        <v/>
      </c>
      <c r="DW139" s="636" t="str">
        <f>IF('HHV-LHV-MW'!DE74="","",5*'HHV-LHV-MW'!DE74)</f>
        <v/>
      </c>
      <c r="DX139" s="635" t="str">
        <f t="shared" si="109"/>
        <v/>
      </c>
      <c r="DY139" s="636" t="str">
        <f>IF(OR(DX139="",'HHV-LHV-MW'!DE74=0),"",DX139/'HHV-LHV-MW'!DE74)</f>
        <v/>
      </c>
      <c r="DZ139" s="636" t="str">
        <f>IF(OR(DY139="",DP139="",'HHV-LHV-MW'!DE74=""),"",((DY139*DP139*('HHV-LHV-MW'!DE74/100))/23.685)^2)</f>
        <v/>
      </c>
      <c r="EA139" s="636" t="str">
        <f>IF(OR(DY139="",DQ139="",'HHV-LHV-MW'!DE74=""),"",((DY139*DQ139*('HHV-LHV-MW'!DE74/100))/23.685)^2)</f>
        <v/>
      </c>
      <c r="EB139" s="639" t="str">
        <f t="shared" si="110"/>
        <v/>
      </c>
      <c r="EC139" s="891" t="str">
        <f t="shared" si="111"/>
        <v/>
      </c>
      <c r="ED139" s="643" t="str">
        <f>IF(M139="","",VLOOKUP(M139,'HHV-LHV-MW'!$A$3:$H$40,7,FALSE))</f>
        <v/>
      </c>
      <c r="EE139" s="875" t="str">
        <f>IF($BO$116=1,     IF(OR(ED139="",'HHV-LHV-MW'!DE74="",DY139=""),"",(ED139*('HHV-LHV-MW'!DE74/100)*DY139)^2),IF(OR(ED139="",DR139="",DU139=""),"",(ED139*(DR139/100)*DU139)^2))</f>
        <v/>
      </c>
      <c r="EF139" s="635" t="str">
        <f>IF(M139="","",VLOOKUP(M139,'HHV-LHV-MW'!$A$3:$I$40,9,FALSE))</f>
        <v/>
      </c>
      <c r="EG139" s="875" t="str">
        <f>IF($BO$116=1,     IF(OR(EF139="",'HHV-LHV-MW'!DE74="",DY139=""),"",(EF139*('HHV-LHV-MW'!DE74/100)*DY139)^2),IF(OR(EF139="",DR139="",DU139=""),"",(EF139*(DR139/100)*DU139)^2))</f>
        <v/>
      </c>
      <c r="EH139" s="635" t="str">
        <f>IF(M139="","",(VLOOKUP(M139,'HHV-LHV-MW'!$A$3:$F$40,6,FALSE))    )</f>
        <v/>
      </c>
      <c r="EI139" s="875" t="str">
        <f>IF($BO$116=1,     IF(OR(EH139="",'HHV-LHV-MW'!DE74="",DY139=""),"",(EH139*('HHV-LHV-MW'!DE74/100)*DY139)^2),IF(OR(EH139="",DR139="",DU139=""),"",(EH139*(DR139/100)*DU139)^2))</f>
        <v/>
      </c>
      <c r="EJ139" s="638" t="str">
        <f>IF($BO$116=1,     IF(OR(EH139="",EF139="",$N$103="",$N$103=0,'HHV-LHV-MW'!DE74="",DY139="",$EG$145=""),"", ((EH139*((EF139*('HHV-LHV-MW'!DE74/100))/$N$103))^2)*((DY139^2)+($EG$145^2))),              IF(OR(EH139="",EF139="",DR139="",DU139="",$EG$145="",$N$103="",$N$103=0),"",      ((EH139*((EF139*(DR139/100))/$N$103))^2)*((DU139^2)+($EG$145^2))             ))</f>
        <v/>
      </c>
      <c r="EK139" s="889" t="str">
        <f>IF(S139="","",VLOOKUP(S139,'HHV-LHV-MW'!$A$3:$H$40,4,FALSE))</f>
        <v/>
      </c>
      <c r="EL139" s="889" t="str">
        <f>IF(S139="","",VLOOKUP(S139,'HHV-LHV-MW'!$A$3:$H$40,5,FALSE))</f>
        <v/>
      </c>
      <c r="EM139" s="890" t="str">
        <f>IF($BO$126="","",((PRODUCT('HHV-LHV-MW'!FB74)+PRODUCT('HHV-LHV-MW'!FN74)+PRODUCT('HHV-LHV-MW'!FZ74)+PRODUCT('HHV-LHV-MW'!GL74))/$BO$126))</f>
        <v/>
      </c>
      <c r="EN139" s="890" t="str">
        <f>IF($BO$126="","",(IF($BO$126=1,"",  (SQRT(  (      (IF('HHV-LHV-MW'!FB74="",0,('HHV-LHV-MW'!FB74-EM139)^2))      +        (IF('HHV-LHV-MW'!FN74="",0,('HHV-LHV-MW'!FN74-EM139)^2))       +        (IF('HHV-LHV-MW'!FZ74="",0,('HHV-LHV-MW'!FZ74-EM139)^2))          +        (IF('HHV-LHV-MW'!GL74="",0,('HHV-LHV-MW'!GL74-EM139)^2))          )     *(1/($BO$126-1))  )))))</f>
        <v/>
      </c>
      <c r="EO139" s="890" t="str">
        <f t="shared" si="112"/>
        <v/>
      </c>
      <c r="EP139" s="890" t="str">
        <f t="shared" si="113"/>
        <v/>
      </c>
      <c r="EQ139" s="636" t="str">
        <f>IF('HHV-LHV-MW'!FB74="","",IF(AND('HHV-LHV-MW'!FB74&gt;=0,'HHV-LHV-MW'!FB74&lt;=0.09),2,  IF(AND('HHV-LHV-MW'!FB74&gt;=0.1,'HHV-LHV-MW'!FB74&lt;=0.9),7,  IF(AND('HHV-LHV-MW'!FB74&gt;=1,'HHV-LHV-MW'!FB74&lt;=4.9),10,   IF(AND('HHV-LHV-MW'!FB74&gt;=5,'HHV-LHV-MW'!FB74&lt;=10),12, 15)))))</f>
        <v/>
      </c>
      <c r="ER139" s="636" t="str">
        <f>IF('HHV-LHV-MW'!FB74="","",5*'HHV-LHV-MW'!FB74)</f>
        <v/>
      </c>
      <c r="ES139" s="635" t="str">
        <f t="shared" si="114"/>
        <v/>
      </c>
      <c r="ET139" s="636" t="str">
        <f>IF(OR(ES139="",'HHV-LHV-MW'!FB74=0),"",ES139/'HHV-LHV-MW'!FB74)</f>
        <v/>
      </c>
      <c r="EU139" s="636" t="str">
        <f>IF(OR(ET139="",EK139="",'HHV-LHV-MW'!FB74=""),"",((ET139*EK139*('HHV-LHV-MW'!FB74/100))/23.685)^2)</f>
        <v/>
      </c>
      <c r="EV139" s="636" t="str">
        <f>IF(OR(ET139="",EL139="",'HHV-LHV-MW'!FB74=""),"",((ET139*EL139*('HHV-LHV-MW'!FB74/100))/23.685)^2)</f>
        <v/>
      </c>
      <c r="EW139" s="639" t="str">
        <f t="shared" si="115"/>
        <v/>
      </c>
      <c r="EX139" s="891" t="str">
        <f t="shared" si="116"/>
        <v/>
      </c>
      <c r="EY139" s="643" t="str">
        <f>IF(S139="","",VLOOKUP(S139,'HHV-LHV-MW'!$A$3:$H$40,7,FALSE))</f>
        <v/>
      </c>
      <c r="EZ139" s="875" t="str">
        <f>IF($BO$126=1,     IF(OR(EY139="",'HHV-LHV-MW'!FB74="",ET139=""),"",(EY139*('HHV-LHV-MW'!FB74/100)*ET139)^2),IF(OR(EY139="",EM139="",EP139=""),"",(EY139*(EM139/100)*EP139)^2))</f>
        <v/>
      </c>
      <c r="FA139" s="635" t="str">
        <f>IF(S139="","",VLOOKUP(S139,'HHV-LHV-MW'!$A$3:$I$40,9,FALSE))</f>
        <v/>
      </c>
      <c r="FB139" s="875" t="str">
        <f>IF($BO$126=1,     IF(OR(FA139="",'HHV-LHV-MW'!FB74="",ET139=""),"",(FA139*('HHV-LHV-MW'!FB74/100)*ET139)^2),IF(OR(FA139="",EM139="",EP139=""),"",(FA139*(EM139/100)*EP139)^2))</f>
        <v/>
      </c>
      <c r="FC139" s="635" t="str">
        <f>IF(S139="","",(VLOOKUP(S139,'HHV-LHV-MW'!$A$3:$F$40,6,FALSE))    )</f>
        <v/>
      </c>
      <c r="FD139" s="875" t="str">
        <f>IF($BO$126=1,     IF(OR(FC139="",'HHV-LHV-MW'!FB74="",ET139=""),"",(FC139*('HHV-LHV-MW'!FB74/100)*ET139)^2),IF(OR(FC139="",EM139="",EP139=""),"",(FC139*(EM139/100)*EP139)^2))</f>
        <v/>
      </c>
      <c r="FE139" s="638" t="str">
        <f>IF($BO$126=1,     IF(OR(FC139="",FA139="",$T$103="",$T$103=0,'HHV-LHV-MW'!FB74="",ET139="",$FB$145=""),"", ((FC139*((FA139*('HHV-LHV-MW'!FB74/100))/$T$103))^2)*((ET139^2)+($FB$145^2))),              IF(OR(FC139="",FA139="",EM139="",EP139="",$FB$145="",$T$103="",$T$103=0),"",      ((FC139*((FA139*(EM139/100))/$T$103))^2)*((EP139^2)+($FB$145^2))             ))</f>
        <v/>
      </c>
      <c r="FF139" s="889" t="str">
        <f>IF(Y139="","",VLOOKUP(Y139,'HHV-LHV-MW'!$A$3:$H$40,4,FALSE))</f>
        <v/>
      </c>
      <c r="FG139" s="889" t="str">
        <f>IF(Y139="","",VLOOKUP(Y139,'HHV-LHV-MW'!$A$3:$H$40,5,FALSE))</f>
        <v/>
      </c>
      <c r="FH139" s="890" t="str">
        <f>IF($BO$136="","",((PRODUCT('HHV-LHV-MW'!GY74)+PRODUCT('HHV-LHV-MW'!HK74)+PRODUCT('HHV-LHV-MW'!HW74)+PRODUCT('HHV-LHV-MW'!II74))/$BO$136))</f>
        <v/>
      </c>
      <c r="FI139" s="890" t="str">
        <f>IF($BO$136="","",(IF($BO$136=1,"",  (SQRT(  (      (IF('HHV-LHV-MW'!GY74="",0,('HHV-LHV-MW'!GY74-FH139)^2))      +        (IF('HHV-LHV-MW'!HK74="",0,('HHV-LHV-MW'!HK74-FH139)^2))       +        (IF('HHV-LHV-MW'!HW74="",0,('HHV-LHV-MW'!HW74-FH139)^2))          +        (IF('HHV-LHV-MW'!II74="",0,('HHV-LHV-MW'!II74-FH139)^2))          )     *(1/($BO$136-1))  )))))</f>
        <v/>
      </c>
      <c r="FJ139" s="890" t="str">
        <f t="shared" si="117"/>
        <v/>
      </c>
      <c r="FK139" s="890" t="str">
        <f t="shared" si="118"/>
        <v/>
      </c>
      <c r="FL139" s="636" t="str">
        <f>IF('HHV-LHV-MW'!GY74="","",IF(AND('HHV-LHV-MW'!GY74&gt;=0,'HHV-LHV-MW'!GY74&lt;=0.09),2,  IF(AND('HHV-LHV-MW'!GY74&gt;=0.1,'HHV-LHV-MW'!GY74&lt;=0.9),7,  IF(AND('HHV-LHV-MW'!GY74&gt;=1,'HHV-LHV-MW'!GY74&lt;=4.9),10,   IF(AND('HHV-LHV-MW'!GY74&gt;=5,'HHV-LHV-MW'!GY74&lt;=10),12, 15)))))</f>
        <v/>
      </c>
      <c r="FM139" s="636" t="str">
        <f>IF('HHV-LHV-MW'!GY74="","",5*'HHV-LHV-MW'!GY74)</f>
        <v/>
      </c>
      <c r="FN139" s="635" t="str">
        <f t="shared" si="119"/>
        <v/>
      </c>
      <c r="FO139" s="636" t="str">
        <f>IF(OR(FN139="",'HHV-LHV-MW'!GY74=0),"",FN139/'HHV-LHV-MW'!GY74)</f>
        <v/>
      </c>
      <c r="FP139" s="636" t="str">
        <f>IF(OR(FO139="",FF139="",'HHV-LHV-MW'!GY74=""),"",((FO139*FF139*('HHV-LHV-MW'!GY74/100))/23.685)^2)</f>
        <v/>
      </c>
      <c r="FQ139" s="636" t="str">
        <f>IF(OR(FO139="",FG139="",'HHV-LHV-MW'!GY74=""),"",((FO139*FG139*('HHV-LHV-MW'!GY74/100))/23.685)^2)</f>
        <v/>
      </c>
      <c r="FR139" s="639" t="str">
        <f t="shared" si="120"/>
        <v/>
      </c>
      <c r="FS139" s="891" t="str">
        <f t="shared" si="121"/>
        <v/>
      </c>
      <c r="FT139" s="643" t="str">
        <f>IF(Y139="","",VLOOKUP(Y139,'HHV-LHV-MW'!$A$3:$H$40,7,FALSE))</f>
        <v/>
      </c>
      <c r="FU139" s="875" t="str">
        <f>IF($BO$136=1,     IF(OR(FT139="",'HHV-LHV-MW'!GY74="",FO139=""),"",(FT139*('HHV-LHV-MW'!GY74/100)*FO139)^2),IF(OR(FT139="",FH139="",FK139=""),"",(FT139*(FH139/100)*FK139)^2))</f>
        <v/>
      </c>
      <c r="FV139" s="635" t="str">
        <f>IF(Y139="","",VLOOKUP(Y139,'HHV-LHV-MW'!$A$3:$I$40,9,FALSE))</f>
        <v/>
      </c>
      <c r="FW139" s="875" t="str">
        <f>IF($BO$136=1,     IF(OR(FV139="",'HHV-LHV-MW'!GY74="",FO139=""),"",(FV139*('HHV-LHV-MW'!GY74/100)*FO139)^2),IF(OR(FV139="",FH139="",FK139=""),"",(FV139*(FH139/100)*FK139)^2))</f>
        <v/>
      </c>
      <c r="FX139" s="635" t="str">
        <f>IF(Y139="","",(VLOOKUP(Y139,'HHV-LHV-MW'!$A$3:$F$40,6,FALSE))    )</f>
        <v/>
      </c>
      <c r="FY139" s="875" t="str">
        <f>IF($BO$136=1,     IF(OR(FX139="",'HHV-LHV-MW'!GY74="",FO139=""),"",(FX139*('HHV-LHV-MW'!GY74/100)*FO139)^2),IF(OR(FX139="",FH139="",FK139=""),"",(FX139*(FH139/100)*FK139)^2))</f>
        <v/>
      </c>
      <c r="FZ139" s="638" t="str">
        <f>IF($BO$136=1,     IF(OR(FX139="",FV139="",$Z$103="",$Z$103=0,'HHV-LHV-MW'!GY74="",FO139="",$FW$145=""),"", ((FX139*((FV139*('HHV-LHV-MW'!GY74/100))/$Z$103))^2)*((FO139^2)+($FW$145^2))),              IF(OR(FX139="",FV139="",FH139="",FK139="",$FW$145="",$Z$103="",$Z$103=0),"",      ((FX139*((FV139*(FH139/100))/$Z$103))^2)*((FK139^2)+($FW$145^2))             ))</f>
        <v/>
      </c>
      <c r="GA139" s="889" t="str">
        <f>IF(AE139="","",VLOOKUP(AE139,'HHV-LHV-MW'!$A$3:$H$40,4,FALSE))</f>
        <v/>
      </c>
      <c r="GB139" s="889" t="str">
        <f>IF(AE139="","",VLOOKUP(AE139,'HHV-LHV-MW'!$A$3:$H$40,5,FALSE))</f>
        <v/>
      </c>
      <c r="GC139" s="890" t="str">
        <f>IF($BW$96="","",((PRODUCT('HHV-LHV-MW'!IV74)+PRODUCT('HHV-LHV-MW'!JH74)+PRODUCT('HHV-LHV-MW'!JT74)+PRODUCT('HHV-LHV-MW'!KF74))/$BW$96))</f>
        <v/>
      </c>
      <c r="GD139" s="890" t="str">
        <f>IF($BW$96="","",(IF($BW$96=1,"",  (SQRT(  (      (IF('HHV-LHV-MW'!IV74="",0,('HHV-LHV-MW'!IV74-GC139)^2))      +        (IF('HHV-LHV-MW'!JH74="",0,('HHV-LHV-MW'!JH74-GC139)^2))       +        (IF('HHV-LHV-MW'!JT74="",0,('HHV-LHV-MW'!JT74-GC139)^2))          +        (IF('HHV-LHV-MW'!KF74="",0,('HHV-LHV-MW'!KF74-GC139)^2))          )     *(1/($BW$96-1))  )))))</f>
        <v/>
      </c>
      <c r="GE139" s="890" t="str">
        <f t="shared" si="122"/>
        <v/>
      </c>
      <c r="GF139" s="890" t="str">
        <f t="shared" si="123"/>
        <v/>
      </c>
      <c r="GG139" s="636" t="str">
        <f>IF('HHV-LHV-MW'!IV74="","",IF(AND('HHV-LHV-MW'!IV74&gt;=0,'HHV-LHV-MW'!IV74&lt;=0.09),2,  IF(AND('HHV-LHV-MW'!IV74&gt;=0.1,'HHV-LHV-MW'!IV74&lt;=0.9),7,  IF(AND('HHV-LHV-MW'!IV74&gt;=1,'HHV-LHV-MW'!IV74&lt;=4.9),10,   IF(AND('HHV-LHV-MW'!IV74&gt;=5,'HHV-LHV-MW'!IV74&lt;=10),12, 15)))))</f>
        <v/>
      </c>
      <c r="GH139" s="636" t="str">
        <f>IF('HHV-LHV-MW'!IV74="","",5*'HHV-LHV-MW'!IV74)</f>
        <v/>
      </c>
      <c r="GI139" s="635" t="str">
        <f t="shared" si="124"/>
        <v/>
      </c>
      <c r="GJ139" s="636" t="str">
        <f>IF(OR(GI139="",'HHV-LHV-MW'!IV74=0),"",GI139/'HHV-LHV-MW'!IV74)</f>
        <v/>
      </c>
      <c r="GK139" s="636" t="str">
        <f>IF(OR(GJ139="",GA139="",'HHV-LHV-MW'!IV74=""),"",((GJ139*GA139*('HHV-LHV-MW'!IV74/100))/23.685)^2)</f>
        <v/>
      </c>
      <c r="GL139" s="636" t="str">
        <f>IF(OR(GJ139="",GB139="",'HHV-LHV-MW'!IV74=""),"",((GJ139*GB139*('HHV-LHV-MW'!IV74/100))/23.685)^2)</f>
        <v/>
      </c>
      <c r="GM139" s="639" t="str">
        <f t="shared" si="125"/>
        <v/>
      </c>
      <c r="GN139" s="891" t="str">
        <f t="shared" si="126"/>
        <v/>
      </c>
      <c r="GO139" s="643" t="str">
        <f>IF(AE139="","",VLOOKUP(AE139,'HHV-LHV-MW'!$A$3:$H$40,7,FALSE))</f>
        <v/>
      </c>
      <c r="GP139" s="875" t="str">
        <f>IF($BW$96=1,     IF(OR(GO139="",'HHV-LHV-MW'!IV74="",GJ139=""),"",(GO139*('HHV-LHV-MW'!IV74/100)*GJ139)^2),IF(OR(GO139="",GC139="",GF139=""),"",(GO139*(GC139/100)*GF139)^2))</f>
        <v/>
      </c>
      <c r="GQ139" s="635" t="str">
        <f>IF(AE139="","",VLOOKUP(AE139,'HHV-LHV-MW'!$A$3:$I$40,9,FALSE))</f>
        <v/>
      </c>
      <c r="GR139" s="875" t="str">
        <f>IF($BW$96=1,     IF(OR(GQ139="",'HHV-LHV-MW'!IV74="",GJ139=""),"",(GQ139*('HHV-LHV-MW'!IV74/100)*GJ139)^2),IF(OR(GQ139="",GC139="",GF139=""),"",(GQ139*(GC139/100)*GF139)^2))</f>
        <v/>
      </c>
      <c r="GS139" s="635" t="str">
        <f>IF(AE139="","",(VLOOKUP(AE139,'HHV-LHV-MW'!$A$3:$F$40,6,FALSE))    )</f>
        <v/>
      </c>
      <c r="GT139" s="875" t="str">
        <f>IF($BW$96=1,     IF(OR(GS139="",'HHV-LHV-MW'!IV74="",GJ139=""),"",(GS139*('HHV-LHV-MW'!IV74/100)*GJ139)^2),IF(OR(GS139="",GC139="",GF139=""),"",(GS139*(GC139/100)*GF139)^2))</f>
        <v/>
      </c>
      <c r="GU139" s="638" t="str">
        <f>IF($BW$96=1,     IF(OR(GS139="",GQ139="",$AF$103="",$AF$103=0,'HHV-LHV-MW'!IV74="",GJ139="",$GR$145=""),"", ((GS139*((GQ139*('HHV-LHV-MW'!IV74/100))/$AF$103))^2)*((GJ139^2)+($GR$145^2))),              IF(OR(GS139="",GQ139="",GC139="",GF139="",$GR$145="",$AF$103="",$AF$103=0),"",      ((GS139*((GQ139*(GC139/100))/$AF$103))^2)*((GF139^2)+($GR$145^2))             ))</f>
        <v/>
      </c>
      <c r="GV139" s="889" t="str">
        <f>IF(AK139="","",VLOOKUP(AK139,'HHV-LHV-MW'!$A$3:$H$40,4,FALSE))</f>
        <v/>
      </c>
      <c r="GW139" s="889" t="str">
        <f>IF(AK139="","",VLOOKUP(AK139,'HHV-LHV-MW'!$A$3:$H$40,5,FALSE))</f>
        <v/>
      </c>
      <c r="GX139" s="890" t="str">
        <f>IF($BW$106="","",((PRODUCT('HHV-LHV-MW'!KS74)+PRODUCT('HHV-LHV-MW'!LE74)+PRODUCT('HHV-LHV-MW'!LQ74)+PRODUCT('HHV-LHV-MW'!MC74))/$BW$106))</f>
        <v/>
      </c>
      <c r="GY139" s="890" t="str">
        <f>IF($BW$106="","",(IF($BW$106=1,"",  (SQRT(  (      (IF('HHV-LHV-MW'!KS74="",0,('HHV-LHV-MW'!KS74-GX139)^2))      +        (IF('HHV-LHV-MW'!LE74="",0,('HHV-LHV-MW'!LE74-GX139)^2))       +        (IF('HHV-LHV-MW'!LQ74="",0,('HHV-LHV-MW'!LQ74-GX139)^2))          +        (IF('HHV-LHV-MW'!MC74="",0,('HHV-LHV-MW'!MC74-GX139)^2))          )     *(1/($BW$106-1))  )))))</f>
        <v/>
      </c>
      <c r="GZ139" s="890" t="str">
        <f t="shared" si="127"/>
        <v/>
      </c>
      <c r="HA139" s="890" t="str">
        <f t="shared" si="128"/>
        <v/>
      </c>
      <c r="HB139" s="636" t="str">
        <f>IF('HHV-LHV-MW'!KS74="","",IF(AND('HHV-LHV-MW'!KS74&gt;=0,'HHV-LHV-MW'!KS74&lt;=0.09),2,  IF(AND('HHV-LHV-MW'!KS74&gt;=0.1,'HHV-LHV-MW'!KS74&lt;=0.9),7,  IF(AND('HHV-LHV-MW'!KS74&gt;=1,'HHV-LHV-MW'!KS74&lt;=4.9),10,   IF(AND('HHV-LHV-MW'!KS74&gt;=5,'HHV-LHV-MW'!KS74&lt;=10),12, 15)))))</f>
        <v/>
      </c>
      <c r="HC139" s="636" t="str">
        <f>IF('HHV-LHV-MW'!KS74="","",5*'HHV-LHV-MW'!KS74)</f>
        <v/>
      </c>
      <c r="HD139" s="635" t="str">
        <f t="shared" si="129"/>
        <v/>
      </c>
      <c r="HE139" s="636" t="str">
        <f>IF(OR(HD139="",'HHV-LHV-MW'!KS74=0),"",HD139/'HHV-LHV-MW'!KS74)</f>
        <v/>
      </c>
      <c r="HF139" s="636" t="str">
        <f>IF(OR(HE139="",GV139="",'HHV-LHV-MW'!KS74=""),"",((HE139*GV139*('HHV-LHV-MW'!KS74/100))/23.685)^2)</f>
        <v/>
      </c>
      <c r="HG139" s="636" t="str">
        <f>IF(OR(HE139="",GW139="",'HHV-LHV-MW'!KS74=""),"",((HE139*GW139*('HHV-LHV-MW'!KS74/100))/23.685)^2)</f>
        <v/>
      </c>
      <c r="HH139" s="639" t="str">
        <f t="shared" si="130"/>
        <v/>
      </c>
      <c r="HI139" s="891" t="str">
        <f t="shared" si="131"/>
        <v/>
      </c>
      <c r="HJ139" s="643" t="str">
        <f>IF(AK139="","",VLOOKUP(AK139,'HHV-LHV-MW'!$A$3:$H$40,7,FALSE))</f>
        <v/>
      </c>
      <c r="HK139" s="875" t="str">
        <f>IF($BW$106=1,     IF(OR(HJ139="",'HHV-LHV-MW'!KS74="",HE139=""),"",(HJ139*('HHV-LHV-MW'!KS74/100)*HE139)^2),IF(OR(HJ139="",GX139="",HA139=""),"",(HJ139*(GX139/100)*HA139)^2))</f>
        <v/>
      </c>
      <c r="HL139" s="635" t="str">
        <f>IF(AK139="","",VLOOKUP(AK139,'HHV-LHV-MW'!$A$3:$I$40,9,FALSE))</f>
        <v/>
      </c>
      <c r="HM139" s="875" t="str">
        <f>IF($BW$106=1,     IF(OR(HL139="",'HHV-LHV-MW'!KS74="",HE139=""),"",(HL139*('HHV-LHV-MW'!KS74/100)*HE139)^2),IF(OR(HL139="",GX139="",HA139=""),"",(HL139*(GX139/100)*HA139)^2))</f>
        <v/>
      </c>
      <c r="HN139" s="635" t="str">
        <f>IF(AK139="","",(VLOOKUP(AK139,'HHV-LHV-MW'!$A$3:$F$40,6,FALSE))    )</f>
        <v/>
      </c>
      <c r="HO139" s="875" t="str">
        <f>IF($BW$106=1,     IF(OR(HN139="",'HHV-LHV-MW'!KS74="",HE139=""),"",(HN139*('HHV-LHV-MW'!KS74/100)*HE139)^2),IF(OR(HN139="",GX139="",HA139=""),"",(HN139*(GX139/100)*HA139)^2))</f>
        <v/>
      </c>
      <c r="HP139" s="638" t="str">
        <f>IF($BW$106=1,     IF(OR(HN139="",HL139="",$AL$103="",$AL$103=0,'HHV-LHV-MW'!KS74="",HE139="",$HM$145=""),"", ((HN139*((HL139*('HHV-LHV-MW'!KS74/100))/$AL$103))^2)*((HE139^2)+($HM$145^2))),              IF(OR(HN139="",HL139="",GX139="",HA139="",$HM$145="",$AL$103="",$AL$103=0),"",      ((HN139*((HL139*(GX139/100))/$AL$103))^2)*((HA139^2)+($HM$145^2))             ))</f>
        <v/>
      </c>
      <c r="HQ139" s="889" t="str">
        <f>IF(AQ139="","",VLOOKUP(AQ139,'HHV-LHV-MW'!$A$3:$H$40,4,FALSE))</f>
        <v/>
      </c>
      <c r="HR139" s="889" t="str">
        <f>IF(AQ139="","",VLOOKUP(AQ139,'HHV-LHV-MW'!$A$3:$H$40,5,FALSE))</f>
        <v/>
      </c>
      <c r="HS139" s="890" t="str">
        <f>IF($BW$116="","",((PRODUCT('HHV-LHV-MW'!MP74)+PRODUCT('HHV-LHV-MW'!NB74)+PRODUCT('HHV-LHV-MW'!NN74)+PRODUCT('HHV-LHV-MW'!NZ74))/$BW$116))</f>
        <v/>
      </c>
      <c r="HT139" s="890" t="str">
        <f>IF($BW$116="","",(IF($BW$116=1,"",  (SQRT(  (      (IF('HHV-LHV-MW'!MP74="",0,('HHV-LHV-MW'!MP74-HS139)^2))      +        (IF('HHV-LHV-MW'!NB74="",0,('HHV-LHV-MW'!NB74-HS139)^2))       +        (IF('HHV-LHV-MW'!NN74="",0,('HHV-LHV-MW'!NN74-HS139)^2))          +        (IF('HHV-LHV-MW'!NZ74="",0,('HHV-LHV-MW'!NZ74-HS139)^2))          )     *(1/($BW$116-1))  )))))</f>
        <v/>
      </c>
      <c r="HU139" s="890" t="str">
        <f t="shared" si="132"/>
        <v/>
      </c>
      <c r="HV139" s="890" t="str">
        <f t="shared" si="133"/>
        <v/>
      </c>
      <c r="HW139" s="636" t="str">
        <f>IF('HHV-LHV-MW'!MP74="","",IF(AND('HHV-LHV-MW'!MP74&gt;=0,'HHV-LHV-MW'!MP74&lt;=0.09),2,  IF(AND('HHV-LHV-MW'!MP74&gt;=0.1,'HHV-LHV-MW'!MP74&lt;=0.9),7,  IF(AND('HHV-LHV-MW'!MP74&gt;=1,'HHV-LHV-MW'!MP74&lt;=4.9),10,   IF(AND('HHV-LHV-MW'!MP74&gt;=5,'HHV-LHV-MW'!MP74&lt;=10),12, 15)))))</f>
        <v/>
      </c>
      <c r="HX139" s="636" t="str">
        <f>IF('HHV-LHV-MW'!MP74="","",5*'HHV-LHV-MW'!MP74)</f>
        <v/>
      </c>
      <c r="HY139" s="635" t="str">
        <f t="shared" si="134"/>
        <v/>
      </c>
      <c r="HZ139" s="636" t="str">
        <f>IF(OR(HY139="",'HHV-LHV-MW'!MP74=0),"",HY139/'HHV-LHV-MW'!MP74)</f>
        <v/>
      </c>
      <c r="IA139" s="636" t="str">
        <f>IF(OR(HZ139="",HQ139="",'HHV-LHV-MW'!MP74=""),"",((HZ139*HQ139*('HHV-LHV-MW'!MP74/100))/23.685)^2)</f>
        <v/>
      </c>
      <c r="IB139" s="636" t="str">
        <f>IF(OR(HZ139="",HR139="",'HHV-LHV-MW'!MP74=""),"",((HZ139*HR139*('HHV-LHV-MW'!MP74/100))/23.685)^2)</f>
        <v/>
      </c>
      <c r="IC139" s="639" t="str">
        <f t="shared" si="135"/>
        <v/>
      </c>
      <c r="ID139" s="891" t="str">
        <f t="shared" si="136"/>
        <v/>
      </c>
      <c r="IE139" s="643" t="str">
        <f>IF(AQ139="","",VLOOKUP(AQ139,'HHV-LHV-MW'!$A$3:$H$40,7,FALSE))</f>
        <v/>
      </c>
      <c r="IF139" s="875" t="str">
        <f>IF($BW$116=1,     IF(OR(IE139="",'HHV-LHV-MW'!MP74="",HZ139=""),"",(IE139*('HHV-LHV-MW'!MP74/100)*HZ139)^2),IF(OR(IE139="",HS139="",HV139=""),"",(IE139*(HS139/100)*HV139)^2))</f>
        <v/>
      </c>
      <c r="IG139" s="635" t="str">
        <f>IF(AQ139="","",VLOOKUP(AQ139,'HHV-LHV-MW'!$A$3:$I$40,9,FALSE))</f>
        <v/>
      </c>
      <c r="IH139" s="875" t="str">
        <f>IF($BW$116=1,     IF(OR(IG139="",'HHV-LHV-MW'!MP74="",HZ139=""),"",(IG139*('HHV-LHV-MW'!MP74/100)*HZ139)^2),IF(OR(IG139="",HS139="",HV139=""),"",(IG139*(HS139/100)*HV139)^2))</f>
        <v/>
      </c>
      <c r="II139" s="635" t="str">
        <f>IF(AQ139="","",(VLOOKUP(AQ139,'HHV-LHV-MW'!$A$3:$F$40,6,FALSE))    )</f>
        <v/>
      </c>
      <c r="IJ139" s="875" t="str">
        <f>IF($BW$116=1,     IF(OR(II139="",'HHV-LHV-MW'!MP74="",HZ139=""),"",(II139*('HHV-LHV-MW'!MP74/100)*HZ139)^2),IF(OR(II139="",HS139="",HV139=""),"",(II139*(HS139/100)*HV139)^2))</f>
        <v/>
      </c>
      <c r="IK139" s="638" t="str">
        <f>IF($BW$116=1,     IF(OR(II139="",IG139="",$AR$103="",$AR$103=0,'HHV-LHV-MW'!MP74="",HZ139="",$IH$145=""),"", ((II139*((IG139*('HHV-LHV-MW'!MP74/100))/$AR$103))^2)*((HZ139^2)+($IH$145^2))),              IF(OR(II139="",IG139="",HS139="",HV139="",$IH$145="",$AR$103="",$AR$103=0),"",      ((II139*((IG139*(HS139/100))/$AR$103))^2)*((HV139^2)+($IH$145^2))             ))</f>
        <v/>
      </c>
      <c r="IL139" s="889" t="str">
        <f>IF(AW139="","",VLOOKUP(AW139,'HHV-LHV-MW'!$A$3:$H$40,4,FALSE))</f>
        <v/>
      </c>
      <c r="IM139" s="889" t="str">
        <f>IF(AW139="","",VLOOKUP(AW139,'HHV-LHV-MW'!$A$3:$H$40,5,FALSE))</f>
        <v/>
      </c>
      <c r="IN139" s="890" t="str">
        <f>IF($BW$126="","",((PRODUCT('HHV-LHV-MW'!ON74)+PRODUCT('HHV-LHV-MW'!OZ74)+PRODUCT('HHV-LHV-MW'!PL74)+PRODUCT('HHV-LHV-MW'!PX74))/$BW$126))</f>
        <v/>
      </c>
      <c r="IO139" s="890" t="str">
        <f>IF($BW$126="","",(IF($BW$126=1,"",  (SQRT(  (      (IF('HHV-LHV-MW'!ON74="",0,('HHV-LHV-MW'!ON74-IN139)^2))      +        (IF('HHV-LHV-MW'!OZ74="",0,('HHV-LHV-MW'!OZ74-IN139)^2))       +        (IF('HHV-LHV-MW'!PL74="",0,('HHV-LHV-MW'!PL74-IN139)^2))          +        (IF('HHV-LHV-MW'!PX74="",0,('HHV-LHV-MW'!PX74-IN139)^2))          )     *(1/($BW$126-1))  )))))</f>
        <v/>
      </c>
      <c r="IP139" s="890" t="str">
        <f t="shared" si="137"/>
        <v/>
      </c>
      <c r="IQ139" s="890" t="str">
        <f t="shared" si="138"/>
        <v/>
      </c>
      <c r="IR139" s="636" t="str">
        <f>IF('HHV-LHV-MW'!ON74="","",IF(AND('HHV-LHV-MW'!ON74&gt;=0,'HHV-LHV-MW'!ON74&lt;=0.09),2,  IF(AND('HHV-LHV-MW'!ON74&gt;=0.1,'HHV-LHV-MW'!ON74&lt;=0.9),7,  IF(AND('HHV-LHV-MW'!ON74&gt;=1,'HHV-LHV-MW'!ON74&lt;=4.9),10,   IF(AND('HHV-LHV-MW'!ON74&gt;=5,'HHV-LHV-MW'!ON74&lt;=10),12, 15)))))</f>
        <v/>
      </c>
      <c r="IS139" s="636" t="str">
        <f>IF('HHV-LHV-MW'!ON74="","",5*'HHV-LHV-MW'!ON74)</f>
        <v/>
      </c>
      <c r="IT139" s="635" t="str">
        <f t="shared" si="139"/>
        <v/>
      </c>
      <c r="IU139" s="636" t="str">
        <f>IF(OR(IT139="",'HHV-LHV-MW'!ON74=0),"",IT139/'HHV-LHV-MW'!ON74)</f>
        <v/>
      </c>
      <c r="IV139" s="636" t="str">
        <f>IF(OR(IU139="",IL139="",'HHV-LHV-MW'!ON74=""),"",((IU139*IL139*('HHV-LHV-MW'!ON74/100))/23.685)^2)</f>
        <v/>
      </c>
      <c r="IW139" s="636" t="str">
        <f>IF(OR(IU139="",IM139="",'HHV-LHV-MW'!ON74=""),"",((IU139*IM139*('HHV-LHV-MW'!ON74/100))/23.685)^2)</f>
        <v/>
      </c>
      <c r="IX139" s="639" t="str">
        <f t="shared" si="140"/>
        <v/>
      </c>
      <c r="IY139" s="891" t="str">
        <f t="shared" si="141"/>
        <v/>
      </c>
      <c r="IZ139" s="643" t="str">
        <f>IF(AW139="","",VLOOKUP(AW139,'HHV-LHV-MW'!$A$3:$H$40,7,FALSE))</f>
        <v/>
      </c>
      <c r="JA139" s="875" t="str">
        <f>IF($BW$126=1,     IF(OR(IZ139="",'HHV-LHV-MW'!ON74="",IU139=""),"",(IZ139*('HHV-LHV-MW'!ON74/100)*IU139)^2),IF(OR(IZ139="",IN139="",IQ139=""),"",(IZ139*(IN139/100)*IQ139)^2))</f>
        <v/>
      </c>
      <c r="JB139" s="635" t="str">
        <f>IF(AW139="","",VLOOKUP(AW139,'HHV-LHV-MW'!$A$3:$I$40,9,FALSE))</f>
        <v/>
      </c>
      <c r="JC139" s="875" t="str">
        <f>IF($BW$126=1,     IF(OR(JB139="",'HHV-LHV-MW'!ON74="",IU139=""),"",(JB139*('HHV-LHV-MW'!ON74/100)*IU139)^2),IF(OR(JB139="",IN139="",IQ139=""),"",(JB139*(IN139/100)*IQ139)^2))</f>
        <v/>
      </c>
      <c r="JD139" s="635" t="str">
        <f>IF(AW139="","",(VLOOKUP(AW139,'HHV-LHV-MW'!$A$3:$F$40,6,FALSE))    )</f>
        <v/>
      </c>
      <c r="JE139" s="875" t="str">
        <f>IF($BW$126=1,     IF(OR(JD139="",'HHV-LHV-MW'!ON74="",IU139=""),"",(JD139*('HHV-LHV-MW'!ON74/100)*IU139)^2),IF(OR(JD139="",IN139="",IQ139=""),"",(JD139*(IN139/100)*IQ139)^2))</f>
        <v/>
      </c>
      <c r="JF139" s="638" t="str">
        <f>IF($BW$126=1,     IF(OR(JD139="",JB139="",$AX$103="",$AX$103=0,'HHV-LHV-MW'!ON74="",IU139="",$JC$145=""),"", ((JD139*((JB139*('HHV-LHV-MW'!ON74/100))/$AX$103))^2)*((IU139^2)+($JC$145^2))),              IF(OR(JD139="",JB139="",IN139="",IQ139="",$JC$145="",$AX$103="",$AX$103=0),"",      ((JD139*((JB139*(IN139/100))/$AX$103))^2)*((IQ139^2)+($JC$145^2))             ))</f>
        <v/>
      </c>
      <c r="JG139" s="889" t="str">
        <f>IF(BC139="","",VLOOKUP(BC139,'HHV-LHV-MW'!$A$3:$H$40,4,FALSE))</f>
        <v/>
      </c>
      <c r="JH139" s="889" t="str">
        <f>IF(BC139="","",VLOOKUP(BC139,'HHV-LHV-MW'!$A$3:$H$40,5,FALSE))</f>
        <v/>
      </c>
      <c r="JI139" s="890" t="str">
        <f>IF($BW$136="","",((PRODUCT('HHV-LHV-MW'!QK74)+PRODUCT('HHV-LHV-MW'!QW74)+PRODUCT('HHV-LHV-MW'!RI74)+PRODUCT('HHV-LHV-MW'!RU74))/$BW$136))</f>
        <v/>
      </c>
      <c r="JJ139" s="890" t="str">
        <f>IF($BW$136="","",(IF($BW$136=1,"",  (SQRT(  (      (IF('HHV-LHV-MW'!QK74="",0,('HHV-LHV-MW'!QK74-JI139)^2))      +        (IF('HHV-LHV-MW'!QW74="",0,('HHV-LHV-MW'!QW74-JI139)^2))       +        (IF('HHV-LHV-MW'!RI74="",0,('HHV-LHV-MW'!RI74-JI139)^2))          +        (IF('HHV-LHV-MW'!RU74="",0,('HHV-LHV-MW'!RU74-JI139)^2))          )     *(1/($BW$136-1))  )))))</f>
        <v/>
      </c>
      <c r="JK139" s="890" t="str">
        <f t="shared" si="142"/>
        <v/>
      </c>
      <c r="JL139" s="890" t="str">
        <f t="shared" si="143"/>
        <v/>
      </c>
      <c r="JM139" s="636" t="str">
        <f>IF('HHV-LHV-MW'!QK74="","",IF(AND('HHV-LHV-MW'!QK74&gt;=0,'HHV-LHV-MW'!QK74&lt;=0.09),2,  IF(AND('HHV-LHV-MW'!QK74&gt;=0.1,'HHV-LHV-MW'!QK74&lt;=0.9),7,  IF(AND('HHV-LHV-MW'!QK74&gt;=1,'HHV-LHV-MW'!QK74&lt;=4.9),10,   IF(AND('HHV-LHV-MW'!QK74&gt;=5,'HHV-LHV-MW'!QK74&lt;=10),12, 15)))))</f>
        <v/>
      </c>
      <c r="JN139" s="636" t="str">
        <f>IF('HHV-LHV-MW'!QK74="","",5*'HHV-LHV-MW'!QK74)</f>
        <v/>
      </c>
      <c r="JO139" s="635" t="str">
        <f t="shared" si="144"/>
        <v/>
      </c>
      <c r="JP139" s="636" t="str">
        <f>IF(OR(JO139="",'HHV-LHV-MW'!QK74=0),"",JO139/'HHV-LHV-MW'!QK74)</f>
        <v/>
      </c>
      <c r="JQ139" s="636" t="str">
        <f>IF(OR(JP139="",JG139="",'HHV-LHV-MW'!QK74=""),"",((JP139*JG139*('HHV-LHV-MW'!QK74/100))/23.685)^2)</f>
        <v/>
      </c>
      <c r="JR139" s="636" t="str">
        <f>IF(OR(JP139="",JH139="",'HHV-LHV-MW'!QK74=""),"",((JP139*JH139*('HHV-LHV-MW'!QK74/100))/23.685)^2)</f>
        <v/>
      </c>
      <c r="JS139" s="639" t="str">
        <f t="shared" si="145"/>
        <v/>
      </c>
      <c r="JT139" s="891" t="str">
        <f t="shared" si="146"/>
        <v/>
      </c>
      <c r="JU139" s="643" t="str">
        <f>IF(BC139="","",VLOOKUP(BC139,'HHV-LHV-MW'!$A$3:$H$40,7,FALSE))</f>
        <v/>
      </c>
      <c r="JV139" s="875" t="str">
        <f>IF($BW$136=1,     IF(OR(JU139="",'HHV-LHV-MW'!QK74="",JP139=""),"",(JU139*('HHV-LHV-MW'!QK74/100)*JP139)^2),IF(OR(JU139="",JI139="",JL139=""),"",(JU139*(JI139/100)*JL139)^2))</f>
        <v/>
      </c>
      <c r="JW139" s="635" t="str">
        <f>IF(BC139="","",VLOOKUP(BC139,'HHV-LHV-MW'!$A$3:$I$40,9,FALSE))</f>
        <v/>
      </c>
      <c r="JX139" s="875" t="str">
        <f>IF($BW$136=1,     IF(OR(JW139="",'HHV-LHV-MW'!QK74="",JP139=""),"",(JW139*('HHV-LHV-MW'!QK74/100)*JP139)^2),IF(OR(JW139="",JI139="",JL139=""),"",(JW139*(JI139/100)*JL139)^2))</f>
        <v/>
      </c>
      <c r="JY139" s="635" t="str">
        <f>IF(BC139="","",(VLOOKUP(BC139,'HHV-LHV-MW'!$A$3:$F$40,6,FALSE))    )</f>
        <v/>
      </c>
      <c r="JZ139" s="875" t="str">
        <f>IF($BW$136=1,     IF(OR(JY139="",'HHV-LHV-MW'!QK74="",JP139=""),"",(JY139*('HHV-LHV-MW'!QK74/100)*JP139)^2),IF(OR(JY139="",JI139="",JL139=""),"",(JY139*(JI139/100)*JL139)^2))</f>
        <v/>
      </c>
      <c r="KA139" s="638" t="str">
        <f>IF($BW$136=1,     IF(OR(JY139="",JW139="",$BD$103="",$BD$103=0,'HHV-LHV-MW'!QK74="",JP139="",$JX$145=""),"", ((JY139*((JW139*('HHV-LHV-MW'!QK74/100))/$BD$103))^2)*((JP139^2)+($JX$145^2))),              IF(OR(JY139="",JW139="",JI139="",JL139="",$JX$145="",$BD$103="",$BD$103=0),"",      ((JY139*((JW139*(JI139/100))/$BD$103))^2)*((JL139^2)+($JX$145^2))             ))</f>
        <v/>
      </c>
      <c r="KB139" s="874"/>
      <c r="KC139" s="874"/>
      <c r="KD139" s="874"/>
      <c r="KE139" s="874"/>
      <c r="KF139" s="874"/>
      <c r="KG139" s="874"/>
      <c r="KH139" s="865"/>
      <c r="KI139" s="865"/>
      <c r="KJ139" s="865"/>
      <c r="KK139" s="865"/>
      <c r="KL139" s="865"/>
      <c r="KM139" s="865"/>
      <c r="KN139" s="865"/>
      <c r="KO139" s="865"/>
      <c r="KP139" s="865"/>
      <c r="KQ139" s="865"/>
      <c r="KR139" s="865"/>
      <c r="KS139" s="865"/>
      <c r="KT139" s="865"/>
      <c r="KU139" s="865"/>
      <c r="KV139" s="865"/>
      <c r="KW139" s="865"/>
      <c r="KX139" s="865"/>
      <c r="KY139" s="865"/>
      <c r="KZ139" s="865"/>
      <c r="LA139" s="865"/>
      <c r="LB139" s="865"/>
      <c r="LC139" s="865"/>
      <c r="LD139" s="865"/>
      <c r="LE139" s="865"/>
      <c r="LF139" s="865"/>
    </row>
    <row r="140" spans="1:318" ht="19.2" thickBot="1">
      <c r="A140" s="864"/>
      <c r="B140" s="502"/>
      <c r="C140" s="502"/>
      <c r="D140" s="502"/>
      <c r="E140" s="502"/>
      <c r="F140" s="511"/>
      <c r="G140" s="864"/>
      <c r="H140" s="502"/>
      <c r="I140" s="502"/>
      <c r="J140" s="502"/>
      <c r="K140" s="502"/>
      <c r="L140" s="511"/>
      <c r="M140" s="864"/>
      <c r="N140" s="502"/>
      <c r="O140" s="502"/>
      <c r="P140" s="502"/>
      <c r="Q140" s="502"/>
      <c r="R140" s="511"/>
      <c r="S140" s="864"/>
      <c r="T140" s="502"/>
      <c r="U140" s="502"/>
      <c r="V140" s="502"/>
      <c r="W140" s="502"/>
      <c r="X140" s="511"/>
      <c r="Y140" s="864"/>
      <c r="Z140" s="502"/>
      <c r="AA140" s="502"/>
      <c r="AB140" s="502"/>
      <c r="AC140" s="502"/>
      <c r="AD140" s="511"/>
      <c r="AE140" s="864"/>
      <c r="AF140" s="502"/>
      <c r="AG140" s="502"/>
      <c r="AH140" s="502"/>
      <c r="AI140" s="502"/>
      <c r="AJ140" s="511"/>
      <c r="AK140" s="864"/>
      <c r="AL140" s="502"/>
      <c r="AM140" s="502"/>
      <c r="AN140" s="502"/>
      <c r="AO140" s="502"/>
      <c r="AP140" s="511"/>
      <c r="AQ140" s="864"/>
      <c r="AR140" s="502"/>
      <c r="AS140" s="502"/>
      <c r="AT140" s="502"/>
      <c r="AU140" s="502"/>
      <c r="AV140" s="511"/>
      <c r="AW140" s="864"/>
      <c r="AX140" s="502"/>
      <c r="AY140" s="502"/>
      <c r="AZ140" s="502"/>
      <c r="BA140" s="502"/>
      <c r="BB140" s="511"/>
      <c r="BC140" s="864"/>
      <c r="BD140" s="502"/>
      <c r="BE140" s="502"/>
      <c r="BF140" s="502"/>
      <c r="BG140" s="502"/>
      <c r="BH140" s="865"/>
      <c r="BI140" s="865"/>
      <c r="BJ140" s="1143" t="s">
        <v>1508</v>
      </c>
      <c r="BK140" s="2481"/>
      <c r="BL140" s="2481"/>
      <c r="BM140" s="2481"/>
      <c r="BN140" s="1144"/>
      <c r="BO140" s="2482" t="str">
        <f>FU143</f>
        <v/>
      </c>
      <c r="BP140" s="2483"/>
      <c r="BQ140" s="865"/>
      <c r="BR140" s="1143" t="s">
        <v>1508</v>
      </c>
      <c r="BS140" s="2481"/>
      <c r="BT140" s="2481"/>
      <c r="BU140" s="2481"/>
      <c r="BV140" s="1144"/>
      <c r="BW140" s="2482" t="str">
        <f>JV143</f>
        <v/>
      </c>
      <c r="BX140" s="2483"/>
      <c r="BY140" s="874"/>
      <c r="BZ140" s="888" t="str">
        <f>IF(A140="","",VLOOKUP(A140,'HHV-LHV-MW'!$A$3:$H$40,4,FALSE))</f>
        <v/>
      </c>
      <c r="CA140" s="889" t="str">
        <f>IF(A140="","",VLOOKUP(A140,'HHV-LHV-MW'!$A$3:$H$40,5,FALSE))</f>
        <v/>
      </c>
      <c r="CB140" s="890" t="str">
        <f>IF($BO$96="","",((PRODUCT('HHV-LHV-MW'!K75)+PRODUCT('HHV-LHV-MW'!W75)+PRODUCT('HHV-LHV-MW'!AI75)+PRODUCT('HHV-LHV-MW'!AU75))/$BO$96))</f>
        <v/>
      </c>
      <c r="CC140" s="890" t="str">
        <f>IF($BO$96="","",(IF($BO$96=1,"",  (SQRT(  (      (IF('HHV-LHV-MW'!K75="",0,('HHV-LHV-MW'!K75-CB140)^2))      +        (IF('HHV-LHV-MW'!W75="",0,('HHV-LHV-MW'!W75-CB140)^2))       +        (IF('HHV-LHV-MW'!AI75="",0,('HHV-LHV-MW'!AI75-CB140)^2))          +        (IF('HHV-LHV-MW'!AU75="",0,('HHV-LHV-MW'!AU75-CB140)^2))          )     *(1/($BO$96-1))  )))))</f>
        <v/>
      </c>
      <c r="CD140" s="890" t="str">
        <f t="shared" si="97"/>
        <v/>
      </c>
      <c r="CE140" s="890" t="str">
        <f t="shared" si="98"/>
        <v/>
      </c>
      <c r="CF140" s="636" t="str">
        <f>IF('HHV-LHV-MW'!K75="","",IF(AND('HHV-LHV-MW'!K75&gt;=0,'HHV-LHV-MW'!K75&lt;=0.09),2,  IF(AND('HHV-LHV-MW'!K75&gt;=0.1,'HHV-LHV-MW'!K75&lt;=0.9),7,  IF(AND('HHV-LHV-MW'!K75&gt;=1,'HHV-LHV-MW'!K75&lt;=4.9),10,   IF(AND('HHV-LHV-MW'!K75&gt;=5,'HHV-LHV-MW'!K75&lt;=10),12, 15)))))</f>
        <v/>
      </c>
      <c r="CG140" s="636" t="str">
        <f>IF('HHV-LHV-MW'!K75="","",5*'HHV-LHV-MW'!K75)</f>
        <v/>
      </c>
      <c r="CH140" s="635" t="str">
        <f t="shared" si="99"/>
        <v/>
      </c>
      <c r="CI140" s="636" t="str">
        <f>IF(OR(CH140="",'HHV-LHV-MW'!K75=0),"",CH140/'HHV-LHV-MW'!K75)</f>
        <v/>
      </c>
      <c r="CJ140" s="636" t="str">
        <f>IF(OR(CI140="",BZ140="",'HHV-LHV-MW'!K75=""),"",((CI140*BZ140*('HHV-LHV-MW'!K75/100))/23.685)^2)</f>
        <v/>
      </c>
      <c r="CK140" s="636" t="str">
        <f>IF(OR(CI140="",CA140="",'HHV-LHV-MW'!K75=""),"",((CI140*CA140*('HHV-LHV-MW'!K75/100))/23.685)^2)</f>
        <v/>
      </c>
      <c r="CL140" s="639" t="str">
        <f t="shared" si="100"/>
        <v/>
      </c>
      <c r="CM140" s="892" t="str">
        <f t="shared" si="101"/>
        <v/>
      </c>
      <c r="CN140" s="639" t="str">
        <f>IF(A140="","",VLOOKUP(A140,'HHV-LHV-MW'!$A$3:$H$40,7,FALSE))</f>
        <v/>
      </c>
      <c r="CO140" s="636" t="str">
        <f>IF($BO$96=1,     IF(OR(CN140="",'HHV-LHV-MW'!K75="",CI140=""),"",(CN140*('HHV-LHV-MW'!K75/100)*CI140)^2),IF(OR(CN140="",CB140="",CE140=""),"",(CN140*(CB140/100)*CE140)^2))</f>
        <v/>
      </c>
      <c r="CP140" s="635" t="str">
        <f>IF(A140="","",VLOOKUP(A140,'HHV-LHV-MW'!$A$3:$I$40,9,FALSE))</f>
        <v/>
      </c>
      <c r="CQ140" s="636" t="str">
        <f>IF($BO$96=1,     IF(OR(CP140="",'HHV-LHV-MW'!K75="",CI140=""),"",(CP140*('HHV-LHV-MW'!K75/100)*CI140)^2),IF(OR(CP140="",CB140="",CE140=""),"",(CP140*(CB140/100)*CE140)^2))</f>
        <v/>
      </c>
      <c r="CR140" s="636" t="str">
        <f>IF(A140="","",(VLOOKUP(A140,'HHV-LHV-MW'!$A$3:$F$40,6,FALSE))    )</f>
        <v/>
      </c>
      <c r="CS140" s="636" t="str">
        <f>IF($BO$96=1,     IF(OR(CR140="",'HHV-LHV-MW'!K75="",CI140=""),"",(CR140*('HHV-LHV-MW'!K75/100)*CI140)^2),IF(OR(CR140="",CB140="",CE140=""),"",(CR140*(CB140/100)*CE140)^2))</f>
        <v/>
      </c>
      <c r="CT140" s="640" t="str">
        <f>IF($BO$96=1,     IF(OR(CR140="",CP140="",$B$103="",$B$103=0,'HHV-LHV-MW'!K75="",CI140="",$CQ$145=""),"", ((CR140*((CP140*('HHV-LHV-MW'!K75/100))/$B$103))^2)*((CI140^2)+($CQ$145^2))),              IF(OR(CR140="",CP140="",CB140="",CE140="",$CQ$145="",$B$103="",$B$103=0),"",      ((CR140*((CP140*(CB140/100))/$B$103))^2)*((CE140^2)+($CQ$145^2))             ))</f>
        <v/>
      </c>
      <c r="CU140" s="889" t="str">
        <f>IF(G140="","",VLOOKUP(G140,'HHV-LHV-MW'!$A$3:$H$40,4,FALSE))</f>
        <v/>
      </c>
      <c r="CV140" s="889" t="str">
        <f>IF(G140="","",VLOOKUP(G140,'HHV-LHV-MW'!$A$3:$H$40,5,FALSE))</f>
        <v/>
      </c>
      <c r="CW140" s="890" t="str">
        <f>IF($BO$106="","",((PRODUCT('HHV-LHV-MW'!BH75)+PRODUCT('HHV-LHV-MW'!BT75)+PRODUCT('HHV-LHV-MW'!CF75)+PRODUCT('HHV-LHV-MW'!CR75))/$BO$106))</f>
        <v/>
      </c>
      <c r="CX140" s="890" t="str">
        <f>IF($BO$106="","",(IF($BO$106=1,"",  (SQRT(  (      (IF('HHV-LHV-MW'!BH75="",0,('HHV-LHV-MW'!BH75-CW140)^2))      +        (IF('HHV-LHV-MW'!BT75="",0,('HHV-LHV-MW'!BT75-CW140)^2))       +        (IF('HHV-LHV-MW'!CF75="",0,('HHV-LHV-MW'!CF75-CW140)^2))          +        (IF('HHV-LHV-MW'!CR75="",0,('HHV-LHV-MW'!CR75-CW140)^2))          )     *(1/($BO$106-1))  )))))</f>
        <v/>
      </c>
      <c r="CY140" s="890" t="str">
        <f t="shared" si="102"/>
        <v/>
      </c>
      <c r="CZ140" s="890" t="str">
        <f t="shared" si="103"/>
        <v/>
      </c>
      <c r="DA140" s="636" t="str">
        <f>IF('HHV-LHV-MW'!BH75="","",IF(AND('HHV-LHV-MW'!BH75&gt;=0,'HHV-LHV-MW'!BH75&lt;=0.09),2,  IF(AND('HHV-LHV-MW'!BH75&gt;=0.1,'HHV-LHV-MW'!BH75&lt;=0.9),7,  IF(AND('HHV-LHV-MW'!BH75&gt;=1,'HHV-LHV-MW'!BH75&lt;=4.9),10,   IF(AND('HHV-LHV-MW'!BH75&gt;=5,'HHV-LHV-MW'!BH75&lt;=10),12, 15)))))</f>
        <v/>
      </c>
      <c r="DB140" s="636" t="str">
        <f>IF('HHV-LHV-MW'!BH75="","",5*'HHV-LHV-MW'!BH75)</f>
        <v/>
      </c>
      <c r="DC140" s="635" t="str">
        <f t="shared" si="104"/>
        <v/>
      </c>
      <c r="DD140" s="636" t="str">
        <f>IF(OR(DC140="",'HHV-LHV-MW'!BH75=0),"",DC140/'HHV-LHV-MW'!BH75)</f>
        <v/>
      </c>
      <c r="DE140" s="635" t="str">
        <f>IF(OR(DD140="",CU140="",'HHV-LHV-MW'!BH75=""),"",((DD140*CU140*('HHV-LHV-MW'!BH75/100))/23.685)^2)</f>
        <v/>
      </c>
      <c r="DF140" s="636" t="str">
        <f>IF(OR(DD140="",CV140="",'HHV-LHV-MW'!BH75=""),"",((DD140*CV140*('HHV-LHV-MW'!BH75/100))/23.685)^2)</f>
        <v/>
      </c>
      <c r="DG140" s="639" t="str">
        <f t="shared" si="105"/>
        <v/>
      </c>
      <c r="DH140" s="891" t="str">
        <f t="shared" si="106"/>
        <v/>
      </c>
      <c r="DI140" s="635" t="str">
        <f>IF(G140="","",VLOOKUP(G140,'HHV-LHV-MW'!$A$3:$H$40,7,FALSE))</f>
        <v/>
      </c>
      <c r="DJ140" s="875" t="str">
        <f>IF($BO$106=1,     IF(OR(DI140="",'HHV-LHV-MW'!BH75="",DD140=""),"",(DI140*('HHV-LHV-MW'!BH75/100)*DD140)^2),IF(OR(DI140="",CW140="",CZ140=""),"",(DI140*(CW140/100)*CZ140)^2))</f>
        <v/>
      </c>
      <c r="DK140" s="635" t="str">
        <f>IF(G140="","",VLOOKUP(G140,'HHV-LHV-MW'!$A$3:$I$40,9,FALSE))</f>
        <v/>
      </c>
      <c r="DL140" s="875" t="str">
        <f>IF($BO$106=1,     IF(OR(DK140="",'HHV-LHV-MW'!BH75="",DD140=""),"",(DK140*('HHV-LHV-MW'!BH75/100)*DD140)^2),IF(OR(DK140="",CW140="",CZ140=""),"",(DK140*(CW140/100)*CZ140)^2))</f>
        <v/>
      </c>
      <c r="DM140" s="635" t="str">
        <f>IF(G140="","",(VLOOKUP(G140,'HHV-LHV-MW'!$A$3:$F$40,6,FALSE))    )</f>
        <v/>
      </c>
      <c r="DN140" s="875" t="str">
        <f>IF($BO$106=1,     IF(OR(DM140="",'HHV-LHV-MW'!BH75="",DD140=""),"",(DM140*('HHV-LHV-MW'!BH75/100)*DD140)^2),IF(OR(DM140="",CW140="",CZ140=""),"",(DM140*(CW140/100)*CZ140)^2))</f>
        <v/>
      </c>
      <c r="DO140" s="638" t="str">
        <f>IF($BO$106=1,     IF(OR(DM140="",DK140="",$H$103="",$H$103=0,'HHV-LHV-MW'!BH75="",DD140="",$DL$145=""),"", ((DM140*((DK140*('HHV-LHV-MW'!BH75/100))/$H$103))^2)*((DD140^2)+($DL$145^2))),              IF(OR(DM140="",DK140="",CW140="",CZ140="",$DL$145="",$H$103="",$H$103=0),"",      ((DM140*((DK140*(CW140/100))/$H$103))^2)*((CZ140^2)+($DL$145^2))             ))</f>
        <v/>
      </c>
      <c r="DP140" s="889" t="str">
        <f>IF(M140="","",VLOOKUP(M140,'HHV-LHV-MW'!$A$3:$H$40,4,FALSE))</f>
        <v/>
      </c>
      <c r="DQ140" s="889" t="str">
        <f>IF(M140="","",VLOOKUP(M140,'HHV-LHV-MW'!$A$3:$H$40,5,FALSE))</f>
        <v/>
      </c>
      <c r="DR140" s="890" t="str">
        <f>IF($BO$116="","",((PRODUCT('HHV-LHV-MW'!DE75)+PRODUCT('HHV-LHV-MW'!DQ75)+PRODUCT('HHV-LHV-MW'!EC75)+PRODUCT('HHV-LHV-MW'!EO75))/$BO$116))</f>
        <v/>
      </c>
      <c r="DS140" s="890" t="str">
        <f>IF($BO$116="","",(IF($BO$116=1,"",  (SQRT(  (      (IF('HHV-LHV-MW'!DE75="",0,('HHV-LHV-MW'!DE75-DR140)^2))      +        (IF('HHV-LHV-MW'!DQ75="",0,('HHV-LHV-MW'!DQ75-DR140)^2))       +        (IF('HHV-LHV-MW'!EC75="",0,('HHV-LHV-MW'!EC75-DR140)^2))          +        (IF('HHV-LHV-MW'!EO75="",0,('HHV-LHV-MW'!EO75-DR140)^2))          )     *(1/($BO$116-1))  )))))</f>
        <v/>
      </c>
      <c r="DT140" s="890" t="str">
        <f t="shared" si="107"/>
        <v/>
      </c>
      <c r="DU140" s="890" t="str">
        <f t="shared" si="108"/>
        <v/>
      </c>
      <c r="DV140" s="636" t="str">
        <f>IF('HHV-LHV-MW'!DE75="","",IF(AND('HHV-LHV-MW'!DE75&gt;=0,'HHV-LHV-MW'!DE75&lt;=0.09),2,  IF(AND('HHV-LHV-MW'!DE75&gt;=0.1,'HHV-LHV-MW'!DE75&lt;=0.9),7,  IF(AND('HHV-LHV-MW'!DE75&gt;=1,'HHV-LHV-MW'!DE75&lt;=4.9),10,   IF(AND('HHV-LHV-MW'!DE75&gt;=5,'HHV-LHV-MW'!DE75&lt;=10),12, 15)))))</f>
        <v/>
      </c>
      <c r="DW140" s="636" t="str">
        <f>IF('HHV-LHV-MW'!DE75="","",5*'HHV-LHV-MW'!DE75)</f>
        <v/>
      </c>
      <c r="DX140" s="635" t="str">
        <f t="shared" si="109"/>
        <v/>
      </c>
      <c r="DY140" s="636" t="str">
        <f>IF(OR(DX140="",'HHV-LHV-MW'!DE75=0),"",DX140/'HHV-LHV-MW'!DE75)</f>
        <v/>
      </c>
      <c r="DZ140" s="636" t="str">
        <f>IF(OR(DY140="",DP140="",'HHV-LHV-MW'!DE75=""),"",((DY140*DP140*('HHV-LHV-MW'!DE75/100))/23.685)^2)</f>
        <v/>
      </c>
      <c r="EA140" s="636" t="str">
        <f>IF(OR(DY140="",DQ140="",'HHV-LHV-MW'!DE75=""),"",((DY140*DQ140*('HHV-LHV-MW'!DE75/100))/23.685)^2)</f>
        <v/>
      </c>
      <c r="EB140" s="639" t="str">
        <f t="shared" si="110"/>
        <v/>
      </c>
      <c r="EC140" s="891" t="str">
        <f t="shared" si="111"/>
        <v/>
      </c>
      <c r="ED140" s="643" t="str">
        <f>IF(M140="","",VLOOKUP(M140,'HHV-LHV-MW'!$A$3:$H$40,7,FALSE))</f>
        <v/>
      </c>
      <c r="EE140" s="875" t="str">
        <f>IF($BO$116=1,     IF(OR(ED140="",'HHV-LHV-MW'!DE75="",DY140=""),"",(ED140*('HHV-LHV-MW'!DE75/100)*DY140)^2),IF(OR(ED140="",DR140="",DU140=""),"",(ED140*(DR140/100)*DU140)^2))</f>
        <v/>
      </c>
      <c r="EF140" s="635" t="str">
        <f>IF(M140="","",VLOOKUP(M140,'HHV-LHV-MW'!$A$3:$I$40,9,FALSE))</f>
        <v/>
      </c>
      <c r="EG140" s="875" t="str">
        <f>IF($BO$116=1,     IF(OR(EF140="",'HHV-LHV-MW'!DE75="",DY140=""),"",(EF140*('HHV-LHV-MW'!DE75/100)*DY140)^2),IF(OR(EF140="",DR140="",DU140=""),"",(EF140*(DR140/100)*DU140)^2))</f>
        <v/>
      </c>
      <c r="EH140" s="635" t="str">
        <f>IF(M140="","",(VLOOKUP(M140,'HHV-LHV-MW'!$A$3:$F$40,6,FALSE))    )</f>
        <v/>
      </c>
      <c r="EI140" s="875" t="str">
        <f>IF($BO$116=1,     IF(OR(EH140="",'HHV-LHV-MW'!DE75="",DY140=""),"",(EH140*('HHV-LHV-MW'!DE75/100)*DY140)^2),IF(OR(EH140="",DR140="",DU140=""),"",(EH140*(DR140/100)*DU140)^2))</f>
        <v/>
      </c>
      <c r="EJ140" s="638" t="str">
        <f>IF($BO$116=1,     IF(OR(EH140="",EF140="",$N$103="",$N$103=0,'HHV-LHV-MW'!DE75="",DY140="",$EG$145=""),"", ((EH140*((EF140*('HHV-LHV-MW'!DE75/100))/$N$103))^2)*((DY140^2)+($EG$145^2))),              IF(OR(EH140="",EF140="",DR140="",DU140="",$EG$145="",$N$103="",$N$103=0),"",      ((EH140*((EF140*(DR140/100))/$N$103))^2)*((DU140^2)+($EG$145^2))             ))</f>
        <v/>
      </c>
      <c r="EK140" s="889" t="str">
        <f>IF(S140="","",VLOOKUP(S140,'HHV-LHV-MW'!$A$3:$H$40,4,FALSE))</f>
        <v/>
      </c>
      <c r="EL140" s="889" t="str">
        <f>IF(S140="","",VLOOKUP(S140,'HHV-LHV-MW'!$A$3:$H$40,5,FALSE))</f>
        <v/>
      </c>
      <c r="EM140" s="890" t="str">
        <f>IF($BO$126="","",((PRODUCT('HHV-LHV-MW'!FB75)+PRODUCT('HHV-LHV-MW'!FN75)+PRODUCT('HHV-LHV-MW'!FZ75)+PRODUCT('HHV-LHV-MW'!GL75))/$BO$126))</f>
        <v/>
      </c>
      <c r="EN140" s="890" t="str">
        <f>IF($BO$126="","",(IF($BO$126=1,"",  (SQRT(  (      (IF('HHV-LHV-MW'!FB75="",0,('HHV-LHV-MW'!FB75-EM140)^2))      +        (IF('HHV-LHV-MW'!FN75="",0,('HHV-LHV-MW'!FN75-EM140)^2))       +        (IF('HHV-LHV-MW'!FZ75="",0,('HHV-LHV-MW'!FZ75-EM140)^2))          +        (IF('HHV-LHV-MW'!GL75="",0,('HHV-LHV-MW'!GL75-EM140)^2))          )     *(1/($BO$126-1))  )))))</f>
        <v/>
      </c>
      <c r="EO140" s="890" t="str">
        <f t="shared" si="112"/>
        <v/>
      </c>
      <c r="EP140" s="890" t="str">
        <f t="shared" si="113"/>
        <v/>
      </c>
      <c r="EQ140" s="636" t="str">
        <f>IF('HHV-LHV-MW'!FB75="","",IF(AND('HHV-LHV-MW'!FB75&gt;=0,'HHV-LHV-MW'!FB75&lt;=0.09),2,  IF(AND('HHV-LHV-MW'!FB75&gt;=0.1,'HHV-LHV-MW'!FB75&lt;=0.9),7,  IF(AND('HHV-LHV-MW'!FB75&gt;=1,'HHV-LHV-MW'!FB75&lt;=4.9),10,   IF(AND('HHV-LHV-MW'!FB75&gt;=5,'HHV-LHV-MW'!FB75&lt;=10),12, 15)))))</f>
        <v/>
      </c>
      <c r="ER140" s="636" t="str">
        <f>IF('HHV-LHV-MW'!FB75="","",5*'HHV-LHV-MW'!FB75)</f>
        <v/>
      </c>
      <c r="ES140" s="635" t="str">
        <f t="shared" si="114"/>
        <v/>
      </c>
      <c r="ET140" s="636" t="str">
        <f>IF(OR(ES140="",'HHV-LHV-MW'!FB75=0),"",ES140/'HHV-LHV-MW'!FB75)</f>
        <v/>
      </c>
      <c r="EU140" s="636" t="str">
        <f>IF(OR(ET140="",EK140="",'HHV-LHV-MW'!FB75=""),"",((ET140*EK140*('HHV-LHV-MW'!FB75/100))/23.685)^2)</f>
        <v/>
      </c>
      <c r="EV140" s="636" t="str">
        <f>IF(OR(ET140="",EL140="",'HHV-LHV-MW'!FB75=""),"",((ET140*EL140*('HHV-LHV-MW'!FB75/100))/23.685)^2)</f>
        <v/>
      </c>
      <c r="EW140" s="639" t="str">
        <f t="shared" si="115"/>
        <v/>
      </c>
      <c r="EX140" s="891" t="str">
        <f t="shared" si="116"/>
        <v/>
      </c>
      <c r="EY140" s="643" t="str">
        <f>IF(S140="","",VLOOKUP(S140,'HHV-LHV-MW'!$A$3:$H$40,7,FALSE))</f>
        <v/>
      </c>
      <c r="EZ140" s="875" t="str">
        <f>IF($BO$126=1,     IF(OR(EY140="",'HHV-LHV-MW'!FB75="",ET140=""),"",(EY140*('HHV-LHV-MW'!FB75/100)*ET140)^2),IF(OR(EY140="",EM140="",EP140=""),"",(EY140*(EM140/100)*EP140)^2))</f>
        <v/>
      </c>
      <c r="FA140" s="635" t="str">
        <f>IF(S140="","",VLOOKUP(S140,'HHV-LHV-MW'!$A$3:$I$40,9,FALSE))</f>
        <v/>
      </c>
      <c r="FB140" s="875" t="str">
        <f>IF($BO$126=1,     IF(OR(FA140="",'HHV-LHV-MW'!FB75="",ET140=""),"",(FA140*('HHV-LHV-MW'!FB75/100)*ET140)^2),IF(OR(FA140="",EM140="",EP140=""),"",(FA140*(EM140/100)*EP140)^2))</f>
        <v/>
      </c>
      <c r="FC140" s="635" t="str">
        <f>IF(S140="","",(VLOOKUP(S140,'HHV-LHV-MW'!$A$3:$F$40,6,FALSE))    )</f>
        <v/>
      </c>
      <c r="FD140" s="875" t="str">
        <f>IF($BO$126=1,     IF(OR(FC140="",'HHV-LHV-MW'!FB75="",ET140=""),"",(FC140*('HHV-LHV-MW'!FB75/100)*ET140)^2),IF(OR(FC140="",EM140="",EP140=""),"",(FC140*(EM140/100)*EP140)^2))</f>
        <v/>
      </c>
      <c r="FE140" s="638" t="str">
        <f>IF($BO$126=1,     IF(OR(FC140="",FA140="",$T$103="",$T$103=0,'HHV-LHV-MW'!FB75="",ET140="",$FB$145=""),"", ((FC140*((FA140*('HHV-LHV-MW'!FB75/100))/$T$103))^2)*((ET140^2)+($FB$145^2))),              IF(OR(FC140="",FA140="",EM140="",EP140="",$FB$145="",$T$103="",$T$103=0),"",      ((FC140*((FA140*(EM140/100))/$T$103))^2)*((EP140^2)+($FB$145^2))             ))</f>
        <v/>
      </c>
      <c r="FF140" s="889" t="str">
        <f>IF(Y140="","",VLOOKUP(Y140,'HHV-LHV-MW'!$A$3:$H$40,4,FALSE))</f>
        <v/>
      </c>
      <c r="FG140" s="889" t="str">
        <f>IF(Y140="","",VLOOKUP(Y140,'HHV-LHV-MW'!$A$3:$H$40,5,FALSE))</f>
        <v/>
      </c>
      <c r="FH140" s="890" t="str">
        <f>IF($BO$136="","",((PRODUCT('HHV-LHV-MW'!GY75)+PRODUCT('HHV-LHV-MW'!HK75)+PRODUCT('HHV-LHV-MW'!HW75)+PRODUCT('HHV-LHV-MW'!II75))/$BO$136))</f>
        <v/>
      </c>
      <c r="FI140" s="890" t="str">
        <f>IF($BO$136="","",(IF($BO$136=1,"",  (SQRT(  (      (IF('HHV-LHV-MW'!GY75="",0,('HHV-LHV-MW'!GY75-FH140)^2))      +        (IF('HHV-LHV-MW'!HK75="",0,('HHV-LHV-MW'!HK75-FH140)^2))       +        (IF('HHV-LHV-MW'!HW75="",0,('HHV-LHV-MW'!HW75-FH140)^2))          +        (IF('HHV-LHV-MW'!II75="",0,('HHV-LHV-MW'!II75-FH140)^2))          )     *(1/($BO$136-1))  )))))</f>
        <v/>
      </c>
      <c r="FJ140" s="890" t="str">
        <f t="shared" si="117"/>
        <v/>
      </c>
      <c r="FK140" s="890" t="str">
        <f t="shared" si="118"/>
        <v/>
      </c>
      <c r="FL140" s="636" t="str">
        <f>IF('HHV-LHV-MW'!GY75="","",IF(AND('HHV-LHV-MW'!GY75&gt;=0,'HHV-LHV-MW'!GY75&lt;=0.09),2,  IF(AND('HHV-LHV-MW'!GY75&gt;=0.1,'HHV-LHV-MW'!GY75&lt;=0.9),7,  IF(AND('HHV-LHV-MW'!GY75&gt;=1,'HHV-LHV-MW'!GY75&lt;=4.9),10,   IF(AND('HHV-LHV-MW'!GY75&gt;=5,'HHV-LHV-MW'!GY75&lt;=10),12, 15)))))</f>
        <v/>
      </c>
      <c r="FM140" s="636" t="str">
        <f>IF('HHV-LHV-MW'!GY75="","",5*'HHV-LHV-MW'!GY75)</f>
        <v/>
      </c>
      <c r="FN140" s="635" t="str">
        <f t="shared" si="119"/>
        <v/>
      </c>
      <c r="FO140" s="636" t="str">
        <f>IF(OR(FN140="",'HHV-LHV-MW'!GY75=0),"",FN140/'HHV-LHV-MW'!GY75)</f>
        <v/>
      </c>
      <c r="FP140" s="636" t="str">
        <f>IF(OR(FO140="",FF140="",'HHV-LHV-MW'!GY75=""),"",((FO140*FF140*('HHV-LHV-MW'!GY75/100))/23.685)^2)</f>
        <v/>
      </c>
      <c r="FQ140" s="636" t="str">
        <f>IF(OR(FO140="",FG140="",'HHV-LHV-MW'!GY75=""),"",((FO140*FG140*('HHV-LHV-MW'!GY75/100))/23.685)^2)</f>
        <v/>
      </c>
      <c r="FR140" s="639" t="str">
        <f t="shared" si="120"/>
        <v/>
      </c>
      <c r="FS140" s="891" t="str">
        <f t="shared" si="121"/>
        <v/>
      </c>
      <c r="FT140" s="643" t="str">
        <f>IF(Y140="","",VLOOKUP(Y140,'HHV-LHV-MW'!$A$3:$H$40,7,FALSE))</f>
        <v/>
      </c>
      <c r="FU140" s="875" t="str">
        <f>IF($BO$136=1,     IF(OR(FT140="",'HHV-LHV-MW'!GY75="",FO140=""),"",(FT140*('HHV-LHV-MW'!GY75/100)*FO140)^2),IF(OR(FT140="",FH140="",FK140=""),"",(FT140*(FH140/100)*FK140)^2))</f>
        <v/>
      </c>
      <c r="FV140" s="635" t="str">
        <f>IF(Y140="","",VLOOKUP(Y140,'HHV-LHV-MW'!$A$3:$I$40,9,FALSE))</f>
        <v/>
      </c>
      <c r="FW140" s="875" t="str">
        <f>IF($BO$136=1,     IF(OR(FV140="",'HHV-LHV-MW'!GY75="",FO140=""),"",(FV140*('HHV-LHV-MW'!GY75/100)*FO140)^2),IF(OR(FV140="",FH140="",FK140=""),"",(FV140*(FH140/100)*FK140)^2))</f>
        <v/>
      </c>
      <c r="FX140" s="635" t="str">
        <f>IF(Y140="","",(VLOOKUP(Y140,'HHV-LHV-MW'!$A$3:$F$40,6,FALSE))    )</f>
        <v/>
      </c>
      <c r="FY140" s="875" t="str">
        <f>IF($BO$136=1,     IF(OR(FX140="",'HHV-LHV-MW'!GY75="",FO140=""),"",(FX140*('HHV-LHV-MW'!GY75/100)*FO140)^2),IF(OR(FX140="",FH140="",FK140=""),"",(FX140*(FH140/100)*FK140)^2))</f>
        <v/>
      </c>
      <c r="FZ140" s="638" t="str">
        <f>IF($BO$136=1,     IF(OR(FX140="",FV140="",$Z$103="",$Z$103=0,'HHV-LHV-MW'!GY75="",FO140="",$FW$145=""),"", ((FX140*((FV140*('HHV-LHV-MW'!GY75/100))/$Z$103))^2)*((FO140^2)+($FW$145^2))),              IF(OR(FX140="",FV140="",FH140="",FK140="",$FW$145="",$Z$103="",$Z$103=0),"",      ((FX140*((FV140*(FH140/100))/$Z$103))^2)*((FK140^2)+($FW$145^2))             ))</f>
        <v/>
      </c>
      <c r="GA140" s="889" t="str">
        <f>IF(AE140="","",VLOOKUP(AE140,'HHV-LHV-MW'!$A$3:$H$40,4,FALSE))</f>
        <v/>
      </c>
      <c r="GB140" s="889" t="str">
        <f>IF(AE140="","",VLOOKUP(AE140,'HHV-LHV-MW'!$A$3:$H$40,5,FALSE))</f>
        <v/>
      </c>
      <c r="GC140" s="890" t="str">
        <f>IF($BW$96="","",((PRODUCT('HHV-LHV-MW'!IV75)+PRODUCT('HHV-LHV-MW'!JH75)+PRODUCT('HHV-LHV-MW'!JT75)+PRODUCT('HHV-LHV-MW'!KF75))/$BW$96))</f>
        <v/>
      </c>
      <c r="GD140" s="890" t="str">
        <f>IF($BW$96="","",(IF($BW$96=1,"",  (SQRT(  (      (IF('HHV-LHV-MW'!IV75="",0,('HHV-LHV-MW'!IV75-GC140)^2))      +        (IF('HHV-LHV-MW'!JH75="",0,('HHV-LHV-MW'!JH75-GC140)^2))       +        (IF('HHV-LHV-MW'!JT75="",0,('HHV-LHV-MW'!JT75-GC140)^2))          +        (IF('HHV-LHV-MW'!KF75="",0,('HHV-LHV-MW'!KF75-GC140)^2))          )     *(1/($BW$96-1))  )))))</f>
        <v/>
      </c>
      <c r="GE140" s="890" t="str">
        <f t="shared" si="122"/>
        <v/>
      </c>
      <c r="GF140" s="890" t="str">
        <f t="shared" si="123"/>
        <v/>
      </c>
      <c r="GG140" s="636" t="str">
        <f>IF('HHV-LHV-MW'!IV75="","",IF(AND('HHV-LHV-MW'!IV75&gt;=0,'HHV-LHV-MW'!IV75&lt;=0.09),2,  IF(AND('HHV-LHV-MW'!IV75&gt;=0.1,'HHV-LHV-MW'!IV75&lt;=0.9),7,  IF(AND('HHV-LHV-MW'!IV75&gt;=1,'HHV-LHV-MW'!IV75&lt;=4.9),10,   IF(AND('HHV-LHV-MW'!IV75&gt;=5,'HHV-LHV-MW'!IV75&lt;=10),12, 15)))))</f>
        <v/>
      </c>
      <c r="GH140" s="636" t="str">
        <f>IF('HHV-LHV-MW'!IV75="","",5*'HHV-LHV-MW'!IV75)</f>
        <v/>
      </c>
      <c r="GI140" s="635" t="str">
        <f t="shared" si="124"/>
        <v/>
      </c>
      <c r="GJ140" s="636" t="str">
        <f>IF(OR(GI140="",'HHV-LHV-MW'!IV75=0),"",GI140/'HHV-LHV-MW'!IV75)</f>
        <v/>
      </c>
      <c r="GK140" s="636" t="str">
        <f>IF(OR(GJ140="",GA140="",'HHV-LHV-MW'!IV75=""),"",((GJ140*GA140*('HHV-LHV-MW'!IV75/100))/23.685)^2)</f>
        <v/>
      </c>
      <c r="GL140" s="636" t="str">
        <f>IF(OR(GJ140="",GB140="",'HHV-LHV-MW'!IV75=""),"",((GJ140*GB140*('HHV-LHV-MW'!IV75/100))/23.685)^2)</f>
        <v/>
      </c>
      <c r="GM140" s="639" t="str">
        <f t="shared" si="125"/>
        <v/>
      </c>
      <c r="GN140" s="891" t="str">
        <f t="shared" si="126"/>
        <v/>
      </c>
      <c r="GO140" s="643" t="str">
        <f>IF(AE140="","",VLOOKUP(AE140,'HHV-LHV-MW'!$A$3:$H$40,7,FALSE))</f>
        <v/>
      </c>
      <c r="GP140" s="875" t="str">
        <f>IF($BW$96=1,     IF(OR(GO140="",'HHV-LHV-MW'!IV75="",GJ140=""),"",(GO140*('HHV-LHV-MW'!IV75/100)*GJ140)^2),IF(OR(GO140="",GC140="",GF140=""),"",(GO140*(GC140/100)*GF140)^2))</f>
        <v/>
      </c>
      <c r="GQ140" s="635" t="str">
        <f>IF(AE140="","",VLOOKUP(AE140,'HHV-LHV-MW'!$A$3:$I$40,9,FALSE))</f>
        <v/>
      </c>
      <c r="GR140" s="875" t="str">
        <f>IF($BW$96=1,     IF(OR(GQ140="",'HHV-LHV-MW'!IV75="",GJ140=""),"",(GQ140*('HHV-LHV-MW'!IV75/100)*GJ140)^2),IF(OR(GQ140="",GC140="",GF140=""),"",(GQ140*(GC140/100)*GF140)^2))</f>
        <v/>
      </c>
      <c r="GS140" s="635" t="str">
        <f>IF(AE140="","",(VLOOKUP(AE140,'HHV-LHV-MW'!$A$3:$F$40,6,FALSE))    )</f>
        <v/>
      </c>
      <c r="GT140" s="875" t="str">
        <f>IF($BW$96=1,     IF(OR(GS140="",'HHV-LHV-MW'!IV75="",GJ140=""),"",(GS140*('HHV-LHV-MW'!IV75/100)*GJ140)^2),IF(OR(GS140="",GC140="",GF140=""),"",(GS140*(GC140/100)*GF140)^2))</f>
        <v/>
      </c>
      <c r="GU140" s="638" t="str">
        <f>IF($BW$96=1,     IF(OR(GS140="",GQ140="",$AF$103="",$AF$103=0,'HHV-LHV-MW'!IV75="",GJ140="",$GR$145=""),"", ((GS140*((GQ140*('HHV-LHV-MW'!IV75/100))/$AF$103))^2)*((GJ140^2)+($GR$145^2))),              IF(OR(GS140="",GQ140="",GC140="",GF140="",$GR$145="",$AF$103="",$AF$103=0),"",      ((GS140*((GQ140*(GC140/100))/$AF$103))^2)*((GF140^2)+($GR$145^2))             ))</f>
        <v/>
      </c>
      <c r="GV140" s="889" t="str">
        <f>IF(AK140="","",VLOOKUP(AK140,'HHV-LHV-MW'!$A$3:$H$40,4,FALSE))</f>
        <v/>
      </c>
      <c r="GW140" s="889" t="str">
        <f>IF(AK140="","",VLOOKUP(AK140,'HHV-LHV-MW'!$A$3:$H$40,5,FALSE))</f>
        <v/>
      </c>
      <c r="GX140" s="890" t="str">
        <f>IF($BW$106="","",((PRODUCT('HHV-LHV-MW'!KS75)+PRODUCT('HHV-LHV-MW'!LE75)+PRODUCT('HHV-LHV-MW'!LQ75)+PRODUCT('HHV-LHV-MW'!MC75))/$BW$106))</f>
        <v/>
      </c>
      <c r="GY140" s="890" t="str">
        <f>IF($BW$106="","",(IF($BW$106=1,"",  (SQRT(  (      (IF('HHV-LHV-MW'!KS75="",0,('HHV-LHV-MW'!KS75-GX140)^2))      +        (IF('HHV-LHV-MW'!LE75="",0,('HHV-LHV-MW'!LE75-GX140)^2))       +        (IF('HHV-LHV-MW'!LQ75="",0,('HHV-LHV-MW'!LQ75-GX140)^2))          +        (IF('HHV-LHV-MW'!MC75="",0,('HHV-LHV-MW'!MC75-GX140)^2))          )     *(1/($BW$106-1))  )))))</f>
        <v/>
      </c>
      <c r="GZ140" s="890" t="str">
        <f t="shared" si="127"/>
        <v/>
      </c>
      <c r="HA140" s="890" t="str">
        <f t="shared" si="128"/>
        <v/>
      </c>
      <c r="HB140" s="636" t="str">
        <f>IF('HHV-LHV-MW'!KS75="","",IF(AND('HHV-LHV-MW'!KS75&gt;=0,'HHV-LHV-MW'!KS75&lt;=0.09),2,  IF(AND('HHV-LHV-MW'!KS75&gt;=0.1,'HHV-LHV-MW'!KS75&lt;=0.9),7,  IF(AND('HHV-LHV-MW'!KS75&gt;=1,'HHV-LHV-MW'!KS75&lt;=4.9),10,   IF(AND('HHV-LHV-MW'!KS75&gt;=5,'HHV-LHV-MW'!KS75&lt;=10),12, 15)))))</f>
        <v/>
      </c>
      <c r="HC140" s="636" t="str">
        <f>IF('HHV-LHV-MW'!KS75="","",5*'HHV-LHV-MW'!KS75)</f>
        <v/>
      </c>
      <c r="HD140" s="635" t="str">
        <f t="shared" si="129"/>
        <v/>
      </c>
      <c r="HE140" s="636" t="str">
        <f>IF(OR(HD140="",'HHV-LHV-MW'!KS75=0),"",HD140/'HHV-LHV-MW'!KS75)</f>
        <v/>
      </c>
      <c r="HF140" s="636" t="str">
        <f>IF(OR(HE140="",GV140="",'HHV-LHV-MW'!KS75=""),"",((HE140*GV140*('HHV-LHV-MW'!KS75/100))/23.685)^2)</f>
        <v/>
      </c>
      <c r="HG140" s="636" t="str">
        <f>IF(OR(HE140="",GW140="",'HHV-LHV-MW'!KS75=""),"",((HE140*GW140*('HHV-LHV-MW'!KS75/100))/23.685)^2)</f>
        <v/>
      </c>
      <c r="HH140" s="639" t="str">
        <f t="shared" si="130"/>
        <v/>
      </c>
      <c r="HI140" s="891" t="str">
        <f t="shared" si="131"/>
        <v/>
      </c>
      <c r="HJ140" s="643" t="str">
        <f>IF(AK140="","",VLOOKUP(AK140,'HHV-LHV-MW'!$A$3:$H$40,7,FALSE))</f>
        <v/>
      </c>
      <c r="HK140" s="875" t="str">
        <f>IF($BW$106=1,     IF(OR(HJ140="",'HHV-LHV-MW'!KS75="",HE140=""),"",(HJ140*('HHV-LHV-MW'!KS75/100)*HE140)^2),IF(OR(HJ140="",GX140="",HA140=""),"",(HJ140*(GX140/100)*HA140)^2))</f>
        <v/>
      </c>
      <c r="HL140" s="635" t="str">
        <f>IF(AK140="","",VLOOKUP(AK140,'HHV-LHV-MW'!$A$3:$I$40,9,FALSE))</f>
        <v/>
      </c>
      <c r="HM140" s="875" t="str">
        <f>IF($BW$106=1,     IF(OR(HL140="",'HHV-LHV-MW'!KS75="",HE140=""),"",(HL140*('HHV-LHV-MW'!KS75/100)*HE140)^2),IF(OR(HL140="",GX140="",HA140=""),"",(HL140*(GX140/100)*HA140)^2))</f>
        <v/>
      </c>
      <c r="HN140" s="635" t="str">
        <f>IF(AK140="","",(VLOOKUP(AK140,'HHV-LHV-MW'!$A$3:$F$40,6,FALSE))    )</f>
        <v/>
      </c>
      <c r="HO140" s="875" t="str">
        <f>IF($BW$106=1,     IF(OR(HN140="",'HHV-LHV-MW'!KS75="",HE140=""),"",(HN140*('HHV-LHV-MW'!KS75/100)*HE140)^2),IF(OR(HN140="",GX140="",HA140=""),"",(HN140*(GX140/100)*HA140)^2))</f>
        <v/>
      </c>
      <c r="HP140" s="638" t="str">
        <f>IF($BW$106=1,     IF(OR(HN140="",HL140="",$AL$103="",$AL$103=0,'HHV-LHV-MW'!KS75="",HE140="",$HM$145=""),"", ((HN140*((HL140*('HHV-LHV-MW'!KS75/100))/$AL$103))^2)*((HE140^2)+($HM$145^2))),              IF(OR(HN140="",HL140="",GX140="",HA140="",$HM$145="",$AL$103="",$AL$103=0),"",      ((HN140*((HL140*(GX140/100))/$AL$103))^2)*((HA140^2)+($HM$145^2))             ))</f>
        <v/>
      </c>
      <c r="HQ140" s="889" t="str">
        <f>IF(AQ140="","",VLOOKUP(AQ140,'HHV-LHV-MW'!$A$3:$H$40,4,FALSE))</f>
        <v/>
      </c>
      <c r="HR140" s="889" t="str">
        <f>IF(AQ140="","",VLOOKUP(AQ140,'HHV-LHV-MW'!$A$3:$H$40,5,FALSE))</f>
        <v/>
      </c>
      <c r="HS140" s="890" t="str">
        <f>IF($BW$116="","",((PRODUCT('HHV-LHV-MW'!MP75)+PRODUCT('HHV-LHV-MW'!NB75)+PRODUCT('HHV-LHV-MW'!NN75)+PRODUCT('HHV-LHV-MW'!NZ75))/$BW$116))</f>
        <v/>
      </c>
      <c r="HT140" s="890" t="str">
        <f>IF($BW$116="","",(IF($BW$116=1,"",  (SQRT(  (      (IF('HHV-LHV-MW'!MP75="",0,('HHV-LHV-MW'!MP75-HS140)^2))      +        (IF('HHV-LHV-MW'!NB75="",0,('HHV-LHV-MW'!NB75-HS140)^2))       +        (IF('HHV-LHV-MW'!NN75="",0,('HHV-LHV-MW'!NN75-HS140)^2))          +        (IF('HHV-LHV-MW'!NZ75="",0,('HHV-LHV-MW'!NZ75-HS140)^2))          )     *(1/($BW$116-1))  )))))</f>
        <v/>
      </c>
      <c r="HU140" s="890" t="str">
        <f t="shared" si="132"/>
        <v/>
      </c>
      <c r="HV140" s="890" t="str">
        <f t="shared" si="133"/>
        <v/>
      </c>
      <c r="HW140" s="636" t="str">
        <f>IF('HHV-LHV-MW'!MP75="","",IF(AND('HHV-LHV-MW'!MP75&gt;=0,'HHV-LHV-MW'!MP75&lt;=0.09),2,  IF(AND('HHV-LHV-MW'!MP75&gt;=0.1,'HHV-LHV-MW'!MP75&lt;=0.9),7,  IF(AND('HHV-LHV-MW'!MP75&gt;=1,'HHV-LHV-MW'!MP75&lt;=4.9),10,   IF(AND('HHV-LHV-MW'!MP75&gt;=5,'HHV-LHV-MW'!MP75&lt;=10),12, 15)))))</f>
        <v/>
      </c>
      <c r="HX140" s="636" t="str">
        <f>IF('HHV-LHV-MW'!MP75="","",5*'HHV-LHV-MW'!MP75)</f>
        <v/>
      </c>
      <c r="HY140" s="635" t="str">
        <f t="shared" si="134"/>
        <v/>
      </c>
      <c r="HZ140" s="636" t="str">
        <f>IF(OR(HY140="",'HHV-LHV-MW'!MP75=0),"",HY140/'HHV-LHV-MW'!MP75)</f>
        <v/>
      </c>
      <c r="IA140" s="636" t="str">
        <f>IF(OR(HZ140="",HQ140="",'HHV-LHV-MW'!MP75=""),"",((HZ140*HQ140*('HHV-LHV-MW'!MP75/100))/23.685)^2)</f>
        <v/>
      </c>
      <c r="IB140" s="636" t="str">
        <f>IF(OR(HZ140="",HR140="",'HHV-LHV-MW'!MP75=""),"",((HZ140*HR140*('HHV-LHV-MW'!MP75/100))/23.685)^2)</f>
        <v/>
      </c>
      <c r="IC140" s="639" t="str">
        <f t="shared" si="135"/>
        <v/>
      </c>
      <c r="ID140" s="891" t="str">
        <f t="shared" si="136"/>
        <v/>
      </c>
      <c r="IE140" s="643" t="str">
        <f>IF(AQ140="","",VLOOKUP(AQ140,'HHV-LHV-MW'!$A$3:$H$40,7,FALSE))</f>
        <v/>
      </c>
      <c r="IF140" s="875" t="str">
        <f>IF($BW$116=1,     IF(OR(IE140="",'HHV-LHV-MW'!MP75="",HZ140=""),"",(IE140*('HHV-LHV-MW'!MP75/100)*HZ140)^2),IF(OR(IE140="",HS140="",HV140=""),"",(IE140*(HS140/100)*HV140)^2))</f>
        <v/>
      </c>
      <c r="IG140" s="635" t="str">
        <f>IF(AQ140="","",VLOOKUP(AQ140,'HHV-LHV-MW'!$A$3:$I$40,9,FALSE))</f>
        <v/>
      </c>
      <c r="IH140" s="875" t="str">
        <f>IF($BW$116=1,     IF(OR(IG140="",'HHV-LHV-MW'!MP75="",HZ140=""),"",(IG140*('HHV-LHV-MW'!MP75/100)*HZ140)^2),IF(OR(IG140="",HS140="",HV140=""),"",(IG140*(HS140/100)*HV140)^2))</f>
        <v/>
      </c>
      <c r="II140" s="635" t="str">
        <f>IF(AQ140="","",(VLOOKUP(AQ140,'HHV-LHV-MW'!$A$3:$F$40,6,FALSE))    )</f>
        <v/>
      </c>
      <c r="IJ140" s="875" t="str">
        <f>IF($BW$116=1,     IF(OR(II140="",'HHV-LHV-MW'!MP75="",HZ140=""),"",(II140*('HHV-LHV-MW'!MP75/100)*HZ140)^2),IF(OR(II140="",HS140="",HV140=""),"",(II140*(HS140/100)*HV140)^2))</f>
        <v/>
      </c>
      <c r="IK140" s="638" t="str">
        <f>IF($BW$116=1,     IF(OR(II140="",IG140="",$AR$103="",$AR$103=0,'HHV-LHV-MW'!MP75="",HZ140="",$IH$145=""),"", ((II140*((IG140*('HHV-LHV-MW'!MP75/100))/$AR$103))^2)*((HZ140^2)+($IH$145^2))),              IF(OR(II140="",IG140="",HS140="",HV140="",$IH$145="",$AR$103="",$AR$103=0),"",      ((II140*((IG140*(HS140/100))/$AR$103))^2)*((HV140^2)+($IH$145^2))             ))</f>
        <v/>
      </c>
      <c r="IL140" s="889" t="str">
        <f>IF(AW140="","",VLOOKUP(AW140,'HHV-LHV-MW'!$A$3:$H$40,4,FALSE))</f>
        <v/>
      </c>
      <c r="IM140" s="889" t="str">
        <f>IF(AW140="","",VLOOKUP(AW140,'HHV-LHV-MW'!$A$3:$H$40,5,FALSE))</f>
        <v/>
      </c>
      <c r="IN140" s="890" t="str">
        <f>IF($BW$126="","",((PRODUCT('HHV-LHV-MW'!ON75)+PRODUCT('HHV-LHV-MW'!OZ75)+PRODUCT('HHV-LHV-MW'!PL75)+PRODUCT('HHV-LHV-MW'!PX75))/$BW$126))</f>
        <v/>
      </c>
      <c r="IO140" s="890" t="str">
        <f>IF($BW$126="","",(IF($BW$126=1,"",  (SQRT(  (      (IF('HHV-LHV-MW'!ON75="",0,('HHV-LHV-MW'!ON75-IN140)^2))      +        (IF('HHV-LHV-MW'!OZ75="",0,('HHV-LHV-MW'!OZ75-IN140)^2))       +        (IF('HHV-LHV-MW'!PL75="",0,('HHV-LHV-MW'!PL75-IN140)^2))          +        (IF('HHV-LHV-MW'!PX75="",0,('HHV-LHV-MW'!PX75-IN140)^2))          )     *(1/($BW$126-1))  )))))</f>
        <v/>
      </c>
      <c r="IP140" s="890" t="str">
        <f t="shared" si="137"/>
        <v/>
      </c>
      <c r="IQ140" s="890" t="str">
        <f t="shared" si="138"/>
        <v/>
      </c>
      <c r="IR140" s="636" t="str">
        <f>IF('HHV-LHV-MW'!ON75="","",IF(AND('HHV-LHV-MW'!ON75&gt;=0,'HHV-LHV-MW'!ON75&lt;=0.09),2,  IF(AND('HHV-LHV-MW'!ON75&gt;=0.1,'HHV-LHV-MW'!ON75&lt;=0.9),7,  IF(AND('HHV-LHV-MW'!ON75&gt;=1,'HHV-LHV-MW'!ON75&lt;=4.9),10,   IF(AND('HHV-LHV-MW'!ON75&gt;=5,'HHV-LHV-MW'!ON75&lt;=10),12, 15)))))</f>
        <v/>
      </c>
      <c r="IS140" s="636" t="str">
        <f>IF('HHV-LHV-MW'!ON75="","",5*'HHV-LHV-MW'!ON75)</f>
        <v/>
      </c>
      <c r="IT140" s="635" t="str">
        <f t="shared" si="139"/>
        <v/>
      </c>
      <c r="IU140" s="636" t="str">
        <f>IF(OR(IT140="",'HHV-LHV-MW'!ON75=0),"",IT140/'HHV-LHV-MW'!ON75)</f>
        <v/>
      </c>
      <c r="IV140" s="636" t="str">
        <f>IF(OR(IU140="",IL140="",'HHV-LHV-MW'!ON75=""),"",((IU140*IL140*('HHV-LHV-MW'!ON75/100))/23.685)^2)</f>
        <v/>
      </c>
      <c r="IW140" s="636" t="str">
        <f>IF(OR(IU140="",IM140="",'HHV-LHV-MW'!ON75=""),"",((IU140*IM140*('HHV-LHV-MW'!ON75/100))/23.685)^2)</f>
        <v/>
      </c>
      <c r="IX140" s="639" t="str">
        <f t="shared" si="140"/>
        <v/>
      </c>
      <c r="IY140" s="891" t="str">
        <f t="shared" si="141"/>
        <v/>
      </c>
      <c r="IZ140" s="643" t="str">
        <f>IF(AW140="","",VLOOKUP(AW140,'HHV-LHV-MW'!$A$3:$H$40,7,FALSE))</f>
        <v/>
      </c>
      <c r="JA140" s="875" t="str">
        <f>IF($BW$126=1,     IF(OR(IZ140="",'HHV-LHV-MW'!ON75="",IU140=""),"",(IZ140*('HHV-LHV-MW'!ON75/100)*IU140)^2),IF(OR(IZ140="",IN140="",IQ140=""),"",(IZ140*(IN140/100)*IQ140)^2))</f>
        <v/>
      </c>
      <c r="JB140" s="635" t="str">
        <f>IF(AW140="","",VLOOKUP(AW140,'HHV-LHV-MW'!$A$3:$I$40,9,FALSE))</f>
        <v/>
      </c>
      <c r="JC140" s="875" t="str">
        <f>IF($BW$126=1,     IF(OR(JB140="",'HHV-LHV-MW'!ON75="",IU140=""),"",(JB140*('HHV-LHV-MW'!ON75/100)*IU140)^2),IF(OR(JB140="",IN140="",IQ140=""),"",(JB140*(IN140/100)*IQ140)^2))</f>
        <v/>
      </c>
      <c r="JD140" s="635" t="str">
        <f>IF(AW140="","",(VLOOKUP(AW140,'HHV-LHV-MW'!$A$3:$F$40,6,FALSE))    )</f>
        <v/>
      </c>
      <c r="JE140" s="875" t="str">
        <f>IF($BW$126=1,     IF(OR(JD140="",'HHV-LHV-MW'!ON75="",IU140=""),"",(JD140*('HHV-LHV-MW'!ON75/100)*IU140)^2),IF(OR(JD140="",IN140="",IQ140=""),"",(JD140*(IN140/100)*IQ140)^2))</f>
        <v/>
      </c>
      <c r="JF140" s="638" t="str">
        <f>IF($BW$126=1,     IF(OR(JD140="",JB140="",$AX$103="",$AX$103=0,'HHV-LHV-MW'!ON75="",IU140="",$JC$145=""),"", ((JD140*((JB140*('HHV-LHV-MW'!ON75/100))/$AX$103))^2)*((IU140^2)+($JC$145^2))),              IF(OR(JD140="",JB140="",IN140="",IQ140="",$JC$145="",$AX$103="",$AX$103=0),"",      ((JD140*((JB140*(IN140/100))/$AX$103))^2)*((IQ140^2)+($JC$145^2))             ))</f>
        <v/>
      </c>
      <c r="JG140" s="889" t="str">
        <f>IF(BC140="","",VLOOKUP(BC140,'HHV-LHV-MW'!$A$3:$H$40,4,FALSE))</f>
        <v/>
      </c>
      <c r="JH140" s="889" t="str">
        <f>IF(BC140="","",VLOOKUP(BC140,'HHV-LHV-MW'!$A$3:$H$40,5,FALSE))</f>
        <v/>
      </c>
      <c r="JI140" s="890" t="str">
        <f>IF($BW$136="","",((PRODUCT('HHV-LHV-MW'!QK75)+PRODUCT('HHV-LHV-MW'!QW75)+PRODUCT('HHV-LHV-MW'!RI75)+PRODUCT('HHV-LHV-MW'!RU75))/$BW$136))</f>
        <v/>
      </c>
      <c r="JJ140" s="890" t="str">
        <f>IF($BW$136="","",(IF($BW$136=1,"",  (SQRT(  (      (IF('HHV-LHV-MW'!QK75="",0,('HHV-LHV-MW'!QK75-JI140)^2))      +        (IF('HHV-LHV-MW'!QW75="",0,('HHV-LHV-MW'!QW75-JI140)^2))       +        (IF('HHV-LHV-MW'!RI75="",0,('HHV-LHV-MW'!RI75-JI140)^2))          +        (IF('HHV-LHV-MW'!RU75="",0,('HHV-LHV-MW'!RU75-JI140)^2))          )     *(1/($BW$136-1))  )))))</f>
        <v/>
      </c>
      <c r="JK140" s="890" t="str">
        <f t="shared" si="142"/>
        <v/>
      </c>
      <c r="JL140" s="890" t="str">
        <f t="shared" si="143"/>
        <v/>
      </c>
      <c r="JM140" s="636" t="str">
        <f>IF('HHV-LHV-MW'!QK75="","",IF(AND('HHV-LHV-MW'!QK75&gt;=0,'HHV-LHV-MW'!QK75&lt;=0.09),2,  IF(AND('HHV-LHV-MW'!QK75&gt;=0.1,'HHV-LHV-MW'!QK75&lt;=0.9),7,  IF(AND('HHV-LHV-MW'!QK75&gt;=1,'HHV-LHV-MW'!QK75&lt;=4.9),10,   IF(AND('HHV-LHV-MW'!QK75&gt;=5,'HHV-LHV-MW'!QK75&lt;=10),12, 15)))))</f>
        <v/>
      </c>
      <c r="JN140" s="636" t="str">
        <f>IF('HHV-LHV-MW'!QK75="","",5*'HHV-LHV-MW'!QK75)</f>
        <v/>
      </c>
      <c r="JO140" s="635" t="str">
        <f t="shared" si="144"/>
        <v/>
      </c>
      <c r="JP140" s="636" t="str">
        <f>IF(OR(JO140="",'HHV-LHV-MW'!QK75=0),"",JO140/'HHV-LHV-MW'!QK75)</f>
        <v/>
      </c>
      <c r="JQ140" s="636" t="str">
        <f>IF(OR(JP140="",JG140="",'HHV-LHV-MW'!QK75=""),"",((JP140*JG140*('HHV-LHV-MW'!QK75/100))/23.685)^2)</f>
        <v/>
      </c>
      <c r="JR140" s="636" t="str">
        <f>IF(OR(JP140="",JH140="",'HHV-LHV-MW'!QK75=""),"",((JP140*JH140*('HHV-LHV-MW'!QK75/100))/23.685)^2)</f>
        <v/>
      </c>
      <c r="JS140" s="639" t="str">
        <f t="shared" si="145"/>
        <v/>
      </c>
      <c r="JT140" s="891" t="str">
        <f t="shared" si="146"/>
        <v/>
      </c>
      <c r="JU140" s="643" t="str">
        <f>IF(BC140="","",VLOOKUP(BC140,'HHV-LHV-MW'!$A$3:$H$40,7,FALSE))</f>
        <v/>
      </c>
      <c r="JV140" s="875" t="str">
        <f>IF($BW$136=1,     IF(OR(JU140="",'HHV-LHV-MW'!QK75="",JP140=""),"",(JU140*('HHV-LHV-MW'!QK75/100)*JP140)^2),IF(OR(JU140="",JI140="",JL140=""),"",(JU140*(JI140/100)*JL140)^2))</f>
        <v/>
      </c>
      <c r="JW140" s="635" t="str">
        <f>IF(BC140="","",VLOOKUP(BC140,'HHV-LHV-MW'!$A$3:$I$40,9,FALSE))</f>
        <v/>
      </c>
      <c r="JX140" s="875" t="str">
        <f>IF($BW$136=1,     IF(OR(JW140="",'HHV-LHV-MW'!QK75="",JP140=""),"",(JW140*('HHV-LHV-MW'!QK75/100)*JP140)^2),IF(OR(JW140="",JI140="",JL140=""),"",(JW140*(JI140/100)*JL140)^2))</f>
        <v/>
      </c>
      <c r="JY140" s="635" t="str">
        <f>IF(BC140="","",(VLOOKUP(BC140,'HHV-LHV-MW'!$A$3:$F$40,6,FALSE))    )</f>
        <v/>
      </c>
      <c r="JZ140" s="875" t="str">
        <f>IF($BW$136=1,     IF(OR(JY140="",'HHV-LHV-MW'!QK75="",JP140=""),"",(JY140*('HHV-LHV-MW'!QK75/100)*JP140)^2),IF(OR(JY140="",JI140="",JL140=""),"",(JY140*(JI140/100)*JL140)^2))</f>
        <v/>
      </c>
      <c r="KA140" s="638" t="str">
        <f>IF($BW$136=1,     IF(OR(JY140="",JW140="",$BD$103="",$BD$103=0,'HHV-LHV-MW'!QK75="",JP140="",$JX$145=""),"", ((JY140*((JW140*('HHV-LHV-MW'!QK75/100))/$BD$103))^2)*((JP140^2)+($JX$145^2))),              IF(OR(JY140="",JW140="",JI140="",JL140="",$JX$145="",$BD$103="",$BD$103=0),"",      ((JY140*((JW140*(JI140/100))/$BD$103))^2)*((JL140^2)+($JX$145^2))             ))</f>
        <v/>
      </c>
      <c r="KB140" s="874"/>
      <c r="KC140" s="874"/>
      <c r="KD140" s="874"/>
      <c r="KE140" s="874"/>
      <c r="KF140" s="874"/>
      <c r="KG140" s="874"/>
      <c r="KH140" s="865"/>
      <c r="KI140" s="865"/>
      <c r="KJ140" s="865"/>
      <c r="KK140" s="865"/>
      <c r="KL140" s="865"/>
      <c r="KM140" s="865"/>
      <c r="KN140" s="865"/>
      <c r="KO140" s="865"/>
      <c r="KP140" s="865"/>
      <c r="KQ140" s="865"/>
      <c r="KR140" s="865"/>
      <c r="KS140" s="865"/>
      <c r="KT140" s="865"/>
      <c r="KU140" s="865"/>
      <c r="KV140" s="865"/>
      <c r="KW140" s="865"/>
      <c r="KX140" s="865"/>
      <c r="KY140" s="865"/>
      <c r="KZ140" s="865"/>
      <c r="LA140" s="865"/>
      <c r="LB140" s="865"/>
      <c r="LC140" s="865"/>
      <c r="LD140" s="865"/>
      <c r="LE140" s="865"/>
      <c r="LF140" s="865"/>
    </row>
    <row r="141" spans="1:318" ht="16.95" customHeight="1" thickBot="1">
      <c r="A141" s="864"/>
      <c r="B141" s="502"/>
      <c r="C141" s="502"/>
      <c r="D141" s="502"/>
      <c r="E141" s="502"/>
      <c r="F141" s="511"/>
      <c r="G141" s="864"/>
      <c r="H141" s="502"/>
      <c r="I141" s="502"/>
      <c r="J141" s="502"/>
      <c r="K141" s="502"/>
      <c r="L141" s="511"/>
      <c r="M141" s="864"/>
      <c r="N141" s="502"/>
      <c r="O141" s="502"/>
      <c r="P141" s="502"/>
      <c r="Q141" s="502"/>
      <c r="R141" s="511"/>
      <c r="S141" s="864"/>
      <c r="T141" s="502"/>
      <c r="U141" s="502"/>
      <c r="V141" s="502"/>
      <c r="W141" s="502"/>
      <c r="X141" s="511"/>
      <c r="Y141" s="864"/>
      <c r="Z141" s="502"/>
      <c r="AA141" s="502"/>
      <c r="AB141" s="502"/>
      <c r="AC141" s="502"/>
      <c r="AD141" s="511"/>
      <c r="AE141" s="864"/>
      <c r="AF141" s="502"/>
      <c r="AG141" s="502"/>
      <c r="AH141" s="502"/>
      <c r="AI141" s="502"/>
      <c r="AJ141" s="511"/>
      <c r="AK141" s="864"/>
      <c r="AL141" s="502"/>
      <c r="AM141" s="502"/>
      <c r="AN141" s="502"/>
      <c r="AO141" s="502"/>
      <c r="AP141" s="511"/>
      <c r="AQ141" s="864"/>
      <c r="AR141" s="502"/>
      <c r="AS141" s="502"/>
      <c r="AT141" s="502"/>
      <c r="AU141" s="502"/>
      <c r="AV141" s="511"/>
      <c r="AW141" s="864"/>
      <c r="AX141" s="502"/>
      <c r="AY141" s="502"/>
      <c r="AZ141" s="502"/>
      <c r="BA141" s="502"/>
      <c r="BB141" s="511"/>
      <c r="BC141" s="864"/>
      <c r="BD141" s="502"/>
      <c r="BE141" s="502"/>
      <c r="BF141" s="502"/>
      <c r="BG141" s="502"/>
      <c r="BH141" s="865"/>
      <c r="BI141" s="865"/>
      <c r="BJ141" s="1143" t="s">
        <v>1509</v>
      </c>
      <c r="BK141" s="2481"/>
      <c r="BL141" s="2481"/>
      <c r="BM141" s="2481"/>
      <c r="BN141" s="1144"/>
      <c r="BO141" s="2477" t="str">
        <f>FW143</f>
        <v/>
      </c>
      <c r="BP141" s="2477"/>
      <c r="BQ141" s="865"/>
      <c r="BR141" s="1143" t="s">
        <v>1509</v>
      </c>
      <c r="BS141" s="2481"/>
      <c r="BT141" s="2481"/>
      <c r="BU141" s="2481"/>
      <c r="BV141" s="1144"/>
      <c r="BW141" s="2477" t="str">
        <f>JX143</f>
        <v/>
      </c>
      <c r="BX141" s="2477"/>
      <c r="BY141" s="874"/>
      <c r="BZ141" s="888" t="str">
        <f>IF(A141="","",VLOOKUP(A141,'HHV-LHV-MW'!$A$3:$H$40,4,FALSE))</f>
        <v/>
      </c>
      <c r="CA141" s="889" t="str">
        <f>IF(A141="","",VLOOKUP(A141,'HHV-LHV-MW'!$A$3:$H$40,5,FALSE))</f>
        <v/>
      </c>
      <c r="CB141" s="890" t="str">
        <f>IF($BO$96="","",((PRODUCT('HHV-LHV-MW'!K76)+PRODUCT('HHV-LHV-MW'!W76)+PRODUCT('HHV-LHV-MW'!AI76)+PRODUCT('HHV-LHV-MW'!AU76))/$BO$96))</f>
        <v/>
      </c>
      <c r="CC141" s="890" t="str">
        <f>IF($BO$96="","",(IF($BO$96=1,"",  (SQRT(  (      (IF('HHV-LHV-MW'!K76="",0,('HHV-LHV-MW'!K76-CB141)^2))      +        (IF('HHV-LHV-MW'!W76="",0,('HHV-LHV-MW'!W76-CB141)^2))       +        (IF('HHV-LHV-MW'!AI76="",0,('HHV-LHV-MW'!AI76-CB141)^2))          +        (IF('HHV-LHV-MW'!AU76="",0,('HHV-LHV-MW'!AU76-CB141)^2))          )     *(1/($BO$96-1))  )))))</f>
        <v/>
      </c>
      <c r="CD141" s="890" t="str">
        <f t="shared" si="97"/>
        <v/>
      </c>
      <c r="CE141" s="890" t="str">
        <f t="shared" si="98"/>
        <v/>
      </c>
      <c r="CF141" s="636" t="str">
        <f>IF('HHV-LHV-MW'!K76="","",IF(AND('HHV-LHV-MW'!K76&gt;=0,'HHV-LHV-MW'!K76&lt;=0.09),2,  IF(AND('HHV-LHV-MW'!K76&gt;=0.1,'HHV-LHV-MW'!K76&lt;=0.9),7,  IF(AND('HHV-LHV-MW'!K76&gt;=1,'HHV-LHV-MW'!K76&lt;=4.9),10,   IF(AND('HHV-LHV-MW'!K76&gt;=5,'HHV-LHV-MW'!K76&lt;=10),12, 15)))))</f>
        <v/>
      </c>
      <c r="CG141" s="636" t="str">
        <f>IF('HHV-LHV-MW'!K76="","",5*'HHV-LHV-MW'!K76)</f>
        <v/>
      </c>
      <c r="CH141" s="635" t="str">
        <f t="shared" si="99"/>
        <v/>
      </c>
      <c r="CI141" s="636" t="str">
        <f>IF(OR(CH141="",'HHV-LHV-MW'!K76=0),"",CH141/'HHV-LHV-MW'!K76)</f>
        <v/>
      </c>
      <c r="CJ141" s="636" t="str">
        <f>IF(OR(CI141="",BZ141="",'HHV-LHV-MW'!K76=""),"",((CI141*BZ141*('HHV-LHV-MW'!K76/100))/23.685)^2)</f>
        <v/>
      </c>
      <c r="CK141" s="636" t="str">
        <f>IF(OR(CI141="",CA141="",'HHV-LHV-MW'!K76=""),"",((CI141*CA141*('HHV-LHV-MW'!K76/100))/23.685)^2)</f>
        <v/>
      </c>
      <c r="CL141" s="639" t="str">
        <f t="shared" si="100"/>
        <v/>
      </c>
      <c r="CM141" s="892" t="str">
        <f t="shared" si="101"/>
        <v/>
      </c>
      <c r="CN141" s="639" t="str">
        <f>IF(A141="","",VLOOKUP(A141,'HHV-LHV-MW'!$A$3:$H$40,7,FALSE))</f>
        <v/>
      </c>
      <c r="CO141" s="636" t="str">
        <f>IF($BO$96=1,     IF(OR(CN141="",'HHV-LHV-MW'!K76="",CI141=""),"",(CN141*('HHV-LHV-MW'!K76/100)*CI141)^2),IF(OR(CN141="",CB141="",CE141=""),"",(CN141*(CB141/100)*CE141)^2))</f>
        <v/>
      </c>
      <c r="CP141" s="635" t="str">
        <f>IF(A141="","",VLOOKUP(A141,'HHV-LHV-MW'!$A$3:$I$40,9,FALSE))</f>
        <v/>
      </c>
      <c r="CQ141" s="636" t="str">
        <f>IF($BO$96=1,     IF(OR(CP141="",'HHV-LHV-MW'!K76="",CI141=""),"",(CP141*('HHV-LHV-MW'!K76/100)*CI141)^2),IF(OR(CP141="",CB141="",CE141=""),"",(CP141*(CB141/100)*CE141)^2))</f>
        <v/>
      </c>
      <c r="CR141" s="636" t="str">
        <f>IF(A141="","",(VLOOKUP(A141,'HHV-LHV-MW'!$A$3:$F$40,6,FALSE))    )</f>
        <v/>
      </c>
      <c r="CS141" s="636" t="str">
        <f>IF($BO$96=1,     IF(OR(CR141="",'HHV-LHV-MW'!K76="",CI141=""),"",(CR141*('HHV-LHV-MW'!K76/100)*CI141)^2),IF(OR(CR141="",CB141="",CE141=""),"",(CR141*(CB141/100)*CE141)^2))</f>
        <v/>
      </c>
      <c r="CT141" s="640" t="str">
        <f>IF($BO$96=1,     IF(OR(CR141="",CP141="",$B$103="",$B$103=0,'HHV-LHV-MW'!K76="",CI141="",$CQ$145=""),"", ((CR141*((CP141*('HHV-LHV-MW'!K76/100))/$B$103))^2)*((CI141^2)+($CQ$145^2))),              IF(OR(CR141="",CP141="",CB141="",CE141="",$CQ$145="",$B$103="",$B$103=0),"",      ((CR141*((CP141*(CB141/100))/$B$103))^2)*((CE141^2)+($CQ$145^2))             ))</f>
        <v/>
      </c>
      <c r="CU141" s="889" t="str">
        <f>IF(G141="","",VLOOKUP(G141,'HHV-LHV-MW'!$A$3:$H$40,4,FALSE))</f>
        <v/>
      </c>
      <c r="CV141" s="889" t="str">
        <f>IF(G141="","",VLOOKUP(G141,'HHV-LHV-MW'!$A$3:$H$40,5,FALSE))</f>
        <v/>
      </c>
      <c r="CW141" s="890" t="str">
        <f>IF($BO$106="","",((PRODUCT('HHV-LHV-MW'!BH76)+PRODUCT('HHV-LHV-MW'!BT76)+PRODUCT('HHV-LHV-MW'!CF76)+PRODUCT('HHV-LHV-MW'!CR76))/$BO$106))</f>
        <v/>
      </c>
      <c r="CX141" s="890" t="str">
        <f>IF($BO$106="","",(IF($BO$106=1,"",  (SQRT(  (      (IF('HHV-LHV-MW'!BH76="",0,('HHV-LHV-MW'!BH76-CW141)^2))      +        (IF('HHV-LHV-MW'!BT76="",0,('HHV-LHV-MW'!BT76-CW141)^2))       +        (IF('HHV-LHV-MW'!CF76="",0,('HHV-LHV-MW'!CF76-CW141)^2))          +        (IF('HHV-LHV-MW'!CR76="",0,('HHV-LHV-MW'!CR76-CW141)^2))          )     *(1/($BO$106-1))  )))))</f>
        <v/>
      </c>
      <c r="CY141" s="890" t="str">
        <f t="shared" si="102"/>
        <v/>
      </c>
      <c r="CZ141" s="890" t="str">
        <f t="shared" si="103"/>
        <v/>
      </c>
      <c r="DA141" s="636" t="str">
        <f>IF('HHV-LHV-MW'!BH76="","",IF(AND('HHV-LHV-MW'!BH76&gt;=0,'HHV-LHV-MW'!BH76&lt;=0.09),2,  IF(AND('HHV-LHV-MW'!BH76&gt;=0.1,'HHV-LHV-MW'!BH76&lt;=0.9),7,  IF(AND('HHV-LHV-MW'!BH76&gt;=1,'HHV-LHV-MW'!BH76&lt;=4.9),10,   IF(AND('HHV-LHV-MW'!BH76&gt;=5,'HHV-LHV-MW'!BH76&lt;=10),12, 15)))))</f>
        <v/>
      </c>
      <c r="DB141" s="636" t="str">
        <f>IF('HHV-LHV-MW'!BH76="","",5*'HHV-LHV-MW'!BH76)</f>
        <v/>
      </c>
      <c r="DC141" s="635" t="str">
        <f t="shared" si="104"/>
        <v/>
      </c>
      <c r="DD141" s="636" t="str">
        <f>IF(OR(DC141="",'HHV-LHV-MW'!BH76=0),"",DC141/'HHV-LHV-MW'!BH76)</f>
        <v/>
      </c>
      <c r="DE141" s="635" t="str">
        <f>IF(OR(DD141="",CU141="",'HHV-LHV-MW'!BH76=""),"",((DD141*CU141*('HHV-LHV-MW'!BH76/100))/23.685)^2)</f>
        <v/>
      </c>
      <c r="DF141" s="636" t="str">
        <f>IF(OR(DD141="",CV141="",'HHV-LHV-MW'!BH76=""),"",((DD141*CV141*('HHV-LHV-MW'!BH76/100))/23.685)^2)</f>
        <v/>
      </c>
      <c r="DG141" s="639" t="str">
        <f t="shared" si="105"/>
        <v/>
      </c>
      <c r="DH141" s="891" t="str">
        <f t="shared" si="106"/>
        <v/>
      </c>
      <c r="DI141" s="635" t="str">
        <f>IF(G141="","",VLOOKUP(G141,'HHV-LHV-MW'!$A$3:$H$40,7,FALSE))</f>
        <v/>
      </c>
      <c r="DJ141" s="875" t="str">
        <f>IF($BO$106=1,     IF(OR(DI141="",'HHV-LHV-MW'!BH76="",DD141=""),"",(DI141*('HHV-LHV-MW'!BH76/100)*DD141)^2),IF(OR(DI141="",CW141="",CZ141=""),"",(DI141*(CW141/100)*CZ141)^2))</f>
        <v/>
      </c>
      <c r="DK141" s="635" t="str">
        <f>IF(G141="","",VLOOKUP(G141,'HHV-LHV-MW'!$A$3:$I$40,9,FALSE))</f>
        <v/>
      </c>
      <c r="DL141" s="875" t="str">
        <f>IF($BO$106=1,     IF(OR(DK141="",'HHV-LHV-MW'!BH76="",DD141=""),"",(DK141*('HHV-LHV-MW'!BH76/100)*DD141)^2),IF(OR(DK141="",CW141="",CZ141=""),"",(DK141*(CW141/100)*CZ141)^2))</f>
        <v/>
      </c>
      <c r="DM141" s="635" t="str">
        <f>IF(G141="","",(VLOOKUP(G141,'HHV-LHV-MW'!$A$3:$F$40,6,FALSE))    )</f>
        <v/>
      </c>
      <c r="DN141" s="875" t="str">
        <f>IF($BO$106=1,     IF(OR(DM141="",'HHV-LHV-MW'!BH76="",DD141=""),"",(DM141*('HHV-LHV-MW'!BH76/100)*DD141)^2),IF(OR(DM141="",CW141="",CZ141=""),"",(DM141*(CW141/100)*CZ141)^2))</f>
        <v/>
      </c>
      <c r="DO141" s="638" t="str">
        <f>IF($BO$106=1,     IF(OR(DM141="",DK141="",$H$103="",$H$103=0,'HHV-LHV-MW'!BH76="",DD141="",$DL$145=""),"", ((DM141*((DK141*('HHV-LHV-MW'!BH76/100))/$H$103))^2)*((DD141^2)+($DL$145^2))),              IF(OR(DM141="",DK141="",CW141="",CZ141="",$DL$145="",$H$103="",$H$103=0),"",      ((DM141*((DK141*(CW141/100))/$H$103))^2)*((CZ141^2)+($DL$145^2))             ))</f>
        <v/>
      </c>
      <c r="DP141" s="889" t="str">
        <f>IF(M141="","",VLOOKUP(M141,'HHV-LHV-MW'!$A$3:$H$40,4,FALSE))</f>
        <v/>
      </c>
      <c r="DQ141" s="889" t="str">
        <f>IF(M141="","",VLOOKUP(M141,'HHV-LHV-MW'!$A$3:$H$40,5,FALSE))</f>
        <v/>
      </c>
      <c r="DR141" s="890" t="str">
        <f>IF($BO$116="","",((PRODUCT('HHV-LHV-MW'!DE76)+PRODUCT('HHV-LHV-MW'!DQ76)+PRODUCT('HHV-LHV-MW'!EC76)+PRODUCT('HHV-LHV-MW'!EO76))/$BO$116))</f>
        <v/>
      </c>
      <c r="DS141" s="890" t="str">
        <f>IF($BO$116="","",(IF($BO$116=1,"",  (SQRT(  (      (IF('HHV-LHV-MW'!DE76="",0,('HHV-LHV-MW'!DE76-DR141)^2))      +        (IF('HHV-LHV-MW'!DQ76="",0,('HHV-LHV-MW'!DQ76-DR141)^2))       +        (IF('HHV-LHV-MW'!EC76="",0,('HHV-LHV-MW'!EC76-DR141)^2))          +        (IF('HHV-LHV-MW'!EO76="",0,('HHV-LHV-MW'!EO76-DR141)^2))          )     *(1/($BO$116-1))  )))))</f>
        <v/>
      </c>
      <c r="DT141" s="890" t="str">
        <f t="shared" si="107"/>
        <v/>
      </c>
      <c r="DU141" s="890" t="str">
        <f t="shared" si="108"/>
        <v/>
      </c>
      <c r="DV141" s="636" t="str">
        <f>IF('HHV-LHV-MW'!DE76="","",IF(AND('HHV-LHV-MW'!DE76&gt;=0,'HHV-LHV-MW'!DE76&lt;=0.09),2,  IF(AND('HHV-LHV-MW'!DE76&gt;=0.1,'HHV-LHV-MW'!DE76&lt;=0.9),7,  IF(AND('HHV-LHV-MW'!DE76&gt;=1,'HHV-LHV-MW'!DE76&lt;=4.9),10,   IF(AND('HHV-LHV-MW'!DE76&gt;=5,'HHV-LHV-MW'!DE76&lt;=10),12, 15)))))</f>
        <v/>
      </c>
      <c r="DW141" s="636" t="str">
        <f>IF('HHV-LHV-MW'!DE76="","",5*'HHV-LHV-MW'!DE76)</f>
        <v/>
      </c>
      <c r="DX141" s="635" t="str">
        <f t="shared" si="109"/>
        <v/>
      </c>
      <c r="DY141" s="636" t="str">
        <f>IF(OR(DX141="",'HHV-LHV-MW'!DE76=0),"",DX141/'HHV-LHV-MW'!DE76)</f>
        <v/>
      </c>
      <c r="DZ141" s="636" t="str">
        <f>IF(OR(DY141="",DP141="",'HHV-LHV-MW'!DE76=""),"",((DY141*DP141*('HHV-LHV-MW'!DE76/100))/23.685)^2)</f>
        <v/>
      </c>
      <c r="EA141" s="636" t="str">
        <f>IF(OR(DY141="",DQ141="",'HHV-LHV-MW'!DE76=""),"",((DY141*DQ141*('HHV-LHV-MW'!DE76/100))/23.685)^2)</f>
        <v/>
      </c>
      <c r="EB141" s="639" t="str">
        <f t="shared" si="110"/>
        <v/>
      </c>
      <c r="EC141" s="891" t="str">
        <f t="shared" si="111"/>
        <v/>
      </c>
      <c r="ED141" s="643" t="str">
        <f>IF(M141="","",VLOOKUP(M141,'HHV-LHV-MW'!$A$3:$H$40,7,FALSE))</f>
        <v/>
      </c>
      <c r="EE141" s="875" t="str">
        <f>IF($BO$116=1,     IF(OR(ED141="",'HHV-LHV-MW'!DE76="",DY141=""),"",(ED141*('HHV-LHV-MW'!DE76/100)*DY141)^2),IF(OR(ED141="",DR141="",DU141=""),"",(ED141*(DR141/100)*DU141)^2))</f>
        <v/>
      </c>
      <c r="EF141" s="635" t="str">
        <f>IF(M141="","",VLOOKUP(M141,'HHV-LHV-MW'!$A$3:$I$40,9,FALSE))</f>
        <v/>
      </c>
      <c r="EG141" s="875" t="str">
        <f>IF($BO$116=1,     IF(OR(EF141="",'HHV-LHV-MW'!DE76="",DY141=""),"",(EF141*('HHV-LHV-MW'!DE76/100)*DY141)^2),IF(OR(EF141="",DR141="",DU141=""),"",(EF141*(DR141/100)*DU141)^2))</f>
        <v/>
      </c>
      <c r="EH141" s="635" t="str">
        <f>IF(M141="","",(VLOOKUP(M141,'HHV-LHV-MW'!$A$3:$F$40,6,FALSE))    )</f>
        <v/>
      </c>
      <c r="EI141" s="875" t="str">
        <f>IF($BO$116=1,     IF(OR(EH141="",'HHV-LHV-MW'!DE76="",DY141=""),"",(EH141*('HHV-LHV-MW'!DE76/100)*DY141)^2),IF(OR(EH141="",DR141="",DU141=""),"",(EH141*(DR141/100)*DU141)^2))</f>
        <v/>
      </c>
      <c r="EJ141" s="638" t="str">
        <f>IF($BO$116=1,     IF(OR(EH141="",EF141="",$N$103="",$N$103=0,'HHV-LHV-MW'!DE76="",DY141="",$EG$145=""),"", ((EH141*((EF141*('HHV-LHV-MW'!DE76/100))/$N$103))^2)*((DY141^2)+($EG$145^2))),              IF(OR(EH141="",EF141="",DR141="",DU141="",$EG$145="",$N$103="",$N$103=0),"",      ((EH141*((EF141*(DR141/100))/$N$103))^2)*((DU141^2)+($EG$145^2))             ))</f>
        <v/>
      </c>
      <c r="EK141" s="889" t="str">
        <f>IF(S141="","",VLOOKUP(S141,'HHV-LHV-MW'!$A$3:$H$40,4,FALSE))</f>
        <v/>
      </c>
      <c r="EL141" s="889" t="str">
        <f>IF(S141="","",VLOOKUP(S141,'HHV-LHV-MW'!$A$3:$H$40,5,FALSE))</f>
        <v/>
      </c>
      <c r="EM141" s="890" t="str">
        <f>IF($BO$126="","",((PRODUCT('HHV-LHV-MW'!FB76)+PRODUCT('HHV-LHV-MW'!FN76)+PRODUCT('HHV-LHV-MW'!FZ76)+PRODUCT('HHV-LHV-MW'!GL76))/$BO$126))</f>
        <v/>
      </c>
      <c r="EN141" s="890" t="str">
        <f>IF($BO$126="","",(IF($BO$126=1,"",  (SQRT(  (      (IF('HHV-LHV-MW'!FB76="",0,('HHV-LHV-MW'!FB76-EM141)^2))      +        (IF('HHV-LHV-MW'!FN76="",0,('HHV-LHV-MW'!FN76-EM141)^2))       +        (IF('HHV-LHV-MW'!FZ76="",0,('HHV-LHV-MW'!FZ76-EM141)^2))          +        (IF('HHV-LHV-MW'!GL76="",0,('HHV-LHV-MW'!GL76-EM141)^2))          )     *(1/($BO$126-1))  )))))</f>
        <v/>
      </c>
      <c r="EO141" s="890" t="str">
        <f t="shared" si="112"/>
        <v/>
      </c>
      <c r="EP141" s="890" t="str">
        <f t="shared" si="113"/>
        <v/>
      </c>
      <c r="EQ141" s="636" t="str">
        <f>IF('HHV-LHV-MW'!FB76="","",IF(AND('HHV-LHV-MW'!FB76&gt;=0,'HHV-LHV-MW'!FB76&lt;=0.09),2,  IF(AND('HHV-LHV-MW'!FB76&gt;=0.1,'HHV-LHV-MW'!FB76&lt;=0.9),7,  IF(AND('HHV-LHV-MW'!FB76&gt;=1,'HHV-LHV-MW'!FB76&lt;=4.9),10,   IF(AND('HHV-LHV-MW'!FB76&gt;=5,'HHV-LHV-MW'!FB76&lt;=10),12, 15)))))</f>
        <v/>
      </c>
      <c r="ER141" s="636" t="str">
        <f>IF('HHV-LHV-MW'!FB76="","",5*'HHV-LHV-MW'!FB76)</f>
        <v/>
      </c>
      <c r="ES141" s="635" t="str">
        <f t="shared" si="114"/>
        <v/>
      </c>
      <c r="ET141" s="636" t="str">
        <f>IF(OR(ES141="",'HHV-LHV-MW'!FB76=0),"",ES141/'HHV-LHV-MW'!FB76)</f>
        <v/>
      </c>
      <c r="EU141" s="636" t="str">
        <f>IF(OR(ET141="",EK141="",'HHV-LHV-MW'!FB76=""),"",((ET141*EK141*('HHV-LHV-MW'!FB76/100))/23.685)^2)</f>
        <v/>
      </c>
      <c r="EV141" s="636" t="str">
        <f>IF(OR(ET141="",EL141="",'HHV-LHV-MW'!FB76=""),"",((ET141*EL141*('HHV-LHV-MW'!FB76/100))/23.685)^2)</f>
        <v/>
      </c>
      <c r="EW141" s="639" t="str">
        <f t="shared" si="115"/>
        <v/>
      </c>
      <c r="EX141" s="891" t="str">
        <f t="shared" si="116"/>
        <v/>
      </c>
      <c r="EY141" s="643" t="str">
        <f>IF(S141="","",VLOOKUP(S141,'HHV-LHV-MW'!$A$3:$H$40,7,FALSE))</f>
        <v/>
      </c>
      <c r="EZ141" s="875" t="str">
        <f>IF($BO$126=1,     IF(OR(EY141="",'HHV-LHV-MW'!FB76="",ET141=""),"",(EY141*('HHV-LHV-MW'!FB76/100)*ET141)^2),IF(OR(EY141="",EM141="",EP141=""),"",(EY141*(EM141/100)*EP141)^2))</f>
        <v/>
      </c>
      <c r="FA141" s="635" t="str">
        <f>IF(S141="","",VLOOKUP(S141,'HHV-LHV-MW'!$A$3:$I$40,9,FALSE))</f>
        <v/>
      </c>
      <c r="FB141" s="875" t="str">
        <f>IF($BO$126=1,     IF(OR(FA141="",'HHV-LHV-MW'!FB76="",ET141=""),"",(FA141*('HHV-LHV-MW'!FB76/100)*ET141)^2),IF(OR(FA141="",EM141="",EP141=""),"",(FA141*(EM141/100)*EP141)^2))</f>
        <v/>
      </c>
      <c r="FC141" s="635" t="str">
        <f>IF(S141="","",(VLOOKUP(S141,'HHV-LHV-MW'!$A$3:$F$40,6,FALSE))    )</f>
        <v/>
      </c>
      <c r="FD141" s="875" t="str">
        <f>IF($BO$126=1,     IF(OR(FC141="",'HHV-LHV-MW'!FB76="",ET141=""),"",(FC141*('HHV-LHV-MW'!FB76/100)*ET141)^2),IF(OR(FC141="",EM141="",EP141=""),"",(FC141*(EM141/100)*EP141)^2))</f>
        <v/>
      </c>
      <c r="FE141" s="638" t="str">
        <f>IF($BO$126=1,     IF(OR(FC141="",FA141="",$T$103="",$T$103=0,'HHV-LHV-MW'!FB76="",ET141="",$FB$145=""),"", ((FC141*((FA141*('HHV-LHV-MW'!FB76/100))/$T$103))^2)*((ET141^2)+($FB$145^2))),              IF(OR(FC141="",FA141="",EM141="",EP141="",$FB$145="",$T$103="",$T$103=0),"",      ((FC141*((FA141*(EM141/100))/$T$103))^2)*((EP141^2)+($FB$145^2))             ))</f>
        <v/>
      </c>
      <c r="FF141" s="889" t="str">
        <f>IF(Y141="","",VLOOKUP(Y141,'HHV-LHV-MW'!$A$3:$H$40,4,FALSE))</f>
        <v/>
      </c>
      <c r="FG141" s="889" t="str">
        <f>IF(Y141="","",VLOOKUP(Y141,'HHV-LHV-MW'!$A$3:$H$40,5,FALSE))</f>
        <v/>
      </c>
      <c r="FH141" s="890" t="str">
        <f>IF($BO$136="","",((PRODUCT('HHV-LHV-MW'!GY76)+PRODUCT('HHV-LHV-MW'!HK76)+PRODUCT('HHV-LHV-MW'!HW76)+PRODUCT('HHV-LHV-MW'!II76))/$BO$136))</f>
        <v/>
      </c>
      <c r="FI141" s="890" t="str">
        <f>IF($BO$136="","",(IF($BO$136=1,"",  (SQRT(  (      (IF('HHV-LHV-MW'!GY76="",0,('HHV-LHV-MW'!GY76-FH141)^2))      +        (IF('HHV-LHV-MW'!HK76="",0,('HHV-LHV-MW'!HK76-FH141)^2))       +        (IF('HHV-LHV-MW'!HW76="",0,('HHV-LHV-MW'!HW76-FH141)^2))          +        (IF('HHV-LHV-MW'!II76="",0,('HHV-LHV-MW'!II76-FH141)^2))          )     *(1/($BO$136-1))  )))))</f>
        <v/>
      </c>
      <c r="FJ141" s="890" t="str">
        <f t="shared" si="117"/>
        <v/>
      </c>
      <c r="FK141" s="890" t="str">
        <f t="shared" si="118"/>
        <v/>
      </c>
      <c r="FL141" s="636" t="str">
        <f>IF('HHV-LHV-MW'!GY76="","",IF(AND('HHV-LHV-MW'!GY76&gt;=0,'HHV-LHV-MW'!GY76&lt;=0.09),2,  IF(AND('HHV-LHV-MW'!GY76&gt;=0.1,'HHV-LHV-MW'!GY76&lt;=0.9),7,  IF(AND('HHV-LHV-MW'!GY76&gt;=1,'HHV-LHV-MW'!GY76&lt;=4.9),10,   IF(AND('HHV-LHV-MW'!GY76&gt;=5,'HHV-LHV-MW'!GY76&lt;=10),12, 15)))))</f>
        <v/>
      </c>
      <c r="FM141" s="636" t="str">
        <f>IF('HHV-LHV-MW'!GY76="","",5*'HHV-LHV-MW'!GY76)</f>
        <v/>
      </c>
      <c r="FN141" s="635" t="str">
        <f t="shared" si="119"/>
        <v/>
      </c>
      <c r="FO141" s="636" t="str">
        <f>IF(OR(FN141="",'HHV-LHV-MW'!GY76=0),"",FN141/'HHV-LHV-MW'!GY76)</f>
        <v/>
      </c>
      <c r="FP141" s="636" t="str">
        <f>IF(OR(FO141="",FF141="",'HHV-LHV-MW'!GY76=""),"",((FO141*FF141*('HHV-LHV-MW'!GY76/100))/23.685)^2)</f>
        <v/>
      </c>
      <c r="FQ141" s="636" t="str">
        <f>IF(OR(FO141="",FG141="",'HHV-LHV-MW'!GY76=""),"",((FO141*FG141*('HHV-LHV-MW'!GY76/100))/23.685)^2)</f>
        <v/>
      </c>
      <c r="FR141" s="639" t="str">
        <f t="shared" si="120"/>
        <v/>
      </c>
      <c r="FS141" s="891" t="str">
        <f t="shared" si="121"/>
        <v/>
      </c>
      <c r="FT141" s="643" t="str">
        <f>IF(Y141="","",VLOOKUP(Y141,'HHV-LHV-MW'!$A$3:$H$40,7,FALSE))</f>
        <v/>
      </c>
      <c r="FU141" s="875" t="str">
        <f>IF($BO$136=1,     IF(OR(FT141="",'HHV-LHV-MW'!GY76="",FO141=""),"",(FT141*('HHV-LHV-MW'!GY76/100)*FO141)^2),IF(OR(FT141="",FH141="",FK141=""),"",(FT141*(FH141/100)*FK141)^2))</f>
        <v/>
      </c>
      <c r="FV141" s="635" t="str">
        <f>IF(Y141="","",VLOOKUP(Y141,'HHV-LHV-MW'!$A$3:$I$40,9,FALSE))</f>
        <v/>
      </c>
      <c r="FW141" s="875" t="str">
        <f>IF($BO$136=1,     IF(OR(FV141="",'HHV-LHV-MW'!GY76="",FO141=""),"",(FV141*('HHV-LHV-MW'!GY76/100)*FO141)^2),IF(OR(FV141="",FH141="",FK141=""),"",(FV141*(FH141/100)*FK141)^2))</f>
        <v/>
      </c>
      <c r="FX141" s="635" t="str">
        <f>IF(Y141="","",(VLOOKUP(Y141,'HHV-LHV-MW'!$A$3:$F$40,6,FALSE))    )</f>
        <v/>
      </c>
      <c r="FY141" s="875" t="str">
        <f>IF($BO$136=1,     IF(OR(FX141="",'HHV-LHV-MW'!GY76="",FO141=""),"",(FX141*('HHV-LHV-MW'!GY76/100)*FO141)^2),IF(OR(FX141="",FH141="",FK141=""),"",(FX141*(FH141/100)*FK141)^2))</f>
        <v/>
      </c>
      <c r="FZ141" s="638" t="str">
        <f>IF($BO$136=1,     IF(OR(FX141="",FV141="",$Z$103="",$Z$103=0,'HHV-LHV-MW'!GY76="",FO141="",$FW$145=""),"", ((FX141*((FV141*('HHV-LHV-MW'!GY76/100))/$Z$103))^2)*((FO141^2)+($FW$145^2))),              IF(OR(FX141="",FV141="",FH141="",FK141="",$FW$145="",$Z$103="",$Z$103=0),"",      ((FX141*((FV141*(FH141/100))/$Z$103))^2)*((FK141^2)+($FW$145^2))             ))</f>
        <v/>
      </c>
      <c r="GA141" s="889" t="str">
        <f>IF(AE141="","",VLOOKUP(AE141,'HHV-LHV-MW'!$A$3:$H$40,4,FALSE))</f>
        <v/>
      </c>
      <c r="GB141" s="889" t="str">
        <f>IF(AE141="","",VLOOKUP(AE141,'HHV-LHV-MW'!$A$3:$H$40,5,FALSE))</f>
        <v/>
      </c>
      <c r="GC141" s="890" t="str">
        <f>IF($BW$96="","",((PRODUCT('HHV-LHV-MW'!IV76)+PRODUCT('HHV-LHV-MW'!JH76)+PRODUCT('HHV-LHV-MW'!JT76)+PRODUCT('HHV-LHV-MW'!KF76))/$BW$96))</f>
        <v/>
      </c>
      <c r="GD141" s="890" t="str">
        <f>IF($BW$96="","",(IF($BW$96=1,"",  (SQRT(  (      (IF('HHV-LHV-MW'!IV76="",0,('HHV-LHV-MW'!IV76-GC141)^2))      +        (IF('HHV-LHV-MW'!JH76="",0,('HHV-LHV-MW'!JH76-GC141)^2))       +        (IF('HHV-LHV-MW'!JT76="",0,('HHV-LHV-MW'!JT76-GC141)^2))          +        (IF('HHV-LHV-MW'!KF76="",0,('HHV-LHV-MW'!KF76-GC141)^2))          )     *(1/($BW$96-1))  )))))</f>
        <v/>
      </c>
      <c r="GE141" s="890" t="str">
        <f t="shared" si="122"/>
        <v/>
      </c>
      <c r="GF141" s="890" t="str">
        <f t="shared" si="123"/>
        <v/>
      </c>
      <c r="GG141" s="636" t="str">
        <f>IF('HHV-LHV-MW'!IV76="","",IF(AND('HHV-LHV-MW'!IV76&gt;=0,'HHV-LHV-MW'!IV76&lt;=0.09),2,  IF(AND('HHV-LHV-MW'!IV76&gt;=0.1,'HHV-LHV-MW'!IV76&lt;=0.9),7,  IF(AND('HHV-LHV-MW'!IV76&gt;=1,'HHV-LHV-MW'!IV76&lt;=4.9),10,   IF(AND('HHV-LHV-MW'!IV76&gt;=5,'HHV-LHV-MW'!IV76&lt;=10),12, 15)))))</f>
        <v/>
      </c>
      <c r="GH141" s="636" t="str">
        <f>IF('HHV-LHV-MW'!IV76="","",5*'HHV-LHV-MW'!IV76)</f>
        <v/>
      </c>
      <c r="GI141" s="635" t="str">
        <f t="shared" si="124"/>
        <v/>
      </c>
      <c r="GJ141" s="636" t="str">
        <f>IF(OR(GI141="",'HHV-LHV-MW'!IV76=0),"",GI141/'HHV-LHV-MW'!IV76)</f>
        <v/>
      </c>
      <c r="GK141" s="636" t="str">
        <f>IF(OR(GJ141="",GA141="",'HHV-LHV-MW'!IV76=""),"",((GJ141*GA141*('HHV-LHV-MW'!IV76/100))/23.685)^2)</f>
        <v/>
      </c>
      <c r="GL141" s="636" t="str">
        <f>IF(OR(GJ141="",GB141="",'HHV-LHV-MW'!IV76=""),"",((GJ141*GB141*('HHV-LHV-MW'!IV76/100))/23.685)^2)</f>
        <v/>
      </c>
      <c r="GM141" s="639" t="str">
        <f t="shared" si="125"/>
        <v/>
      </c>
      <c r="GN141" s="891" t="str">
        <f t="shared" si="126"/>
        <v/>
      </c>
      <c r="GO141" s="643" t="str">
        <f>IF(AE141="","",VLOOKUP(AE141,'HHV-LHV-MW'!$A$3:$H$40,7,FALSE))</f>
        <v/>
      </c>
      <c r="GP141" s="875" t="str">
        <f>IF($BW$96=1,     IF(OR(GO141="",'HHV-LHV-MW'!IV76="",GJ141=""),"",(GO141*('HHV-LHV-MW'!IV76/100)*GJ141)^2),IF(OR(GO141="",GC141="",GF141=""),"",(GO141*(GC141/100)*GF141)^2))</f>
        <v/>
      </c>
      <c r="GQ141" s="635" t="str">
        <f>IF(AE141="","",VLOOKUP(AE141,'HHV-LHV-MW'!$A$3:$I$40,9,FALSE))</f>
        <v/>
      </c>
      <c r="GR141" s="875" t="str">
        <f>IF($BW$96=1,     IF(OR(GQ141="",'HHV-LHV-MW'!IV76="",GJ141=""),"",(GQ141*('HHV-LHV-MW'!IV76/100)*GJ141)^2),IF(OR(GQ141="",GC141="",GF141=""),"",(GQ141*(GC141/100)*GF141)^2))</f>
        <v/>
      </c>
      <c r="GS141" s="635" t="str">
        <f>IF(AE141="","",(VLOOKUP(AE141,'HHV-LHV-MW'!$A$3:$F$40,6,FALSE))    )</f>
        <v/>
      </c>
      <c r="GT141" s="875" t="str">
        <f>IF($BW$96=1,     IF(OR(GS141="",'HHV-LHV-MW'!IV76="",GJ141=""),"",(GS141*('HHV-LHV-MW'!IV76/100)*GJ141)^2),IF(OR(GS141="",GC141="",GF141=""),"",(GS141*(GC141/100)*GF141)^2))</f>
        <v/>
      </c>
      <c r="GU141" s="638" t="str">
        <f>IF($BW$96=1,     IF(OR(GS141="",GQ141="",$AF$103="",$AF$103=0,'HHV-LHV-MW'!IV76="",GJ141="",$GR$145=""),"", ((GS141*((GQ141*('HHV-LHV-MW'!IV76/100))/$AF$103))^2)*((GJ141^2)+($GR$145^2))),              IF(OR(GS141="",GQ141="",GC141="",GF141="",$GR$145="",$AF$103="",$AF$103=0),"",      ((GS141*((GQ141*(GC141/100))/$AF$103))^2)*((GF141^2)+($GR$145^2))             ))</f>
        <v/>
      </c>
      <c r="GV141" s="889" t="str">
        <f>IF(AK141="","",VLOOKUP(AK141,'HHV-LHV-MW'!$A$3:$H$40,4,FALSE))</f>
        <v/>
      </c>
      <c r="GW141" s="889" t="str">
        <f>IF(AK141="","",VLOOKUP(AK141,'HHV-LHV-MW'!$A$3:$H$40,5,FALSE))</f>
        <v/>
      </c>
      <c r="GX141" s="890" t="str">
        <f>IF($BW$106="","",((PRODUCT('HHV-LHV-MW'!KS76)+PRODUCT('HHV-LHV-MW'!LE76)+PRODUCT('HHV-LHV-MW'!LQ76)+PRODUCT('HHV-LHV-MW'!MC76))/$BW$106))</f>
        <v/>
      </c>
      <c r="GY141" s="890" t="str">
        <f>IF($BW$106="","",(IF($BW$106=1,"",  (SQRT(  (      (IF('HHV-LHV-MW'!KS76="",0,('HHV-LHV-MW'!KS76-GX141)^2))      +        (IF('HHV-LHV-MW'!LE76="",0,('HHV-LHV-MW'!LE76-GX141)^2))       +        (IF('HHV-LHV-MW'!LQ76="",0,('HHV-LHV-MW'!LQ76-GX141)^2))          +        (IF('HHV-LHV-MW'!MC76="",0,('HHV-LHV-MW'!MC76-GX141)^2))          )     *(1/($BW$106-1))  )))))</f>
        <v/>
      </c>
      <c r="GZ141" s="890" t="str">
        <f t="shared" si="127"/>
        <v/>
      </c>
      <c r="HA141" s="890" t="str">
        <f t="shared" si="128"/>
        <v/>
      </c>
      <c r="HB141" s="636" t="str">
        <f>IF('HHV-LHV-MW'!KS76="","",IF(AND('HHV-LHV-MW'!KS76&gt;=0,'HHV-LHV-MW'!KS76&lt;=0.09),2,  IF(AND('HHV-LHV-MW'!KS76&gt;=0.1,'HHV-LHV-MW'!KS76&lt;=0.9),7,  IF(AND('HHV-LHV-MW'!KS76&gt;=1,'HHV-LHV-MW'!KS76&lt;=4.9),10,   IF(AND('HHV-LHV-MW'!KS76&gt;=5,'HHV-LHV-MW'!KS76&lt;=10),12, 15)))))</f>
        <v/>
      </c>
      <c r="HC141" s="636" t="str">
        <f>IF('HHV-LHV-MW'!KS76="","",5*'HHV-LHV-MW'!KS76)</f>
        <v/>
      </c>
      <c r="HD141" s="635" t="str">
        <f t="shared" si="129"/>
        <v/>
      </c>
      <c r="HE141" s="636" t="str">
        <f>IF(OR(HD141="",'HHV-LHV-MW'!KS76=0),"",HD141/'HHV-LHV-MW'!KS76)</f>
        <v/>
      </c>
      <c r="HF141" s="636" t="str">
        <f>IF(OR(HE141="",GV141="",'HHV-LHV-MW'!KS76=""),"",((HE141*GV141*('HHV-LHV-MW'!KS76/100))/23.685)^2)</f>
        <v/>
      </c>
      <c r="HG141" s="636" t="str">
        <f>IF(OR(HE141="",GW141="",'HHV-LHV-MW'!KS76=""),"",((HE141*GW141*('HHV-LHV-MW'!KS76/100))/23.685)^2)</f>
        <v/>
      </c>
      <c r="HH141" s="639" t="str">
        <f t="shared" si="130"/>
        <v/>
      </c>
      <c r="HI141" s="891" t="str">
        <f t="shared" si="131"/>
        <v/>
      </c>
      <c r="HJ141" s="643" t="str">
        <f>IF(AK141="","",VLOOKUP(AK141,'HHV-LHV-MW'!$A$3:$H$40,7,FALSE))</f>
        <v/>
      </c>
      <c r="HK141" s="875" t="str">
        <f>IF($BW$106=1,     IF(OR(HJ141="",'HHV-LHV-MW'!KS76="",HE141=""),"",(HJ141*('HHV-LHV-MW'!KS76/100)*HE141)^2),IF(OR(HJ141="",GX141="",HA141=""),"",(HJ141*(GX141/100)*HA141)^2))</f>
        <v/>
      </c>
      <c r="HL141" s="635" t="str">
        <f>IF(AK141="","",VLOOKUP(AK141,'HHV-LHV-MW'!$A$3:$I$40,9,FALSE))</f>
        <v/>
      </c>
      <c r="HM141" s="875" t="str">
        <f>IF($BW$106=1,     IF(OR(HL141="",'HHV-LHV-MW'!KS76="",HE141=""),"",(HL141*('HHV-LHV-MW'!KS76/100)*HE141)^2),IF(OR(HL141="",GX141="",HA141=""),"",(HL141*(GX141/100)*HA141)^2))</f>
        <v/>
      </c>
      <c r="HN141" s="635" t="str">
        <f>IF(AK141="","",(VLOOKUP(AK141,'HHV-LHV-MW'!$A$3:$F$40,6,FALSE))    )</f>
        <v/>
      </c>
      <c r="HO141" s="875" t="str">
        <f>IF($BW$106=1,     IF(OR(HN141="",'HHV-LHV-MW'!KS76="",HE141=""),"",(HN141*('HHV-LHV-MW'!KS76/100)*HE141)^2),IF(OR(HN141="",GX141="",HA141=""),"",(HN141*(GX141/100)*HA141)^2))</f>
        <v/>
      </c>
      <c r="HP141" s="638" t="str">
        <f>IF($BW$106=1,     IF(OR(HN141="",HL141="",$AL$103="",$AL$103=0,'HHV-LHV-MW'!KS76="",HE141="",$HM$145=""),"", ((HN141*((HL141*('HHV-LHV-MW'!KS76/100))/$AL$103))^2)*((HE141^2)+($HM$145^2))),              IF(OR(HN141="",HL141="",GX141="",HA141="",$HM$145="",$AL$103="",$AL$103=0),"",      ((HN141*((HL141*(GX141/100))/$AL$103))^2)*((HA141^2)+($HM$145^2))             ))</f>
        <v/>
      </c>
      <c r="HQ141" s="889" t="str">
        <f>IF(AQ141="","",VLOOKUP(AQ141,'HHV-LHV-MW'!$A$3:$H$40,4,FALSE))</f>
        <v/>
      </c>
      <c r="HR141" s="889" t="str">
        <f>IF(AQ141="","",VLOOKUP(AQ141,'HHV-LHV-MW'!$A$3:$H$40,5,FALSE))</f>
        <v/>
      </c>
      <c r="HS141" s="890" t="str">
        <f>IF($BW$116="","",((PRODUCT('HHV-LHV-MW'!MP76)+PRODUCT('HHV-LHV-MW'!NB76)+PRODUCT('HHV-LHV-MW'!NN76)+PRODUCT('HHV-LHV-MW'!NZ76))/$BW$116))</f>
        <v/>
      </c>
      <c r="HT141" s="890" t="str">
        <f>IF($BW$116="","",(IF($BW$116=1,"",  (SQRT(  (      (IF('HHV-LHV-MW'!MP76="",0,('HHV-LHV-MW'!MP76-HS141)^2))      +        (IF('HHV-LHV-MW'!NB76="",0,('HHV-LHV-MW'!NB76-HS141)^2))       +        (IF('HHV-LHV-MW'!NN76="",0,('HHV-LHV-MW'!NN76-HS141)^2))          +        (IF('HHV-LHV-MW'!NZ76="",0,('HHV-LHV-MW'!NZ76-HS141)^2))          )     *(1/($BW$116-1))  )))))</f>
        <v/>
      </c>
      <c r="HU141" s="890" t="str">
        <f t="shared" si="132"/>
        <v/>
      </c>
      <c r="HV141" s="890" t="str">
        <f t="shared" si="133"/>
        <v/>
      </c>
      <c r="HW141" s="636" t="str">
        <f>IF('HHV-LHV-MW'!MP76="","",IF(AND('HHV-LHV-MW'!MP76&gt;=0,'HHV-LHV-MW'!MP76&lt;=0.09),2,  IF(AND('HHV-LHV-MW'!MP76&gt;=0.1,'HHV-LHV-MW'!MP76&lt;=0.9),7,  IF(AND('HHV-LHV-MW'!MP76&gt;=1,'HHV-LHV-MW'!MP76&lt;=4.9),10,   IF(AND('HHV-LHV-MW'!MP76&gt;=5,'HHV-LHV-MW'!MP76&lt;=10),12, 15)))))</f>
        <v/>
      </c>
      <c r="HX141" s="636" t="str">
        <f>IF('HHV-LHV-MW'!MP76="","",5*'HHV-LHV-MW'!MP76)</f>
        <v/>
      </c>
      <c r="HY141" s="635" t="str">
        <f t="shared" si="134"/>
        <v/>
      </c>
      <c r="HZ141" s="636" t="str">
        <f>IF(OR(HY141="",'HHV-LHV-MW'!MP76=0),"",HY141/'HHV-LHV-MW'!MP76)</f>
        <v/>
      </c>
      <c r="IA141" s="636" t="str">
        <f>IF(OR(HZ141="",HQ141="",'HHV-LHV-MW'!MP76=""),"",((HZ141*HQ141*('HHV-LHV-MW'!MP76/100))/23.685)^2)</f>
        <v/>
      </c>
      <c r="IB141" s="636" t="str">
        <f>IF(OR(HZ141="",HR141="",'HHV-LHV-MW'!MP76=""),"",((HZ141*HR141*('HHV-LHV-MW'!MP76/100))/23.685)^2)</f>
        <v/>
      </c>
      <c r="IC141" s="639" t="str">
        <f t="shared" si="135"/>
        <v/>
      </c>
      <c r="ID141" s="891" t="str">
        <f t="shared" si="136"/>
        <v/>
      </c>
      <c r="IE141" s="643" t="str">
        <f>IF(AQ141="","",VLOOKUP(AQ141,'HHV-LHV-MW'!$A$3:$H$40,7,FALSE))</f>
        <v/>
      </c>
      <c r="IF141" s="875" t="str">
        <f>IF($BW$116=1,     IF(OR(IE141="",'HHV-LHV-MW'!MP76="",HZ141=""),"",(IE141*('HHV-LHV-MW'!MP76/100)*HZ141)^2),IF(OR(IE141="",HS141="",HV141=""),"",(IE141*(HS141/100)*HV141)^2))</f>
        <v/>
      </c>
      <c r="IG141" s="635" t="str">
        <f>IF(AQ141="","",VLOOKUP(AQ141,'HHV-LHV-MW'!$A$3:$I$40,9,FALSE))</f>
        <v/>
      </c>
      <c r="IH141" s="875" t="str">
        <f>IF($BW$116=1,     IF(OR(IG141="",'HHV-LHV-MW'!MP76="",HZ141=""),"",(IG141*('HHV-LHV-MW'!MP76/100)*HZ141)^2),IF(OR(IG141="",HS141="",HV141=""),"",(IG141*(HS141/100)*HV141)^2))</f>
        <v/>
      </c>
      <c r="II141" s="635" t="str">
        <f>IF(AQ141="","",(VLOOKUP(AQ141,'HHV-LHV-MW'!$A$3:$F$40,6,FALSE))    )</f>
        <v/>
      </c>
      <c r="IJ141" s="875" t="str">
        <f>IF($BW$116=1,     IF(OR(II141="",'HHV-LHV-MW'!MP76="",HZ141=""),"",(II141*('HHV-LHV-MW'!MP76/100)*HZ141)^2),IF(OR(II141="",HS141="",HV141=""),"",(II141*(HS141/100)*HV141)^2))</f>
        <v/>
      </c>
      <c r="IK141" s="638" t="str">
        <f>IF($BW$116=1,     IF(OR(II141="",IG141="",$AR$103="",$AR$103=0,'HHV-LHV-MW'!MP76="",HZ141="",$IH$145=""),"", ((II141*((IG141*('HHV-LHV-MW'!MP76/100))/$AR$103))^2)*((HZ141^2)+($IH$145^2))),              IF(OR(II141="",IG141="",HS141="",HV141="",$IH$145="",$AR$103="",$AR$103=0),"",      ((II141*((IG141*(HS141/100))/$AR$103))^2)*((HV141^2)+($IH$145^2))             ))</f>
        <v/>
      </c>
      <c r="IL141" s="889" t="str">
        <f>IF(AW141="","",VLOOKUP(AW141,'HHV-LHV-MW'!$A$3:$H$40,4,FALSE))</f>
        <v/>
      </c>
      <c r="IM141" s="889" t="str">
        <f>IF(AW141="","",VLOOKUP(AW141,'HHV-LHV-MW'!$A$3:$H$40,5,FALSE))</f>
        <v/>
      </c>
      <c r="IN141" s="890" t="str">
        <f>IF($BW$126="","",((PRODUCT('HHV-LHV-MW'!ON76)+PRODUCT('HHV-LHV-MW'!OZ76)+PRODUCT('HHV-LHV-MW'!PL76)+PRODUCT('HHV-LHV-MW'!PX76))/$BW$126))</f>
        <v/>
      </c>
      <c r="IO141" s="890" t="str">
        <f>IF($BW$126="","",(IF($BW$126=1,"",  (SQRT(  (      (IF('HHV-LHV-MW'!ON76="",0,('HHV-LHV-MW'!ON76-IN141)^2))      +        (IF('HHV-LHV-MW'!OZ76="",0,('HHV-LHV-MW'!OZ76-IN141)^2))       +        (IF('HHV-LHV-MW'!PL76="",0,('HHV-LHV-MW'!PL76-IN141)^2))          +        (IF('HHV-LHV-MW'!PX76="",0,('HHV-LHV-MW'!PX76-IN141)^2))          )     *(1/($BW$126-1))  )))))</f>
        <v/>
      </c>
      <c r="IP141" s="890" t="str">
        <f t="shared" si="137"/>
        <v/>
      </c>
      <c r="IQ141" s="890" t="str">
        <f t="shared" si="138"/>
        <v/>
      </c>
      <c r="IR141" s="636" t="str">
        <f>IF('HHV-LHV-MW'!ON76="","",IF(AND('HHV-LHV-MW'!ON76&gt;=0,'HHV-LHV-MW'!ON76&lt;=0.09),2,  IF(AND('HHV-LHV-MW'!ON76&gt;=0.1,'HHV-LHV-MW'!ON76&lt;=0.9),7,  IF(AND('HHV-LHV-MW'!ON76&gt;=1,'HHV-LHV-MW'!ON76&lt;=4.9),10,   IF(AND('HHV-LHV-MW'!ON76&gt;=5,'HHV-LHV-MW'!ON76&lt;=10),12, 15)))))</f>
        <v/>
      </c>
      <c r="IS141" s="636" t="str">
        <f>IF('HHV-LHV-MW'!ON76="","",5*'HHV-LHV-MW'!ON76)</f>
        <v/>
      </c>
      <c r="IT141" s="635" t="str">
        <f t="shared" si="139"/>
        <v/>
      </c>
      <c r="IU141" s="636" t="str">
        <f>IF(OR(IT141="",'HHV-LHV-MW'!ON76=0),"",IT141/'HHV-LHV-MW'!ON76)</f>
        <v/>
      </c>
      <c r="IV141" s="636" t="str">
        <f>IF(OR(IU141="",IL141="",'HHV-LHV-MW'!ON76=""),"",((IU141*IL141*('HHV-LHV-MW'!ON76/100))/23.685)^2)</f>
        <v/>
      </c>
      <c r="IW141" s="636" t="str">
        <f>IF(OR(IU141="",IM141="",'HHV-LHV-MW'!ON76=""),"",((IU141*IM141*('HHV-LHV-MW'!ON76/100))/23.685)^2)</f>
        <v/>
      </c>
      <c r="IX141" s="639" t="str">
        <f t="shared" si="140"/>
        <v/>
      </c>
      <c r="IY141" s="891" t="str">
        <f t="shared" si="141"/>
        <v/>
      </c>
      <c r="IZ141" s="643" t="str">
        <f>IF(AW141="","",VLOOKUP(AW141,'HHV-LHV-MW'!$A$3:$H$40,7,FALSE))</f>
        <v/>
      </c>
      <c r="JA141" s="875" t="str">
        <f>IF($BW$126=1,     IF(OR(IZ141="",'HHV-LHV-MW'!ON76="",IU141=""),"",(IZ141*('HHV-LHV-MW'!ON76/100)*IU141)^2),IF(OR(IZ141="",IN141="",IQ141=""),"",(IZ141*(IN141/100)*IQ141)^2))</f>
        <v/>
      </c>
      <c r="JB141" s="635" t="str">
        <f>IF(AW141="","",VLOOKUP(AW141,'HHV-LHV-MW'!$A$3:$I$40,9,FALSE))</f>
        <v/>
      </c>
      <c r="JC141" s="875" t="str">
        <f>IF($BW$126=1,     IF(OR(JB141="",'HHV-LHV-MW'!ON76="",IU141=""),"",(JB141*('HHV-LHV-MW'!ON76/100)*IU141)^2),IF(OR(JB141="",IN141="",IQ141=""),"",(JB141*(IN141/100)*IQ141)^2))</f>
        <v/>
      </c>
      <c r="JD141" s="635" t="str">
        <f>IF(AW141="","",(VLOOKUP(AW141,'HHV-LHV-MW'!$A$3:$F$40,6,FALSE))    )</f>
        <v/>
      </c>
      <c r="JE141" s="875" t="str">
        <f>IF($BW$126=1,     IF(OR(JD141="",'HHV-LHV-MW'!ON76="",IU141=""),"",(JD141*('HHV-LHV-MW'!ON76/100)*IU141)^2),IF(OR(JD141="",IN141="",IQ141=""),"",(JD141*(IN141/100)*IQ141)^2))</f>
        <v/>
      </c>
      <c r="JF141" s="638" t="str">
        <f>IF($BW$126=1,     IF(OR(JD141="",JB141="",$AX$103="",$AX$103=0,'HHV-LHV-MW'!ON76="",IU141="",$JC$145=""),"", ((JD141*((JB141*('HHV-LHV-MW'!ON76/100))/$AX$103))^2)*((IU141^2)+($JC$145^2))),              IF(OR(JD141="",JB141="",IN141="",IQ141="",$JC$145="",$AX$103="",$AX$103=0),"",      ((JD141*((JB141*(IN141/100))/$AX$103))^2)*((IQ141^2)+($JC$145^2))             ))</f>
        <v/>
      </c>
      <c r="JG141" s="889" t="str">
        <f>IF(BC141="","",VLOOKUP(BC141,'HHV-LHV-MW'!$A$3:$H$40,4,FALSE))</f>
        <v/>
      </c>
      <c r="JH141" s="889" t="str">
        <f>IF(BC141="","",VLOOKUP(BC141,'HHV-LHV-MW'!$A$3:$H$40,5,FALSE))</f>
        <v/>
      </c>
      <c r="JI141" s="890" t="str">
        <f>IF($BW$136="","",((PRODUCT('HHV-LHV-MW'!QK76)+PRODUCT('HHV-LHV-MW'!QW76)+PRODUCT('HHV-LHV-MW'!RI76)+PRODUCT('HHV-LHV-MW'!RU76))/$BW$136))</f>
        <v/>
      </c>
      <c r="JJ141" s="890" t="str">
        <f>IF($BW$136="","",(IF($BW$136=1,"",  (SQRT(  (      (IF('HHV-LHV-MW'!QK76="",0,('HHV-LHV-MW'!QK76-JI141)^2))      +        (IF('HHV-LHV-MW'!QW76="",0,('HHV-LHV-MW'!QW76-JI141)^2))       +        (IF('HHV-LHV-MW'!RI76="",0,('HHV-LHV-MW'!RI76-JI141)^2))          +        (IF('HHV-LHV-MW'!RU76="",0,('HHV-LHV-MW'!RU76-JI141)^2))          )     *(1/($BW$136-1))  )))))</f>
        <v/>
      </c>
      <c r="JK141" s="890" t="str">
        <f t="shared" si="142"/>
        <v/>
      </c>
      <c r="JL141" s="890" t="str">
        <f t="shared" si="143"/>
        <v/>
      </c>
      <c r="JM141" s="636" t="str">
        <f>IF('HHV-LHV-MW'!QK76="","",IF(AND('HHV-LHV-MW'!QK76&gt;=0,'HHV-LHV-MW'!QK76&lt;=0.09),2,  IF(AND('HHV-LHV-MW'!QK76&gt;=0.1,'HHV-LHV-MW'!QK76&lt;=0.9),7,  IF(AND('HHV-LHV-MW'!QK76&gt;=1,'HHV-LHV-MW'!QK76&lt;=4.9),10,   IF(AND('HHV-LHV-MW'!QK76&gt;=5,'HHV-LHV-MW'!QK76&lt;=10),12, 15)))))</f>
        <v/>
      </c>
      <c r="JN141" s="636" t="str">
        <f>IF('HHV-LHV-MW'!QK76="","",5*'HHV-LHV-MW'!QK76)</f>
        <v/>
      </c>
      <c r="JO141" s="635" t="str">
        <f t="shared" si="144"/>
        <v/>
      </c>
      <c r="JP141" s="636" t="str">
        <f>IF(OR(JO141="",'HHV-LHV-MW'!QK76=0),"",JO141/'HHV-LHV-MW'!QK76)</f>
        <v/>
      </c>
      <c r="JQ141" s="636" t="str">
        <f>IF(OR(JP141="",JG141="",'HHV-LHV-MW'!QK76=""),"",((JP141*JG141*('HHV-LHV-MW'!QK76/100))/23.685)^2)</f>
        <v/>
      </c>
      <c r="JR141" s="636" t="str">
        <f>IF(OR(JP141="",JH141="",'HHV-LHV-MW'!QK76=""),"",((JP141*JH141*('HHV-LHV-MW'!QK76/100))/23.685)^2)</f>
        <v/>
      </c>
      <c r="JS141" s="639" t="str">
        <f t="shared" si="145"/>
        <v/>
      </c>
      <c r="JT141" s="891" t="str">
        <f t="shared" si="146"/>
        <v/>
      </c>
      <c r="JU141" s="643" t="str">
        <f>IF(BC141="","",VLOOKUP(BC141,'HHV-LHV-MW'!$A$3:$H$40,7,FALSE))</f>
        <v/>
      </c>
      <c r="JV141" s="875" t="str">
        <f>IF($BW$136=1,     IF(OR(JU141="",'HHV-LHV-MW'!QK76="",JP141=""),"",(JU141*('HHV-LHV-MW'!QK76/100)*JP141)^2),IF(OR(JU141="",JI141="",JL141=""),"",(JU141*(JI141/100)*JL141)^2))</f>
        <v/>
      </c>
      <c r="JW141" s="635" t="str">
        <f>IF(BC141="","",VLOOKUP(BC141,'HHV-LHV-MW'!$A$3:$I$40,9,FALSE))</f>
        <v/>
      </c>
      <c r="JX141" s="875" t="str">
        <f>IF($BW$136=1,     IF(OR(JW141="",'HHV-LHV-MW'!QK76="",JP141=""),"",(JW141*('HHV-LHV-MW'!QK76/100)*JP141)^2),IF(OR(JW141="",JI141="",JL141=""),"",(JW141*(JI141/100)*JL141)^2))</f>
        <v/>
      </c>
      <c r="JY141" s="635" t="str">
        <f>IF(BC141="","",(VLOOKUP(BC141,'HHV-LHV-MW'!$A$3:$F$40,6,FALSE))    )</f>
        <v/>
      </c>
      <c r="JZ141" s="875" t="str">
        <f>IF($BW$136=1,     IF(OR(JY141="",'HHV-LHV-MW'!QK76="",JP141=""),"",(JY141*('HHV-LHV-MW'!QK76/100)*JP141)^2),IF(OR(JY141="",JI141="",JL141=""),"",(JY141*(JI141/100)*JL141)^2))</f>
        <v/>
      </c>
      <c r="KA141" s="638" t="str">
        <f>IF($BW$136=1,     IF(OR(JY141="",JW141="",$BD$103="",$BD$103=0,'HHV-LHV-MW'!QK76="",JP141="",$JX$145=""),"", ((JY141*((JW141*('HHV-LHV-MW'!QK76/100))/$BD$103))^2)*((JP141^2)+($JX$145^2))),              IF(OR(JY141="",JW141="",JI141="",JL141="",$JX$145="",$BD$103="",$BD$103=0),"",      ((JY141*((JW141*(JI141/100))/$BD$103))^2)*((JL141^2)+($JX$145^2))             ))</f>
        <v/>
      </c>
      <c r="KB141" s="874"/>
      <c r="KC141" s="874"/>
      <c r="KD141" s="874"/>
      <c r="KE141" s="874"/>
      <c r="KF141" s="874"/>
      <c r="KG141" s="874"/>
      <c r="KH141" s="865"/>
      <c r="KI141" s="865"/>
      <c r="KJ141" s="865"/>
      <c r="KK141" s="865"/>
      <c r="KL141" s="865"/>
      <c r="KM141" s="865"/>
      <c r="KN141" s="865"/>
      <c r="KO141" s="865"/>
      <c r="KP141" s="865"/>
      <c r="KQ141" s="865"/>
      <c r="KR141" s="865"/>
      <c r="KS141" s="865"/>
      <c r="KT141" s="865"/>
      <c r="KU141" s="865"/>
      <c r="KV141" s="865"/>
      <c r="KW141" s="865"/>
      <c r="KX141" s="865"/>
      <c r="KY141" s="865"/>
      <c r="KZ141" s="865"/>
      <c r="LA141" s="865"/>
      <c r="LB141" s="865"/>
      <c r="LC141" s="865"/>
      <c r="LD141" s="865"/>
      <c r="LE141" s="865"/>
      <c r="LF141" s="865"/>
    </row>
    <row r="142" spans="1:318" ht="16.95" customHeight="1" thickBot="1">
      <c r="A142" s="864"/>
      <c r="B142" s="502"/>
      <c r="C142" s="502"/>
      <c r="D142" s="502"/>
      <c r="E142" s="502"/>
      <c r="F142" s="511"/>
      <c r="G142" s="864"/>
      <c r="H142" s="502"/>
      <c r="I142" s="502"/>
      <c r="J142" s="502"/>
      <c r="K142" s="502"/>
      <c r="L142" s="511"/>
      <c r="M142" s="864"/>
      <c r="N142" s="502"/>
      <c r="O142" s="502"/>
      <c r="P142" s="502"/>
      <c r="Q142" s="502"/>
      <c r="R142" s="511"/>
      <c r="S142" s="864"/>
      <c r="T142" s="502"/>
      <c r="U142" s="502"/>
      <c r="V142" s="502"/>
      <c r="W142" s="502"/>
      <c r="X142" s="511"/>
      <c r="Y142" s="864"/>
      <c r="Z142" s="502"/>
      <c r="AA142" s="502"/>
      <c r="AB142" s="502"/>
      <c r="AC142" s="502"/>
      <c r="AD142" s="511"/>
      <c r="AE142" s="864"/>
      <c r="AF142" s="502"/>
      <c r="AG142" s="502"/>
      <c r="AH142" s="502"/>
      <c r="AI142" s="502"/>
      <c r="AJ142" s="511"/>
      <c r="AK142" s="864"/>
      <c r="AL142" s="502"/>
      <c r="AM142" s="502"/>
      <c r="AN142" s="502"/>
      <c r="AO142" s="502"/>
      <c r="AP142" s="511"/>
      <c r="AQ142" s="864"/>
      <c r="AR142" s="502"/>
      <c r="AS142" s="502"/>
      <c r="AT142" s="502"/>
      <c r="AU142" s="502"/>
      <c r="AV142" s="511"/>
      <c r="AW142" s="864"/>
      <c r="AX142" s="502"/>
      <c r="AY142" s="502"/>
      <c r="AZ142" s="502"/>
      <c r="BA142" s="502"/>
      <c r="BB142" s="511"/>
      <c r="BC142" s="864"/>
      <c r="BD142" s="502"/>
      <c r="BE142" s="502"/>
      <c r="BF142" s="502"/>
      <c r="BG142" s="502"/>
      <c r="BH142" s="865"/>
      <c r="BI142" s="865"/>
      <c r="BJ142" s="1143" t="s">
        <v>1510</v>
      </c>
      <c r="BK142" s="2481"/>
      <c r="BL142" s="2481"/>
      <c r="BM142" s="2481"/>
      <c r="BN142" s="1144"/>
      <c r="BO142" s="2477" t="str">
        <f>FZ143</f>
        <v/>
      </c>
      <c r="BP142" s="2477"/>
      <c r="BQ142" s="865"/>
      <c r="BR142" s="1143" t="s">
        <v>1510</v>
      </c>
      <c r="BS142" s="2481"/>
      <c r="BT142" s="2481"/>
      <c r="BU142" s="2481"/>
      <c r="BV142" s="1144"/>
      <c r="BW142" s="2477" t="str">
        <f>KA143</f>
        <v/>
      </c>
      <c r="BX142" s="2477"/>
      <c r="BY142" s="874"/>
      <c r="BZ142" s="888" t="str">
        <f>IF(A142="","",VLOOKUP(A142,'HHV-LHV-MW'!$A$3:$H$40,4,FALSE))</f>
        <v/>
      </c>
      <c r="CA142" s="889" t="str">
        <f>IF(A142="","",VLOOKUP(A142,'HHV-LHV-MW'!$A$3:$H$40,5,FALSE))</f>
        <v/>
      </c>
      <c r="CB142" s="890" t="str">
        <f>IF($BO$96="","",((PRODUCT('HHV-LHV-MW'!K77)+PRODUCT('HHV-LHV-MW'!W77)+PRODUCT('HHV-LHV-MW'!AI77)+PRODUCT('HHV-LHV-MW'!AU77))/$BO$96))</f>
        <v/>
      </c>
      <c r="CC142" s="890" t="str">
        <f>IF($BO$96="","",(IF($BO$96=1,"",  (SQRT(  (      (IF('HHV-LHV-MW'!K77="",0,('HHV-LHV-MW'!K77-CB142)^2))      +        (IF('HHV-LHV-MW'!W77="",0,('HHV-LHV-MW'!W77-CB142)^2))       +        (IF('HHV-LHV-MW'!AI77="",0,('HHV-LHV-MW'!AI77-CB142)^2))          +        (IF('HHV-LHV-MW'!AU77="",0,('HHV-LHV-MW'!AU77-CB142)^2))          )     *(1/($BO$96-1))  )))))</f>
        <v/>
      </c>
      <c r="CD142" s="890" t="str">
        <f t="shared" si="97"/>
        <v/>
      </c>
      <c r="CE142" s="890" t="str">
        <f t="shared" si="98"/>
        <v/>
      </c>
      <c r="CF142" s="636" t="str">
        <f>IF('HHV-LHV-MW'!K77="","",IF(AND('HHV-LHV-MW'!K77&gt;=0,'HHV-LHV-MW'!K77&lt;=0.09),2,  IF(AND('HHV-LHV-MW'!K77&gt;=0.1,'HHV-LHV-MW'!K77&lt;=0.9),7,  IF(AND('HHV-LHV-MW'!K77&gt;=1,'HHV-LHV-MW'!K77&lt;=4.9),10,   IF(AND('HHV-LHV-MW'!K77&gt;=5,'HHV-LHV-MW'!K77&lt;=10),12, 15)))))</f>
        <v/>
      </c>
      <c r="CG142" s="636" t="str">
        <f>IF('HHV-LHV-MW'!K77="","",5*'HHV-LHV-MW'!K77)</f>
        <v/>
      </c>
      <c r="CH142" s="876" t="str">
        <f t="shared" si="99"/>
        <v/>
      </c>
      <c r="CI142" s="636" t="str">
        <f>IF(OR(CH142="",'HHV-LHV-MW'!K77=0),"",CH142/'HHV-LHV-MW'!K77)</f>
        <v/>
      </c>
      <c r="CJ142" s="636" t="str">
        <f>IF(OR(CI142="",BZ142="",'HHV-LHV-MW'!K77=""),"",((CI142*BZ142*('HHV-LHV-MW'!K77/100))/23.685)^2)</f>
        <v/>
      </c>
      <c r="CK142" s="636" t="str">
        <f>IF(OR(CI142="",CA142="",'HHV-LHV-MW'!K77=""),"",((CI142*CA142*('HHV-LHV-MW'!K77/100))/23.685)^2)</f>
        <v/>
      </c>
      <c r="CL142" s="641" t="str">
        <f t="shared" si="100"/>
        <v/>
      </c>
      <c r="CM142" s="902" t="str">
        <f t="shared" si="101"/>
        <v/>
      </c>
      <c r="CN142" s="641" t="str">
        <f>IF(A142="","",VLOOKUP(A142,'HHV-LHV-MW'!$A$3:$H$40,7,FALSE))</f>
        <v/>
      </c>
      <c r="CO142" s="636" t="str">
        <f>IF($BO$96=1,     IF(OR(CN142="",'HHV-LHV-MW'!K77="",CI142=""),"",(CN142*('HHV-LHV-MW'!K77/100)*CI142)^2),IF(OR(CN142="",CB142="",CE142=""),"",(CN142*(CB142/100)*CE142)^2))</f>
        <v/>
      </c>
      <c r="CP142" s="635" t="str">
        <f>IF(A142="","",VLOOKUP(A142,'HHV-LHV-MW'!$A$3:$I$40,9,FALSE))</f>
        <v/>
      </c>
      <c r="CQ142" s="636" t="str">
        <f>IF($BO$96=1,     IF(OR(CP142="",'HHV-LHV-MW'!K77="",CI142=""),"",(CP142*('HHV-LHV-MW'!K77/100)*CI142)^2),IF(OR(CP142="",CB142="",CE142=""),"",(CP142*(CB142/100)*CE142)^2))</f>
        <v/>
      </c>
      <c r="CR142" s="636" t="str">
        <f>IF(A142="","",(VLOOKUP(A142,'HHV-LHV-MW'!$A$3:$F$40,6,FALSE))    )</f>
        <v/>
      </c>
      <c r="CS142" s="636" t="str">
        <f>IF($BO$96=1,     IF(OR(CR142="",'HHV-LHV-MW'!K77="",CI142=""),"",(CR142*('HHV-LHV-MW'!K77/100)*CI142)^2),IF(OR(CR142="",CB142="",CE142=""),"",(CR142*(CB142/100)*CE142)^2))</f>
        <v/>
      </c>
      <c r="CT142" s="640" t="str">
        <f>IF($BO$96=1,     IF(OR(CR142="",CP142="",$B$103="",$B$103=0,'HHV-LHV-MW'!K77="",CI142="",$CQ$145=""),"", ((CR142*((CP142*('HHV-LHV-MW'!K77/100))/$B$103))^2)*((CI142^2)+($CQ$145^2))),              IF(OR(CR142="",CP142="",CB142="",CE142="",$CQ$145="",$B$103="",$B$103=0),"",      ((CR142*((CP142*(CB142/100))/$B$103))^2)*((CE142^2)+($CQ$145^2))             ))</f>
        <v/>
      </c>
      <c r="CU142" s="889" t="str">
        <f>IF(G142="","",VLOOKUP(G142,'HHV-LHV-MW'!$A$3:$H$40,4,FALSE))</f>
        <v/>
      </c>
      <c r="CV142" s="889" t="str">
        <f>IF(G142="","",VLOOKUP(G142,'HHV-LHV-MW'!$A$3:$H$40,5,FALSE))</f>
        <v/>
      </c>
      <c r="CW142" s="890" t="str">
        <f>IF($BO$106="","",((PRODUCT('HHV-LHV-MW'!BH77)+PRODUCT('HHV-LHV-MW'!BT77)+PRODUCT('HHV-LHV-MW'!CF77)+PRODUCT('HHV-LHV-MW'!CR77))/$BO$106))</f>
        <v/>
      </c>
      <c r="CX142" s="890" t="str">
        <f>IF($BO$106="","",(IF($BO$106=1,"",  (SQRT(  (      (IF('HHV-LHV-MW'!BH77="",0,('HHV-LHV-MW'!BH77-CW142)^2))      +        (IF('HHV-LHV-MW'!BT77="",0,('HHV-LHV-MW'!BT77-CW142)^2))       +        (IF('HHV-LHV-MW'!CF77="",0,('HHV-LHV-MW'!CF77-CW142)^2))          +        (IF('HHV-LHV-MW'!CR77="",0,('HHV-LHV-MW'!CR77-CW142)^2))          )     *(1/($BO$106-1))  )))))</f>
        <v/>
      </c>
      <c r="CY142" s="890" t="str">
        <f t="shared" si="102"/>
        <v/>
      </c>
      <c r="CZ142" s="890" t="str">
        <f t="shared" si="103"/>
        <v/>
      </c>
      <c r="DA142" s="636" t="str">
        <f>IF('HHV-LHV-MW'!BH77="","",IF(AND('HHV-LHV-MW'!BH77&gt;=0,'HHV-LHV-MW'!BH77&lt;=0.09),2,  IF(AND('HHV-LHV-MW'!BH77&gt;=0.1,'HHV-LHV-MW'!BH77&lt;=0.9),7,  IF(AND('HHV-LHV-MW'!BH77&gt;=1,'HHV-LHV-MW'!BH77&lt;=4.9),10,   IF(AND('HHV-LHV-MW'!BH77&gt;=5,'HHV-LHV-MW'!BH77&lt;=10),12, 15)))))</f>
        <v/>
      </c>
      <c r="DB142" s="636" t="str">
        <f>IF('HHV-LHV-MW'!BH77="","",5*'HHV-LHV-MW'!BH77)</f>
        <v/>
      </c>
      <c r="DC142" s="635" t="str">
        <f t="shared" si="104"/>
        <v/>
      </c>
      <c r="DD142" s="636" t="str">
        <f>IF(OR(DC142="",'HHV-LHV-MW'!BH77=0),"",DC142/'HHV-LHV-MW'!BH77)</f>
        <v/>
      </c>
      <c r="DE142" s="635" t="str">
        <f>IF(OR(DD142="",CU142="",'HHV-LHV-MW'!BH77=""),"",((DD142*CU142*('HHV-LHV-MW'!BH77/100))/23.685)^2)</f>
        <v/>
      </c>
      <c r="DF142" s="636" t="str">
        <f>IF(OR(DD142="",CV142="",'HHV-LHV-MW'!BH77=""),"",((DD142*CV142*('HHV-LHV-MW'!BH77/100))/23.685)^2)</f>
        <v/>
      </c>
      <c r="DG142" s="641" t="str">
        <f>IF(OR(CZ142="",CU142="",CW142=""),"",((CZ142*CU142*(CW142/100))/23.685)^2)</f>
        <v/>
      </c>
      <c r="DH142" s="903" t="str">
        <f>IF(OR(CZ142="",CV142="",CW142=""),"",((CZ142*CV142*(CW142/100))/23.685)^2)</f>
        <v/>
      </c>
      <c r="DI142" s="879" t="str">
        <f>IF(G142="","",VLOOKUP(G142,'HHV-LHV-MW'!$A$3:$H$40,7,FALSE))</f>
        <v/>
      </c>
      <c r="DJ142" s="875" t="str">
        <f>IF($BO$106=1,     IF(OR(DI142="",'HHV-LHV-MW'!BH77="",DD142=""),"",(DI142*('HHV-LHV-MW'!BH77/100)*DD142)^2),IF(OR(DI142="",CW142="",CZ142=""),"",(DI142*(CW142/100)*CZ142)^2))</f>
        <v/>
      </c>
      <c r="DK142" s="879" t="str">
        <f>IF(G142="","",VLOOKUP(G142,'HHV-LHV-MW'!$A$3:$I$40,9,FALSE))</f>
        <v/>
      </c>
      <c r="DL142" s="875" t="str">
        <f>IF($BO$106=1,     IF(OR(DK142="",'HHV-LHV-MW'!BH77="",DD142=""),"",(DK142*('HHV-LHV-MW'!BH77/100)*DD142)^2),IF(OR(DK142="",CW142="",CZ142=""),"",(DK142*(CW142/100)*CZ142)^2))</f>
        <v/>
      </c>
      <c r="DM142" s="879" t="str">
        <f>IF(G142="","",(VLOOKUP(G142,'HHV-LHV-MW'!$A$3:$F$40,6,FALSE))    )</f>
        <v/>
      </c>
      <c r="DN142" s="875" t="str">
        <f>IF($BO$106=1,     IF(OR(DM142="",'HHV-LHV-MW'!BH77="",DD142=""),"",(DM142*('HHV-LHV-MW'!BH77/100)*DD142)^2),IF(OR(DM142="",CW142="",CZ142=""),"",(DM142*(CW142/100)*CZ142)^2))</f>
        <v/>
      </c>
      <c r="DO142" s="638" t="str">
        <f>IF($BO$106=1,     IF(OR(DM142="",DK142="",$H$103="",$H$103=0,'HHV-LHV-MW'!BH77="",DD142="",$DL$145=""),"", ((DM142*((DK142*('HHV-LHV-MW'!BH77/100))/$H$103))^2)*((DD142^2)+($DL$145^2))),              IF(OR(DM142="",DK142="",CW142="",CZ142="",$DL$145="",$H$103="",$H$103=0),"",      ((DM142*((DK142*(CW142/100))/$H$103))^2)*((CZ142^2)+($DL$145^2))             ))</f>
        <v/>
      </c>
      <c r="DP142" s="889" t="str">
        <f>IF(M142="","",VLOOKUP(M142,'HHV-LHV-MW'!$A$3:$H$40,4,FALSE))</f>
        <v/>
      </c>
      <c r="DQ142" s="889" t="str">
        <f>IF(M142="","",VLOOKUP(M142,'HHV-LHV-MW'!$A$3:$H$40,5,FALSE))</f>
        <v/>
      </c>
      <c r="DR142" s="890" t="str">
        <f>IF($BO$116="","",((PRODUCT('HHV-LHV-MW'!DE77)+PRODUCT('HHV-LHV-MW'!DQ77)+PRODUCT('HHV-LHV-MW'!EC77)+PRODUCT('HHV-LHV-MW'!EO77))/$BO$116))</f>
        <v/>
      </c>
      <c r="DS142" s="890" t="str">
        <f>IF($BO$116="","",(IF($BO$116=1,"",  (SQRT(  (      (IF('HHV-LHV-MW'!DE77="",0,('HHV-LHV-MW'!DE77-DR142)^2))      +        (IF('HHV-LHV-MW'!DQ77="",0,('HHV-LHV-MW'!DQ77-DR142)^2))       +        (IF('HHV-LHV-MW'!EC77="",0,('HHV-LHV-MW'!EC77-DR142)^2))          +        (IF('HHV-LHV-MW'!EO77="",0,('HHV-LHV-MW'!EO77-DR142)^2))          )     *(1/($BO$116-1))  )))))</f>
        <v/>
      </c>
      <c r="DT142" s="890" t="str">
        <f t="shared" si="107"/>
        <v/>
      </c>
      <c r="DU142" s="890" t="str">
        <f t="shared" si="108"/>
        <v/>
      </c>
      <c r="DV142" s="636" t="str">
        <f>IF('HHV-LHV-MW'!DE77="","",IF(AND('HHV-LHV-MW'!DE77&gt;=0,'HHV-LHV-MW'!DE77&lt;=0.09),2,  IF(AND('HHV-LHV-MW'!DE77&gt;=0.1,'HHV-LHV-MW'!DE77&lt;=0.9),7,  IF(AND('HHV-LHV-MW'!DE77&gt;=1,'HHV-LHV-MW'!DE77&lt;=4.9),10,   IF(AND('HHV-LHV-MW'!DE77&gt;=5,'HHV-LHV-MW'!DE77&lt;=10),12, 15)))))</f>
        <v/>
      </c>
      <c r="DW142" s="636" t="str">
        <f>IF('HHV-LHV-MW'!DE77="","",5*'HHV-LHV-MW'!DE77)</f>
        <v/>
      </c>
      <c r="DX142" s="635" t="str">
        <f t="shared" si="109"/>
        <v/>
      </c>
      <c r="DY142" s="636" t="str">
        <f>IF(OR(DX142="",'HHV-LHV-MW'!DE77=0),"",DX142/'HHV-LHV-MW'!DE77)</f>
        <v/>
      </c>
      <c r="DZ142" s="636" t="str">
        <f>IF(OR(DY142="",DP142="",'HHV-LHV-MW'!DE77=""),"",((DY142*DP142*('HHV-LHV-MW'!DE77/100))/23.685)^2)</f>
        <v/>
      </c>
      <c r="EA142" s="636" t="str">
        <f>IF(OR(DY142="",DQ142="",'HHV-LHV-MW'!DE77=""),"",((DY142*DQ142*('HHV-LHV-MW'!DE77/100))/23.685)^2)</f>
        <v/>
      </c>
      <c r="EB142" s="639" t="str">
        <f t="shared" si="110"/>
        <v/>
      </c>
      <c r="EC142" s="891" t="str">
        <f>IF(OR(DU142="",DQ142="",DR142=""),"",((DU142*DQ142*(DR142/100))/23.685)^2)</f>
        <v/>
      </c>
      <c r="ED142" s="644" t="str">
        <f>IF(M142="","",VLOOKUP(M142,'HHV-LHV-MW'!$A$3:$H$40,7,FALSE))</f>
        <v/>
      </c>
      <c r="EE142" s="875" t="str">
        <f>IF($BO$116=1,     IF(OR(ED142="",'HHV-LHV-MW'!DE77="",DY142=""),"",(ED142*('HHV-LHV-MW'!DE77/100)*DY142)^2),IF(OR(ED142="",DR142="",DU142=""),"",(ED142*(DR142/100)*DU142)^2))</f>
        <v/>
      </c>
      <c r="EF142" s="879" t="str">
        <f>IF(M142="","",VLOOKUP(M142,'HHV-LHV-MW'!$A$3:$I$40,9,FALSE))</f>
        <v/>
      </c>
      <c r="EG142" s="875" t="str">
        <f>IF($BO$116=1,     IF(OR(EF142="",'HHV-LHV-MW'!DE77="",DY142=""),"",(EF142*('HHV-LHV-MW'!DE77/100)*DY142)^2),IF(OR(EF142="",DR142="",DU142=""),"",(EF142*(DR142/100)*DU142)^2))</f>
        <v/>
      </c>
      <c r="EH142" s="879" t="str">
        <f>IF(M142="","",(VLOOKUP(M142,'HHV-LHV-MW'!$A$3:$F$40,6,FALSE))    )</f>
        <v/>
      </c>
      <c r="EI142" s="875" t="str">
        <f>IF($BO$116=1,     IF(OR(EH142="",'HHV-LHV-MW'!DE77="",DY142=""),"",(EH142*('HHV-LHV-MW'!DE77/100)*DY142)^2),IF(OR(EH142="",DR142="",DU142=""),"",(EH142*(DR142/100)*DU142)^2))</f>
        <v/>
      </c>
      <c r="EJ142" s="638" t="str">
        <f>IF($BO$116=1,     IF(OR(EH142="",EF142="",$N$103="",$N$103=0,'HHV-LHV-MW'!DE77="",DY142="",$EG$145=""),"", ((EH142*((EF142*('HHV-LHV-MW'!DE77/100))/$N$103))^2)*((DY142^2)+($EG$145^2))),              IF(OR(EH142="",EF142="",DR142="",DU142="",$EG$145="",$N$103="",$N$103=0),"",      ((EH142*((EF142*(DR142/100))/$N$103))^2)*((DU142^2)+($EG$145^2))             ))</f>
        <v/>
      </c>
      <c r="EK142" s="889" t="str">
        <f>IF(S142="","",VLOOKUP(S142,'HHV-LHV-MW'!$A$3:$H$40,4,FALSE))</f>
        <v/>
      </c>
      <c r="EL142" s="889" t="str">
        <f>IF(S142="","",VLOOKUP(S142,'HHV-LHV-MW'!$A$3:$H$40,5,FALSE))</f>
        <v/>
      </c>
      <c r="EM142" s="890" t="str">
        <f>IF($BO$126="","",((PRODUCT('HHV-LHV-MW'!FB77)+PRODUCT('HHV-LHV-MW'!FN77)+PRODUCT('HHV-LHV-MW'!FZ77)+PRODUCT('HHV-LHV-MW'!GL77))/$BO$126))</f>
        <v/>
      </c>
      <c r="EN142" s="890" t="str">
        <f>IF($BO$126="","",(IF($BO$126=1,"",  (SQRT(  (      (IF('HHV-LHV-MW'!FB77="",0,('HHV-LHV-MW'!FB77-EM142)^2))      +        (IF('HHV-LHV-MW'!FN77="",0,('HHV-LHV-MW'!FN77-EM142)^2))       +        (IF('HHV-LHV-MW'!FZ77="",0,('HHV-LHV-MW'!FZ77-EM142)^2))          +        (IF('HHV-LHV-MW'!GL77="",0,('HHV-LHV-MW'!GL77-EM142)^2))          )     *(1/($BO$126-1))  )))))</f>
        <v/>
      </c>
      <c r="EO142" s="890" t="str">
        <f t="shared" si="112"/>
        <v/>
      </c>
      <c r="EP142" s="890" t="str">
        <f t="shared" si="113"/>
        <v/>
      </c>
      <c r="EQ142" s="636" t="str">
        <f>IF('HHV-LHV-MW'!FB77="","",IF(AND('HHV-LHV-MW'!FB77&gt;=0,'HHV-LHV-MW'!FB77&lt;=0.09),2,  IF(AND('HHV-LHV-MW'!FB77&gt;=0.1,'HHV-LHV-MW'!FB77&lt;=0.9),7,  IF(AND('HHV-LHV-MW'!FB77&gt;=1,'HHV-LHV-MW'!FB77&lt;=4.9),10,   IF(AND('HHV-LHV-MW'!FB77&gt;=5,'HHV-LHV-MW'!FB77&lt;=10),12, 15)))))</f>
        <v/>
      </c>
      <c r="ER142" s="636" t="str">
        <f>IF('HHV-LHV-MW'!FB77="","",5*'HHV-LHV-MW'!FB77)</f>
        <v/>
      </c>
      <c r="ES142" s="635" t="str">
        <f t="shared" si="114"/>
        <v/>
      </c>
      <c r="ET142" s="636" t="str">
        <f>IF(OR(ES142="",'HHV-LHV-MW'!FB77=0),"",ES142/'HHV-LHV-MW'!FB77)</f>
        <v/>
      </c>
      <c r="EU142" s="636" t="str">
        <f>IF(OR(ET142="",EK142="",'HHV-LHV-MW'!FB77=""),"",((ET142*EK142*('HHV-LHV-MW'!FB77/100))/23.685)^2)</f>
        <v/>
      </c>
      <c r="EV142" s="636" t="str">
        <f>IF(OR(ET142="",EL142="",'HHV-LHV-MW'!FB77=""),"",((ET142*EL142*('HHV-LHV-MW'!FB77/100))/23.685)^2)</f>
        <v/>
      </c>
      <c r="EW142" s="639" t="str">
        <f t="shared" si="115"/>
        <v/>
      </c>
      <c r="EX142" s="891" t="str">
        <f t="shared" si="116"/>
        <v/>
      </c>
      <c r="EY142" s="644" t="str">
        <f>IF(S142="","",VLOOKUP(S142,'HHV-LHV-MW'!$A$3:$H$40,7,FALSE))</f>
        <v/>
      </c>
      <c r="EZ142" s="875" t="str">
        <f>IF($BO$126=1,     IF(OR(EY142="",'HHV-LHV-MW'!FB77="",ET142=""),"",(EY142*('HHV-LHV-MW'!FB77/100)*ET142)^2),IF(OR(EY142="",EM142="",EP142=""),"",(EY142*(EM142/100)*EP142)^2))</f>
        <v/>
      </c>
      <c r="FA142" s="879" t="str">
        <f>IF(S142="","",VLOOKUP(S142,'HHV-LHV-MW'!$A$3:$I$40,9,FALSE))</f>
        <v/>
      </c>
      <c r="FB142" s="875" t="str">
        <f>IF($BO$126=1,     IF(OR(FA142="",'HHV-LHV-MW'!FB77="",ET142=""),"",(FA142*('HHV-LHV-MW'!FB77/100)*ET142)^2),IF(OR(FA142="",EM142="",EP142=""),"",(FA142*(EM142/100)*EP142)^2))</f>
        <v/>
      </c>
      <c r="FC142" s="879" t="str">
        <f>IF(S142="","",(VLOOKUP(S142,'HHV-LHV-MW'!$A$3:$F$40,6,FALSE))    )</f>
        <v/>
      </c>
      <c r="FD142" s="875" t="str">
        <f>IF($BO$126=1,     IF(OR(FC142="",'HHV-LHV-MW'!FB77="",ET142=""),"",(FC142*('HHV-LHV-MW'!FB77/100)*ET142)^2),IF(OR(FC142="",EM142="",EP142=""),"",(FC142*(EM142/100)*EP142)^2))</f>
        <v/>
      </c>
      <c r="FE142" s="638" t="str">
        <f>IF($BO$126=1,     IF(OR(FC142="",FA142="",$T$103="",$T$103=0,'HHV-LHV-MW'!FB77="",ET142="",$FB$145=""),"", ((FC142*((FA142*('HHV-LHV-MW'!FB77/100))/$T$103))^2)*((ET142^2)+($FB$145^2))),              IF(OR(FC142="",FA142="",EM142="",EP142="",$FB$145="",$T$103="",$T$103=0),"",      ((FC142*((FA142*(EM142/100))/$T$103))^2)*((EP142^2)+($FB$145^2))             ))</f>
        <v/>
      </c>
      <c r="FF142" s="889" t="str">
        <f>IF(Y142="","",VLOOKUP(Y142,'HHV-LHV-MW'!$A$3:$H$40,4,FALSE))</f>
        <v/>
      </c>
      <c r="FG142" s="889" t="str">
        <f>IF(Y142="","",VLOOKUP(Y142,'HHV-LHV-MW'!$A$3:$H$40,5,FALSE))</f>
        <v/>
      </c>
      <c r="FH142" s="890" t="str">
        <f>IF($BO$136="","",((PRODUCT('HHV-LHV-MW'!GY77)+PRODUCT('HHV-LHV-MW'!HK77)+PRODUCT('HHV-LHV-MW'!HW77)+PRODUCT('HHV-LHV-MW'!II77))/$BO$136))</f>
        <v/>
      </c>
      <c r="FI142" s="890" t="str">
        <f>IF($BO$136="","",(IF($BO$136=1,"",  (SQRT(  (      (IF('HHV-LHV-MW'!GY77="",0,('HHV-LHV-MW'!GY77-FH142)^2))      +        (IF('HHV-LHV-MW'!HK77="",0,('HHV-LHV-MW'!HK77-FH142)^2))       +        (IF('HHV-LHV-MW'!HW77="",0,('HHV-LHV-MW'!HW77-FH142)^2))          +        (IF('HHV-LHV-MW'!II77="",0,('HHV-LHV-MW'!II77-FH142)^2))          )     *(1/($BO$136-1))  )))))</f>
        <v/>
      </c>
      <c r="FJ142" s="890" t="str">
        <f t="shared" si="117"/>
        <v/>
      </c>
      <c r="FK142" s="890" t="str">
        <f t="shared" si="118"/>
        <v/>
      </c>
      <c r="FL142" s="636" t="str">
        <f>IF('HHV-LHV-MW'!GY77="","",IF(AND('HHV-LHV-MW'!GY77&gt;=0,'HHV-LHV-MW'!GY77&lt;=0.09),2,  IF(AND('HHV-LHV-MW'!GY77&gt;=0.1,'HHV-LHV-MW'!GY77&lt;=0.9),7,  IF(AND('HHV-LHV-MW'!GY77&gt;=1,'HHV-LHV-MW'!GY77&lt;=4.9),10,   IF(AND('HHV-LHV-MW'!GY77&gt;=5,'HHV-LHV-MW'!GY77&lt;=10),12, 15)))))</f>
        <v/>
      </c>
      <c r="FM142" s="636" t="str">
        <f>IF('HHV-LHV-MW'!GY77="","",5*'HHV-LHV-MW'!GY77)</f>
        <v/>
      </c>
      <c r="FN142" s="635" t="str">
        <f t="shared" si="119"/>
        <v/>
      </c>
      <c r="FO142" s="636" t="str">
        <f>IF(OR(FN142="",'HHV-LHV-MW'!GY77=0),"",FN142/'HHV-LHV-MW'!GY77)</f>
        <v/>
      </c>
      <c r="FP142" s="636" t="str">
        <f>IF(OR(FO142="",FF142="",'HHV-LHV-MW'!GY77=""),"",((FO142*FF142*('HHV-LHV-MW'!GY77/100))/23.685)^2)</f>
        <v/>
      </c>
      <c r="FQ142" s="636" t="str">
        <f>IF(OR(FO142="",FG142="",'HHV-LHV-MW'!GY77=""),"",((FO142*FG142*('HHV-LHV-MW'!GY77/100))/23.685)^2)</f>
        <v/>
      </c>
      <c r="FR142" s="639" t="str">
        <f t="shared" si="120"/>
        <v/>
      </c>
      <c r="FS142" s="891" t="str">
        <f t="shared" si="121"/>
        <v/>
      </c>
      <c r="FT142" s="644" t="str">
        <f>IF(Y142="","",VLOOKUP(Y142,'HHV-LHV-MW'!$A$3:$H$40,7,FALSE))</f>
        <v/>
      </c>
      <c r="FU142" s="875" t="str">
        <f>IF($BO$136=1,     IF(OR(FT142="",'HHV-LHV-MW'!GY77="",FO142=""),"",(FT142*('HHV-LHV-MW'!GY77/100)*FO142)^2),IF(OR(FT142="",FH142="",FK142=""),"",(FT142*(FH142/100)*FK142)^2))</f>
        <v/>
      </c>
      <c r="FV142" s="879" t="str">
        <f>IF(Y142="","",VLOOKUP(Y142,'HHV-LHV-MW'!$A$3:$I$40,9,FALSE))</f>
        <v/>
      </c>
      <c r="FW142" s="875" t="str">
        <f>IF($BO$136=1,     IF(OR(FV142="",'HHV-LHV-MW'!GY77="",FO142=""),"",(FV142*('HHV-LHV-MW'!GY77/100)*FO142)^2),IF(OR(FV142="",FH142="",FK142=""),"",(FV142*(FH142/100)*FK142)^2))</f>
        <v/>
      </c>
      <c r="FX142" s="879" t="str">
        <f>IF(Y142="","",(VLOOKUP(Y142,'HHV-LHV-MW'!$A$3:$F$40,6,FALSE))    )</f>
        <v/>
      </c>
      <c r="FY142" s="875" t="str">
        <f>IF($BO$136=1,     IF(OR(FX142="",'HHV-LHV-MW'!GY77="",FO142=""),"",(FX142*('HHV-LHV-MW'!GY77/100)*FO142)^2),IF(OR(FX142="",FH142="",FK142=""),"",(FX142*(FH142/100)*FK142)^2))</f>
        <v/>
      </c>
      <c r="FZ142" s="638" t="str">
        <f>IF($BO$136=1,     IF(OR(FX142="",FV142="",$Z$103="",$Z$103=0,'HHV-LHV-MW'!GY77="",FO142="",$FW$145=""),"", ((FX142*((FV142*('HHV-LHV-MW'!GY77/100))/$Z$103))^2)*((FO142^2)+($FW$145^2))),              IF(OR(FX142="",FV142="",FH142="",FK142="",$FW$145="",$Z$103="",$Z$103=0),"",      ((FX142*((FV142*(FH142/100))/$Z$103))^2)*((FK142^2)+($FW$145^2))             ))</f>
        <v/>
      </c>
      <c r="GA142" s="889" t="str">
        <f>IF(AE142="","",VLOOKUP(AE142,'HHV-LHV-MW'!$A$3:$H$40,4,FALSE))</f>
        <v/>
      </c>
      <c r="GB142" s="889" t="str">
        <f>IF(AE142="","",VLOOKUP(AE142,'HHV-LHV-MW'!$A$3:$H$40,5,FALSE))</f>
        <v/>
      </c>
      <c r="GC142" s="890" t="str">
        <f>IF($BW$96="","",((PRODUCT('HHV-LHV-MW'!IV77)+PRODUCT('HHV-LHV-MW'!JH77)+PRODUCT('HHV-LHV-MW'!JT77)+PRODUCT('HHV-LHV-MW'!KF77))/$BW$96))</f>
        <v/>
      </c>
      <c r="GD142" s="890" t="str">
        <f>IF($BW$96="","",(IF($BW$96=1,"",  (SQRT(  (      (IF('HHV-LHV-MW'!IV77="",0,('HHV-LHV-MW'!IV77-GC142)^2))      +        (IF('HHV-LHV-MW'!JH77="",0,('HHV-LHV-MW'!JH77-GC142)^2))       +        (IF('HHV-LHV-MW'!JT77="",0,('HHV-LHV-MW'!JT77-GC142)^2))          +        (IF('HHV-LHV-MW'!KF77="",0,('HHV-LHV-MW'!KF77-GC142)^2))          )     *(1/($BW$96-1))  )))))</f>
        <v/>
      </c>
      <c r="GE142" s="890" t="str">
        <f t="shared" si="122"/>
        <v/>
      </c>
      <c r="GF142" s="890" t="str">
        <f t="shared" si="123"/>
        <v/>
      </c>
      <c r="GG142" s="636" t="str">
        <f>IF('HHV-LHV-MW'!IV77="","",IF(AND('HHV-LHV-MW'!IV77&gt;=0,'HHV-LHV-MW'!IV77&lt;=0.09),2,  IF(AND('HHV-LHV-MW'!IV77&gt;=0.1,'HHV-LHV-MW'!IV77&lt;=0.9),7,  IF(AND('HHV-LHV-MW'!IV77&gt;=1,'HHV-LHV-MW'!IV77&lt;=4.9),10,   IF(AND('HHV-LHV-MW'!IV77&gt;=5,'HHV-LHV-MW'!IV77&lt;=10),12, 15)))))</f>
        <v/>
      </c>
      <c r="GH142" s="636" t="str">
        <f>IF('HHV-LHV-MW'!IV77="","",5*'HHV-LHV-MW'!IV77)</f>
        <v/>
      </c>
      <c r="GI142" s="635" t="str">
        <f t="shared" si="124"/>
        <v/>
      </c>
      <c r="GJ142" s="636" t="str">
        <f>IF(OR(GI142="",'HHV-LHV-MW'!IV77=0),"",GI142/'HHV-LHV-MW'!IV77)</f>
        <v/>
      </c>
      <c r="GK142" s="636" t="str">
        <f>IF(OR(GJ142="",GA142="",'HHV-LHV-MW'!IV77=""),"",((GJ142*GA142*('HHV-LHV-MW'!IV77/100))/23.685)^2)</f>
        <v/>
      </c>
      <c r="GL142" s="636" t="str">
        <f>IF(OR(GJ142="",GB142="",'HHV-LHV-MW'!IV77=""),"",((GJ142*GB142*('HHV-LHV-MW'!IV77/100))/23.685)^2)</f>
        <v/>
      </c>
      <c r="GM142" s="639" t="str">
        <f t="shared" si="125"/>
        <v/>
      </c>
      <c r="GN142" s="891" t="str">
        <f t="shared" si="126"/>
        <v/>
      </c>
      <c r="GO142" s="644" t="str">
        <f>IF(AE142="","",VLOOKUP(AE142,'HHV-LHV-MW'!$A$3:$H$40,7,FALSE))</f>
        <v/>
      </c>
      <c r="GP142" s="875" t="str">
        <f>IF($BW$96=1,     IF(OR(GO142="",'HHV-LHV-MW'!IV77="",GJ142=""),"",(GO142*('HHV-LHV-MW'!IV77/100)*GJ142)^2),IF(OR(GO142="",GC142="",GF142=""),"",(GO142*(GC142/100)*GF142)^2))</f>
        <v/>
      </c>
      <c r="GQ142" s="879" t="str">
        <f>IF(AE142="","",VLOOKUP(AE142,'HHV-LHV-MW'!$A$3:$I$40,9,FALSE))</f>
        <v/>
      </c>
      <c r="GR142" s="875" t="str">
        <f>IF($BW$96=1,     IF(OR(GQ142="",'HHV-LHV-MW'!IV77="",GJ142=""),"",(GQ142*('HHV-LHV-MW'!IV77/100)*GJ142)^2),IF(OR(GQ142="",GC142="",GF142=""),"",(GQ142*(GC142/100)*GF142)^2))</f>
        <v/>
      </c>
      <c r="GS142" s="879" t="str">
        <f>IF(AE142="","",(VLOOKUP(AE142,'HHV-LHV-MW'!$A$3:$F$40,6,FALSE))    )</f>
        <v/>
      </c>
      <c r="GT142" s="875" t="str">
        <f>IF($BW$96=1,     IF(OR(GS142="",'HHV-LHV-MW'!IV77="",GJ142=""),"",(GS142*('HHV-LHV-MW'!IV77/100)*GJ142)^2),IF(OR(GS142="",GC142="",GF142=""),"",(GS142*(GC142/100)*GF142)^2))</f>
        <v/>
      </c>
      <c r="GU142" s="638" t="str">
        <f>IF($BW$96=1,     IF(OR(GS142="",GQ142="",$AF$103="",$AF$103=0,'HHV-LHV-MW'!IV77="",GJ142="",$GR$145=""),"", ((GS142*((GQ142*('HHV-LHV-MW'!IV77/100))/$AF$103))^2)*((GJ142^2)+($GR$145^2))),              IF(OR(GS142="",GQ142="",GC142="",GF142="",$GR$145="",$AF$103="",$AF$103=0),"",      ((GS142*((GQ142*(GC142/100))/$AF$103))^2)*((GF142^2)+($GR$145^2))             ))</f>
        <v/>
      </c>
      <c r="GV142" s="889" t="str">
        <f>IF(AK142="","",VLOOKUP(AK142,'HHV-LHV-MW'!$A$3:$H$40,4,FALSE))</f>
        <v/>
      </c>
      <c r="GW142" s="889" t="str">
        <f>IF(AK142="","",VLOOKUP(AK142,'HHV-LHV-MW'!$A$3:$H$40,5,FALSE))</f>
        <v/>
      </c>
      <c r="GX142" s="890" t="str">
        <f>IF($BW$106="","",((PRODUCT('HHV-LHV-MW'!KS77)+PRODUCT('HHV-LHV-MW'!LE77)+PRODUCT('HHV-LHV-MW'!LQ77)+PRODUCT('HHV-LHV-MW'!MC77))/$BW$106))</f>
        <v/>
      </c>
      <c r="GY142" s="890" t="str">
        <f>IF($BW$106="","",(IF($BW$106=1,"",  (SQRT(  (      (IF('HHV-LHV-MW'!KS77="",0,('HHV-LHV-MW'!KS77-GX142)^2))      +        (IF('HHV-LHV-MW'!LE77="",0,('HHV-LHV-MW'!LE77-GX142)^2))       +        (IF('HHV-LHV-MW'!LQ77="",0,('HHV-LHV-MW'!LQ77-GX142)^2))          +        (IF('HHV-LHV-MW'!MC77="",0,('HHV-LHV-MW'!MC77-GX142)^2))          )     *(1/($BW$106-1))  )))))</f>
        <v/>
      </c>
      <c r="GZ142" s="890" t="str">
        <f t="shared" si="127"/>
        <v/>
      </c>
      <c r="HA142" s="890" t="str">
        <f t="shared" si="128"/>
        <v/>
      </c>
      <c r="HB142" s="636" t="str">
        <f>IF('HHV-LHV-MW'!KS77="","",IF(AND('HHV-LHV-MW'!KS77&gt;=0,'HHV-LHV-MW'!KS77&lt;=0.09),2,  IF(AND('HHV-LHV-MW'!KS77&gt;=0.1,'HHV-LHV-MW'!KS77&lt;=0.9),7,  IF(AND('HHV-LHV-MW'!KS77&gt;=1,'HHV-LHV-MW'!KS77&lt;=4.9),10,   IF(AND('HHV-LHV-MW'!KS77&gt;=5,'HHV-LHV-MW'!KS77&lt;=10),12, 15)))))</f>
        <v/>
      </c>
      <c r="HC142" s="636" t="str">
        <f>IF('HHV-LHV-MW'!KS77="","",5*'HHV-LHV-MW'!KS77)</f>
        <v/>
      </c>
      <c r="HD142" s="635" t="str">
        <f t="shared" si="129"/>
        <v/>
      </c>
      <c r="HE142" s="636" t="str">
        <f>IF(OR(HD142="",'HHV-LHV-MW'!KS77=0),"",HD142/'HHV-LHV-MW'!KS77)</f>
        <v/>
      </c>
      <c r="HF142" s="636" t="str">
        <f>IF(OR(HE142="",GV142="",'HHV-LHV-MW'!KS77=""),"",((HE142*GV142*('HHV-LHV-MW'!KS77/100))/23.685)^2)</f>
        <v/>
      </c>
      <c r="HG142" s="636" t="str">
        <f>IF(OR(HE142="",GW142="",'HHV-LHV-MW'!KS77=""),"",((HE142*GW142*('HHV-LHV-MW'!KS77/100))/23.685)^2)</f>
        <v/>
      </c>
      <c r="HH142" s="639" t="str">
        <f t="shared" si="130"/>
        <v/>
      </c>
      <c r="HI142" s="891" t="str">
        <f t="shared" si="131"/>
        <v/>
      </c>
      <c r="HJ142" s="644" t="str">
        <f>IF(AK142="","",VLOOKUP(AK142,'HHV-LHV-MW'!$A$3:$H$40,7,FALSE))</f>
        <v/>
      </c>
      <c r="HK142" s="875" t="str">
        <f>IF($BW$106=1,     IF(OR(HJ142="",'HHV-LHV-MW'!KS77="",HE142=""),"",(HJ142*('HHV-LHV-MW'!KS77/100)*HE142)^2),IF(OR(HJ142="",GX142="",HA142=""),"",(HJ142*(GX142/100)*HA142)^2))</f>
        <v/>
      </c>
      <c r="HL142" s="879" t="str">
        <f>IF(AK142="","",VLOOKUP(AK142,'HHV-LHV-MW'!$A$3:$I$40,9,FALSE))</f>
        <v/>
      </c>
      <c r="HM142" s="875" t="str">
        <f>IF($BW$106=1,     IF(OR(HL142="",'HHV-LHV-MW'!KS77="",HE142=""),"",(HL142*('HHV-LHV-MW'!KS77/100)*HE142)^2),IF(OR(HL142="",GX142="",HA142=""),"",(HL142*(GX142/100)*HA142)^2))</f>
        <v/>
      </c>
      <c r="HN142" s="879" t="str">
        <f>IF(AK142="","",(VLOOKUP(AK142,'HHV-LHV-MW'!$A$3:$F$40,6,FALSE))    )</f>
        <v/>
      </c>
      <c r="HO142" s="875" t="str">
        <f>IF($BW$106=1,     IF(OR(HN142="",'HHV-LHV-MW'!KS77="",HE142=""),"",(HN142*('HHV-LHV-MW'!KS77/100)*HE142)^2),IF(OR(HN142="",GX142="",HA142=""),"",(HN142*(GX142/100)*HA142)^2))</f>
        <v/>
      </c>
      <c r="HP142" s="638" t="str">
        <f>IF($BW$106=1,     IF(OR(HN142="",HL142="",$AL$103="",$AL$103=0,'HHV-LHV-MW'!KS77="",HE142="",$HM$145=""),"", ((HN142*((HL142*('HHV-LHV-MW'!KS77/100))/$AL$103))^2)*((HE142^2)+($HM$145^2))),              IF(OR(HN142="",HL142="",GX142="",HA142="",$HM$145="",$AL$103="",$AL$103=0),"",      ((HN142*((HL142*(GX142/100))/$AL$103))^2)*((HA142^2)+($HM$145^2))             ))</f>
        <v/>
      </c>
      <c r="HQ142" s="889" t="str">
        <f>IF(AQ142="","",VLOOKUP(AQ142,'HHV-LHV-MW'!$A$3:$H$40,4,FALSE))</f>
        <v/>
      </c>
      <c r="HR142" s="889" t="str">
        <f>IF(AQ142="","",VLOOKUP(AQ142,'HHV-LHV-MW'!$A$3:$H$40,5,FALSE))</f>
        <v/>
      </c>
      <c r="HS142" s="890" t="str">
        <f>IF($BW$116="","",((PRODUCT('HHV-LHV-MW'!MP77)+PRODUCT('HHV-LHV-MW'!NB77)+PRODUCT('HHV-LHV-MW'!NN77)+PRODUCT('HHV-LHV-MW'!NZ77))/$BW$116))</f>
        <v/>
      </c>
      <c r="HT142" s="890" t="str">
        <f>IF($BW$116="","",(IF($BW$116=1,"",  (SQRT(  (      (IF('HHV-LHV-MW'!MP77="",0,('HHV-LHV-MW'!MP77-HS142)^2))      +        (IF('HHV-LHV-MW'!NB77="",0,('HHV-LHV-MW'!NB77-HS142)^2))       +        (IF('HHV-LHV-MW'!NN77="",0,('HHV-LHV-MW'!NN77-HS142)^2))          +        (IF('HHV-LHV-MW'!NZ77="",0,('HHV-LHV-MW'!NZ77-HS142)^2))          )     *(1/($BW$116-1))  )))))</f>
        <v/>
      </c>
      <c r="HU142" s="890" t="str">
        <f t="shared" si="132"/>
        <v/>
      </c>
      <c r="HV142" s="890" t="str">
        <f t="shared" si="133"/>
        <v/>
      </c>
      <c r="HW142" s="636" t="str">
        <f>IF('HHV-LHV-MW'!MP77="","",IF(AND('HHV-LHV-MW'!MP77&gt;=0,'HHV-LHV-MW'!MP77&lt;=0.09),2,  IF(AND('HHV-LHV-MW'!MP77&gt;=0.1,'HHV-LHV-MW'!MP77&lt;=0.9),7,  IF(AND('HHV-LHV-MW'!MP77&gt;=1,'HHV-LHV-MW'!MP77&lt;=4.9),10,   IF(AND('HHV-LHV-MW'!MP77&gt;=5,'HHV-LHV-MW'!MP77&lt;=10),12, 15)))))</f>
        <v/>
      </c>
      <c r="HX142" s="636" t="str">
        <f>IF('HHV-LHV-MW'!MP77="","",5*'HHV-LHV-MW'!MP77)</f>
        <v/>
      </c>
      <c r="HY142" s="635" t="str">
        <f t="shared" si="134"/>
        <v/>
      </c>
      <c r="HZ142" s="636" t="str">
        <f>IF(OR(HY142="",'HHV-LHV-MW'!MP77=0),"",HY142/'HHV-LHV-MW'!MP77)</f>
        <v/>
      </c>
      <c r="IA142" s="636" t="str">
        <f>IF(OR(HZ142="",HQ142="",'HHV-LHV-MW'!MP77=""),"",((HZ142*HQ142*('HHV-LHV-MW'!MP77/100))/23.685)^2)</f>
        <v/>
      </c>
      <c r="IB142" s="636" t="str">
        <f>IF(OR(HZ142="",HR142="",'HHV-LHV-MW'!MP77=""),"",((HZ142*HR142*('HHV-LHV-MW'!MP77/100))/23.685)^2)</f>
        <v/>
      </c>
      <c r="IC142" s="639" t="str">
        <f t="shared" si="135"/>
        <v/>
      </c>
      <c r="ID142" s="891" t="str">
        <f t="shared" si="136"/>
        <v/>
      </c>
      <c r="IE142" s="644" t="str">
        <f>IF(AQ142="","",VLOOKUP(AQ142,'HHV-LHV-MW'!$A$3:$H$40,7,FALSE))</f>
        <v/>
      </c>
      <c r="IF142" s="875" t="str">
        <f>IF($BW$116=1,     IF(OR(IE142="",'HHV-LHV-MW'!MP77="",HZ142=""),"",(IE142*('HHV-LHV-MW'!MP77/100)*HZ142)^2),IF(OR(IE142="",HS142="",HV142=""),"",(IE142*(HS142/100)*HV142)^2))</f>
        <v/>
      </c>
      <c r="IG142" s="879" t="str">
        <f>IF(AQ142="","",VLOOKUP(AQ142,'HHV-LHV-MW'!$A$3:$I$40,9,FALSE))</f>
        <v/>
      </c>
      <c r="IH142" s="875" t="str">
        <f>IF($BW$116=1,     IF(OR(IG142="",'HHV-LHV-MW'!MP77="",HZ142=""),"",(IG142*('HHV-LHV-MW'!MP77/100)*HZ142)^2),IF(OR(IG142="",HS142="",HV142=""),"",(IG142*(HS142/100)*HV142)^2))</f>
        <v/>
      </c>
      <c r="II142" s="879" t="str">
        <f>IF(AQ142="","",(VLOOKUP(AQ142,'HHV-LHV-MW'!$A$3:$F$40,6,FALSE))    )</f>
        <v/>
      </c>
      <c r="IJ142" s="875" t="str">
        <f>IF($BW$116=1,     IF(OR(II142="",'HHV-LHV-MW'!MP77="",HZ142=""),"",(II142*('HHV-LHV-MW'!MP77/100)*HZ142)^2),IF(OR(II142="",HS142="",HV142=""),"",(II142*(HS142/100)*HV142)^2))</f>
        <v/>
      </c>
      <c r="IK142" s="638" t="str">
        <f>IF($BW$116=1,     IF(OR(II142="",IG142="",$AR$103="",$AR$103=0,'HHV-LHV-MW'!MP77="",HZ142="",$IH$145=""),"", ((II142*((IG142*('HHV-LHV-MW'!MP77/100))/$AR$103))^2)*((HZ142^2)+($IH$145^2))),              IF(OR(II142="",IG142="",HS142="",HV142="",$IH$145="",$AR$103="",$AR$103=0),"",      ((II142*((IG142*(HS142/100))/$AR$103))^2)*((HV142^2)+($IH$145^2))             ))</f>
        <v/>
      </c>
      <c r="IL142" s="889" t="str">
        <f>IF(AW142="","",VLOOKUP(AW142,'HHV-LHV-MW'!$A$3:$H$40,4,FALSE))</f>
        <v/>
      </c>
      <c r="IM142" s="889" t="str">
        <f>IF(AW142="","",VLOOKUP(AW142,'HHV-LHV-MW'!$A$3:$H$40,5,FALSE))</f>
        <v/>
      </c>
      <c r="IN142" s="890" t="str">
        <f>IF($BW$126="","",((PRODUCT('HHV-LHV-MW'!ON77)+PRODUCT('HHV-LHV-MW'!OZ77)+PRODUCT('HHV-LHV-MW'!PL77)+PRODUCT('HHV-LHV-MW'!PX77))/$BW$126))</f>
        <v/>
      </c>
      <c r="IO142" s="890" t="str">
        <f>IF($BW$126="","",(IF($BW$126=1,"",  (SQRT(  (      (IF('HHV-LHV-MW'!ON77="",0,('HHV-LHV-MW'!ON77-IN142)^2))      +        (IF('HHV-LHV-MW'!OZ77="",0,('HHV-LHV-MW'!OZ77-IN142)^2))       +        (IF('HHV-LHV-MW'!PL77="",0,('HHV-LHV-MW'!PL77-IN142)^2))          +        (IF('HHV-LHV-MW'!PX77="",0,('HHV-LHV-MW'!PX77-IN142)^2))          )     *(1/($BW$126-1))  )))))</f>
        <v/>
      </c>
      <c r="IP142" s="890" t="str">
        <f t="shared" si="137"/>
        <v/>
      </c>
      <c r="IQ142" s="890" t="str">
        <f t="shared" si="138"/>
        <v/>
      </c>
      <c r="IR142" s="636" t="str">
        <f>IF('HHV-LHV-MW'!ON77="","",IF(AND('HHV-LHV-MW'!ON77&gt;=0,'HHV-LHV-MW'!ON77&lt;=0.09),2,  IF(AND('HHV-LHV-MW'!ON77&gt;=0.1,'HHV-LHV-MW'!ON77&lt;=0.9),7,  IF(AND('HHV-LHV-MW'!ON77&gt;=1,'HHV-LHV-MW'!ON77&lt;=4.9),10,   IF(AND('HHV-LHV-MW'!ON77&gt;=5,'HHV-LHV-MW'!ON77&lt;=10),12, 15)))))</f>
        <v/>
      </c>
      <c r="IS142" s="636" t="str">
        <f>IF('HHV-LHV-MW'!ON77="","",5*'HHV-LHV-MW'!ON77)</f>
        <v/>
      </c>
      <c r="IT142" s="635" t="str">
        <f t="shared" si="139"/>
        <v/>
      </c>
      <c r="IU142" s="636" t="str">
        <f>IF(OR(IT142="",'HHV-LHV-MW'!ON77=0),"",IT142/'HHV-LHV-MW'!ON77)</f>
        <v/>
      </c>
      <c r="IV142" s="636" t="str">
        <f>IF(OR(IU142="",IL142="",'HHV-LHV-MW'!ON77=""),"",((IU142*IL142*('HHV-LHV-MW'!ON77/100))/23.685)^2)</f>
        <v/>
      </c>
      <c r="IW142" s="636" t="str">
        <f>IF(OR(IU142="",IM142="",'HHV-LHV-MW'!ON77=""),"",((IU142*IM142*('HHV-LHV-MW'!ON77/100))/23.685)^2)</f>
        <v/>
      </c>
      <c r="IX142" s="639" t="str">
        <f t="shared" si="140"/>
        <v/>
      </c>
      <c r="IY142" s="891" t="str">
        <f t="shared" si="141"/>
        <v/>
      </c>
      <c r="IZ142" s="641" t="str">
        <f>IF(AW142="","",VLOOKUP(AW142,'HHV-LHV-MW'!$A$3:$H$40,7,FALSE))</f>
        <v/>
      </c>
      <c r="JA142" s="875" t="str">
        <f>IF($BW$126=1,     IF(OR(IZ142="",'HHV-LHV-MW'!ON77="",IU142=""),"",(IZ142*('HHV-LHV-MW'!ON77/100)*IU142)^2),IF(OR(IZ142="",IN142="",IQ142=""),"",(IZ142*(IN142/100)*IQ142)^2))</f>
        <v/>
      </c>
      <c r="JB142" s="642" t="str">
        <f>IF(AW142="","",VLOOKUP(AW142,'HHV-LHV-MW'!$A$3:$I$40,9,FALSE))</f>
        <v/>
      </c>
      <c r="JC142" s="875" t="str">
        <f>IF($BW$126=1,     IF(OR(JB142="",'HHV-LHV-MW'!ON77="",IU142=""),"",(JB142*('HHV-LHV-MW'!ON77/100)*IU142)^2),IF(OR(JB142="",IN142="",IQ142=""),"",(JB142*(IN142/100)*IQ142)^2))</f>
        <v/>
      </c>
      <c r="JD142" s="642" t="str">
        <f>IF(AW142="","",(VLOOKUP(AW142,'HHV-LHV-MW'!$A$3:$F$40,6,FALSE))    )</f>
        <v/>
      </c>
      <c r="JE142" s="875" t="str">
        <f>IF($BW$126=1,     IF(OR(JD142="",'HHV-LHV-MW'!ON77="",IU142=""),"",(JD142*('HHV-LHV-MW'!ON77/100)*IU142)^2),IF(OR(JD142="",IN142="",IQ142=""),"",(JD142*(IN142/100)*IQ142)^2))</f>
        <v/>
      </c>
      <c r="JF142" s="638" t="str">
        <f>IF($BW$126=1,     IF(OR(JD142="",JB142="",$AX$103="",$AX$103=0,'HHV-LHV-MW'!ON77="",IU142="",$JC$145=""),"", ((JD142*((JB142*('HHV-LHV-MW'!ON77/100))/$AX$103))^2)*((IU142^2)+($JC$145^2))),              IF(OR(JD142="",JB142="",IN142="",IQ142="",$JC$145="",$AX$103="",$AX$103=0),"",      ((JD142*((JB142*(IN142/100))/$AX$103))^2)*((IQ142^2)+($JC$145^2))             ))</f>
        <v/>
      </c>
      <c r="JG142" s="889" t="str">
        <f>IF(BC142="","",VLOOKUP(BC142,'HHV-LHV-MW'!$A$3:$H$40,4,FALSE))</f>
        <v/>
      </c>
      <c r="JH142" s="889" t="str">
        <f>IF(BC142="","",VLOOKUP(BC142,'HHV-LHV-MW'!$A$3:$H$40,5,FALSE))</f>
        <v/>
      </c>
      <c r="JI142" s="890" t="str">
        <f>IF($BW$136="","",((PRODUCT('HHV-LHV-MW'!QK77)+PRODUCT('HHV-LHV-MW'!QW77)+PRODUCT('HHV-LHV-MW'!RI77)+PRODUCT('HHV-LHV-MW'!RU77))/$BW$136))</f>
        <v/>
      </c>
      <c r="JJ142" s="890" t="str">
        <f>IF($BW$136="","",(IF($BW$136=1,"",  (SQRT(  (      (IF('HHV-LHV-MW'!QK77="",0,('HHV-LHV-MW'!QK77-JI142)^2))      +        (IF('HHV-LHV-MW'!QW77="",0,('HHV-LHV-MW'!QW77-JI142)^2))       +        (IF('HHV-LHV-MW'!RI77="",0,('HHV-LHV-MW'!RI77-JI142)^2))          +        (IF('HHV-LHV-MW'!RU77="",0,('HHV-LHV-MW'!RU77-JI142)^2))          )     *(1/($BW$136-1))  )))))</f>
        <v/>
      </c>
      <c r="JK142" s="890" t="str">
        <f t="shared" si="142"/>
        <v/>
      </c>
      <c r="JL142" s="890" t="str">
        <f t="shared" si="143"/>
        <v/>
      </c>
      <c r="JM142" s="636" t="str">
        <f>IF('HHV-LHV-MW'!QK77="","",IF(AND('HHV-LHV-MW'!QK77&gt;=0,'HHV-LHV-MW'!QK77&lt;=0.09),2,  IF(AND('HHV-LHV-MW'!QK77&gt;=0.1,'HHV-LHV-MW'!QK77&lt;=0.9),7,  IF(AND('HHV-LHV-MW'!QK77&gt;=1,'HHV-LHV-MW'!QK77&lt;=4.9),10,   IF(AND('HHV-LHV-MW'!QK77&gt;=5,'HHV-LHV-MW'!QK77&lt;=10),12, 15)))))</f>
        <v/>
      </c>
      <c r="JN142" s="636" t="str">
        <f>IF('HHV-LHV-MW'!QK77="","",5*'HHV-LHV-MW'!QK77)</f>
        <v/>
      </c>
      <c r="JO142" s="635" t="str">
        <f t="shared" si="144"/>
        <v/>
      </c>
      <c r="JP142" s="636" t="str">
        <f>IF(OR(JO142="",'HHV-LHV-MW'!QK77=0),"",JO142/'HHV-LHV-MW'!QK77)</f>
        <v/>
      </c>
      <c r="JQ142" s="636" t="str">
        <f>IF(OR(JP142="",JG142="",'HHV-LHV-MW'!QK77=""),"",((JP142*JG142*('HHV-LHV-MW'!QK77/100))/23.685)^2)</f>
        <v/>
      </c>
      <c r="JR142" s="636" t="str">
        <f>IF(OR(JP142="",JH142="",'HHV-LHV-MW'!QK77=""),"",((JP142*JH142*('HHV-LHV-MW'!QK77/100))/23.685)^2)</f>
        <v/>
      </c>
      <c r="JS142" s="639" t="str">
        <f t="shared" si="145"/>
        <v/>
      </c>
      <c r="JT142" s="891" t="str">
        <f t="shared" si="146"/>
        <v/>
      </c>
      <c r="JU142" s="644" t="str">
        <f>IF(BC142="","",VLOOKUP(BC142,'HHV-LHV-MW'!$A$3:$H$40,7,FALSE))</f>
        <v/>
      </c>
      <c r="JV142" s="875" t="str">
        <f>IF($BW$136=1,     IF(OR(JU142="",'HHV-LHV-MW'!QK77="",JP142=""),"",(JU142*('HHV-LHV-MW'!QK77/100)*JP142)^2),IF(OR(JU142="",JI142="",JL142=""),"",(JU142*(JI142/100)*JL142)^2))</f>
        <v/>
      </c>
      <c r="JW142" s="879" t="str">
        <f>IF(BC142="","",VLOOKUP(BC142,'HHV-LHV-MW'!$A$3:$I$40,9,FALSE))</f>
        <v/>
      </c>
      <c r="JX142" s="875" t="str">
        <f>IF($BW$136=1,     IF(OR(JW142="",'HHV-LHV-MW'!QK77="",JP142=""),"",(JW142*('HHV-LHV-MW'!QK77/100)*JP142)^2),IF(OR(JW142="",JI142="",JL142=""),"",(JW142*(JI142/100)*JL142)^2))</f>
        <v/>
      </c>
      <c r="JY142" s="879" t="str">
        <f>IF(BC142="","",(VLOOKUP(BC142,'HHV-LHV-MW'!$A$3:$F$40,6,FALSE))    )</f>
        <v/>
      </c>
      <c r="JZ142" s="875" t="str">
        <f>IF($BW$136=1,     IF(OR(JY142="",'HHV-LHV-MW'!QK77="",JP142=""),"",(JY142*('HHV-LHV-MW'!QK77/100)*JP142)^2),IF(OR(JY142="",JI142="",JL142=""),"",(JY142*(JI142/100)*JL142)^2))</f>
        <v/>
      </c>
      <c r="KA142" s="638" t="str">
        <f>IF($BW$136=1,     IF(OR(JY142="",JW142="",$BD$103="",$BD$103=0,'HHV-LHV-MW'!QK77="",JP142="",$JX$145=""),"", ((JY142*((JW142*('HHV-LHV-MW'!QK77/100))/$BD$103))^2)*((JP142^2)+($JX$145^2))),              IF(OR(JY142="",JW142="",JI142="",JL142="",$JX$145="",$BD$103="",$BD$103=0),"",      ((JY142*((JW142*(JI142/100))/$BD$103))^2)*((JL142^2)+($JX$145^2))             ))</f>
        <v/>
      </c>
      <c r="KB142" s="874"/>
      <c r="KC142" s="874"/>
      <c r="KD142" s="874"/>
      <c r="KE142" s="874"/>
      <c r="KF142" s="874"/>
      <c r="KG142" s="874"/>
      <c r="KH142" s="865"/>
      <c r="KI142" s="865"/>
      <c r="KJ142" s="865"/>
      <c r="KK142" s="865"/>
      <c r="KL142" s="865"/>
      <c r="KM142" s="865"/>
      <c r="KN142" s="865"/>
      <c r="KO142" s="865"/>
      <c r="KP142" s="865"/>
      <c r="KQ142" s="865"/>
      <c r="KR142" s="865"/>
      <c r="KS142" s="865"/>
      <c r="KT142" s="865"/>
      <c r="KU142" s="865"/>
      <c r="KV142" s="865"/>
      <c r="KW142" s="865"/>
      <c r="KX142" s="865"/>
      <c r="KY142" s="865"/>
      <c r="KZ142" s="865"/>
      <c r="LA142" s="865"/>
      <c r="LB142" s="865"/>
      <c r="LC142" s="865"/>
      <c r="LD142" s="865"/>
      <c r="LE142" s="865"/>
      <c r="LF142" s="865"/>
    </row>
    <row r="143" spans="1:318" ht="21" thickBot="1">
      <c r="A143" s="867" t="s">
        <v>226</v>
      </c>
      <c r="B143" s="648">
        <f>SUM(B120:B142)</f>
        <v>0</v>
      </c>
      <c r="C143" s="503">
        <f t="shared" ref="C143:E143" si="147">SUM(C120:C142)</f>
        <v>0</v>
      </c>
      <c r="D143" s="503">
        <f t="shared" si="147"/>
        <v>0</v>
      </c>
      <c r="E143" s="504">
        <f t="shared" si="147"/>
        <v>0</v>
      </c>
      <c r="F143" s="511"/>
      <c r="G143" s="867" t="s">
        <v>226</v>
      </c>
      <c r="H143" s="503">
        <f>SUM(H120:H142)</f>
        <v>0</v>
      </c>
      <c r="I143" s="503">
        <f>SUM(I120:I142)</f>
        <v>0</v>
      </c>
      <c r="J143" s="503">
        <f>SUM(J120:J142)</f>
        <v>0</v>
      </c>
      <c r="K143" s="504">
        <f>SUM(K120:K142)</f>
        <v>0</v>
      </c>
      <c r="L143" s="511"/>
      <c r="M143" s="867" t="s">
        <v>226</v>
      </c>
      <c r="N143" s="503">
        <f>SUM(N120:N142)</f>
        <v>0</v>
      </c>
      <c r="O143" s="503">
        <f>SUM(O120:O142)</f>
        <v>0</v>
      </c>
      <c r="P143" s="503">
        <f>SUM(P120:P142)</f>
        <v>0</v>
      </c>
      <c r="Q143" s="504">
        <f>SUM(Q120:Q142)</f>
        <v>0</v>
      </c>
      <c r="R143" s="511"/>
      <c r="S143" s="867" t="s">
        <v>226</v>
      </c>
      <c r="T143" s="503">
        <f>SUM(T120:T142)</f>
        <v>0</v>
      </c>
      <c r="U143" s="503">
        <f>SUM(U120:U142)</f>
        <v>0</v>
      </c>
      <c r="V143" s="503">
        <f>SUM(V120:V142)</f>
        <v>0</v>
      </c>
      <c r="W143" s="504">
        <f>SUM(W120:W142)</f>
        <v>0</v>
      </c>
      <c r="X143" s="511"/>
      <c r="Y143" s="867" t="s">
        <v>226</v>
      </c>
      <c r="Z143" s="503">
        <f>SUM(Z120:Z142)</f>
        <v>0</v>
      </c>
      <c r="AA143" s="503">
        <f>SUM(AA120:AA142)</f>
        <v>0</v>
      </c>
      <c r="AB143" s="503">
        <f>SUM(AB120:AB142)</f>
        <v>0</v>
      </c>
      <c r="AC143" s="504">
        <f>SUM(AC120:AC142)</f>
        <v>0</v>
      </c>
      <c r="AD143" s="510"/>
      <c r="AE143" s="867" t="s">
        <v>226</v>
      </c>
      <c r="AF143" s="503">
        <f>SUM(AF120:AF142)</f>
        <v>0</v>
      </c>
      <c r="AG143" s="503">
        <f>SUM(AG120:AG142)</f>
        <v>0</v>
      </c>
      <c r="AH143" s="503">
        <f>SUM(AH120:AH142)</f>
        <v>0</v>
      </c>
      <c r="AI143" s="504">
        <f>SUM(AI120:AI142)</f>
        <v>0</v>
      </c>
      <c r="AJ143" s="510"/>
      <c r="AK143" s="867" t="s">
        <v>226</v>
      </c>
      <c r="AL143" s="503">
        <f>SUM(AL120:AL142)</f>
        <v>0</v>
      </c>
      <c r="AM143" s="503">
        <f>SUM(AM120:AM142)</f>
        <v>0</v>
      </c>
      <c r="AN143" s="503">
        <f>SUM(AN120:AN142)</f>
        <v>0</v>
      </c>
      <c r="AO143" s="504">
        <f>SUM(AO120:AO142)</f>
        <v>0</v>
      </c>
      <c r="AP143" s="510"/>
      <c r="AQ143" s="867" t="s">
        <v>226</v>
      </c>
      <c r="AR143" s="503">
        <f>SUM(AR120:AR142)</f>
        <v>0</v>
      </c>
      <c r="AS143" s="503">
        <f>SUM(AS120:AS142)</f>
        <v>0</v>
      </c>
      <c r="AT143" s="503">
        <f>SUM(AT120:AT142)</f>
        <v>0</v>
      </c>
      <c r="AU143" s="504">
        <f>SUM(AU120:AU142)</f>
        <v>0</v>
      </c>
      <c r="AV143" s="510"/>
      <c r="AW143" s="867" t="s">
        <v>226</v>
      </c>
      <c r="AX143" s="503">
        <f>SUM(AX120:AX142)</f>
        <v>0</v>
      </c>
      <c r="AY143" s="503">
        <f>SUM(AY120:AY142)</f>
        <v>0</v>
      </c>
      <c r="AZ143" s="503">
        <f>SUM(AZ120:AZ142)</f>
        <v>0</v>
      </c>
      <c r="BA143" s="504">
        <f>SUM(BA120:BA142)</f>
        <v>0</v>
      </c>
      <c r="BB143" s="510"/>
      <c r="BC143" s="867" t="s">
        <v>226</v>
      </c>
      <c r="BD143" s="503">
        <f>SUM(BD120:BD142)</f>
        <v>0</v>
      </c>
      <c r="BE143" s="503">
        <f>SUM(BE120:BE142)</f>
        <v>0</v>
      </c>
      <c r="BF143" s="503">
        <f>SUM(BF120:BF142)</f>
        <v>0</v>
      </c>
      <c r="BG143" s="504">
        <f>SUM(BG120:BG142)</f>
        <v>0</v>
      </c>
      <c r="BH143" s="865"/>
      <c r="BI143" s="865"/>
      <c r="BJ143" s="1143" t="s">
        <v>1511</v>
      </c>
      <c r="BK143" s="2481"/>
      <c r="BL143" s="2481"/>
      <c r="BM143" s="2481"/>
      <c r="BN143" s="1144"/>
      <c r="BO143" s="2477" t="str">
        <f>FY148</f>
        <v/>
      </c>
      <c r="BP143" s="2477"/>
      <c r="BQ143" s="865"/>
      <c r="BR143" s="1143" t="s">
        <v>1511</v>
      </c>
      <c r="BS143" s="2481"/>
      <c r="BT143" s="2481"/>
      <c r="BU143" s="2481"/>
      <c r="BV143" s="1144"/>
      <c r="BW143" s="2477" t="str">
        <f>JZ148</f>
        <v/>
      </c>
      <c r="BX143" s="2477"/>
      <c r="BY143" s="874"/>
      <c r="BZ143" s="893" t="s">
        <v>226</v>
      </c>
      <c r="CA143" s="894"/>
      <c r="CB143" s="922">
        <f>SUM(CB120:CB142)</f>
        <v>0</v>
      </c>
      <c r="CC143" s="922">
        <f t="shared" ref="CC143:CE143" si="148">SUM(CC120:CC142)</f>
        <v>0</v>
      </c>
      <c r="CD143" s="922">
        <f t="shared" si="148"/>
        <v>0</v>
      </c>
      <c r="CE143" s="924">
        <f t="shared" si="148"/>
        <v>0</v>
      </c>
      <c r="CF143" s="2453" t="s">
        <v>1478</v>
      </c>
      <c r="CG143" s="2454"/>
      <c r="CH143" s="2454"/>
      <c r="CI143" s="2455"/>
      <c r="CJ143" s="904" t="str">
        <f>IF(AND(CJ120="",CJ121="",CJ122="",CJ123="",CJ142=""),"",SQRT(SUM(CJ120:CJ142)))</f>
        <v/>
      </c>
      <c r="CK143" s="878" t="str">
        <f t="shared" ref="CK143:CM143" si="149">IF(AND(CK120="",CK121="",CK122="",CK123="",CK142=""),"",SQRT(SUM(CK120:CK142)))</f>
        <v/>
      </c>
      <c r="CL143" s="904" t="str">
        <f t="shared" si="149"/>
        <v/>
      </c>
      <c r="CM143" s="904" t="str">
        <f t="shared" si="149"/>
        <v/>
      </c>
      <c r="CN143" s="511"/>
      <c r="CO143" s="905" t="str">
        <f>IF(AND(CO120="",CO121="",CO122="",CO123="",CO142=""),"",SQRT(SUM(CO120:CO142)))</f>
        <v/>
      </c>
      <c r="CP143" s="511"/>
      <c r="CQ143" s="905" t="str">
        <f>IF(AND(CQ120="",CQ121="",CQ122="",CQ123="",CQ142=""),"",SQRT(SUM(CQ120:CQ142)))</f>
        <v/>
      </c>
      <c r="CR143" s="511"/>
      <c r="CS143" s="905" t="str">
        <f>IF(AND(CS120="",CS121="",CS122="",CS123="",CS142=""),"",SQRT(SUM(CS120:CS142)))</f>
        <v/>
      </c>
      <c r="CT143" s="906" t="str">
        <f>IF(AND(CT120="",CT121="",CT122="",CT123="",CT142=""),"",SQRT(SUM(CT120:CT142)))</f>
        <v/>
      </c>
      <c r="CU143" s="893" t="s">
        <v>226</v>
      </c>
      <c r="CV143" s="894"/>
      <c r="CW143" s="922">
        <f>SUM(CW120:CW142)</f>
        <v>0</v>
      </c>
      <c r="CX143" s="922">
        <f>SUM(CX120:CX142)</f>
        <v>0</v>
      </c>
      <c r="CY143" s="922">
        <f>SUM(CY120:CY142)</f>
        <v>0</v>
      </c>
      <c r="CZ143" s="924">
        <f>SUM(CZ120:CZ142)</f>
        <v>0</v>
      </c>
      <c r="DA143" s="2453" t="s">
        <v>1478</v>
      </c>
      <c r="DB143" s="2454"/>
      <c r="DC143" s="2454"/>
      <c r="DD143" s="2455"/>
      <c r="DE143" s="905" t="str">
        <f>IF(AND(DE120="",DE121="",DE122="",DE123="",DE142=""),"",SQRT(SUM(DE120:DE142)))</f>
        <v/>
      </c>
      <c r="DF143" s="878" t="str">
        <f>IF(AND(DF120="",DF121="",DF122="",DF123="",DF142=""),"",SQRT(SUM(DF120:DF142)))</f>
        <v/>
      </c>
      <c r="DG143" s="905" t="str">
        <f>IF(AND(DG120="",DG121="",DG122="",DG123="",DG142=""),"",SQRT(SUM(DG120:DG142)))</f>
        <v/>
      </c>
      <c r="DH143" s="906" t="str">
        <f>IF(AND(DH120="",DH121="",DH122="",DH123="",DH142=""),"",SQRT(SUM(DH120:DH142)))</f>
        <v/>
      </c>
      <c r="DI143" s="511"/>
      <c r="DJ143" s="905" t="str">
        <f>IF(AND(DJ120="",DJ121="",DJ122="",DJ123="",DJ142=""),"",SQRT(SUM(DJ120:DJ142)))</f>
        <v/>
      </c>
      <c r="DK143" s="511"/>
      <c r="DL143" s="905" t="str">
        <f>IF(AND(DL120="",DL121="",DL122="",DL123="",DL142=""),"",SQRT(SUM(DL120:DL142)))</f>
        <v/>
      </c>
      <c r="DM143" s="511"/>
      <c r="DN143" s="905" t="str">
        <f>IF(AND(DN120="",DN121="",DN122="",DN123="",DN142=""),"",SQRT(SUM(DN120:DN142)))</f>
        <v/>
      </c>
      <c r="DO143" s="906" t="str">
        <f>IF(AND(DO120="",DO121="",DO122="",DO123="",DO142=""),"",SQRT(SUM(DO120:DO142)))</f>
        <v/>
      </c>
      <c r="DP143" s="893" t="s">
        <v>226</v>
      </c>
      <c r="DQ143" s="894"/>
      <c r="DR143" s="922">
        <f>SUM(DR120:DR142)</f>
        <v>0</v>
      </c>
      <c r="DS143" s="922">
        <f>SUM(DS120:DS142)</f>
        <v>0</v>
      </c>
      <c r="DT143" s="922">
        <f>SUM(DT120:DT142)</f>
        <v>0</v>
      </c>
      <c r="DU143" s="924">
        <f>SUM(DU120:DU142)</f>
        <v>0</v>
      </c>
      <c r="DV143" s="2453" t="s">
        <v>1478</v>
      </c>
      <c r="DW143" s="2454"/>
      <c r="DX143" s="2454"/>
      <c r="DY143" s="2455"/>
      <c r="DZ143" s="904" t="str">
        <f>IF(AND(DZ120="",DZ121="",DZ122="",DZ123="",DZ142=""),"",SQRT(SUM(DZ120:DZ142)))</f>
        <v/>
      </c>
      <c r="EA143" s="878" t="str">
        <f>IF(AND(EA120="",EA121="",EA122="",EA123="",EA142=""),"",SQRT(SUM(EA120:EA142)))</f>
        <v/>
      </c>
      <c r="EB143" s="904" t="str">
        <f>IF(AND(EB120="",EB121="",EB122="",EB123="",EB142=""),"",SQRT(SUM(EB120:EB142)))</f>
        <v/>
      </c>
      <c r="EC143" s="878" t="str">
        <f>IF(AND(EC120="",EC121="",EC122="",EC123="",EC142=""),"",SQRT(SUM(EC120:EC142)))</f>
        <v/>
      </c>
      <c r="ED143" s="511"/>
      <c r="EE143" s="905" t="str">
        <f>IF(AND(EE120="",EE121="",EE122="",EE123="",EE142=""),"",SQRT(SUM(EE120:EE142)))</f>
        <v/>
      </c>
      <c r="EF143" s="511"/>
      <c r="EG143" s="905" t="str">
        <f>IF(AND(EG120="",EG121="",EG122="",EG123="",EG142=""),"",SQRT(SUM(EG120:EG142)))</f>
        <v/>
      </c>
      <c r="EH143" s="511"/>
      <c r="EI143" s="905" t="str">
        <f>IF(AND(EI120="",EI121="",EI122="",EI123="",EI142=""),"",SQRT(SUM(EI120:EI142)))</f>
        <v/>
      </c>
      <c r="EJ143" s="906" t="str">
        <f>IF(AND(EJ120="",EJ121="",EJ122="",EJ123="",EJ142=""),"",SQRT(SUM(EJ120:EJ142)))</f>
        <v/>
      </c>
      <c r="EK143" s="893" t="s">
        <v>226</v>
      </c>
      <c r="EL143" s="894"/>
      <c r="EM143" s="922">
        <f>SUM(EM120:EM142)</f>
        <v>0</v>
      </c>
      <c r="EN143" s="922">
        <f>SUM(EN120:EN142)</f>
        <v>0</v>
      </c>
      <c r="EO143" s="922">
        <f>SUM(EO120:EO142)</f>
        <v>0</v>
      </c>
      <c r="EP143" s="924">
        <f>SUM(EP120:EP142)</f>
        <v>0</v>
      </c>
      <c r="EQ143" s="2453" t="s">
        <v>1478</v>
      </c>
      <c r="ER143" s="2454"/>
      <c r="ES143" s="2454"/>
      <c r="ET143" s="2455"/>
      <c r="EU143" s="904" t="str">
        <f>IF(AND(EU120="",EU121="",EU122="",EU123="",EU142=""),"",SQRT(SUM(EU120:EU142)))</f>
        <v/>
      </c>
      <c r="EV143" s="878" t="str">
        <f>IF(AND(EV120="",EV121="",EV122="",EV123="",EV142=""),"",SQRT(SUM(EV120:EV142)))</f>
        <v/>
      </c>
      <c r="EW143" s="904" t="str">
        <f>IF(AND(EW120="",EW121="",EW122="",EW123="",EW142=""),"",SQRT(SUM(EW120:EW142)))</f>
        <v/>
      </c>
      <c r="EX143" s="878" t="str">
        <f>IF(AND(EX120="",EX121="",EX122="",EX123="",EX142=""),"",SQRT(SUM(EX120:EX142)))</f>
        <v/>
      </c>
      <c r="EY143" s="511"/>
      <c r="EZ143" s="905" t="str">
        <f>IF(AND(EZ120="",EZ121="",EZ122="",EZ123="",EZ142=""),"",SQRT(SUM(EZ120:EZ142)))</f>
        <v/>
      </c>
      <c r="FA143" s="511"/>
      <c r="FB143" s="905" t="str">
        <f>IF(AND(FB120="",FB121="",FB122="",FB123="",FB142=""),"",SQRT(SUM(FB120:FB142)))</f>
        <v/>
      </c>
      <c r="FC143" s="511"/>
      <c r="FD143" s="905" t="str">
        <f>IF(AND(FD120="",FD121="",FD122="",FD123="",FD142=""),"",SQRT(SUM(FD120:FD142)))</f>
        <v/>
      </c>
      <c r="FE143" s="906" t="str">
        <f>IF(AND(FE120="",FE121="",FE122="",FE123="",FE142=""),"",SQRT(SUM(FE120:FE142)))</f>
        <v/>
      </c>
      <c r="FF143" s="893" t="s">
        <v>226</v>
      </c>
      <c r="FG143" s="894"/>
      <c r="FH143" s="922">
        <f>SUM(FH120:FH142)</f>
        <v>0</v>
      </c>
      <c r="FI143" s="922">
        <f>SUM(FI120:FI142)</f>
        <v>0</v>
      </c>
      <c r="FJ143" s="922">
        <f>SUM(FJ120:FJ142)</f>
        <v>0</v>
      </c>
      <c r="FK143" s="924">
        <f>SUM(FK120:FK142)</f>
        <v>0</v>
      </c>
      <c r="FL143" s="2453" t="s">
        <v>1478</v>
      </c>
      <c r="FM143" s="2454"/>
      <c r="FN143" s="2454"/>
      <c r="FO143" s="2455"/>
      <c r="FP143" s="904" t="str">
        <f>IF(AND(FP120="",FP121="",FP122="",FP123="",FP142=""),"",SQRT(SUM(FP120:FP142)))</f>
        <v/>
      </c>
      <c r="FQ143" s="878" t="str">
        <f>IF(AND(FQ120="",FQ121="",FQ122="",FQ123="",FQ142=""),"",SQRT(SUM(FQ120:FQ142)))</f>
        <v/>
      </c>
      <c r="FR143" s="904" t="str">
        <f>IF(AND(FR120="",FR121="",FR122="",FR123="",FR142=""),"",SQRT(SUM(FR120:FR142)))</f>
        <v/>
      </c>
      <c r="FS143" s="878" t="str">
        <f>IF(AND(FS120="",FS121="",FS122="",FS123="",FS142=""),"",SQRT(SUM(FS120:FS142)))</f>
        <v/>
      </c>
      <c r="FT143" s="511"/>
      <c r="FU143" s="905" t="str">
        <f>IF(AND(FU120="",FU121="",FU122="",FU123="",FU142=""),"",SQRT(SUM(FU120:FU142)))</f>
        <v/>
      </c>
      <c r="FV143" s="511"/>
      <c r="FW143" s="905" t="str">
        <f>IF(AND(FW120="",FW121="",FW122="",FW123="",FW142=""),"",SQRT(SUM(FW120:FW142)))</f>
        <v/>
      </c>
      <c r="FX143" s="511"/>
      <c r="FY143" s="905" t="str">
        <f>IF(AND(FY120="",FY121="",FY122="",FY123="",FY142=""),"",SQRT(SUM(FY120:FY142)))</f>
        <v/>
      </c>
      <c r="FZ143" s="906" t="str">
        <f>IF(AND(FZ120="",FZ121="",FZ122="",FZ123="",FZ142=""),"",SQRT(SUM(FZ120:FZ142)))</f>
        <v/>
      </c>
      <c r="GA143" s="893" t="s">
        <v>226</v>
      </c>
      <c r="GB143" s="894"/>
      <c r="GC143" s="922">
        <f>SUM(GC120:GC142)</f>
        <v>0</v>
      </c>
      <c r="GD143" s="922">
        <f>SUM(GD120:GD142)</f>
        <v>0</v>
      </c>
      <c r="GE143" s="922">
        <f>SUM(GE120:GE142)</f>
        <v>0</v>
      </c>
      <c r="GF143" s="924">
        <f>SUM(GF120:GF142)</f>
        <v>0</v>
      </c>
      <c r="GG143" s="2453" t="s">
        <v>1478</v>
      </c>
      <c r="GH143" s="2454"/>
      <c r="GI143" s="2454"/>
      <c r="GJ143" s="2455"/>
      <c r="GK143" s="904" t="str">
        <f>IF(AND(GK120="",GK121="",GK122="",GK123="",GK142=""),"",SQRT(SUM(GK120:GK142)))</f>
        <v/>
      </c>
      <c r="GL143" s="878" t="str">
        <f>IF(AND(GL120="",GL121="",GL122="",GL123="",GL142=""),"",SQRT(SUM(GL120:GL142)))</f>
        <v/>
      </c>
      <c r="GM143" s="904" t="str">
        <f>IF(AND(GM120="",GM121="",GM122="",GM123="",GM142=""),"",SQRT(SUM(GM120:GM142)))</f>
        <v/>
      </c>
      <c r="GN143" s="878" t="str">
        <f>IF(AND(GN120="",GN121="",GN122="",GN123="",GN142=""),"",SQRT(SUM(GN120:GN142)))</f>
        <v/>
      </c>
      <c r="GO143" s="511"/>
      <c r="GP143" s="905" t="str">
        <f>IF(AND(GP120="",GP121="",GP122="",GP123="",GP142=""),"",SQRT(SUM(GP120:GP142)))</f>
        <v/>
      </c>
      <c r="GQ143" s="511"/>
      <c r="GR143" s="905" t="str">
        <f>IF(AND(GR120="",GR121="",GR122="",GR123="",GR142=""),"",SQRT(SUM(GR120:GR142)))</f>
        <v/>
      </c>
      <c r="GS143" s="511"/>
      <c r="GT143" s="905" t="str">
        <f>IF(AND(GT120="",GT121="",GT122="",GT123="",GT142=""),"",SQRT(SUM(GT120:GT142)))</f>
        <v/>
      </c>
      <c r="GU143" s="906" t="str">
        <f>IF(AND(GU120="",GU121="",GU122="",GU123="",GU142=""),"",SQRT(SUM(GU120:GU142)))</f>
        <v/>
      </c>
      <c r="GV143" s="893" t="s">
        <v>226</v>
      </c>
      <c r="GW143" s="894"/>
      <c r="GX143" s="922">
        <f>SUM(GX120:GX142)</f>
        <v>0</v>
      </c>
      <c r="GY143" s="922">
        <f>SUM(GY120:GY142)</f>
        <v>0</v>
      </c>
      <c r="GZ143" s="922">
        <f>SUM(GZ120:GZ142)</f>
        <v>0</v>
      </c>
      <c r="HA143" s="924">
        <f>SUM(HA120:HA142)</f>
        <v>0</v>
      </c>
      <c r="HB143" s="2453" t="s">
        <v>1478</v>
      </c>
      <c r="HC143" s="2454"/>
      <c r="HD143" s="2454"/>
      <c r="HE143" s="2455"/>
      <c r="HF143" s="904" t="str">
        <f>IF(AND(HF120="",HF121="",HF122="",HF123="",HF142=""),"",SQRT(SUM(HF120:HF142)))</f>
        <v/>
      </c>
      <c r="HG143" s="878" t="str">
        <f>IF(AND(HG120="",HG121="",HG122="",HG123="",HG142=""),"",SQRT(SUM(HG120:HG142)))</f>
        <v/>
      </c>
      <c r="HH143" s="904" t="str">
        <f>IF(AND(HH120="",HH121="",HH122="",HH123="",HH142=""),"",SQRT(SUM(HH120:HH142)))</f>
        <v/>
      </c>
      <c r="HI143" s="878" t="str">
        <f>IF(AND(HI120="",HI121="",HI122="",HI123="",HI142=""),"",SQRT(SUM(HI120:HI142)))</f>
        <v/>
      </c>
      <c r="HJ143" s="511"/>
      <c r="HK143" s="905" t="str">
        <f>IF(AND(HK120="",HK121="",HK122="",HK123="",HK142=""),"",SQRT(SUM(HK120:HK142)))</f>
        <v/>
      </c>
      <c r="HL143" s="511"/>
      <c r="HM143" s="905" t="str">
        <f>IF(AND(HM120="",HM121="",HM122="",HM123="",HM142=""),"",SQRT(SUM(HM120:HM142)))</f>
        <v/>
      </c>
      <c r="HN143" s="511"/>
      <c r="HO143" s="905" t="str">
        <f>IF(AND(HO120="",HO121="",HO122="",HO123="",HO142=""),"",SQRT(SUM(HO120:HO142)))</f>
        <v/>
      </c>
      <c r="HP143" s="906" t="str">
        <f>IF(AND(HP120="",HP121="",HP122="",HP123="",HP142=""),"",SQRT(SUM(HP120:HP142)))</f>
        <v/>
      </c>
      <c r="HQ143" s="893" t="s">
        <v>226</v>
      </c>
      <c r="HR143" s="894"/>
      <c r="HS143" s="922">
        <f>SUM(HS120:HS142)</f>
        <v>0</v>
      </c>
      <c r="HT143" s="922">
        <f>SUM(HT120:HT142)</f>
        <v>0</v>
      </c>
      <c r="HU143" s="922">
        <f>SUM(HU120:HU142)</f>
        <v>0</v>
      </c>
      <c r="HV143" s="924">
        <f>SUM(HV120:HV142)</f>
        <v>0</v>
      </c>
      <c r="HW143" s="2453" t="s">
        <v>1478</v>
      </c>
      <c r="HX143" s="2454"/>
      <c r="HY143" s="2454"/>
      <c r="HZ143" s="2455"/>
      <c r="IA143" s="904" t="str">
        <f>IF(AND(IA120="",IA121="",IA122="",IA123="",IA142=""),"",SQRT(SUM(IA120:IA142)))</f>
        <v/>
      </c>
      <c r="IB143" s="878" t="str">
        <f>IF(AND(IB120="",IB121="",IB122="",IB123="",IB142=""),"",SQRT(SUM(IB120:IB142)))</f>
        <v/>
      </c>
      <c r="IC143" s="904" t="str">
        <f>IF(AND(IC120="",IC121="",IC122="",IC123="",IC142=""),"",SQRT(SUM(IC120:IC142)))</f>
        <v/>
      </c>
      <c r="ID143" s="878" t="str">
        <f>IF(AND(ID120="",ID121="",ID122="",ID123="",ID142=""),"",SQRT(SUM(ID120:ID142)))</f>
        <v/>
      </c>
      <c r="IE143" s="511"/>
      <c r="IF143" s="905" t="str">
        <f>IF(AND(IF120="",IF121="",IF122="",IF123="",IF142=""),"",SQRT(SUM(IF120:IF142)))</f>
        <v/>
      </c>
      <c r="IG143" s="511"/>
      <c r="IH143" s="905" t="str">
        <f>IF(AND(IH120="",IH121="",IH122="",IH123="",IH142=""),"",SQRT(SUM(IH120:IH142)))</f>
        <v/>
      </c>
      <c r="II143" s="511"/>
      <c r="IJ143" s="905" t="str">
        <f>IF(AND(IJ120="",IJ121="",IJ122="",IJ123="",IJ142=""),"",SQRT(SUM(IJ120:IJ142)))</f>
        <v/>
      </c>
      <c r="IK143" s="906" t="str">
        <f>IF(AND(IK120="",IK121="",IK122="",IK123="",IK142=""),"",SQRT(SUM(IK120:IK142)))</f>
        <v/>
      </c>
      <c r="IL143" s="893" t="s">
        <v>226</v>
      </c>
      <c r="IM143" s="894"/>
      <c r="IN143" s="922">
        <f>SUM(IN120:IN142)</f>
        <v>0</v>
      </c>
      <c r="IO143" s="922">
        <f>SUM(IO120:IO142)</f>
        <v>0</v>
      </c>
      <c r="IP143" s="922">
        <f>SUM(IP120:IP142)</f>
        <v>0</v>
      </c>
      <c r="IQ143" s="924">
        <f>SUM(IQ120:IQ142)</f>
        <v>0</v>
      </c>
      <c r="IR143" s="2453" t="s">
        <v>1478</v>
      </c>
      <c r="IS143" s="2454"/>
      <c r="IT143" s="2454"/>
      <c r="IU143" s="2455"/>
      <c r="IV143" s="904" t="str">
        <f>IF(AND(IV120="",IV121="",IV122="",IV123="",IV142=""),"",SQRT(SUM(IV120:IV142)))</f>
        <v/>
      </c>
      <c r="IW143" s="878" t="str">
        <f>IF(AND(IW120="",IW121="",IW122="",IW123="",IW142=""),"",SQRT(SUM(IW120:IW142)))</f>
        <v/>
      </c>
      <c r="IX143" s="904" t="str">
        <f>IF(AND(IX120="",IX121="",IX122="",IX123="",IX142=""),"",SQRT(SUM(IX120:IX142)))</f>
        <v/>
      </c>
      <c r="IY143" s="878" t="str">
        <f>IF(AND(IY120="",IY121="",IY122="",IY123="",IY142=""),"",SQRT(SUM(IY120:IY142)))</f>
        <v/>
      </c>
      <c r="IZ143" s="511"/>
      <c r="JA143" s="905" t="str">
        <f>IF(AND(JA120="",JA121="",JA122="",JA123="",JA142=""),"",SQRT(SUM(JA120:JA142)))</f>
        <v/>
      </c>
      <c r="JB143" s="511"/>
      <c r="JC143" s="905" t="str">
        <f>IF(AND(JC120="",JC121="",JC122="",JC123="",JC142=""),"",SQRT(SUM(JC120:JC142)))</f>
        <v/>
      </c>
      <c r="JD143" s="511"/>
      <c r="JE143" s="905" t="str">
        <f>IF(AND(JE120="",JE121="",JE122="",JE123="",JE142=""),"",SQRT(SUM(JE120:JE142)))</f>
        <v/>
      </c>
      <c r="JF143" s="906" t="str">
        <f>IF(AND(JF120="",JF121="",JF122="",JF123="",JF142=""),"",SQRT(SUM(JF120:JF142)))</f>
        <v/>
      </c>
      <c r="JG143" s="893" t="s">
        <v>226</v>
      </c>
      <c r="JH143" s="894"/>
      <c r="JI143" s="922">
        <f>SUM(JI120:JI142)</f>
        <v>0</v>
      </c>
      <c r="JJ143" s="922">
        <f>SUM(JJ120:JJ142)</f>
        <v>0</v>
      </c>
      <c r="JK143" s="922">
        <f>SUM(JK120:JK142)</f>
        <v>0</v>
      </c>
      <c r="JL143" s="924">
        <f>SUM(JL120:JL142)</f>
        <v>0</v>
      </c>
      <c r="JM143" s="2453" t="s">
        <v>1478</v>
      </c>
      <c r="JN143" s="2454"/>
      <c r="JO143" s="2454"/>
      <c r="JP143" s="2455"/>
      <c r="JQ143" s="904" t="str">
        <f>IF(AND(JQ120="",JQ121="",JQ122="",JQ123="",JQ142=""),"",SQRT(SUM(JQ120:JQ142)))</f>
        <v/>
      </c>
      <c r="JR143" s="878" t="str">
        <f>IF(AND(JR120="",JR121="",JR122="",JR123="",JR142=""),"",SQRT(SUM(JR120:JR142)))</f>
        <v/>
      </c>
      <c r="JS143" s="904" t="str">
        <f>IF(AND(JS120="",JS121="",JS122="",JS123="",JS142=""),"",SQRT(SUM(JS120:JS142)))</f>
        <v/>
      </c>
      <c r="JT143" s="878" t="str">
        <f>IF(AND(JT120="",JT121="",JT122="",JT123="",JT142=""),"",SQRT(SUM(JT120:JT142)))</f>
        <v/>
      </c>
      <c r="JU143" s="511"/>
      <c r="JV143" s="905" t="str">
        <f>IF(AND(JV120="",JV121="",JV122="",JV123="",JV142=""),"",SQRT(SUM(JV120:JV142)))</f>
        <v/>
      </c>
      <c r="JW143" s="511"/>
      <c r="JX143" s="905" t="str">
        <f>IF(AND(JX120="",JX121="",JX122="",JX123="",JX142=""),"",SQRT(SUM(JX120:JX142)))</f>
        <v/>
      </c>
      <c r="JY143" s="511"/>
      <c r="JZ143" s="905" t="str">
        <f>IF(AND(JZ120="",JZ121="",JZ122="",JZ123="",JZ142=""),"",SQRT(SUM(JZ120:JZ142)))</f>
        <v/>
      </c>
      <c r="KA143" s="906" t="str">
        <f>IF(AND(KA120="",KA121="",KA122="",KA123="",KA142=""),"",SQRT(SUM(KA120:KA142)))</f>
        <v/>
      </c>
      <c r="KB143" s="874"/>
      <c r="KC143" s="874"/>
      <c r="KD143" s="874"/>
      <c r="KE143" s="874"/>
      <c r="KF143" s="874"/>
      <c r="KG143" s="874"/>
      <c r="KH143" s="865"/>
      <c r="KI143" s="865"/>
      <c r="KJ143" s="865"/>
      <c r="KK143" s="865"/>
      <c r="KL143" s="865"/>
      <c r="KM143" s="865"/>
      <c r="KN143" s="865"/>
      <c r="KO143" s="865"/>
      <c r="KP143" s="865"/>
      <c r="KQ143" s="865"/>
      <c r="KR143" s="865"/>
      <c r="KS143" s="865"/>
      <c r="KT143" s="865"/>
      <c r="KU143" s="865"/>
      <c r="KV143" s="865"/>
      <c r="KW143" s="865"/>
      <c r="KX143" s="865"/>
      <c r="KY143" s="865"/>
      <c r="KZ143" s="865"/>
      <c r="LA143" s="865"/>
      <c r="LB143" s="865"/>
      <c r="LC143" s="865"/>
      <c r="LD143" s="865"/>
      <c r="LE143" s="865"/>
      <c r="LF143" s="865"/>
    </row>
    <row r="144" spans="1:318" ht="16.95" customHeight="1" thickBot="1">
      <c r="A144" s="2496" t="s">
        <v>832</v>
      </c>
      <c r="B144" s="2494" t="str">
        <f>IF(SUM(B120:B142)=100,"","مجموع درصدها برابر با 100 نيست. لطفا اصلاح شود.")</f>
        <v>مجموع درصدها برابر با 100 نيست. لطفا اصلاح شود.</v>
      </c>
      <c r="C144" s="2494" t="str">
        <f t="shared" ref="C144:E144" si="150">IF(SUM(C120:C142)=100,"","مجموع درصدها برابر با 100 نيست. لطفا اصلاح شود.")</f>
        <v>مجموع درصدها برابر با 100 نيست. لطفا اصلاح شود.</v>
      </c>
      <c r="D144" s="2494" t="str">
        <f t="shared" si="150"/>
        <v>مجموع درصدها برابر با 100 نيست. لطفا اصلاح شود.</v>
      </c>
      <c r="E144" s="2494" t="str">
        <f t="shared" si="150"/>
        <v>مجموع درصدها برابر با 100 نيست. لطفا اصلاح شود.</v>
      </c>
      <c r="F144" s="511"/>
      <c r="G144" s="2496" t="s">
        <v>832</v>
      </c>
      <c r="H144" s="2494" t="str">
        <f t="shared" ref="H144:K144" si="151">IF(SUM(H120:H142)=100,"","مجموع درصدها برابر با 100 نيست. لطفا اصلاح شود.")</f>
        <v>مجموع درصدها برابر با 100 نيست. لطفا اصلاح شود.</v>
      </c>
      <c r="I144" s="2494" t="str">
        <f t="shared" si="151"/>
        <v>مجموع درصدها برابر با 100 نيست. لطفا اصلاح شود.</v>
      </c>
      <c r="J144" s="2494" t="str">
        <f t="shared" si="151"/>
        <v>مجموع درصدها برابر با 100 نيست. لطفا اصلاح شود.</v>
      </c>
      <c r="K144" s="2494" t="str">
        <f t="shared" si="151"/>
        <v>مجموع درصدها برابر با 100 نيست. لطفا اصلاح شود.</v>
      </c>
      <c r="L144" s="511"/>
      <c r="M144" s="2496" t="s">
        <v>832</v>
      </c>
      <c r="N144" s="2494" t="str">
        <f t="shared" ref="N144:Q144" si="152">IF(SUM(N120:N142)=100,"","مجموع درصدها برابر با 100 نيست. لطفا اصلاح شود.")</f>
        <v>مجموع درصدها برابر با 100 نيست. لطفا اصلاح شود.</v>
      </c>
      <c r="O144" s="2494" t="str">
        <f t="shared" si="152"/>
        <v>مجموع درصدها برابر با 100 نيست. لطفا اصلاح شود.</v>
      </c>
      <c r="P144" s="2494" t="str">
        <f t="shared" si="152"/>
        <v>مجموع درصدها برابر با 100 نيست. لطفا اصلاح شود.</v>
      </c>
      <c r="Q144" s="2494" t="str">
        <f t="shared" si="152"/>
        <v>مجموع درصدها برابر با 100 نيست. لطفا اصلاح شود.</v>
      </c>
      <c r="R144" s="511"/>
      <c r="S144" s="2496" t="s">
        <v>832</v>
      </c>
      <c r="T144" s="2494" t="str">
        <f t="shared" ref="T144:W144" si="153">IF(SUM(T120:T142)=100,"","مجموع درصدها برابر با 100 نيست. لطفا اصلاح شود.")</f>
        <v>مجموع درصدها برابر با 100 نيست. لطفا اصلاح شود.</v>
      </c>
      <c r="U144" s="2494" t="str">
        <f t="shared" si="153"/>
        <v>مجموع درصدها برابر با 100 نيست. لطفا اصلاح شود.</v>
      </c>
      <c r="V144" s="2494" t="str">
        <f t="shared" si="153"/>
        <v>مجموع درصدها برابر با 100 نيست. لطفا اصلاح شود.</v>
      </c>
      <c r="W144" s="2494" t="str">
        <f t="shared" si="153"/>
        <v>مجموع درصدها برابر با 100 نيست. لطفا اصلاح شود.</v>
      </c>
      <c r="X144" s="511"/>
      <c r="Y144" s="2496" t="s">
        <v>832</v>
      </c>
      <c r="Z144" s="2494" t="str">
        <f t="shared" ref="Z144:AC144" si="154">IF(SUM(Z120:Z142)=100,"","مجموع درصدها برابر با 100 نيست. لطفا اصلاح شود.")</f>
        <v>مجموع درصدها برابر با 100 نيست. لطفا اصلاح شود.</v>
      </c>
      <c r="AA144" s="2494" t="str">
        <f t="shared" si="154"/>
        <v>مجموع درصدها برابر با 100 نيست. لطفا اصلاح شود.</v>
      </c>
      <c r="AB144" s="2494" t="str">
        <f t="shared" si="154"/>
        <v>مجموع درصدها برابر با 100 نيست. لطفا اصلاح شود.</v>
      </c>
      <c r="AC144" s="2494" t="str">
        <f t="shared" si="154"/>
        <v>مجموع درصدها برابر با 100 نيست. لطفا اصلاح شود.</v>
      </c>
      <c r="AD144" s="511"/>
      <c r="AE144" s="2496" t="s">
        <v>832</v>
      </c>
      <c r="AF144" s="2494" t="str">
        <f t="shared" ref="AF144:AI144" si="155">IF(SUM(AF120:AF142)=100,"","مجموع درصدها برابر با 100 نيست. لطفا اصلاح شود.")</f>
        <v>مجموع درصدها برابر با 100 نيست. لطفا اصلاح شود.</v>
      </c>
      <c r="AG144" s="2494" t="str">
        <f t="shared" si="155"/>
        <v>مجموع درصدها برابر با 100 نيست. لطفا اصلاح شود.</v>
      </c>
      <c r="AH144" s="2494" t="str">
        <f t="shared" si="155"/>
        <v>مجموع درصدها برابر با 100 نيست. لطفا اصلاح شود.</v>
      </c>
      <c r="AI144" s="2494" t="str">
        <f t="shared" si="155"/>
        <v>مجموع درصدها برابر با 100 نيست. لطفا اصلاح شود.</v>
      </c>
      <c r="AJ144" s="511"/>
      <c r="AK144" s="2496" t="s">
        <v>832</v>
      </c>
      <c r="AL144" s="2494" t="str">
        <f t="shared" ref="AL144:AO144" si="156">IF(SUM(AL120:AL142)=100,"","مجموع درصدها برابر با 100 نيست. لطفا اصلاح شود.")</f>
        <v>مجموع درصدها برابر با 100 نيست. لطفا اصلاح شود.</v>
      </c>
      <c r="AM144" s="2494" t="str">
        <f t="shared" si="156"/>
        <v>مجموع درصدها برابر با 100 نيست. لطفا اصلاح شود.</v>
      </c>
      <c r="AN144" s="2494" t="str">
        <f t="shared" si="156"/>
        <v>مجموع درصدها برابر با 100 نيست. لطفا اصلاح شود.</v>
      </c>
      <c r="AO144" s="2494" t="str">
        <f t="shared" si="156"/>
        <v>مجموع درصدها برابر با 100 نيست. لطفا اصلاح شود.</v>
      </c>
      <c r="AP144" s="511"/>
      <c r="AQ144" s="2496" t="s">
        <v>832</v>
      </c>
      <c r="AR144" s="2494" t="str">
        <f t="shared" ref="AR144:AU144" si="157">IF(SUM(AR120:AR142)=100,"","مجموع درصدها برابر با 100 نيست. لطفا اصلاح شود.")</f>
        <v>مجموع درصدها برابر با 100 نيست. لطفا اصلاح شود.</v>
      </c>
      <c r="AS144" s="2494" t="str">
        <f t="shared" si="157"/>
        <v>مجموع درصدها برابر با 100 نيست. لطفا اصلاح شود.</v>
      </c>
      <c r="AT144" s="2494" t="str">
        <f t="shared" si="157"/>
        <v>مجموع درصدها برابر با 100 نيست. لطفا اصلاح شود.</v>
      </c>
      <c r="AU144" s="2494" t="str">
        <f t="shared" si="157"/>
        <v>مجموع درصدها برابر با 100 نيست. لطفا اصلاح شود.</v>
      </c>
      <c r="AV144" s="511"/>
      <c r="AW144" s="2496" t="s">
        <v>832</v>
      </c>
      <c r="AX144" s="2494" t="str">
        <f t="shared" ref="AX144:BA144" si="158">IF(SUM(AX120:AX142)=100,"","مجموع درصدها برابر با 100 نيست. لطفا اصلاح شود.")</f>
        <v>مجموع درصدها برابر با 100 نيست. لطفا اصلاح شود.</v>
      </c>
      <c r="AY144" s="2494" t="str">
        <f t="shared" si="158"/>
        <v>مجموع درصدها برابر با 100 نيست. لطفا اصلاح شود.</v>
      </c>
      <c r="AZ144" s="2494" t="str">
        <f t="shared" si="158"/>
        <v>مجموع درصدها برابر با 100 نيست. لطفا اصلاح شود.</v>
      </c>
      <c r="BA144" s="2494" t="str">
        <f t="shared" si="158"/>
        <v>مجموع درصدها برابر با 100 نيست. لطفا اصلاح شود.</v>
      </c>
      <c r="BB144" s="511"/>
      <c r="BC144" s="2496" t="s">
        <v>832</v>
      </c>
      <c r="BD144" s="2494" t="str">
        <f t="shared" ref="BD144:BG144" si="159">IF(SUM(BD120:BD142)=100,"","مجموع درصدها برابر با 100 نيست. لطفا اصلاح شود.")</f>
        <v>مجموع درصدها برابر با 100 نيست. لطفا اصلاح شود.</v>
      </c>
      <c r="BE144" s="2494" t="str">
        <f t="shared" si="159"/>
        <v>مجموع درصدها برابر با 100 نيست. لطفا اصلاح شود.</v>
      </c>
      <c r="BF144" s="2494" t="str">
        <f t="shared" si="159"/>
        <v>مجموع درصدها برابر با 100 نيست. لطفا اصلاح شود.</v>
      </c>
      <c r="BG144" s="2494" t="str">
        <f t="shared" si="159"/>
        <v>مجموع درصدها برابر با 100 نيست. لطفا اصلاح شود.</v>
      </c>
      <c r="BH144" s="865"/>
      <c r="BI144" s="865"/>
      <c r="BJ144" s="865"/>
      <c r="BK144" s="865"/>
      <c r="BL144" s="865"/>
      <c r="BM144" s="865"/>
      <c r="BN144" s="865"/>
      <c r="BO144" s="865"/>
      <c r="BP144" s="865"/>
      <c r="BQ144" s="865"/>
      <c r="BR144" s="865"/>
      <c r="BS144" s="865"/>
      <c r="BT144" s="865"/>
      <c r="BU144" s="865"/>
      <c r="BV144" s="865"/>
      <c r="BW144" s="865"/>
      <c r="BX144" s="865"/>
      <c r="BY144" s="874"/>
      <c r="BZ144" s="2430" t="s">
        <v>832</v>
      </c>
      <c r="CA144" s="894"/>
      <c r="CB144" s="2433" t="str">
        <f>IF(SUM(CB120:CB142)=100,"","مجموع درصدها برابر با 100 نيست. لطفا اصلاح شود.")</f>
        <v>مجموع درصدها برابر با 100 نيست. لطفا اصلاح شود.</v>
      </c>
      <c r="CC144" s="2433" t="str">
        <f t="shared" ref="CC144:CE144" si="160">IF(SUM(CC120:CC142)=100,"","مجموع درصدها برابر با 100 نيست. لطفا اصلاح شود.")</f>
        <v>مجموع درصدها برابر با 100 نيست. لطفا اصلاح شود.</v>
      </c>
      <c r="CD144" s="2433" t="str">
        <f t="shared" si="160"/>
        <v>مجموع درصدها برابر با 100 نيست. لطفا اصلاح شود.</v>
      </c>
      <c r="CE144" s="2433" t="str">
        <f t="shared" si="160"/>
        <v>مجموع درصدها برابر با 100 نيست. لطفا اصلاح شود.</v>
      </c>
      <c r="CF144" s="2456"/>
      <c r="CG144" s="2457"/>
      <c r="CH144" s="2457"/>
      <c r="CI144" s="2458"/>
      <c r="CJ144" s="904" t="s">
        <v>1476</v>
      </c>
      <c r="CK144" s="878" t="s">
        <v>1477</v>
      </c>
      <c r="CL144" s="904" t="s">
        <v>1476</v>
      </c>
      <c r="CM144" s="904" t="s">
        <v>1477</v>
      </c>
      <c r="CN144" s="511"/>
      <c r="CO144" s="904" t="s">
        <v>1497</v>
      </c>
      <c r="CP144" s="511"/>
      <c r="CQ144" s="904" t="s">
        <v>1483</v>
      </c>
      <c r="CR144" s="511"/>
      <c r="CS144" s="904" t="s">
        <v>1495</v>
      </c>
      <c r="CT144" s="878" t="s">
        <v>1487</v>
      </c>
      <c r="CU144" s="2430" t="s">
        <v>832</v>
      </c>
      <c r="CV144" s="894"/>
      <c r="CW144" s="2433" t="str">
        <f t="shared" ref="CW144:CZ144" si="161">IF(SUM(CW120:CW142)=100,"","مجموع درصدها برابر با 100 نيست. لطفا اصلاح شود.")</f>
        <v>مجموع درصدها برابر با 100 نيست. لطفا اصلاح شود.</v>
      </c>
      <c r="CX144" s="2433" t="str">
        <f t="shared" si="161"/>
        <v>مجموع درصدها برابر با 100 نيست. لطفا اصلاح شود.</v>
      </c>
      <c r="CY144" s="2433" t="str">
        <f t="shared" si="161"/>
        <v>مجموع درصدها برابر با 100 نيست. لطفا اصلاح شود.</v>
      </c>
      <c r="CZ144" s="2433" t="str">
        <f t="shared" si="161"/>
        <v>مجموع درصدها برابر با 100 نيست. لطفا اصلاح شود.</v>
      </c>
      <c r="DA144" s="2456"/>
      <c r="DB144" s="2457"/>
      <c r="DC144" s="2457"/>
      <c r="DD144" s="2458"/>
      <c r="DE144" s="904" t="s">
        <v>1476</v>
      </c>
      <c r="DF144" s="878" t="s">
        <v>1477</v>
      </c>
      <c r="DG144" s="904" t="s">
        <v>1476</v>
      </c>
      <c r="DH144" s="878" t="s">
        <v>1477</v>
      </c>
      <c r="DI144" s="511"/>
      <c r="DJ144" s="904" t="s">
        <v>1497</v>
      </c>
      <c r="DK144" s="511"/>
      <c r="DL144" s="904" t="s">
        <v>1483</v>
      </c>
      <c r="DM144" s="511"/>
      <c r="DN144" s="904" t="s">
        <v>1495</v>
      </c>
      <c r="DO144" s="878" t="s">
        <v>1487</v>
      </c>
      <c r="DP144" s="2435" t="s">
        <v>832</v>
      </c>
      <c r="DQ144" s="895"/>
      <c r="DR144" s="2459" t="str">
        <f t="shared" ref="DR144:DU144" si="162">IF(SUM(DR120:DR142)=100,"","مجموع درصدها برابر با 100 نيست. لطفا اصلاح شود.")</f>
        <v>مجموع درصدها برابر با 100 نيست. لطفا اصلاح شود.</v>
      </c>
      <c r="DS144" s="2459" t="str">
        <f t="shared" si="162"/>
        <v>مجموع درصدها برابر با 100 نيست. لطفا اصلاح شود.</v>
      </c>
      <c r="DT144" s="2459" t="str">
        <f t="shared" si="162"/>
        <v>مجموع درصدها برابر با 100 نيست. لطفا اصلاح شود.</v>
      </c>
      <c r="DU144" s="2459" t="str">
        <f t="shared" si="162"/>
        <v>مجموع درصدها برابر با 100 نيست. لطفا اصلاح شود.</v>
      </c>
      <c r="DV144" s="2456"/>
      <c r="DW144" s="2457"/>
      <c r="DX144" s="2457"/>
      <c r="DY144" s="2458"/>
      <c r="DZ144" s="904" t="s">
        <v>1476</v>
      </c>
      <c r="EA144" s="878" t="s">
        <v>1477</v>
      </c>
      <c r="EB144" s="904" t="s">
        <v>1476</v>
      </c>
      <c r="EC144" s="878" t="s">
        <v>1477</v>
      </c>
      <c r="ED144" s="511"/>
      <c r="EE144" s="904" t="s">
        <v>1497</v>
      </c>
      <c r="EF144" s="511"/>
      <c r="EG144" s="904" t="s">
        <v>1483</v>
      </c>
      <c r="EH144" s="511"/>
      <c r="EI144" s="904" t="s">
        <v>1495</v>
      </c>
      <c r="EJ144" s="878" t="s">
        <v>1487</v>
      </c>
      <c r="EK144" s="2430" t="s">
        <v>832</v>
      </c>
      <c r="EL144" s="894"/>
      <c r="EM144" s="2433" t="str">
        <f t="shared" ref="EM144:EP144" si="163">IF(SUM(EM120:EM142)=100,"","مجموع درصدها برابر با 100 نيست. لطفا اصلاح شود.")</f>
        <v>مجموع درصدها برابر با 100 نيست. لطفا اصلاح شود.</v>
      </c>
      <c r="EN144" s="2433" t="str">
        <f t="shared" si="163"/>
        <v>مجموع درصدها برابر با 100 نيست. لطفا اصلاح شود.</v>
      </c>
      <c r="EO144" s="2433" t="str">
        <f t="shared" si="163"/>
        <v>مجموع درصدها برابر با 100 نيست. لطفا اصلاح شود.</v>
      </c>
      <c r="EP144" s="2433" t="str">
        <f t="shared" si="163"/>
        <v>مجموع درصدها برابر با 100 نيست. لطفا اصلاح شود.</v>
      </c>
      <c r="EQ144" s="2456"/>
      <c r="ER144" s="2457"/>
      <c r="ES144" s="2457"/>
      <c r="ET144" s="2458"/>
      <c r="EU144" s="904" t="s">
        <v>1476</v>
      </c>
      <c r="EV144" s="878" t="s">
        <v>1477</v>
      </c>
      <c r="EW144" s="904" t="s">
        <v>1476</v>
      </c>
      <c r="EX144" s="878" t="s">
        <v>1477</v>
      </c>
      <c r="EY144" s="511"/>
      <c r="EZ144" s="904" t="s">
        <v>1497</v>
      </c>
      <c r="FA144" s="511"/>
      <c r="FB144" s="904" t="s">
        <v>1483</v>
      </c>
      <c r="FC144" s="511"/>
      <c r="FD144" s="904" t="s">
        <v>1495</v>
      </c>
      <c r="FE144" s="878" t="s">
        <v>1487</v>
      </c>
      <c r="FF144" s="2435" t="s">
        <v>832</v>
      </c>
      <c r="FG144" s="895"/>
      <c r="FH144" s="2459" t="str">
        <f t="shared" ref="FH144:FK144" si="164">IF(SUM(FH120:FH142)=100,"","مجموع درصدها برابر با 100 نيست. لطفا اصلاح شود.")</f>
        <v>مجموع درصدها برابر با 100 نيست. لطفا اصلاح شود.</v>
      </c>
      <c r="FI144" s="2459" t="str">
        <f t="shared" si="164"/>
        <v>مجموع درصدها برابر با 100 نيست. لطفا اصلاح شود.</v>
      </c>
      <c r="FJ144" s="2459" t="str">
        <f t="shared" si="164"/>
        <v>مجموع درصدها برابر با 100 نيست. لطفا اصلاح شود.</v>
      </c>
      <c r="FK144" s="2459" t="str">
        <f t="shared" si="164"/>
        <v>مجموع درصدها برابر با 100 نيست. لطفا اصلاح شود.</v>
      </c>
      <c r="FL144" s="2456"/>
      <c r="FM144" s="2457"/>
      <c r="FN144" s="2457"/>
      <c r="FO144" s="2458"/>
      <c r="FP144" s="904" t="s">
        <v>1476</v>
      </c>
      <c r="FQ144" s="878" t="s">
        <v>1477</v>
      </c>
      <c r="FR144" s="904" t="s">
        <v>1476</v>
      </c>
      <c r="FS144" s="878" t="s">
        <v>1477</v>
      </c>
      <c r="FT144" s="511"/>
      <c r="FU144" s="904" t="s">
        <v>1497</v>
      </c>
      <c r="FV144" s="511"/>
      <c r="FW144" s="904" t="s">
        <v>1483</v>
      </c>
      <c r="FX144" s="511"/>
      <c r="FY144" s="904" t="s">
        <v>1495</v>
      </c>
      <c r="FZ144" s="878" t="s">
        <v>1487</v>
      </c>
      <c r="GA144" s="2430" t="s">
        <v>832</v>
      </c>
      <c r="GB144" s="894"/>
      <c r="GC144" s="2433" t="str">
        <f t="shared" ref="GC144:GE144" si="165">IF(SUM(GC120:GC142)=100,"","مجموع درصدها برابر با 100 نيست. لطفا اصلاح شود.")</f>
        <v>مجموع درصدها برابر با 100 نيست. لطفا اصلاح شود.</v>
      </c>
      <c r="GD144" s="2433" t="str">
        <f t="shared" si="165"/>
        <v>مجموع درصدها برابر با 100 نيست. لطفا اصلاح شود.</v>
      </c>
      <c r="GE144" s="2433" t="str">
        <f t="shared" si="165"/>
        <v>مجموع درصدها برابر با 100 نيست. لطفا اصلاح شود.</v>
      </c>
      <c r="GF144" s="2433" t="str">
        <f>IF(SUM(GF120:GF142)=100,"","مجموع درصدها برابر با 100 نيست. لطفا اصلاح شود.")</f>
        <v>مجموع درصدها برابر با 100 نيست. لطفا اصلاح شود.</v>
      </c>
      <c r="GG144" s="2456"/>
      <c r="GH144" s="2457"/>
      <c r="GI144" s="2457"/>
      <c r="GJ144" s="2458"/>
      <c r="GK144" s="904" t="s">
        <v>1476</v>
      </c>
      <c r="GL144" s="878" t="s">
        <v>1477</v>
      </c>
      <c r="GM144" s="904" t="s">
        <v>1476</v>
      </c>
      <c r="GN144" s="878" t="s">
        <v>1477</v>
      </c>
      <c r="GO144" s="511"/>
      <c r="GP144" s="904" t="s">
        <v>1497</v>
      </c>
      <c r="GQ144" s="511"/>
      <c r="GR144" s="904" t="s">
        <v>1483</v>
      </c>
      <c r="GS144" s="511"/>
      <c r="GT144" s="904" t="s">
        <v>1495</v>
      </c>
      <c r="GU144" s="878" t="s">
        <v>1487</v>
      </c>
      <c r="GV144" s="2430" t="s">
        <v>832</v>
      </c>
      <c r="GW144" s="894"/>
      <c r="GX144" s="2433" t="str">
        <f t="shared" ref="GX144:HA144" si="166">IF(SUM(GX120:GX142)=100,"","مجموع درصدها برابر با 100 نيست. لطفا اصلاح شود.")</f>
        <v>مجموع درصدها برابر با 100 نيست. لطفا اصلاح شود.</v>
      </c>
      <c r="GY144" s="2433" t="str">
        <f t="shared" si="166"/>
        <v>مجموع درصدها برابر با 100 نيست. لطفا اصلاح شود.</v>
      </c>
      <c r="GZ144" s="2433" t="str">
        <f t="shared" si="166"/>
        <v>مجموع درصدها برابر با 100 نيست. لطفا اصلاح شود.</v>
      </c>
      <c r="HA144" s="2433" t="str">
        <f t="shared" si="166"/>
        <v>مجموع درصدها برابر با 100 نيست. لطفا اصلاح شود.</v>
      </c>
      <c r="HB144" s="2456"/>
      <c r="HC144" s="2457"/>
      <c r="HD144" s="2457"/>
      <c r="HE144" s="2458"/>
      <c r="HF144" s="904" t="s">
        <v>1476</v>
      </c>
      <c r="HG144" s="878" t="s">
        <v>1477</v>
      </c>
      <c r="HH144" s="904" t="s">
        <v>1476</v>
      </c>
      <c r="HI144" s="878" t="s">
        <v>1477</v>
      </c>
      <c r="HJ144" s="511"/>
      <c r="HK144" s="904" t="s">
        <v>1497</v>
      </c>
      <c r="HL144" s="511"/>
      <c r="HM144" s="904" t="s">
        <v>1483</v>
      </c>
      <c r="HN144" s="511"/>
      <c r="HO144" s="904" t="s">
        <v>1495</v>
      </c>
      <c r="HP144" s="878" t="s">
        <v>1487</v>
      </c>
      <c r="HQ144" s="2430" t="s">
        <v>832</v>
      </c>
      <c r="HR144" s="894"/>
      <c r="HS144" s="2433" t="str">
        <f t="shared" ref="HS144:HV144" si="167">IF(SUM(HS120:HS142)=100,"","مجموع درصدها برابر با 100 نيست. لطفا اصلاح شود.")</f>
        <v>مجموع درصدها برابر با 100 نيست. لطفا اصلاح شود.</v>
      </c>
      <c r="HT144" s="2433" t="str">
        <f t="shared" si="167"/>
        <v>مجموع درصدها برابر با 100 نيست. لطفا اصلاح شود.</v>
      </c>
      <c r="HU144" s="2433" t="str">
        <f t="shared" si="167"/>
        <v>مجموع درصدها برابر با 100 نيست. لطفا اصلاح شود.</v>
      </c>
      <c r="HV144" s="2433" t="str">
        <f t="shared" si="167"/>
        <v>مجموع درصدها برابر با 100 نيست. لطفا اصلاح شود.</v>
      </c>
      <c r="HW144" s="2456"/>
      <c r="HX144" s="2457"/>
      <c r="HY144" s="2457"/>
      <c r="HZ144" s="2458"/>
      <c r="IA144" s="904" t="s">
        <v>1476</v>
      </c>
      <c r="IB144" s="878" t="s">
        <v>1477</v>
      </c>
      <c r="IC144" s="904" t="s">
        <v>1476</v>
      </c>
      <c r="ID144" s="878" t="s">
        <v>1477</v>
      </c>
      <c r="IE144" s="511"/>
      <c r="IF144" s="904" t="s">
        <v>1497</v>
      </c>
      <c r="IG144" s="511"/>
      <c r="IH144" s="904" t="s">
        <v>1483</v>
      </c>
      <c r="II144" s="511"/>
      <c r="IJ144" s="904" t="s">
        <v>1495</v>
      </c>
      <c r="IK144" s="878" t="s">
        <v>1487</v>
      </c>
      <c r="IL144" s="2430" t="s">
        <v>832</v>
      </c>
      <c r="IM144" s="894"/>
      <c r="IN144" s="2433" t="str">
        <f t="shared" ref="IN144:IQ144" si="168">IF(SUM(IN120:IN142)=100,"","مجموع درصدها برابر با 100 نيست. لطفا اصلاح شود.")</f>
        <v>مجموع درصدها برابر با 100 نيست. لطفا اصلاح شود.</v>
      </c>
      <c r="IO144" s="2433" t="str">
        <f t="shared" si="168"/>
        <v>مجموع درصدها برابر با 100 نيست. لطفا اصلاح شود.</v>
      </c>
      <c r="IP144" s="2433" t="str">
        <f t="shared" si="168"/>
        <v>مجموع درصدها برابر با 100 نيست. لطفا اصلاح شود.</v>
      </c>
      <c r="IQ144" s="2433" t="str">
        <f t="shared" si="168"/>
        <v>مجموع درصدها برابر با 100 نيست. لطفا اصلاح شود.</v>
      </c>
      <c r="IR144" s="2456"/>
      <c r="IS144" s="2457"/>
      <c r="IT144" s="2457"/>
      <c r="IU144" s="2458"/>
      <c r="IV144" s="904" t="s">
        <v>1476</v>
      </c>
      <c r="IW144" s="878" t="s">
        <v>1477</v>
      </c>
      <c r="IX144" s="904" t="s">
        <v>1476</v>
      </c>
      <c r="IY144" s="878" t="s">
        <v>1477</v>
      </c>
      <c r="IZ144" s="511"/>
      <c r="JA144" s="904" t="s">
        <v>1497</v>
      </c>
      <c r="JB144" s="511"/>
      <c r="JC144" s="904" t="s">
        <v>1483</v>
      </c>
      <c r="JD144" s="511"/>
      <c r="JE144" s="904" t="s">
        <v>1495</v>
      </c>
      <c r="JF144" s="878" t="s">
        <v>1487</v>
      </c>
      <c r="JG144" s="2430" t="s">
        <v>832</v>
      </c>
      <c r="JH144" s="894"/>
      <c r="JI144" s="2433" t="str">
        <f t="shared" ref="JI144:JL144" si="169">IF(SUM(JI120:JI142)=100,"","مجموع درصدها برابر با 100 نيست. لطفا اصلاح شود.")</f>
        <v>مجموع درصدها برابر با 100 نيست. لطفا اصلاح شود.</v>
      </c>
      <c r="JJ144" s="2433" t="str">
        <f t="shared" si="169"/>
        <v>مجموع درصدها برابر با 100 نيست. لطفا اصلاح شود.</v>
      </c>
      <c r="JK144" s="2433" t="str">
        <f t="shared" si="169"/>
        <v>مجموع درصدها برابر با 100 نيست. لطفا اصلاح شود.</v>
      </c>
      <c r="JL144" s="2433" t="str">
        <f t="shared" si="169"/>
        <v>مجموع درصدها برابر با 100 نيست. لطفا اصلاح شود.</v>
      </c>
      <c r="JM144" s="2456"/>
      <c r="JN144" s="2457"/>
      <c r="JO144" s="2457"/>
      <c r="JP144" s="2458"/>
      <c r="JQ144" s="904" t="s">
        <v>1476</v>
      </c>
      <c r="JR144" s="878" t="s">
        <v>1477</v>
      </c>
      <c r="JS144" s="904" t="s">
        <v>1476</v>
      </c>
      <c r="JT144" s="878" t="s">
        <v>1477</v>
      </c>
      <c r="JU144" s="511"/>
      <c r="JV144" s="904" t="s">
        <v>1497</v>
      </c>
      <c r="JW144" s="511"/>
      <c r="JX144" s="904" t="s">
        <v>1483</v>
      </c>
      <c r="JY144" s="511"/>
      <c r="JZ144" s="904" t="s">
        <v>1495</v>
      </c>
      <c r="KA144" s="878" t="s">
        <v>1487</v>
      </c>
      <c r="KB144" s="874"/>
      <c r="KC144" s="874"/>
      <c r="KD144" s="874"/>
      <c r="KE144" s="874"/>
      <c r="KF144" s="874"/>
      <c r="KG144" s="874"/>
      <c r="KH144" s="865"/>
      <c r="KI144" s="865"/>
      <c r="KJ144" s="865"/>
      <c r="KK144" s="865"/>
      <c r="KL144" s="865"/>
      <c r="KM144" s="865"/>
      <c r="KN144" s="865"/>
      <c r="KO144" s="865"/>
      <c r="KP144" s="865"/>
      <c r="KQ144" s="865"/>
      <c r="KR144" s="865"/>
      <c r="KS144" s="865"/>
      <c r="KT144" s="865"/>
      <c r="KU144" s="865"/>
      <c r="KV144" s="865"/>
      <c r="KW144" s="865"/>
      <c r="KX144" s="865"/>
      <c r="KY144" s="865"/>
      <c r="KZ144" s="865"/>
      <c r="LA144" s="865"/>
      <c r="LB144" s="865"/>
      <c r="LC144" s="865"/>
      <c r="LD144" s="865"/>
      <c r="LE144" s="865"/>
      <c r="LF144" s="865"/>
    </row>
    <row r="145" spans="1:318" ht="16.95" customHeight="1" thickBot="1">
      <c r="A145" s="2496"/>
      <c r="B145" s="2494"/>
      <c r="C145" s="2494"/>
      <c r="D145" s="2494"/>
      <c r="E145" s="2494"/>
      <c r="F145" s="511"/>
      <c r="G145" s="2496"/>
      <c r="H145" s="2494"/>
      <c r="I145" s="2494"/>
      <c r="J145" s="2494"/>
      <c r="K145" s="2494"/>
      <c r="L145" s="511"/>
      <c r="M145" s="2496"/>
      <c r="N145" s="2494"/>
      <c r="O145" s="2494"/>
      <c r="P145" s="2494"/>
      <c r="Q145" s="2494"/>
      <c r="R145" s="511"/>
      <c r="S145" s="2496"/>
      <c r="T145" s="2494"/>
      <c r="U145" s="2494"/>
      <c r="V145" s="2494"/>
      <c r="W145" s="2494"/>
      <c r="X145" s="511"/>
      <c r="Y145" s="2496"/>
      <c r="Z145" s="2494"/>
      <c r="AA145" s="2494"/>
      <c r="AB145" s="2494"/>
      <c r="AC145" s="2494"/>
      <c r="AD145" s="511"/>
      <c r="AE145" s="2496"/>
      <c r="AF145" s="2494"/>
      <c r="AG145" s="2494"/>
      <c r="AH145" s="2494"/>
      <c r="AI145" s="2494"/>
      <c r="AJ145" s="511"/>
      <c r="AK145" s="2496"/>
      <c r="AL145" s="2494"/>
      <c r="AM145" s="2494"/>
      <c r="AN145" s="2494"/>
      <c r="AO145" s="2494"/>
      <c r="AP145" s="511"/>
      <c r="AQ145" s="2496"/>
      <c r="AR145" s="2494"/>
      <c r="AS145" s="2494"/>
      <c r="AT145" s="2494"/>
      <c r="AU145" s="2494"/>
      <c r="AV145" s="511"/>
      <c r="AW145" s="2496"/>
      <c r="AX145" s="2494"/>
      <c r="AY145" s="2494"/>
      <c r="AZ145" s="2494"/>
      <c r="BA145" s="2494"/>
      <c r="BB145" s="511"/>
      <c r="BC145" s="2496"/>
      <c r="BD145" s="2494"/>
      <c r="BE145" s="2494"/>
      <c r="BF145" s="2494"/>
      <c r="BG145" s="2494"/>
      <c r="BH145" s="865"/>
      <c r="BI145" s="865"/>
      <c r="BJ145" s="865"/>
      <c r="BK145" s="865"/>
      <c r="BL145" s="865"/>
      <c r="BM145" s="865"/>
      <c r="BN145" s="865"/>
      <c r="BO145" s="865"/>
      <c r="BP145" s="865"/>
      <c r="BQ145" s="865"/>
      <c r="BR145" s="865"/>
      <c r="BS145" s="865"/>
      <c r="BT145" s="865"/>
      <c r="BU145" s="865"/>
      <c r="BV145" s="865"/>
      <c r="BW145" s="865"/>
      <c r="BX145" s="865"/>
      <c r="BY145" s="874"/>
      <c r="BZ145" s="2430"/>
      <c r="CA145" s="894"/>
      <c r="CB145" s="2433"/>
      <c r="CC145" s="2433"/>
      <c r="CD145" s="2433"/>
      <c r="CE145" s="2433"/>
      <c r="CF145" s="511"/>
      <c r="CG145" s="511"/>
      <c r="CH145" s="511"/>
      <c r="CI145" s="511"/>
      <c r="CJ145" s="904" t="str">
        <f>IF(OR(CJ143="",B97="",B97=0),"",CJ143/B97)</f>
        <v/>
      </c>
      <c r="CK145" s="904" t="str">
        <f>IF(OR(CK143="",B96="",B96=0),"",CK143/B96)</f>
        <v/>
      </c>
      <c r="CL145" s="904" t="str">
        <f>IF(OR(CL143="",B97="",B97=0),"",CL143/B97)</f>
        <v/>
      </c>
      <c r="CM145" s="904" t="str">
        <f>IF(OR(CM143="",B96="",B96=0),"",CM143/B96)</f>
        <v/>
      </c>
      <c r="CN145" s="511"/>
      <c r="CO145" s="904" t="str">
        <f>IF(OR(CO143="",B102="",B102=0),"",CO143/B102)</f>
        <v/>
      </c>
      <c r="CP145" s="511"/>
      <c r="CQ145" s="904" t="str">
        <f>IF(OR(CQ143="",B103="",B103=0),"",CQ143/B103)</f>
        <v/>
      </c>
      <c r="CR145" s="511"/>
      <c r="CS145" s="904" t="str">
        <f>IF(OR(CS143="",B105="",B105=0),"",CS143/B105)</f>
        <v/>
      </c>
      <c r="CT145" s="904" t="str">
        <f>IF(OR(CT143="",B104="",B104=0),"",CT143/B104)</f>
        <v/>
      </c>
      <c r="CU145" s="2430"/>
      <c r="CV145" s="894"/>
      <c r="CW145" s="2433"/>
      <c r="CX145" s="2433"/>
      <c r="CY145" s="2433"/>
      <c r="CZ145" s="2433"/>
      <c r="DA145" s="511"/>
      <c r="DB145" s="511"/>
      <c r="DC145" s="511"/>
      <c r="DD145" s="511"/>
      <c r="DE145" s="904" t="str">
        <f>IF(OR(DE143="",H97="",H97=0),"",DE143/H97)</f>
        <v/>
      </c>
      <c r="DF145" s="904" t="str">
        <f>IF(OR(DF143="",H96="",H96=0),"",DF143/H96)</f>
        <v/>
      </c>
      <c r="DG145" s="904" t="str">
        <f>IF(OR(DG143="",H97="",H97=0),"",DG143/H97)</f>
        <v/>
      </c>
      <c r="DH145" s="904" t="str">
        <f>IF(OR(DH143="",H96="",H96=0),"",DH143/H96)</f>
        <v/>
      </c>
      <c r="DI145" s="511"/>
      <c r="DJ145" s="904" t="str">
        <f>IF(OR(DJ143="",H102="",H102=0),"",DJ143/H102)</f>
        <v/>
      </c>
      <c r="DK145" s="511"/>
      <c r="DL145" s="904" t="str">
        <f>IF(OR(DL143="",H103="",H103=0),"",DL143/H103)</f>
        <v/>
      </c>
      <c r="DM145" s="511"/>
      <c r="DN145" s="904" t="str">
        <f>IF(OR(DN143="",H105="",H105=0),"",DN143/H105)</f>
        <v/>
      </c>
      <c r="DO145" s="904" t="str">
        <f>IF(OR(DO143="",H104="",H104=0),"",DO143/H104)</f>
        <v/>
      </c>
      <c r="DP145" s="2436"/>
      <c r="DQ145" s="896"/>
      <c r="DR145" s="2460"/>
      <c r="DS145" s="2460"/>
      <c r="DT145" s="2460"/>
      <c r="DU145" s="2460"/>
      <c r="DV145" s="511"/>
      <c r="DW145" s="511"/>
      <c r="DX145" s="511"/>
      <c r="DY145" s="511"/>
      <c r="DZ145" s="904" t="str">
        <f>IF(OR(DZ143="",N97="",N97=0),"",DZ143/N97)</f>
        <v/>
      </c>
      <c r="EA145" s="904" t="str">
        <f>IF(OR(EA143="",N96="",N96=0),"",EA143/N96)</f>
        <v/>
      </c>
      <c r="EB145" s="904" t="str">
        <f>IF(OR(EB143="",N97="",N97=0),"",EB143/N97)</f>
        <v/>
      </c>
      <c r="EC145" s="904" t="str">
        <f>IF(OR(EC143="",N96="",N96=0),"",EC143/N96)</f>
        <v/>
      </c>
      <c r="ED145" s="511"/>
      <c r="EE145" s="904" t="str">
        <f>IF(OR(EE143="",N102="",N102=0),"",EE143/N102)</f>
        <v/>
      </c>
      <c r="EF145" s="511"/>
      <c r="EG145" s="904" t="str">
        <f>IF(OR(EG143="",N103="",N103=0),"",EG143/N103)</f>
        <v/>
      </c>
      <c r="EH145" s="511"/>
      <c r="EI145" s="904" t="str">
        <f>IF(OR(EI143="",N105="",N105=0),"",EI143/N105)</f>
        <v/>
      </c>
      <c r="EJ145" s="904" t="str">
        <f>IF(OR(EJ143="",N104="",N104=0),"",EJ143/N104)</f>
        <v/>
      </c>
      <c r="EK145" s="2430"/>
      <c r="EL145" s="894"/>
      <c r="EM145" s="2433"/>
      <c r="EN145" s="2433"/>
      <c r="EO145" s="2433"/>
      <c r="EP145" s="2433"/>
      <c r="EQ145" s="511"/>
      <c r="ER145" s="511"/>
      <c r="ES145" s="511"/>
      <c r="ET145" s="511"/>
      <c r="EU145" s="904" t="str">
        <f>IF(OR(EU143="",T97="",T97=0),"",EU143/T97)</f>
        <v/>
      </c>
      <c r="EV145" s="904" t="str">
        <f>IF(OR(EV143="",T96="",T96=0),"",EV143/T96)</f>
        <v/>
      </c>
      <c r="EW145" s="904" t="str">
        <f>IF(OR(EW143="",T97="",T97=0),"",EW143/T97)</f>
        <v/>
      </c>
      <c r="EX145" s="904" t="str">
        <f>IF(OR(EX143="",T96="",T96=0),"",EX143/T96)</f>
        <v/>
      </c>
      <c r="EY145" s="511"/>
      <c r="EZ145" s="904" t="str">
        <f>IF(OR(EZ143="",T102="",T102=0),"",EZ143/T102)</f>
        <v/>
      </c>
      <c r="FA145" s="511"/>
      <c r="FB145" s="904" t="str">
        <f>IF(OR(FB143="",T103="",T103=0),"",FB143/T103)</f>
        <v/>
      </c>
      <c r="FC145" s="511"/>
      <c r="FD145" s="904" t="str">
        <f>IF(OR(FD143="",T105="",T105=0),"",FD143/T105)</f>
        <v/>
      </c>
      <c r="FE145" s="904" t="str">
        <f>IF(OR(FE143="",T104="",T104=0),"",FE143/T104)</f>
        <v/>
      </c>
      <c r="FF145" s="2436"/>
      <c r="FG145" s="896"/>
      <c r="FH145" s="2460"/>
      <c r="FI145" s="2460"/>
      <c r="FJ145" s="2460"/>
      <c r="FK145" s="2460"/>
      <c r="FL145" s="511"/>
      <c r="FM145" s="511"/>
      <c r="FN145" s="511"/>
      <c r="FO145" s="511"/>
      <c r="FP145" s="904" t="str">
        <f>IF(OR(FP143="",Z97="",Z97=0),"",FP143/Z97)</f>
        <v/>
      </c>
      <c r="FQ145" s="904" t="str">
        <f>IF(OR(FQ143="",Z96="",Z96=0),"",FQ143/Z96)</f>
        <v/>
      </c>
      <c r="FR145" s="904" t="str">
        <f>IF(OR(FR143="",Z97="",Z97=0),"",FR143/Z97)</f>
        <v/>
      </c>
      <c r="FS145" s="904" t="str">
        <f>IF(OR(FS143="",Z96="",Z96=0),"",FS143/Z96)</f>
        <v/>
      </c>
      <c r="FT145" s="511"/>
      <c r="FU145" s="904" t="str">
        <f>IF(OR(FU143="",Z102="",Z102=0),"",FU143/Z102)</f>
        <v/>
      </c>
      <c r="FV145" s="511"/>
      <c r="FW145" s="904" t="str">
        <f>IF(OR(FW143="",Z103="",Z103=0),"",FW143/Z103)</f>
        <v/>
      </c>
      <c r="FX145" s="511"/>
      <c r="FY145" s="904" t="str">
        <f>IF(OR(FY143="",Z105="",Z105=0),"",FY143/Z105)</f>
        <v/>
      </c>
      <c r="FZ145" s="904" t="str">
        <f>IF(OR(FZ143="",Z104="",Z104=0),"",FZ143/Z104)</f>
        <v/>
      </c>
      <c r="GA145" s="2430"/>
      <c r="GB145" s="894"/>
      <c r="GC145" s="2433"/>
      <c r="GD145" s="2433"/>
      <c r="GE145" s="2433"/>
      <c r="GF145" s="2433"/>
      <c r="GG145" s="511"/>
      <c r="GH145" s="511"/>
      <c r="GI145" s="511"/>
      <c r="GJ145" s="511"/>
      <c r="GK145" s="904" t="str">
        <f>IF(OR(GK143="",AF97="",AF97=0),"",GK143/AF97)</f>
        <v/>
      </c>
      <c r="GL145" s="904" t="str">
        <f>IF(OR(GL143="",AF96="",AF96=0),"",GL143/AF96)</f>
        <v/>
      </c>
      <c r="GM145" s="904" t="str">
        <f>IF(OR(GM143="",AF97="",AF97=0),"",GM143/AF97)</f>
        <v/>
      </c>
      <c r="GN145" s="904" t="str">
        <f>IF(OR(GN143="",AF96="",AF96=0),"",GN143/AF96)</f>
        <v/>
      </c>
      <c r="GO145" s="511"/>
      <c r="GP145" s="904" t="str">
        <f>IF(OR(GP143="",AF102="",AF102=0),"",GP143/AF102)</f>
        <v/>
      </c>
      <c r="GQ145" s="511"/>
      <c r="GR145" s="904" t="str">
        <f>IF(OR(GR143="",AF103="",AF103=0),"",GR143/AF103)</f>
        <v/>
      </c>
      <c r="GS145" s="511"/>
      <c r="GT145" s="904" t="str">
        <f>IF(OR(GT143="",AF105="",AF105=0),"",GT143/AF105)</f>
        <v/>
      </c>
      <c r="GU145" s="904" t="str">
        <f>IF(OR(GU143="",AF104="",AF104=0),"",GU143/AF104)</f>
        <v/>
      </c>
      <c r="GV145" s="2430"/>
      <c r="GW145" s="894"/>
      <c r="GX145" s="2433"/>
      <c r="GY145" s="2433"/>
      <c r="GZ145" s="2433"/>
      <c r="HA145" s="2433"/>
      <c r="HB145" s="511"/>
      <c r="HC145" s="511"/>
      <c r="HD145" s="511"/>
      <c r="HE145" s="511"/>
      <c r="HF145" s="904" t="str">
        <f>IF(OR(HF143="",AL97="",AL97=0),"",HF143/AL97)</f>
        <v/>
      </c>
      <c r="HG145" s="904" t="str">
        <f>IF(OR(HG143="",AL96="",AL96=0),"",HG143/AL96)</f>
        <v/>
      </c>
      <c r="HH145" s="904" t="str">
        <f>IF(OR(HH143="",AL97="",AL97=0),"",HH143/AL97)</f>
        <v/>
      </c>
      <c r="HI145" s="904" t="str">
        <f>IF(OR(HI143="",AL96="",AL96=0),"",HI143/AL96)</f>
        <v/>
      </c>
      <c r="HJ145" s="511"/>
      <c r="HK145" s="904" t="str">
        <f>IF(OR(HK143="",AL102="",AL102=0),"",HK143/AL102)</f>
        <v/>
      </c>
      <c r="HL145" s="511"/>
      <c r="HM145" s="904" t="str">
        <f>IF(OR(HM143="",AL103="",AL103=0),"",HM143/AL103)</f>
        <v/>
      </c>
      <c r="HN145" s="511"/>
      <c r="HO145" s="904" t="str">
        <f>IF(OR(HO143="",AL105="",AL105=0),"",HO143/AL105)</f>
        <v/>
      </c>
      <c r="HP145" s="904" t="str">
        <f>IF(OR(HP143="",AL104="",AL104=0),"",HP143/AL104)</f>
        <v/>
      </c>
      <c r="HQ145" s="2430"/>
      <c r="HR145" s="894"/>
      <c r="HS145" s="2433"/>
      <c r="HT145" s="2433"/>
      <c r="HU145" s="2433"/>
      <c r="HV145" s="2433"/>
      <c r="HW145" s="511"/>
      <c r="HX145" s="511"/>
      <c r="HY145" s="511"/>
      <c r="HZ145" s="511"/>
      <c r="IA145" s="904" t="str">
        <f>IF(OR(IA143="",AR97="",AR97=0),"",IA143/AR97)</f>
        <v/>
      </c>
      <c r="IB145" s="904" t="str">
        <f>IF(OR(IB143="",AR96="",AR96=0),"",IB143/AR96)</f>
        <v/>
      </c>
      <c r="IC145" s="904" t="str">
        <f>IF(OR(IC143="",AR97="",AR97=0),"",IC143/AR97)</f>
        <v/>
      </c>
      <c r="ID145" s="904" t="str">
        <f>IF(OR(ID143="",AR96="",AR96=0),"",ID143/AR96)</f>
        <v/>
      </c>
      <c r="IE145" s="511"/>
      <c r="IF145" s="904" t="str">
        <f>IF(OR(IF143="",AR102="",AR102=0),"",IF143/AR102)</f>
        <v/>
      </c>
      <c r="IG145" s="511"/>
      <c r="IH145" s="904" t="str">
        <f>IF(OR(IH143="",AR103="",AR103=0),"",IH143/AR103)</f>
        <v/>
      </c>
      <c r="II145" s="511"/>
      <c r="IJ145" s="904" t="str">
        <f>IF(OR(IJ143="",AR105="",AR105=0),"",IJ143/AR105)</f>
        <v/>
      </c>
      <c r="IK145" s="904" t="str">
        <f>IF(OR(IK143="",AR104="",AR104=0),"",IK143/AR104)</f>
        <v/>
      </c>
      <c r="IL145" s="2430"/>
      <c r="IM145" s="894"/>
      <c r="IN145" s="2433"/>
      <c r="IO145" s="2433"/>
      <c r="IP145" s="2433"/>
      <c r="IQ145" s="2433"/>
      <c r="IR145" s="511"/>
      <c r="IS145" s="511"/>
      <c r="IT145" s="511"/>
      <c r="IU145" s="511"/>
      <c r="IV145" s="904" t="str">
        <f>IF(OR(IV143="",AX97="",AX97=0),"",IV143/AX97)</f>
        <v/>
      </c>
      <c r="IW145" s="904" t="str">
        <f>IF(OR(IW143="",AX96="",AX96=0),"",IW143/AX96)</f>
        <v/>
      </c>
      <c r="IX145" s="904" t="str">
        <f>IF(OR(IX143="",AX97="",AX97=0),"",IX143/AX97)</f>
        <v/>
      </c>
      <c r="IY145" s="904" t="str">
        <f>IF(OR(IY143="",AX96="",AX96=0),"",IY143/AX96)</f>
        <v/>
      </c>
      <c r="IZ145" s="511"/>
      <c r="JA145" s="904" t="str">
        <f>IF(OR(JA143="",AX102="",AX102=0),"",JA143/AX102)</f>
        <v/>
      </c>
      <c r="JB145" s="511"/>
      <c r="JC145" s="904" t="str">
        <f>IF(OR(JC143="",AX103="",AX103=0),"",JC143/AX103)</f>
        <v/>
      </c>
      <c r="JD145" s="511"/>
      <c r="JE145" s="904" t="str">
        <f>IF(OR(JE143="",AX105="",AX105=0),"",JE143/AX105)</f>
        <v/>
      </c>
      <c r="JF145" s="904" t="str">
        <f>IF(OR(JF143="",AX104="",AX104=0),"",JF143/AX104)</f>
        <v/>
      </c>
      <c r="JG145" s="2430"/>
      <c r="JH145" s="894"/>
      <c r="JI145" s="2433"/>
      <c r="JJ145" s="2433"/>
      <c r="JK145" s="2433"/>
      <c r="JL145" s="2433"/>
      <c r="JM145" s="874"/>
      <c r="JN145" s="874"/>
      <c r="JO145" s="874"/>
      <c r="JP145" s="874"/>
      <c r="JQ145" s="904" t="str">
        <f>IF(OR(JQ143="",BD97="",BD97=0),"",JQ143/BD97)</f>
        <v/>
      </c>
      <c r="JR145" s="904" t="str">
        <f>IF(OR(JR143="",BD96="",BD96=0),"",JR143/BD96)</f>
        <v/>
      </c>
      <c r="JS145" s="904" t="str">
        <f>IF(OR(JS143="",BD97="",BD97=0),"",JS143/BD97)</f>
        <v/>
      </c>
      <c r="JT145" s="904" t="str">
        <f>IF(OR(JT143="",BD96="",BD96=0),"",JT143/BD96)</f>
        <v/>
      </c>
      <c r="JU145" s="511"/>
      <c r="JV145" s="904" t="str">
        <f>IF(OR(JV143="",BD102="",BD102=0),"",JV143/BD102)</f>
        <v/>
      </c>
      <c r="JW145" s="511"/>
      <c r="JX145" s="904" t="str">
        <f>IF(OR(JX143="",BD103="",BD103=0),"",JX143/BD103)</f>
        <v/>
      </c>
      <c r="JY145" s="511"/>
      <c r="JZ145" s="904" t="str">
        <f>IF(OR(JZ143="",BD105="",BD105=0),"",JZ143/BD105)</f>
        <v/>
      </c>
      <c r="KA145" s="904" t="str">
        <f>IF(OR(KA143="",BD104="",BD104=0),"",KA143/BD104)</f>
        <v/>
      </c>
      <c r="KB145" s="874"/>
      <c r="KC145" s="874"/>
      <c r="KD145" s="874"/>
      <c r="KE145" s="874"/>
      <c r="KF145" s="874"/>
      <c r="KG145" s="874"/>
      <c r="KH145" s="865"/>
      <c r="KI145" s="865"/>
      <c r="KJ145" s="865"/>
      <c r="KK145" s="865"/>
      <c r="KL145" s="865"/>
      <c r="KM145" s="865"/>
      <c r="KN145" s="865"/>
      <c r="KO145" s="865"/>
      <c r="KP145" s="865"/>
      <c r="KQ145" s="865"/>
      <c r="KR145" s="865"/>
      <c r="KS145" s="865"/>
      <c r="KT145" s="865"/>
      <c r="KU145" s="865"/>
      <c r="KV145" s="865"/>
      <c r="KW145" s="865"/>
      <c r="KX145" s="865"/>
      <c r="KY145" s="865"/>
      <c r="KZ145" s="865"/>
      <c r="LA145" s="865"/>
      <c r="LB145" s="865"/>
      <c r="LC145" s="865"/>
      <c r="LD145" s="865"/>
      <c r="LE145" s="865"/>
      <c r="LF145" s="865"/>
    </row>
    <row r="146" spans="1:318" ht="16.95" customHeight="1" thickBot="1">
      <c r="A146" s="2496"/>
      <c r="B146" s="2494"/>
      <c r="C146" s="2494"/>
      <c r="D146" s="2494"/>
      <c r="E146" s="2494"/>
      <c r="F146" s="511"/>
      <c r="G146" s="2496"/>
      <c r="H146" s="2494"/>
      <c r="I146" s="2494"/>
      <c r="J146" s="2494"/>
      <c r="K146" s="2494"/>
      <c r="L146" s="511"/>
      <c r="M146" s="2496"/>
      <c r="N146" s="2494"/>
      <c r="O146" s="2494"/>
      <c r="P146" s="2494"/>
      <c r="Q146" s="2494"/>
      <c r="R146" s="511"/>
      <c r="S146" s="2496"/>
      <c r="T146" s="2494"/>
      <c r="U146" s="2494"/>
      <c r="V146" s="2494"/>
      <c r="W146" s="2494"/>
      <c r="X146" s="511"/>
      <c r="Y146" s="2496"/>
      <c r="Z146" s="2494"/>
      <c r="AA146" s="2494"/>
      <c r="AB146" s="2494"/>
      <c r="AC146" s="2494"/>
      <c r="AD146" s="511"/>
      <c r="AE146" s="2496"/>
      <c r="AF146" s="2494"/>
      <c r="AG146" s="2494"/>
      <c r="AH146" s="2494"/>
      <c r="AI146" s="2494"/>
      <c r="AJ146" s="511"/>
      <c r="AK146" s="2496"/>
      <c r="AL146" s="2494"/>
      <c r="AM146" s="2494"/>
      <c r="AN146" s="2494"/>
      <c r="AO146" s="2494"/>
      <c r="AP146" s="511"/>
      <c r="AQ146" s="2496"/>
      <c r="AR146" s="2494"/>
      <c r="AS146" s="2494"/>
      <c r="AT146" s="2494"/>
      <c r="AU146" s="2494"/>
      <c r="AV146" s="511"/>
      <c r="AW146" s="2496"/>
      <c r="AX146" s="2494"/>
      <c r="AY146" s="2494"/>
      <c r="AZ146" s="2494"/>
      <c r="BA146" s="2494"/>
      <c r="BB146" s="511"/>
      <c r="BC146" s="2496"/>
      <c r="BD146" s="2494"/>
      <c r="BE146" s="2494"/>
      <c r="BF146" s="2494"/>
      <c r="BG146" s="2494"/>
      <c r="BH146" s="865"/>
      <c r="BI146" s="865"/>
      <c r="BJ146" s="865"/>
      <c r="BK146" s="865"/>
      <c r="BL146" s="865"/>
      <c r="BM146" s="865"/>
      <c r="BN146" s="865"/>
      <c r="BO146" s="865"/>
      <c r="BP146" s="865"/>
      <c r="BQ146" s="865"/>
      <c r="BR146" s="865"/>
      <c r="BS146" s="865"/>
      <c r="BT146" s="865"/>
      <c r="BU146" s="865"/>
      <c r="BV146" s="865"/>
      <c r="BW146" s="865"/>
      <c r="BX146" s="865"/>
      <c r="BY146" s="874"/>
      <c r="BZ146" s="2430"/>
      <c r="CA146" s="894"/>
      <c r="CB146" s="2433"/>
      <c r="CC146" s="2433"/>
      <c r="CD146" s="2433"/>
      <c r="CE146" s="2433"/>
      <c r="CF146" s="511"/>
      <c r="CG146" s="511"/>
      <c r="CH146" s="511"/>
      <c r="CI146" s="511"/>
      <c r="CJ146" s="904" t="s">
        <v>1485</v>
      </c>
      <c r="CK146" s="904" t="s">
        <v>1486</v>
      </c>
      <c r="CL146" s="904" t="s">
        <v>1485</v>
      </c>
      <c r="CM146" s="904" t="s">
        <v>1486</v>
      </c>
      <c r="CN146" s="511"/>
      <c r="CO146" s="904" t="s">
        <v>1498</v>
      </c>
      <c r="CP146" s="511"/>
      <c r="CQ146" s="904" t="s">
        <v>1484</v>
      </c>
      <c r="CR146" s="511"/>
      <c r="CS146" s="907" t="s">
        <v>1496</v>
      </c>
      <c r="CT146" s="904" t="s">
        <v>1488</v>
      </c>
      <c r="CU146" s="2430"/>
      <c r="CV146" s="894"/>
      <c r="CW146" s="2433"/>
      <c r="CX146" s="2433"/>
      <c r="CY146" s="2433"/>
      <c r="CZ146" s="2433"/>
      <c r="DA146" s="511"/>
      <c r="DB146" s="511"/>
      <c r="DC146" s="511"/>
      <c r="DD146" s="511"/>
      <c r="DE146" s="904" t="s">
        <v>1485</v>
      </c>
      <c r="DF146" s="904" t="s">
        <v>1486</v>
      </c>
      <c r="DG146" s="904" t="s">
        <v>1485</v>
      </c>
      <c r="DH146" s="904" t="s">
        <v>1486</v>
      </c>
      <c r="DI146" s="511"/>
      <c r="DJ146" s="904" t="s">
        <v>1498</v>
      </c>
      <c r="DK146" s="511"/>
      <c r="DL146" s="904" t="s">
        <v>1484</v>
      </c>
      <c r="DM146" s="511"/>
      <c r="DN146" s="907" t="s">
        <v>1496</v>
      </c>
      <c r="DO146" s="904" t="s">
        <v>1488</v>
      </c>
      <c r="DP146" s="2436"/>
      <c r="DQ146" s="896"/>
      <c r="DR146" s="2460"/>
      <c r="DS146" s="2460"/>
      <c r="DT146" s="2460"/>
      <c r="DU146" s="2460"/>
      <c r="DV146" s="511"/>
      <c r="DW146" s="511"/>
      <c r="DX146" s="511"/>
      <c r="DY146" s="511"/>
      <c r="DZ146" s="904" t="s">
        <v>1485</v>
      </c>
      <c r="EA146" s="904" t="s">
        <v>1486</v>
      </c>
      <c r="EB146" s="904" t="s">
        <v>1485</v>
      </c>
      <c r="EC146" s="904" t="s">
        <v>1486</v>
      </c>
      <c r="ED146" s="511"/>
      <c r="EE146" s="904" t="s">
        <v>1498</v>
      </c>
      <c r="EF146" s="511"/>
      <c r="EG146" s="904" t="s">
        <v>1484</v>
      </c>
      <c r="EH146" s="511"/>
      <c r="EI146" s="907" t="s">
        <v>1496</v>
      </c>
      <c r="EJ146" s="904" t="s">
        <v>1488</v>
      </c>
      <c r="EK146" s="2430"/>
      <c r="EL146" s="894"/>
      <c r="EM146" s="2433"/>
      <c r="EN146" s="2433"/>
      <c r="EO146" s="2433"/>
      <c r="EP146" s="2433"/>
      <c r="EQ146" s="511"/>
      <c r="ER146" s="511"/>
      <c r="ES146" s="511"/>
      <c r="ET146" s="511"/>
      <c r="EU146" s="904" t="s">
        <v>1485</v>
      </c>
      <c r="EV146" s="904" t="s">
        <v>1486</v>
      </c>
      <c r="EW146" s="904" t="s">
        <v>1485</v>
      </c>
      <c r="EX146" s="904" t="s">
        <v>1486</v>
      </c>
      <c r="EY146" s="511"/>
      <c r="EZ146" s="904" t="s">
        <v>1498</v>
      </c>
      <c r="FA146" s="511"/>
      <c r="FB146" s="904" t="s">
        <v>1484</v>
      </c>
      <c r="FC146" s="511"/>
      <c r="FD146" s="907" t="s">
        <v>1496</v>
      </c>
      <c r="FE146" s="904" t="s">
        <v>1488</v>
      </c>
      <c r="FF146" s="2436"/>
      <c r="FG146" s="896"/>
      <c r="FH146" s="2460"/>
      <c r="FI146" s="2460"/>
      <c r="FJ146" s="2460"/>
      <c r="FK146" s="2460"/>
      <c r="FL146" s="511"/>
      <c r="FM146" s="511"/>
      <c r="FN146" s="511"/>
      <c r="FO146" s="511"/>
      <c r="FP146" s="904" t="s">
        <v>1485</v>
      </c>
      <c r="FQ146" s="904" t="s">
        <v>1486</v>
      </c>
      <c r="FR146" s="904" t="s">
        <v>1485</v>
      </c>
      <c r="FS146" s="904" t="s">
        <v>1486</v>
      </c>
      <c r="FT146" s="511"/>
      <c r="FU146" s="904" t="s">
        <v>1498</v>
      </c>
      <c r="FV146" s="511"/>
      <c r="FW146" s="904" t="s">
        <v>1484</v>
      </c>
      <c r="FX146" s="511"/>
      <c r="FY146" s="907" t="s">
        <v>1496</v>
      </c>
      <c r="FZ146" s="904" t="s">
        <v>1488</v>
      </c>
      <c r="GA146" s="2430"/>
      <c r="GB146" s="894"/>
      <c r="GC146" s="2433"/>
      <c r="GD146" s="2433"/>
      <c r="GE146" s="2433"/>
      <c r="GF146" s="2433"/>
      <c r="GG146" s="511"/>
      <c r="GH146" s="511"/>
      <c r="GI146" s="511"/>
      <c r="GJ146" s="511"/>
      <c r="GK146" s="904" t="s">
        <v>1485</v>
      </c>
      <c r="GL146" s="904" t="s">
        <v>1486</v>
      </c>
      <c r="GM146" s="904" t="s">
        <v>1485</v>
      </c>
      <c r="GN146" s="904" t="s">
        <v>1486</v>
      </c>
      <c r="GO146" s="511"/>
      <c r="GP146" s="904" t="s">
        <v>1498</v>
      </c>
      <c r="GQ146" s="511"/>
      <c r="GR146" s="904" t="s">
        <v>1484</v>
      </c>
      <c r="GS146" s="511"/>
      <c r="GT146" s="907" t="s">
        <v>1496</v>
      </c>
      <c r="GU146" s="904" t="s">
        <v>1488</v>
      </c>
      <c r="GV146" s="2430"/>
      <c r="GW146" s="894"/>
      <c r="GX146" s="2433"/>
      <c r="GY146" s="2433"/>
      <c r="GZ146" s="2433"/>
      <c r="HA146" s="2433"/>
      <c r="HB146" s="511"/>
      <c r="HC146" s="511"/>
      <c r="HD146" s="511"/>
      <c r="HE146" s="511"/>
      <c r="HF146" s="904" t="s">
        <v>1485</v>
      </c>
      <c r="HG146" s="904" t="s">
        <v>1486</v>
      </c>
      <c r="HH146" s="904" t="s">
        <v>1485</v>
      </c>
      <c r="HI146" s="904" t="s">
        <v>1486</v>
      </c>
      <c r="HJ146" s="511"/>
      <c r="HK146" s="904" t="s">
        <v>1498</v>
      </c>
      <c r="HL146" s="511"/>
      <c r="HM146" s="904" t="s">
        <v>1484</v>
      </c>
      <c r="HN146" s="511"/>
      <c r="HO146" s="907" t="s">
        <v>1496</v>
      </c>
      <c r="HP146" s="904" t="s">
        <v>1488</v>
      </c>
      <c r="HQ146" s="2430"/>
      <c r="HR146" s="894"/>
      <c r="HS146" s="2433"/>
      <c r="HT146" s="2433"/>
      <c r="HU146" s="2433"/>
      <c r="HV146" s="2433"/>
      <c r="HW146" s="511"/>
      <c r="HX146" s="511"/>
      <c r="HY146" s="511"/>
      <c r="HZ146" s="511"/>
      <c r="IA146" s="904" t="s">
        <v>1485</v>
      </c>
      <c r="IB146" s="904" t="s">
        <v>1486</v>
      </c>
      <c r="IC146" s="904" t="s">
        <v>1485</v>
      </c>
      <c r="ID146" s="904" t="s">
        <v>1486</v>
      </c>
      <c r="IE146" s="511"/>
      <c r="IF146" s="904" t="s">
        <v>1498</v>
      </c>
      <c r="IG146" s="511"/>
      <c r="IH146" s="904" t="s">
        <v>1484</v>
      </c>
      <c r="II146" s="511"/>
      <c r="IJ146" s="907" t="s">
        <v>1496</v>
      </c>
      <c r="IK146" s="904" t="s">
        <v>1488</v>
      </c>
      <c r="IL146" s="2430"/>
      <c r="IM146" s="894"/>
      <c r="IN146" s="2433"/>
      <c r="IO146" s="2433"/>
      <c r="IP146" s="2433"/>
      <c r="IQ146" s="2433"/>
      <c r="IR146" s="511"/>
      <c r="IS146" s="511"/>
      <c r="IT146" s="511"/>
      <c r="IU146" s="511"/>
      <c r="IV146" s="904" t="s">
        <v>1485</v>
      </c>
      <c r="IW146" s="904" t="s">
        <v>1486</v>
      </c>
      <c r="IX146" s="904" t="s">
        <v>1485</v>
      </c>
      <c r="IY146" s="904" t="s">
        <v>1486</v>
      </c>
      <c r="IZ146" s="511"/>
      <c r="JA146" s="904" t="s">
        <v>1498</v>
      </c>
      <c r="JB146" s="511"/>
      <c r="JC146" s="904" t="s">
        <v>1484</v>
      </c>
      <c r="JD146" s="511"/>
      <c r="JE146" s="907" t="s">
        <v>1496</v>
      </c>
      <c r="JF146" s="904" t="s">
        <v>1488</v>
      </c>
      <c r="JG146" s="2430"/>
      <c r="JH146" s="894"/>
      <c r="JI146" s="2433"/>
      <c r="JJ146" s="2433"/>
      <c r="JK146" s="2433"/>
      <c r="JL146" s="2433"/>
      <c r="JM146" s="874"/>
      <c r="JN146" s="874"/>
      <c r="JO146" s="874"/>
      <c r="JP146" s="874"/>
      <c r="JQ146" s="904" t="s">
        <v>1485</v>
      </c>
      <c r="JR146" s="904" t="s">
        <v>1486</v>
      </c>
      <c r="JS146" s="904" t="s">
        <v>1485</v>
      </c>
      <c r="JT146" s="904" t="s">
        <v>1486</v>
      </c>
      <c r="JU146" s="511"/>
      <c r="JV146" s="904" t="s">
        <v>1498</v>
      </c>
      <c r="JW146" s="511"/>
      <c r="JX146" s="904" t="s">
        <v>1484</v>
      </c>
      <c r="JY146" s="511"/>
      <c r="JZ146" s="907" t="s">
        <v>1496</v>
      </c>
      <c r="KA146" s="904" t="s">
        <v>1488</v>
      </c>
      <c r="KB146" s="874"/>
      <c r="KC146" s="874"/>
      <c r="KD146" s="874"/>
      <c r="KE146" s="874"/>
      <c r="KF146" s="874"/>
      <c r="KG146" s="874"/>
      <c r="KH146" s="865"/>
      <c r="KI146" s="865"/>
      <c r="KJ146" s="865"/>
      <c r="KK146" s="865"/>
      <c r="KL146" s="865"/>
      <c r="KM146" s="865"/>
      <c r="KN146" s="865"/>
      <c r="KO146" s="865"/>
      <c r="KP146" s="865"/>
      <c r="KQ146" s="865"/>
      <c r="KR146" s="865"/>
      <c r="KS146" s="865"/>
      <c r="KT146" s="865"/>
      <c r="KU146" s="865"/>
      <c r="KV146" s="865"/>
      <c r="KW146" s="865"/>
      <c r="KX146" s="865"/>
      <c r="KY146" s="865"/>
      <c r="KZ146" s="865"/>
      <c r="LA146" s="865"/>
      <c r="LB146" s="865"/>
      <c r="LC146" s="865"/>
      <c r="LD146" s="865"/>
      <c r="LE146" s="865"/>
      <c r="LF146" s="865"/>
    </row>
    <row r="147" spans="1:318" ht="16.95" customHeight="1" thickBot="1">
      <c r="A147" s="2496"/>
      <c r="B147" s="2494"/>
      <c r="C147" s="2494"/>
      <c r="D147" s="2494"/>
      <c r="E147" s="2494"/>
      <c r="F147" s="511"/>
      <c r="G147" s="2496"/>
      <c r="H147" s="2494"/>
      <c r="I147" s="2494"/>
      <c r="J147" s="2494"/>
      <c r="K147" s="2494"/>
      <c r="L147" s="511"/>
      <c r="M147" s="2496"/>
      <c r="N147" s="2494"/>
      <c r="O147" s="2494"/>
      <c r="P147" s="2494"/>
      <c r="Q147" s="2494"/>
      <c r="R147" s="511"/>
      <c r="S147" s="2496"/>
      <c r="T147" s="2494"/>
      <c r="U147" s="2494"/>
      <c r="V147" s="2494"/>
      <c r="W147" s="2494"/>
      <c r="X147" s="511"/>
      <c r="Y147" s="2496"/>
      <c r="Z147" s="2494"/>
      <c r="AA147" s="2494"/>
      <c r="AB147" s="2494"/>
      <c r="AC147" s="2494"/>
      <c r="AD147" s="511"/>
      <c r="AE147" s="2496"/>
      <c r="AF147" s="2494"/>
      <c r="AG147" s="2494"/>
      <c r="AH147" s="2494"/>
      <c r="AI147" s="2494"/>
      <c r="AJ147" s="511"/>
      <c r="AK147" s="2496"/>
      <c r="AL147" s="2494"/>
      <c r="AM147" s="2494"/>
      <c r="AN147" s="2494"/>
      <c r="AO147" s="2494"/>
      <c r="AP147" s="511"/>
      <c r="AQ147" s="2496"/>
      <c r="AR147" s="2494"/>
      <c r="AS147" s="2494"/>
      <c r="AT147" s="2494"/>
      <c r="AU147" s="2494"/>
      <c r="AV147" s="511"/>
      <c r="AW147" s="2496"/>
      <c r="AX147" s="2494"/>
      <c r="AY147" s="2494"/>
      <c r="AZ147" s="2494"/>
      <c r="BA147" s="2494"/>
      <c r="BB147" s="511"/>
      <c r="BC147" s="2496"/>
      <c r="BD147" s="2494"/>
      <c r="BE147" s="2494"/>
      <c r="BF147" s="2494"/>
      <c r="BG147" s="2494"/>
      <c r="BH147" s="865"/>
      <c r="BI147" s="865"/>
      <c r="BJ147" s="865"/>
      <c r="BK147" s="865"/>
      <c r="BL147" s="865"/>
      <c r="BM147" s="865"/>
      <c r="BN147" s="865"/>
      <c r="BO147" s="865"/>
      <c r="BP147" s="865"/>
      <c r="BQ147" s="865"/>
      <c r="BR147" s="865"/>
      <c r="BS147" s="865"/>
      <c r="BT147" s="865"/>
      <c r="BU147" s="865"/>
      <c r="BV147" s="865"/>
      <c r="BW147" s="865"/>
      <c r="BX147" s="865"/>
      <c r="BY147" s="874"/>
      <c r="BZ147" s="2430"/>
      <c r="CA147" s="894"/>
      <c r="CB147" s="2433"/>
      <c r="CC147" s="2433"/>
      <c r="CD147" s="2433"/>
      <c r="CE147" s="2433"/>
      <c r="CF147" s="511"/>
      <c r="CG147" s="511"/>
      <c r="CH147" s="511"/>
      <c r="CI147" s="511"/>
      <c r="CJ147" s="511"/>
      <c r="CK147" s="511"/>
      <c r="CL147" s="511"/>
      <c r="CM147" s="511"/>
      <c r="CN147" s="511"/>
      <c r="CO147" s="511"/>
      <c r="CP147" s="511"/>
      <c r="CQ147" s="511"/>
      <c r="CR147" s="511"/>
      <c r="CS147" s="905" t="s">
        <v>1500</v>
      </c>
      <c r="CT147" s="511"/>
      <c r="CU147" s="2430"/>
      <c r="CV147" s="894"/>
      <c r="CW147" s="2433"/>
      <c r="CX147" s="2433"/>
      <c r="CY147" s="2433"/>
      <c r="CZ147" s="2433"/>
      <c r="DA147" s="511"/>
      <c r="DB147" s="511"/>
      <c r="DC147" s="511"/>
      <c r="DD147" s="511"/>
      <c r="DE147" s="511"/>
      <c r="DF147" s="511"/>
      <c r="DG147" s="511"/>
      <c r="DH147" s="511"/>
      <c r="DI147" s="511"/>
      <c r="DJ147" s="511"/>
      <c r="DK147" s="511"/>
      <c r="DL147" s="511"/>
      <c r="DM147" s="511"/>
      <c r="DN147" s="905" t="s">
        <v>1500</v>
      </c>
      <c r="DO147" s="511"/>
      <c r="DP147" s="2436"/>
      <c r="DQ147" s="896"/>
      <c r="DR147" s="2460"/>
      <c r="DS147" s="2460"/>
      <c r="DT147" s="2460"/>
      <c r="DU147" s="2460"/>
      <c r="DV147" s="511"/>
      <c r="DW147" s="511"/>
      <c r="DX147" s="511"/>
      <c r="DY147" s="511"/>
      <c r="DZ147" s="511"/>
      <c r="EA147" s="511"/>
      <c r="EB147" s="511"/>
      <c r="EC147" s="511"/>
      <c r="ED147" s="511"/>
      <c r="EE147" s="511"/>
      <c r="EF147" s="511"/>
      <c r="EG147" s="511"/>
      <c r="EH147" s="511"/>
      <c r="EI147" s="905" t="s">
        <v>1500</v>
      </c>
      <c r="EJ147" s="511"/>
      <c r="EK147" s="2430"/>
      <c r="EL147" s="894"/>
      <c r="EM147" s="2433"/>
      <c r="EN147" s="2433"/>
      <c r="EO147" s="2433"/>
      <c r="EP147" s="2433"/>
      <c r="EQ147" s="511"/>
      <c r="ER147" s="511"/>
      <c r="ES147" s="511"/>
      <c r="ET147" s="511"/>
      <c r="EU147" s="511"/>
      <c r="EV147" s="511"/>
      <c r="EW147" s="511"/>
      <c r="EX147" s="511"/>
      <c r="EY147" s="511"/>
      <c r="EZ147" s="511"/>
      <c r="FA147" s="511"/>
      <c r="FB147" s="511"/>
      <c r="FC147" s="511"/>
      <c r="FD147" s="905" t="s">
        <v>1500</v>
      </c>
      <c r="FE147" s="511"/>
      <c r="FF147" s="2436"/>
      <c r="FG147" s="896"/>
      <c r="FH147" s="2460"/>
      <c r="FI147" s="2460"/>
      <c r="FJ147" s="2460"/>
      <c r="FK147" s="2460"/>
      <c r="FL147" s="511"/>
      <c r="FM147" s="511"/>
      <c r="FN147" s="511"/>
      <c r="FO147" s="511"/>
      <c r="FP147" s="511"/>
      <c r="FQ147" s="511"/>
      <c r="FR147" s="511"/>
      <c r="FS147" s="511"/>
      <c r="FT147" s="511"/>
      <c r="FU147" s="511"/>
      <c r="FV147" s="511"/>
      <c r="FW147" s="511"/>
      <c r="FX147" s="511"/>
      <c r="FY147" s="905" t="s">
        <v>1500</v>
      </c>
      <c r="FZ147" s="511"/>
      <c r="GA147" s="2430"/>
      <c r="GB147" s="894"/>
      <c r="GC147" s="2433"/>
      <c r="GD147" s="2433"/>
      <c r="GE147" s="2433"/>
      <c r="GF147" s="2433"/>
      <c r="GG147" s="511"/>
      <c r="GH147" s="511"/>
      <c r="GI147" s="511"/>
      <c r="GJ147" s="511"/>
      <c r="GK147" s="511"/>
      <c r="GL147" s="511"/>
      <c r="GM147" s="511"/>
      <c r="GN147" s="511"/>
      <c r="GO147" s="511"/>
      <c r="GP147" s="511"/>
      <c r="GQ147" s="511"/>
      <c r="GR147" s="511"/>
      <c r="GS147" s="511"/>
      <c r="GT147" s="905" t="s">
        <v>1500</v>
      </c>
      <c r="GU147" s="511"/>
      <c r="GV147" s="2430"/>
      <c r="GW147" s="894"/>
      <c r="GX147" s="2433"/>
      <c r="GY147" s="2433"/>
      <c r="GZ147" s="2433"/>
      <c r="HA147" s="2433"/>
      <c r="HB147" s="511"/>
      <c r="HC147" s="511"/>
      <c r="HD147" s="511"/>
      <c r="HE147" s="511"/>
      <c r="HF147" s="511"/>
      <c r="HG147" s="511"/>
      <c r="HH147" s="511"/>
      <c r="HI147" s="511"/>
      <c r="HJ147" s="511"/>
      <c r="HK147" s="511"/>
      <c r="HL147" s="511"/>
      <c r="HM147" s="511"/>
      <c r="HN147" s="511"/>
      <c r="HO147" s="905" t="s">
        <v>1500</v>
      </c>
      <c r="HP147" s="511"/>
      <c r="HQ147" s="2430"/>
      <c r="HR147" s="894"/>
      <c r="HS147" s="2433"/>
      <c r="HT147" s="2433"/>
      <c r="HU147" s="2433"/>
      <c r="HV147" s="2433"/>
      <c r="HW147" s="511"/>
      <c r="HX147" s="511"/>
      <c r="HY147" s="511"/>
      <c r="HZ147" s="511"/>
      <c r="IA147" s="511"/>
      <c r="IB147" s="511"/>
      <c r="IC147" s="511"/>
      <c r="ID147" s="511"/>
      <c r="IE147" s="511"/>
      <c r="IF147" s="511"/>
      <c r="IG147" s="511"/>
      <c r="IH147" s="511"/>
      <c r="II147" s="511"/>
      <c r="IJ147" s="905" t="s">
        <v>1500</v>
      </c>
      <c r="IK147" s="511"/>
      <c r="IL147" s="2430"/>
      <c r="IM147" s="894"/>
      <c r="IN147" s="2433"/>
      <c r="IO147" s="2433"/>
      <c r="IP147" s="2433"/>
      <c r="IQ147" s="2433"/>
      <c r="IR147" s="511"/>
      <c r="IS147" s="511"/>
      <c r="IT147" s="511"/>
      <c r="IU147" s="511"/>
      <c r="IV147" s="511"/>
      <c r="IW147" s="511"/>
      <c r="IX147" s="511"/>
      <c r="IY147" s="511"/>
      <c r="IZ147" s="511"/>
      <c r="JA147" s="511"/>
      <c r="JB147" s="511"/>
      <c r="JC147" s="511"/>
      <c r="JD147" s="511"/>
      <c r="JE147" s="905" t="s">
        <v>1500</v>
      </c>
      <c r="JF147" s="511"/>
      <c r="JG147" s="2430"/>
      <c r="JH147" s="894"/>
      <c r="JI147" s="2433"/>
      <c r="JJ147" s="2433"/>
      <c r="JK147" s="2433"/>
      <c r="JL147" s="2433"/>
      <c r="JM147" s="874"/>
      <c r="JN147" s="874"/>
      <c r="JO147" s="874"/>
      <c r="JP147" s="874"/>
      <c r="JQ147" s="874"/>
      <c r="JR147" s="874"/>
      <c r="JS147" s="874"/>
      <c r="JT147" s="874"/>
      <c r="JU147" s="511"/>
      <c r="JV147" s="511"/>
      <c r="JW147" s="511"/>
      <c r="JX147" s="511"/>
      <c r="JY147" s="511"/>
      <c r="JZ147" s="905" t="s">
        <v>1500</v>
      </c>
      <c r="KA147" s="511"/>
      <c r="KB147" s="874"/>
      <c r="KC147" s="874"/>
      <c r="KD147" s="874"/>
      <c r="KE147" s="874"/>
      <c r="KF147" s="874"/>
      <c r="KG147" s="874"/>
      <c r="KH147" s="865"/>
      <c r="KI147" s="865"/>
      <c r="KJ147" s="865"/>
      <c r="KK147" s="865"/>
      <c r="KL147" s="865"/>
      <c r="KM147" s="865"/>
      <c r="KN147" s="865"/>
      <c r="KO147" s="865"/>
      <c r="KP147" s="865"/>
      <c r="KQ147" s="865"/>
      <c r="KR147" s="865"/>
      <c r="KS147" s="865"/>
      <c r="KT147" s="865"/>
      <c r="KU147" s="865"/>
      <c r="KV147" s="865"/>
      <c r="KW147" s="865"/>
      <c r="KX147" s="865"/>
      <c r="KY147" s="865"/>
      <c r="KZ147" s="865"/>
      <c r="LA147" s="865"/>
      <c r="LB147" s="865"/>
      <c r="LC147" s="865"/>
      <c r="LD147" s="865"/>
      <c r="LE147" s="865"/>
      <c r="LF147" s="865"/>
    </row>
    <row r="148" spans="1:318" ht="16.95" customHeight="1" thickBot="1">
      <c r="A148" s="2496"/>
      <c r="B148" s="2494"/>
      <c r="C148" s="2494"/>
      <c r="D148" s="2494"/>
      <c r="E148" s="2494"/>
      <c r="F148" s="511"/>
      <c r="G148" s="2496"/>
      <c r="H148" s="2494"/>
      <c r="I148" s="2494"/>
      <c r="J148" s="2494"/>
      <c r="K148" s="2494"/>
      <c r="L148" s="511"/>
      <c r="M148" s="2496"/>
      <c r="N148" s="2494"/>
      <c r="O148" s="2494"/>
      <c r="P148" s="2494"/>
      <c r="Q148" s="2494"/>
      <c r="R148" s="511"/>
      <c r="S148" s="2496"/>
      <c r="T148" s="2494"/>
      <c r="U148" s="2494"/>
      <c r="V148" s="2494"/>
      <c r="W148" s="2494"/>
      <c r="X148" s="511"/>
      <c r="Y148" s="2496"/>
      <c r="Z148" s="2494"/>
      <c r="AA148" s="2494"/>
      <c r="AB148" s="2494"/>
      <c r="AC148" s="2494"/>
      <c r="AD148" s="511"/>
      <c r="AE148" s="2496"/>
      <c r="AF148" s="2494"/>
      <c r="AG148" s="2494"/>
      <c r="AH148" s="2494"/>
      <c r="AI148" s="2494"/>
      <c r="AJ148" s="511"/>
      <c r="AK148" s="2496"/>
      <c r="AL148" s="2494"/>
      <c r="AM148" s="2494"/>
      <c r="AN148" s="2494"/>
      <c r="AO148" s="2494"/>
      <c r="AP148" s="511"/>
      <c r="AQ148" s="2496"/>
      <c r="AR148" s="2494"/>
      <c r="AS148" s="2494"/>
      <c r="AT148" s="2494"/>
      <c r="AU148" s="2494"/>
      <c r="AV148" s="511"/>
      <c r="AW148" s="2496"/>
      <c r="AX148" s="2494"/>
      <c r="AY148" s="2494"/>
      <c r="AZ148" s="2494"/>
      <c r="BA148" s="2494"/>
      <c r="BB148" s="511"/>
      <c r="BC148" s="2496"/>
      <c r="BD148" s="2494"/>
      <c r="BE148" s="2494"/>
      <c r="BF148" s="2494"/>
      <c r="BG148" s="2494"/>
      <c r="BH148" s="865"/>
      <c r="BI148" s="865"/>
      <c r="BJ148" s="865"/>
      <c r="BK148" s="865"/>
      <c r="BL148" s="865"/>
      <c r="BM148" s="865"/>
      <c r="BN148" s="865"/>
      <c r="BO148" s="865"/>
      <c r="BP148" s="865"/>
      <c r="BQ148" s="865"/>
      <c r="BR148" s="865"/>
      <c r="BS148" s="865"/>
      <c r="BT148" s="865"/>
      <c r="BU148" s="865"/>
      <c r="BV148" s="865"/>
      <c r="BW148" s="865"/>
      <c r="BX148" s="865"/>
      <c r="BY148" s="874"/>
      <c r="BZ148" s="2430"/>
      <c r="CA148" s="894"/>
      <c r="CB148" s="2433"/>
      <c r="CC148" s="2433"/>
      <c r="CD148" s="2433"/>
      <c r="CE148" s="2433"/>
      <c r="CF148" s="511"/>
      <c r="CG148" s="511"/>
      <c r="CH148" s="511"/>
      <c r="CI148" s="511"/>
      <c r="CJ148" s="511"/>
      <c r="CK148" s="511"/>
      <c r="CL148" s="511"/>
      <c r="CM148" s="511"/>
      <c r="CN148" s="511"/>
      <c r="CO148" s="511"/>
      <c r="CP148" s="511"/>
      <c r="CQ148" s="511"/>
      <c r="CR148" s="511"/>
      <c r="CS148" s="904" t="str">
        <f>IF(OR(CS145="",B100=""),"",CS145*B100)</f>
        <v/>
      </c>
      <c r="CT148" s="511"/>
      <c r="CU148" s="2430"/>
      <c r="CV148" s="894"/>
      <c r="CW148" s="2433"/>
      <c r="CX148" s="2433"/>
      <c r="CY148" s="2433"/>
      <c r="CZ148" s="2433"/>
      <c r="DA148" s="511"/>
      <c r="DB148" s="511"/>
      <c r="DC148" s="511"/>
      <c r="DD148" s="511"/>
      <c r="DE148" s="511"/>
      <c r="DF148" s="511"/>
      <c r="DG148" s="511"/>
      <c r="DH148" s="511"/>
      <c r="DI148" s="511"/>
      <c r="DJ148" s="511"/>
      <c r="DK148" s="511"/>
      <c r="DL148" s="511"/>
      <c r="DM148" s="511"/>
      <c r="DN148" s="904" t="str">
        <f>IF(OR(DN145="",H100=""),"",DN145*H100)</f>
        <v/>
      </c>
      <c r="DO148" s="511"/>
      <c r="DP148" s="2436"/>
      <c r="DQ148" s="896"/>
      <c r="DR148" s="2460"/>
      <c r="DS148" s="2460"/>
      <c r="DT148" s="2460"/>
      <c r="DU148" s="2460"/>
      <c r="DV148" s="511"/>
      <c r="DW148" s="511"/>
      <c r="DX148" s="511"/>
      <c r="DY148" s="511"/>
      <c r="DZ148" s="511"/>
      <c r="EA148" s="511"/>
      <c r="EB148" s="511"/>
      <c r="EC148" s="511"/>
      <c r="ED148" s="511"/>
      <c r="EE148" s="511"/>
      <c r="EF148" s="511"/>
      <c r="EG148" s="511"/>
      <c r="EH148" s="511"/>
      <c r="EI148" s="904" t="str">
        <f>IF(OR(EI145="",N100=""),"",EI145*N100)</f>
        <v/>
      </c>
      <c r="EJ148" s="511"/>
      <c r="EK148" s="2430"/>
      <c r="EL148" s="894"/>
      <c r="EM148" s="2433"/>
      <c r="EN148" s="2433"/>
      <c r="EO148" s="2433"/>
      <c r="EP148" s="2433"/>
      <c r="EQ148" s="511"/>
      <c r="ER148" s="511"/>
      <c r="ES148" s="511"/>
      <c r="ET148" s="511"/>
      <c r="EU148" s="511"/>
      <c r="EV148" s="511"/>
      <c r="EW148" s="511"/>
      <c r="EX148" s="511"/>
      <c r="EY148" s="511"/>
      <c r="EZ148" s="511"/>
      <c r="FA148" s="511"/>
      <c r="FB148" s="511"/>
      <c r="FC148" s="511"/>
      <c r="FD148" s="904" t="str">
        <f>IF(OR(FD145="",T100=""),"",FD145*T100)</f>
        <v/>
      </c>
      <c r="FE148" s="511"/>
      <c r="FF148" s="2436"/>
      <c r="FG148" s="896"/>
      <c r="FH148" s="2460"/>
      <c r="FI148" s="2460"/>
      <c r="FJ148" s="2460"/>
      <c r="FK148" s="2460"/>
      <c r="FL148" s="511"/>
      <c r="FM148" s="511"/>
      <c r="FN148" s="511"/>
      <c r="FO148" s="511"/>
      <c r="FP148" s="511"/>
      <c r="FQ148" s="511"/>
      <c r="FR148" s="511"/>
      <c r="FS148" s="511"/>
      <c r="FT148" s="511"/>
      <c r="FU148" s="511"/>
      <c r="FV148" s="511"/>
      <c r="FW148" s="511"/>
      <c r="FX148" s="511"/>
      <c r="FY148" s="904" t="str">
        <f>IF(OR(FY145="",Z100=""),"",FY145*Z100)</f>
        <v/>
      </c>
      <c r="FZ148" s="511"/>
      <c r="GA148" s="2430"/>
      <c r="GB148" s="894"/>
      <c r="GC148" s="2433"/>
      <c r="GD148" s="2433"/>
      <c r="GE148" s="2433"/>
      <c r="GF148" s="2433"/>
      <c r="GG148" s="511"/>
      <c r="GH148" s="511"/>
      <c r="GI148" s="511"/>
      <c r="GJ148" s="511"/>
      <c r="GK148" s="511"/>
      <c r="GL148" s="511"/>
      <c r="GM148" s="511"/>
      <c r="GN148" s="511"/>
      <c r="GO148" s="511"/>
      <c r="GP148" s="511"/>
      <c r="GQ148" s="511"/>
      <c r="GR148" s="511"/>
      <c r="GS148" s="511"/>
      <c r="GT148" s="904" t="str">
        <f>IF(OR(GT145="",AF100=""),"",GT145*AF100)</f>
        <v/>
      </c>
      <c r="GU148" s="511"/>
      <c r="GV148" s="2430"/>
      <c r="GW148" s="894"/>
      <c r="GX148" s="2433"/>
      <c r="GY148" s="2433"/>
      <c r="GZ148" s="2433"/>
      <c r="HA148" s="2433"/>
      <c r="HB148" s="511"/>
      <c r="HC148" s="511"/>
      <c r="HD148" s="511"/>
      <c r="HE148" s="511"/>
      <c r="HF148" s="511"/>
      <c r="HG148" s="511"/>
      <c r="HH148" s="511"/>
      <c r="HI148" s="511"/>
      <c r="HJ148" s="511"/>
      <c r="HK148" s="511"/>
      <c r="HL148" s="511"/>
      <c r="HM148" s="511"/>
      <c r="HN148" s="511"/>
      <c r="HO148" s="904" t="str">
        <f>IF(OR(HO145="",AL100=""),"",HO145*AL100)</f>
        <v/>
      </c>
      <c r="HP148" s="511"/>
      <c r="HQ148" s="2430"/>
      <c r="HR148" s="894"/>
      <c r="HS148" s="2433"/>
      <c r="HT148" s="2433"/>
      <c r="HU148" s="2433"/>
      <c r="HV148" s="2433"/>
      <c r="HW148" s="511"/>
      <c r="HX148" s="511"/>
      <c r="HY148" s="511"/>
      <c r="HZ148" s="511"/>
      <c r="IA148" s="511"/>
      <c r="IB148" s="511"/>
      <c r="IC148" s="511"/>
      <c r="ID148" s="511"/>
      <c r="IE148" s="511"/>
      <c r="IF148" s="511"/>
      <c r="IG148" s="511"/>
      <c r="IH148" s="511"/>
      <c r="II148" s="511"/>
      <c r="IJ148" s="904" t="str">
        <f>IF(OR(IJ145="",AR100=""),"",IJ145*AR100)</f>
        <v/>
      </c>
      <c r="IK148" s="511"/>
      <c r="IL148" s="2430"/>
      <c r="IM148" s="894"/>
      <c r="IN148" s="2433"/>
      <c r="IO148" s="2433"/>
      <c r="IP148" s="2433"/>
      <c r="IQ148" s="2433"/>
      <c r="IR148" s="511"/>
      <c r="IS148" s="511"/>
      <c r="IT148" s="511"/>
      <c r="IU148" s="511"/>
      <c r="IV148" s="511"/>
      <c r="IW148" s="511"/>
      <c r="IX148" s="511"/>
      <c r="IY148" s="511"/>
      <c r="IZ148" s="511"/>
      <c r="JA148" s="511"/>
      <c r="JB148" s="511"/>
      <c r="JC148" s="511"/>
      <c r="JD148" s="511"/>
      <c r="JE148" s="904" t="str">
        <f>IF(OR(JE145="",AX100=""),"",JE145*AX100)</f>
        <v/>
      </c>
      <c r="JF148" s="511"/>
      <c r="JG148" s="2430"/>
      <c r="JH148" s="894"/>
      <c r="JI148" s="2433"/>
      <c r="JJ148" s="2433"/>
      <c r="JK148" s="2433"/>
      <c r="JL148" s="2433"/>
      <c r="JM148" s="874"/>
      <c r="JN148" s="874"/>
      <c r="JO148" s="874"/>
      <c r="JP148" s="874"/>
      <c r="JQ148" s="874"/>
      <c r="JR148" s="874"/>
      <c r="JS148" s="874"/>
      <c r="JT148" s="874"/>
      <c r="JU148" s="511"/>
      <c r="JV148" s="511"/>
      <c r="JW148" s="511"/>
      <c r="JX148" s="511"/>
      <c r="JY148" s="511"/>
      <c r="JZ148" s="904" t="str">
        <f>IF(OR(JZ145="",BD100=""),"",JZ145*BD100)</f>
        <v/>
      </c>
      <c r="KA148" s="511"/>
      <c r="KB148" s="874"/>
      <c r="KC148" s="874"/>
      <c r="KD148" s="874"/>
      <c r="KE148" s="874"/>
      <c r="KF148" s="874"/>
      <c r="KG148" s="874"/>
      <c r="KH148" s="865"/>
      <c r="KI148" s="865"/>
      <c r="KJ148" s="865"/>
      <c r="KK148" s="865"/>
      <c r="KL148" s="865"/>
      <c r="KM148" s="865"/>
      <c r="KN148" s="865"/>
      <c r="KO148" s="865"/>
      <c r="KP148" s="865"/>
      <c r="KQ148" s="865"/>
      <c r="KR148" s="865"/>
      <c r="KS148" s="865"/>
      <c r="KT148" s="865"/>
      <c r="KU148" s="865"/>
      <c r="KV148" s="865"/>
      <c r="KW148" s="865"/>
      <c r="KX148" s="865"/>
      <c r="KY148" s="865"/>
      <c r="KZ148" s="865"/>
      <c r="LA148" s="865"/>
      <c r="LB148" s="865"/>
      <c r="LC148" s="865"/>
      <c r="LD148" s="865"/>
      <c r="LE148" s="865"/>
      <c r="LF148" s="865"/>
    </row>
    <row r="149" spans="1:318" ht="16.95" customHeight="1" thickBot="1">
      <c r="A149" s="2496"/>
      <c r="B149" s="2494"/>
      <c r="C149" s="2494"/>
      <c r="D149" s="2494"/>
      <c r="E149" s="2494"/>
      <c r="F149" s="511"/>
      <c r="G149" s="2496"/>
      <c r="H149" s="2494"/>
      <c r="I149" s="2494"/>
      <c r="J149" s="2494"/>
      <c r="K149" s="2494"/>
      <c r="L149" s="511"/>
      <c r="M149" s="2496"/>
      <c r="N149" s="2494"/>
      <c r="O149" s="2494"/>
      <c r="P149" s="2494"/>
      <c r="Q149" s="2494"/>
      <c r="R149" s="511"/>
      <c r="S149" s="2496"/>
      <c r="T149" s="2494"/>
      <c r="U149" s="2494"/>
      <c r="V149" s="2494"/>
      <c r="W149" s="2494"/>
      <c r="X149" s="511"/>
      <c r="Y149" s="2496"/>
      <c r="Z149" s="2494"/>
      <c r="AA149" s="2494"/>
      <c r="AB149" s="2494"/>
      <c r="AC149" s="2494"/>
      <c r="AD149" s="511"/>
      <c r="AE149" s="2496"/>
      <c r="AF149" s="2494"/>
      <c r="AG149" s="2494"/>
      <c r="AH149" s="2494"/>
      <c r="AI149" s="2494"/>
      <c r="AJ149" s="511"/>
      <c r="AK149" s="2496"/>
      <c r="AL149" s="2494"/>
      <c r="AM149" s="2494"/>
      <c r="AN149" s="2494"/>
      <c r="AO149" s="2494"/>
      <c r="AP149" s="511"/>
      <c r="AQ149" s="2496"/>
      <c r="AR149" s="2494"/>
      <c r="AS149" s="2494"/>
      <c r="AT149" s="2494"/>
      <c r="AU149" s="2494"/>
      <c r="AV149" s="511"/>
      <c r="AW149" s="2496"/>
      <c r="AX149" s="2494"/>
      <c r="AY149" s="2494"/>
      <c r="AZ149" s="2494"/>
      <c r="BA149" s="2494"/>
      <c r="BB149" s="511"/>
      <c r="BC149" s="2496"/>
      <c r="BD149" s="2494"/>
      <c r="BE149" s="2494"/>
      <c r="BF149" s="2494"/>
      <c r="BG149" s="2494"/>
      <c r="BH149" s="865"/>
      <c r="BI149" s="865"/>
      <c r="BJ149" s="865"/>
      <c r="BK149" s="865"/>
      <c r="BL149" s="865"/>
      <c r="BM149" s="865"/>
      <c r="BN149" s="865"/>
      <c r="BO149" s="865"/>
      <c r="BP149" s="865"/>
      <c r="BQ149" s="865"/>
      <c r="BR149" s="865"/>
      <c r="BS149" s="865"/>
      <c r="BT149" s="865"/>
      <c r="BU149" s="865"/>
      <c r="BV149" s="865"/>
      <c r="BW149" s="865"/>
      <c r="BX149" s="865"/>
      <c r="BY149" s="874"/>
      <c r="BZ149" s="2430"/>
      <c r="CA149" s="894"/>
      <c r="CB149" s="2433"/>
      <c r="CC149" s="2433"/>
      <c r="CD149" s="2433"/>
      <c r="CE149" s="2433"/>
      <c r="CF149" s="511"/>
      <c r="CG149" s="511"/>
      <c r="CH149" s="511"/>
      <c r="CI149" s="511"/>
      <c r="CJ149" s="511"/>
      <c r="CK149" s="511"/>
      <c r="CL149" s="511"/>
      <c r="CM149" s="511"/>
      <c r="CN149" s="511"/>
      <c r="CO149" s="511"/>
      <c r="CP149" s="511"/>
      <c r="CQ149" s="511"/>
      <c r="CR149" s="511"/>
      <c r="CS149" s="904" t="s">
        <v>1499</v>
      </c>
      <c r="CT149" s="511"/>
      <c r="CU149" s="2430"/>
      <c r="CV149" s="894"/>
      <c r="CW149" s="2433"/>
      <c r="CX149" s="2433"/>
      <c r="CY149" s="2433"/>
      <c r="CZ149" s="2433"/>
      <c r="DA149" s="511"/>
      <c r="DB149" s="511"/>
      <c r="DC149" s="511"/>
      <c r="DD149" s="511"/>
      <c r="DE149" s="511"/>
      <c r="DF149" s="511"/>
      <c r="DG149" s="511"/>
      <c r="DH149" s="511"/>
      <c r="DI149" s="511"/>
      <c r="DJ149" s="511"/>
      <c r="DK149" s="511"/>
      <c r="DL149" s="511"/>
      <c r="DM149" s="511"/>
      <c r="DN149" s="904" t="s">
        <v>1499</v>
      </c>
      <c r="DO149" s="511"/>
      <c r="DP149" s="2436"/>
      <c r="DQ149" s="896"/>
      <c r="DR149" s="2460"/>
      <c r="DS149" s="2460"/>
      <c r="DT149" s="2460"/>
      <c r="DU149" s="2460"/>
      <c r="DV149" s="511"/>
      <c r="DW149" s="511"/>
      <c r="DX149" s="511"/>
      <c r="DY149" s="511"/>
      <c r="DZ149" s="511"/>
      <c r="EA149" s="511"/>
      <c r="EB149" s="511"/>
      <c r="EC149" s="511"/>
      <c r="ED149" s="511"/>
      <c r="EE149" s="511"/>
      <c r="EF149" s="511"/>
      <c r="EG149" s="511"/>
      <c r="EH149" s="511"/>
      <c r="EI149" s="904" t="s">
        <v>1499</v>
      </c>
      <c r="EJ149" s="511"/>
      <c r="EK149" s="2430"/>
      <c r="EL149" s="894"/>
      <c r="EM149" s="2433"/>
      <c r="EN149" s="2433"/>
      <c r="EO149" s="2433"/>
      <c r="EP149" s="2433"/>
      <c r="EQ149" s="511"/>
      <c r="ER149" s="511"/>
      <c r="ES149" s="511"/>
      <c r="ET149" s="511"/>
      <c r="EU149" s="511"/>
      <c r="EV149" s="511"/>
      <c r="EW149" s="511"/>
      <c r="EX149" s="511"/>
      <c r="EY149" s="511"/>
      <c r="EZ149" s="511"/>
      <c r="FA149" s="511"/>
      <c r="FB149" s="511"/>
      <c r="FC149" s="511"/>
      <c r="FD149" s="904" t="s">
        <v>1499</v>
      </c>
      <c r="FE149" s="511"/>
      <c r="FF149" s="2436"/>
      <c r="FG149" s="896"/>
      <c r="FH149" s="2460"/>
      <c r="FI149" s="2460"/>
      <c r="FJ149" s="2460"/>
      <c r="FK149" s="2460"/>
      <c r="FL149" s="511"/>
      <c r="FM149" s="511"/>
      <c r="FN149" s="511"/>
      <c r="FO149" s="511"/>
      <c r="FP149" s="511"/>
      <c r="FQ149" s="511"/>
      <c r="FR149" s="511"/>
      <c r="FS149" s="511"/>
      <c r="FT149" s="511"/>
      <c r="FU149" s="511"/>
      <c r="FV149" s="511"/>
      <c r="FW149" s="511"/>
      <c r="FX149" s="511"/>
      <c r="FY149" s="904" t="s">
        <v>1499</v>
      </c>
      <c r="FZ149" s="511"/>
      <c r="GA149" s="2430"/>
      <c r="GB149" s="894"/>
      <c r="GC149" s="2433"/>
      <c r="GD149" s="2433"/>
      <c r="GE149" s="2433"/>
      <c r="GF149" s="2433"/>
      <c r="GG149" s="511"/>
      <c r="GH149" s="511"/>
      <c r="GI149" s="511"/>
      <c r="GJ149" s="511"/>
      <c r="GK149" s="511"/>
      <c r="GL149" s="511"/>
      <c r="GM149" s="511"/>
      <c r="GN149" s="511"/>
      <c r="GO149" s="511"/>
      <c r="GP149" s="511"/>
      <c r="GQ149" s="511"/>
      <c r="GR149" s="511"/>
      <c r="GS149" s="511"/>
      <c r="GT149" s="904" t="s">
        <v>1499</v>
      </c>
      <c r="GU149" s="511"/>
      <c r="GV149" s="2430"/>
      <c r="GW149" s="894"/>
      <c r="GX149" s="2433"/>
      <c r="GY149" s="2433"/>
      <c r="GZ149" s="2433"/>
      <c r="HA149" s="2433"/>
      <c r="HB149" s="511"/>
      <c r="HC149" s="511"/>
      <c r="HD149" s="511"/>
      <c r="HE149" s="511"/>
      <c r="HF149" s="511"/>
      <c r="HG149" s="511"/>
      <c r="HH149" s="511"/>
      <c r="HI149" s="511"/>
      <c r="HJ149" s="511"/>
      <c r="HK149" s="511"/>
      <c r="HL149" s="511"/>
      <c r="HM149" s="511"/>
      <c r="HN149" s="511"/>
      <c r="HO149" s="904" t="s">
        <v>1499</v>
      </c>
      <c r="HP149" s="511"/>
      <c r="HQ149" s="2430"/>
      <c r="HR149" s="894"/>
      <c r="HS149" s="2433"/>
      <c r="HT149" s="2433"/>
      <c r="HU149" s="2433"/>
      <c r="HV149" s="2433"/>
      <c r="HW149" s="511"/>
      <c r="HX149" s="511"/>
      <c r="HY149" s="511"/>
      <c r="HZ149" s="511"/>
      <c r="IA149" s="511"/>
      <c r="IB149" s="511"/>
      <c r="IC149" s="511"/>
      <c r="ID149" s="511"/>
      <c r="IE149" s="511"/>
      <c r="IF149" s="511"/>
      <c r="IG149" s="511"/>
      <c r="IH149" s="511"/>
      <c r="II149" s="511"/>
      <c r="IJ149" s="904" t="s">
        <v>1499</v>
      </c>
      <c r="IK149" s="511"/>
      <c r="IL149" s="2430"/>
      <c r="IM149" s="894"/>
      <c r="IN149" s="2433"/>
      <c r="IO149" s="2433"/>
      <c r="IP149" s="2433"/>
      <c r="IQ149" s="2433"/>
      <c r="IR149" s="511"/>
      <c r="IS149" s="511"/>
      <c r="IT149" s="511"/>
      <c r="IU149" s="511"/>
      <c r="IV149" s="511"/>
      <c r="IW149" s="511"/>
      <c r="IX149" s="511"/>
      <c r="IY149" s="511"/>
      <c r="IZ149" s="511"/>
      <c r="JA149" s="511"/>
      <c r="JB149" s="511"/>
      <c r="JC149" s="511"/>
      <c r="JD149" s="511"/>
      <c r="JE149" s="904" t="s">
        <v>1499</v>
      </c>
      <c r="JF149" s="511"/>
      <c r="JG149" s="2430"/>
      <c r="JH149" s="894"/>
      <c r="JI149" s="2433"/>
      <c r="JJ149" s="2433"/>
      <c r="JK149" s="2433"/>
      <c r="JL149" s="2433"/>
      <c r="JM149" s="874"/>
      <c r="JN149" s="874"/>
      <c r="JO149" s="874"/>
      <c r="JP149" s="874"/>
      <c r="JQ149" s="874"/>
      <c r="JR149" s="874"/>
      <c r="JS149" s="874"/>
      <c r="JT149" s="874"/>
      <c r="JU149" s="511"/>
      <c r="JV149" s="511"/>
      <c r="JW149" s="511"/>
      <c r="JX149" s="511"/>
      <c r="JY149" s="511"/>
      <c r="JZ149" s="904" t="s">
        <v>1499</v>
      </c>
      <c r="KA149" s="511"/>
      <c r="KB149" s="874"/>
      <c r="KC149" s="874"/>
      <c r="KD149" s="874"/>
      <c r="KE149" s="874"/>
      <c r="KF149" s="874"/>
      <c r="KG149" s="874"/>
      <c r="KH149" s="865"/>
      <c r="KI149" s="865"/>
      <c r="KJ149" s="865"/>
      <c r="KK149" s="865"/>
      <c r="KL149" s="865"/>
      <c r="KM149" s="865"/>
      <c r="KN149" s="865"/>
      <c r="KO149" s="865"/>
      <c r="KP149" s="865"/>
      <c r="KQ149" s="865"/>
      <c r="KR149" s="865"/>
      <c r="KS149" s="865"/>
      <c r="KT149" s="865"/>
      <c r="KU149" s="865"/>
      <c r="KV149" s="865"/>
      <c r="KW149" s="865"/>
      <c r="KX149" s="865"/>
      <c r="KY149" s="865"/>
      <c r="KZ149" s="865"/>
      <c r="LA149" s="865"/>
      <c r="LB149" s="865"/>
      <c r="LC149" s="865"/>
      <c r="LD149" s="865"/>
      <c r="LE149" s="865"/>
      <c r="LF149" s="865"/>
    </row>
    <row r="150" spans="1:318" ht="16.95" customHeight="1">
      <c r="A150" s="2496"/>
      <c r="B150" s="2494"/>
      <c r="C150" s="2494"/>
      <c r="D150" s="2494"/>
      <c r="E150" s="2494"/>
      <c r="F150" s="511"/>
      <c r="G150" s="2496"/>
      <c r="H150" s="2494"/>
      <c r="I150" s="2494"/>
      <c r="J150" s="2494"/>
      <c r="K150" s="2494"/>
      <c r="L150" s="511"/>
      <c r="M150" s="2496"/>
      <c r="N150" s="2494"/>
      <c r="O150" s="2494"/>
      <c r="P150" s="2494"/>
      <c r="Q150" s="2494"/>
      <c r="R150" s="511"/>
      <c r="S150" s="2496"/>
      <c r="T150" s="2494"/>
      <c r="U150" s="2494"/>
      <c r="V150" s="2494"/>
      <c r="W150" s="2494"/>
      <c r="X150" s="511"/>
      <c r="Y150" s="2496"/>
      <c r="Z150" s="2494"/>
      <c r="AA150" s="2494"/>
      <c r="AB150" s="2494"/>
      <c r="AC150" s="2494"/>
      <c r="AD150" s="511"/>
      <c r="AE150" s="2496"/>
      <c r="AF150" s="2494"/>
      <c r="AG150" s="2494"/>
      <c r="AH150" s="2494"/>
      <c r="AI150" s="2494"/>
      <c r="AJ150" s="511"/>
      <c r="AK150" s="2496"/>
      <c r="AL150" s="2494"/>
      <c r="AM150" s="2494"/>
      <c r="AN150" s="2494"/>
      <c r="AO150" s="2494"/>
      <c r="AP150" s="511"/>
      <c r="AQ150" s="2496"/>
      <c r="AR150" s="2494"/>
      <c r="AS150" s="2494"/>
      <c r="AT150" s="2494"/>
      <c r="AU150" s="2494"/>
      <c r="AV150" s="511"/>
      <c r="AW150" s="2496"/>
      <c r="AX150" s="2494"/>
      <c r="AY150" s="2494"/>
      <c r="AZ150" s="2494"/>
      <c r="BA150" s="2494"/>
      <c r="BB150" s="511"/>
      <c r="BC150" s="2496"/>
      <c r="BD150" s="2494"/>
      <c r="BE150" s="2494"/>
      <c r="BF150" s="2494"/>
      <c r="BG150" s="2494"/>
      <c r="BH150" s="865"/>
      <c r="BI150" s="865"/>
      <c r="BJ150" s="865"/>
      <c r="BK150" s="865"/>
      <c r="BL150" s="865"/>
      <c r="BM150" s="865"/>
      <c r="BN150" s="865"/>
      <c r="BO150" s="865"/>
      <c r="BP150" s="865"/>
      <c r="BQ150" s="865"/>
      <c r="BR150" s="865"/>
      <c r="BS150" s="865"/>
      <c r="BT150" s="865"/>
      <c r="BU150" s="865"/>
      <c r="BV150" s="865"/>
      <c r="BW150" s="865"/>
      <c r="BX150" s="865"/>
      <c r="BY150" s="874"/>
      <c r="BZ150" s="2430"/>
      <c r="CA150" s="894"/>
      <c r="CB150" s="2433"/>
      <c r="CC150" s="2433"/>
      <c r="CD150" s="2433"/>
      <c r="CE150" s="2433"/>
      <c r="CF150" s="511"/>
      <c r="CG150" s="511"/>
      <c r="CH150" s="511"/>
      <c r="CI150" s="511"/>
      <c r="CJ150" s="511"/>
      <c r="CK150" s="511"/>
      <c r="CL150" s="511"/>
      <c r="CM150" s="511"/>
      <c r="CN150" s="511"/>
      <c r="CO150" s="511"/>
      <c r="CP150" s="511"/>
      <c r="CQ150" s="511"/>
      <c r="CR150" s="511"/>
      <c r="CS150" s="874"/>
      <c r="CT150" s="511"/>
      <c r="CU150" s="2430"/>
      <c r="CV150" s="894"/>
      <c r="CW150" s="2433"/>
      <c r="CX150" s="2433"/>
      <c r="CY150" s="2433"/>
      <c r="CZ150" s="2433"/>
      <c r="DA150" s="511"/>
      <c r="DB150" s="511"/>
      <c r="DC150" s="511"/>
      <c r="DD150" s="511"/>
      <c r="DE150" s="511"/>
      <c r="DF150" s="511"/>
      <c r="DG150" s="511"/>
      <c r="DH150" s="511"/>
      <c r="DI150" s="511"/>
      <c r="DJ150" s="511"/>
      <c r="DK150" s="511"/>
      <c r="DL150" s="511"/>
      <c r="DM150" s="511"/>
      <c r="DN150" s="511"/>
      <c r="DO150" s="511"/>
      <c r="DP150" s="2436"/>
      <c r="DQ150" s="896"/>
      <c r="DR150" s="2460"/>
      <c r="DS150" s="2460"/>
      <c r="DT150" s="2460"/>
      <c r="DU150" s="2460"/>
      <c r="DV150" s="511"/>
      <c r="DW150" s="511"/>
      <c r="DX150" s="511"/>
      <c r="DY150" s="511"/>
      <c r="DZ150" s="511"/>
      <c r="EA150" s="511"/>
      <c r="EB150" s="511"/>
      <c r="EC150" s="511"/>
      <c r="ED150" s="511"/>
      <c r="EE150" s="511"/>
      <c r="EF150" s="511"/>
      <c r="EG150" s="511"/>
      <c r="EH150" s="511"/>
      <c r="EI150" s="511"/>
      <c r="EJ150" s="511"/>
      <c r="EK150" s="2430"/>
      <c r="EL150" s="894"/>
      <c r="EM150" s="2433"/>
      <c r="EN150" s="2433"/>
      <c r="EO150" s="2433"/>
      <c r="EP150" s="2433"/>
      <c r="EQ150" s="511"/>
      <c r="ER150" s="511"/>
      <c r="ES150" s="511"/>
      <c r="ET150" s="511"/>
      <c r="EU150" s="511"/>
      <c r="EV150" s="511"/>
      <c r="EW150" s="511"/>
      <c r="EX150" s="511"/>
      <c r="EY150" s="511"/>
      <c r="EZ150" s="511"/>
      <c r="FA150" s="511"/>
      <c r="FB150" s="511"/>
      <c r="FC150" s="511"/>
      <c r="FD150" s="511"/>
      <c r="FE150" s="511"/>
      <c r="FF150" s="2436"/>
      <c r="FG150" s="896"/>
      <c r="FH150" s="2460"/>
      <c r="FI150" s="2460"/>
      <c r="FJ150" s="2460"/>
      <c r="FK150" s="2460"/>
      <c r="FL150" s="511"/>
      <c r="FM150" s="511"/>
      <c r="FN150" s="511"/>
      <c r="FO150" s="511"/>
      <c r="FP150" s="511"/>
      <c r="FQ150" s="511"/>
      <c r="FR150" s="511"/>
      <c r="FS150" s="511"/>
      <c r="FT150" s="511"/>
      <c r="FU150" s="511"/>
      <c r="FV150" s="511"/>
      <c r="FW150" s="511"/>
      <c r="FX150" s="511"/>
      <c r="FY150" s="511"/>
      <c r="FZ150" s="511"/>
      <c r="GA150" s="2430"/>
      <c r="GB150" s="894"/>
      <c r="GC150" s="2433"/>
      <c r="GD150" s="2433"/>
      <c r="GE150" s="2433"/>
      <c r="GF150" s="2433"/>
      <c r="GG150" s="511"/>
      <c r="GH150" s="511"/>
      <c r="GI150" s="511"/>
      <c r="GJ150" s="511"/>
      <c r="GK150" s="511"/>
      <c r="GL150" s="511"/>
      <c r="GM150" s="511"/>
      <c r="GN150" s="511"/>
      <c r="GO150" s="511"/>
      <c r="GP150" s="511"/>
      <c r="GQ150" s="511"/>
      <c r="GR150" s="511"/>
      <c r="GS150" s="511"/>
      <c r="GT150" s="511"/>
      <c r="GU150" s="511"/>
      <c r="GV150" s="2430"/>
      <c r="GW150" s="894"/>
      <c r="GX150" s="2433"/>
      <c r="GY150" s="2433"/>
      <c r="GZ150" s="2433"/>
      <c r="HA150" s="2433"/>
      <c r="HB150" s="511"/>
      <c r="HC150" s="511"/>
      <c r="HD150" s="511"/>
      <c r="HE150" s="511"/>
      <c r="HF150" s="511"/>
      <c r="HG150" s="511"/>
      <c r="HH150" s="511"/>
      <c r="HI150" s="511"/>
      <c r="HJ150" s="511"/>
      <c r="HK150" s="511"/>
      <c r="HL150" s="511"/>
      <c r="HM150" s="511"/>
      <c r="HN150" s="511"/>
      <c r="HO150" s="511"/>
      <c r="HP150" s="511"/>
      <c r="HQ150" s="2430"/>
      <c r="HR150" s="894"/>
      <c r="HS150" s="2433"/>
      <c r="HT150" s="2433"/>
      <c r="HU150" s="2433"/>
      <c r="HV150" s="2433"/>
      <c r="HW150" s="511"/>
      <c r="HX150" s="511"/>
      <c r="HY150" s="511"/>
      <c r="HZ150" s="511"/>
      <c r="IA150" s="511"/>
      <c r="IB150" s="511"/>
      <c r="IC150" s="511"/>
      <c r="ID150" s="511"/>
      <c r="IE150" s="511"/>
      <c r="IF150" s="511"/>
      <c r="IG150" s="511"/>
      <c r="IH150" s="511"/>
      <c r="II150" s="511"/>
      <c r="IJ150" s="511"/>
      <c r="IK150" s="511"/>
      <c r="IL150" s="2430"/>
      <c r="IM150" s="894"/>
      <c r="IN150" s="2433"/>
      <c r="IO150" s="2433"/>
      <c r="IP150" s="2433"/>
      <c r="IQ150" s="2433"/>
      <c r="IR150" s="511"/>
      <c r="IS150" s="511"/>
      <c r="IT150" s="511"/>
      <c r="IU150" s="511"/>
      <c r="IV150" s="511"/>
      <c r="IW150" s="511"/>
      <c r="IX150" s="511"/>
      <c r="IY150" s="511"/>
      <c r="IZ150" s="511"/>
      <c r="JA150" s="511"/>
      <c r="JB150" s="511"/>
      <c r="JC150" s="511"/>
      <c r="JD150" s="511"/>
      <c r="JE150" s="511"/>
      <c r="JF150" s="511"/>
      <c r="JG150" s="2430"/>
      <c r="JH150" s="894"/>
      <c r="JI150" s="2433"/>
      <c r="JJ150" s="2433"/>
      <c r="JK150" s="2433"/>
      <c r="JL150" s="2433"/>
      <c r="JM150" s="874"/>
      <c r="JN150" s="874"/>
      <c r="JO150" s="874"/>
      <c r="JP150" s="874"/>
      <c r="JQ150" s="874"/>
      <c r="JR150" s="874"/>
      <c r="JS150" s="874"/>
      <c r="JT150" s="874"/>
      <c r="JU150" s="874"/>
      <c r="JV150" s="874"/>
      <c r="JW150" s="874"/>
      <c r="JX150" s="874"/>
      <c r="JY150" s="874"/>
      <c r="JZ150" s="874"/>
      <c r="KA150" s="874"/>
      <c r="KB150" s="874"/>
      <c r="KC150" s="874"/>
      <c r="KD150" s="874"/>
      <c r="KE150" s="874"/>
      <c r="KF150" s="874"/>
      <c r="KG150" s="874"/>
      <c r="KH150" s="865"/>
      <c r="KI150" s="865"/>
      <c r="KJ150" s="865"/>
      <c r="KK150" s="865"/>
      <c r="KL150" s="865"/>
      <c r="KM150" s="865"/>
      <c r="KN150" s="865"/>
      <c r="KO150" s="865"/>
      <c r="KP150" s="865"/>
      <c r="KQ150" s="865"/>
      <c r="KR150" s="865"/>
      <c r="KS150" s="865"/>
      <c r="KT150" s="865"/>
      <c r="KU150" s="865"/>
      <c r="KV150" s="865"/>
      <c r="KW150" s="865"/>
      <c r="KX150" s="865"/>
      <c r="KY150" s="865"/>
      <c r="KZ150" s="865"/>
      <c r="LA150" s="865"/>
      <c r="LB150" s="865"/>
      <c r="LC150" s="865"/>
      <c r="LD150" s="865"/>
      <c r="LE150" s="865"/>
      <c r="LF150" s="865"/>
    </row>
    <row r="151" spans="1:318" ht="16.95" customHeight="1">
      <c r="A151" s="2496"/>
      <c r="B151" s="2494"/>
      <c r="C151" s="2494"/>
      <c r="D151" s="2494"/>
      <c r="E151" s="2494"/>
      <c r="F151" s="511"/>
      <c r="G151" s="2496"/>
      <c r="H151" s="2494"/>
      <c r="I151" s="2494"/>
      <c r="J151" s="2494"/>
      <c r="K151" s="2494"/>
      <c r="L151" s="511"/>
      <c r="M151" s="2496"/>
      <c r="N151" s="2494"/>
      <c r="O151" s="2494"/>
      <c r="P151" s="2494"/>
      <c r="Q151" s="2494"/>
      <c r="R151" s="511"/>
      <c r="S151" s="2496"/>
      <c r="T151" s="2494"/>
      <c r="U151" s="2494"/>
      <c r="V151" s="2494"/>
      <c r="W151" s="2494"/>
      <c r="X151" s="511"/>
      <c r="Y151" s="2496"/>
      <c r="Z151" s="2494"/>
      <c r="AA151" s="2494"/>
      <c r="AB151" s="2494"/>
      <c r="AC151" s="2494"/>
      <c r="AD151" s="511"/>
      <c r="AE151" s="2496"/>
      <c r="AF151" s="2494"/>
      <c r="AG151" s="2494"/>
      <c r="AH151" s="2494"/>
      <c r="AI151" s="2494"/>
      <c r="AJ151" s="511"/>
      <c r="AK151" s="2496"/>
      <c r="AL151" s="2494"/>
      <c r="AM151" s="2494"/>
      <c r="AN151" s="2494"/>
      <c r="AO151" s="2494"/>
      <c r="AP151" s="511"/>
      <c r="AQ151" s="2496"/>
      <c r="AR151" s="2494"/>
      <c r="AS151" s="2494"/>
      <c r="AT151" s="2494"/>
      <c r="AU151" s="2494"/>
      <c r="AV151" s="511"/>
      <c r="AW151" s="2496"/>
      <c r="AX151" s="2494"/>
      <c r="AY151" s="2494"/>
      <c r="AZ151" s="2494"/>
      <c r="BA151" s="2494"/>
      <c r="BB151" s="511"/>
      <c r="BC151" s="2496"/>
      <c r="BD151" s="2494"/>
      <c r="BE151" s="2494"/>
      <c r="BF151" s="2494"/>
      <c r="BG151" s="2494"/>
      <c r="BH151" s="865"/>
      <c r="BI151" s="865"/>
      <c r="BJ151" s="865"/>
      <c r="BK151" s="865"/>
      <c r="BL151" s="865"/>
      <c r="BM151" s="865"/>
      <c r="BN151" s="865"/>
      <c r="BO151" s="865"/>
      <c r="BP151" s="865"/>
      <c r="BQ151" s="865"/>
      <c r="BR151" s="865"/>
      <c r="BS151" s="865"/>
      <c r="BT151" s="865"/>
      <c r="BU151" s="865"/>
      <c r="BV151" s="865"/>
      <c r="BW151" s="865"/>
      <c r="BX151" s="865"/>
      <c r="BY151" s="874"/>
      <c r="BZ151" s="2430"/>
      <c r="CA151" s="894"/>
      <c r="CB151" s="2433"/>
      <c r="CC151" s="2433"/>
      <c r="CD151" s="2433"/>
      <c r="CE151" s="2433"/>
      <c r="CF151" s="511"/>
      <c r="CG151" s="511"/>
      <c r="CH151" s="511"/>
      <c r="CI151" s="511"/>
      <c r="CJ151" s="511"/>
      <c r="CK151" s="511"/>
      <c r="CL151" s="511"/>
      <c r="CM151" s="511"/>
      <c r="CN151" s="511"/>
      <c r="CO151" s="511"/>
      <c r="CP151" s="511"/>
      <c r="CQ151" s="511"/>
      <c r="CR151" s="511"/>
      <c r="CS151" s="511"/>
      <c r="CT151" s="511"/>
      <c r="CU151" s="2430"/>
      <c r="CV151" s="894"/>
      <c r="CW151" s="2433"/>
      <c r="CX151" s="2433"/>
      <c r="CY151" s="2433"/>
      <c r="CZ151" s="2433"/>
      <c r="DA151" s="511"/>
      <c r="DB151" s="511"/>
      <c r="DC151" s="511"/>
      <c r="DD151" s="511"/>
      <c r="DE151" s="511"/>
      <c r="DF151" s="511"/>
      <c r="DG151" s="511"/>
      <c r="DH151" s="511"/>
      <c r="DI151" s="511"/>
      <c r="DJ151" s="511"/>
      <c r="DK151" s="511"/>
      <c r="DL151" s="511"/>
      <c r="DM151" s="511"/>
      <c r="DN151" s="511"/>
      <c r="DO151" s="511"/>
      <c r="DP151" s="2436"/>
      <c r="DQ151" s="896"/>
      <c r="DR151" s="2460"/>
      <c r="DS151" s="2460"/>
      <c r="DT151" s="2460"/>
      <c r="DU151" s="2460"/>
      <c r="DV151" s="511"/>
      <c r="DW151" s="511"/>
      <c r="DX151" s="511"/>
      <c r="DY151" s="511"/>
      <c r="DZ151" s="511"/>
      <c r="EA151" s="511"/>
      <c r="EB151" s="511"/>
      <c r="EC151" s="511"/>
      <c r="ED151" s="511"/>
      <c r="EE151" s="511"/>
      <c r="EF151" s="511"/>
      <c r="EG151" s="511"/>
      <c r="EH151" s="511"/>
      <c r="EI151" s="511"/>
      <c r="EJ151" s="511"/>
      <c r="EK151" s="2430"/>
      <c r="EL151" s="894"/>
      <c r="EM151" s="2433"/>
      <c r="EN151" s="2433"/>
      <c r="EO151" s="2433"/>
      <c r="EP151" s="2433"/>
      <c r="EQ151" s="511"/>
      <c r="ER151" s="511"/>
      <c r="ES151" s="511"/>
      <c r="ET151" s="511"/>
      <c r="EU151" s="511"/>
      <c r="EV151" s="511"/>
      <c r="EW151" s="511"/>
      <c r="EX151" s="511"/>
      <c r="EY151" s="511"/>
      <c r="EZ151" s="511"/>
      <c r="FA151" s="511"/>
      <c r="FB151" s="511"/>
      <c r="FC151" s="511"/>
      <c r="FD151" s="511"/>
      <c r="FE151" s="511"/>
      <c r="FF151" s="2436"/>
      <c r="FG151" s="896"/>
      <c r="FH151" s="2460"/>
      <c r="FI151" s="2460"/>
      <c r="FJ151" s="2460"/>
      <c r="FK151" s="2460"/>
      <c r="FL151" s="511"/>
      <c r="FM151" s="511"/>
      <c r="FN151" s="511"/>
      <c r="FO151" s="511"/>
      <c r="FP151" s="511"/>
      <c r="FQ151" s="511"/>
      <c r="FR151" s="511"/>
      <c r="FS151" s="511"/>
      <c r="FT151" s="511"/>
      <c r="FU151" s="511"/>
      <c r="FV151" s="511"/>
      <c r="FW151" s="511"/>
      <c r="FX151" s="511"/>
      <c r="FY151" s="511"/>
      <c r="FZ151" s="511"/>
      <c r="GA151" s="2430"/>
      <c r="GB151" s="894"/>
      <c r="GC151" s="2433"/>
      <c r="GD151" s="2433"/>
      <c r="GE151" s="2433"/>
      <c r="GF151" s="2433"/>
      <c r="GG151" s="511"/>
      <c r="GH151" s="511"/>
      <c r="GI151" s="511"/>
      <c r="GJ151" s="511"/>
      <c r="GK151" s="511"/>
      <c r="GL151" s="511"/>
      <c r="GM151" s="511"/>
      <c r="GN151" s="511"/>
      <c r="GO151" s="511"/>
      <c r="GP151" s="511"/>
      <c r="GQ151" s="511"/>
      <c r="GR151" s="511"/>
      <c r="GS151" s="511"/>
      <c r="GT151" s="511"/>
      <c r="GU151" s="511"/>
      <c r="GV151" s="2430"/>
      <c r="GW151" s="894"/>
      <c r="GX151" s="2433"/>
      <c r="GY151" s="2433"/>
      <c r="GZ151" s="2433"/>
      <c r="HA151" s="2433"/>
      <c r="HB151" s="511"/>
      <c r="HC151" s="511"/>
      <c r="HD151" s="511"/>
      <c r="HE151" s="511"/>
      <c r="HF151" s="511"/>
      <c r="HG151" s="511"/>
      <c r="HH151" s="511"/>
      <c r="HI151" s="511"/>
      <c r="HJ151" s="511"/>
      <c r="HK151" s="511"/>
      <c r="HL151" s="511"/>
      <c r="HM151" s="511"/>
      <c r="HN151" s="511"/>
      <c r="HO151" s="511"/>
      <c r="HP151" s="511"/>
      <c r="HQ151" s="2430"/>
      <c r="HR151" s="894"/>
      <c r="HS151" s="2433"/>
      <c r="HT151" s="2433"/>
      <c r="HU151" s="2433"/>
      <c r="HV151" s="2433"/>
      <c r="HW151" s="511"/>
      <c r="HX151" s="511"/>
      <c r="HY151" s="511"/>
      <c r="HZ151" s="511"/>
      <c r="IA151" s="511"/>
      <c r="IB151" s="511"/>
      <c r="IC151" s="511"/>
      <c r="ID151" s="511"/>
      <c r="IE151" s="511"/>
      <c r="IF151" s="511"/>
      <c r="IG151" s="511"/>
      <c r="IH151" s="511"/>
      <c r="II151" s="511"/>
      <c r="IJ151" s="511"/>
      <c r="IK151" s="511"/>
      <c r="IL151" s="2430"/>
      <c r="IM151" s="894"/>
      <c r="IN151" s="2433"/>
      <c r="IO151" s="2433"/>
      <c r="IP151" s="2433"/>
      <c r="IQ151" s="2433"/>
      <c r="IR151" s="511"/>
      <c r="IS151" s="511"/>
      <c r="IT151" s="511"/>
      <c r="IU151" s="511"/>
      <c r="IV151" s="511"/>
      <c r="IW151" s="511"/>
      <c r="IX151" s="511"/>
      <c r="IY151" s="511"/>
      <c r="IZ151" s="511"/>
      <c r="JA151" s="511"/>
      <c r="JB151" s="511"/>
      <c r="JC151" s="511"/>
      <c r="JD151" s="511"/>
      <c r="JE151" s="511"/>
      <c r="JF151" s="511"/>
      <c r="JG151" s="2430"/>
      <c r="JH151" s="894"/>
      <c r="JI151" s="2433"/>
      <c r="JJ151" s="2433"/>
      <c r="JK151" s="2433"/>
      <c r="JL151" s="2433"/>
      <c r="JM151" s="874"/>
      <c r="JN151" s="874"/>
      <c r="JO151" s="874"/>
      <c r="JP151" s="874"/>
      <c r="JQ151" s="874"/>
      <c r="JR151" s="874"/>
      <c r="JS151" s="874"/>
      <c r="JT151" s="874"/>
      <c r="JU151" s="874"/>
      <c r="JV151" s="874"/>
      <c r="JW151" s="874"/>
      <c r="JX151" s="874"/>
      <c r="JY151" s="874"/>
      <c r="JZ151" s="874"/>
      <c r="KA151" s="874"/>
      <c r="KB151" s="874"/>
      <c r="KC151" s="874"/>
      <c r="KD151" s="874"/>
      <c r="KE151" s="874"/>
      <c r="KF151" s="874"/>
      <c r="KG151" s="874"/>
      <c r="KH151" s="865"/>
      <c r="KI151" s="865"/>
      <c r="KJ151" s="865"/>
      <c r="KK151" s="865"/>
      <c r="KL151" s="865"/>
      <c r="KM151" s="865"/>
      <c r="KN151" s="865"/>
      <c r="KO151" s="865"/>
      <c r="KP151" s="865"/>
      <c r="KQ151" s="865"/>
      <c r="KR151" s="865"/>
      <c r="KS151" s="865"/>
      <c r="KT151" s="865"/>
      <c r="KU151" s="865"/>
      <c r="KV151" s="865"/>
      <c r="KW151" s="865"/>
      <c r="KX151" s="865"/>
      <c r="KY151" s="865"/>
      <c r="KZ151" s="865"/>
      <c r="LA151" s="865"/>
      <c r="LB151" s="865"/>
      <c r="LC151" s="865"/>
      <c r="LD151" s="865"/>
      <c r="LE151" s="865"/>
      <c r="LF151" s="865"/>
    </row>
    <row r="152" spans="1:318" ht="16.95" customHeight="1">
      <c r="A152" s="2496"/>
      <c r="B152" s="2494"/>
      <c r="C152" s="2494"/>
      <c r="D152" s="2494"/>
      <c r="E152" s="2494"/>
      <c r="F152" s="511"/>
      <c r="G152" s="2496"/>
      <c r="H152" s="2494"/>
      <c r="I152" s="2494"/>
      <c r="J152" s="2494"/>
      <c r="K152" s="2494"/>
      <c r="L152" s="511"/>
      <c r="M152" s="2496"/>
      <c r="N152" s="2494"/>
      <c r="O152" s="2494"/>
      <c r="P152" s="2494"/>
      <c r="Q152" s="2494"/>
      <c r="R152" s="511"/>
      <c r="S152" s="2496"/>
      <c r="T152" s="2494"/>
      <c r="U152" s="2494"/>
      <c r="V152" s="2494"/>
      <c r="W152" s="2494"/>
      <c r="X152" s="511"/>
      <c r="Y152" s="2496"/>
      <c r="Z152" s="2494"/>
      <c r="AA152" s="2494"/>
      <c r="AB152" s="2494"/>
      <c r="AC152" s="2494"/>
      <c r="AD152" s="511"/>
      <c r="AE152" s="2496"/>
      <c r="AF152" s="2494"/>
      <c r="AG152" s="2494"/>
      <c r="AH152" s="2494"/>
      <c r="AI152" s="2494"/>
      <c r="AJ152" s="511"/>
      <c r="AK152" s="2496"/>
      <c r="AL152" s="2494"/>
      <c r="AM152" s="2494"/>
      <c r="AN152" s="2494"/>
      <c r="AO152" s="2494"/>
      <c r="AP152" s="511"/>
      <c r="AQ152" s="2496"/>
      <c r="AR152" s="2494"/>
      <c r="AS152" s="2494"/>
      <c r="AT152" s="2494"/>
      <c r="AU152" s="2494"/>
      <c r="AV152" s="511"/>
      <c r="AW152" s="2496"/>
      <c r="AX152" s="2494"/>
      <c r="AY152" s="2494"/>
      <c r="AZ152" s="2494"/>
      <c r="BA152" s="2494"/>
      <c r="BB152" s="511"/>
      <c r="BC152" s="2496"/>
      <c r="BD152" s="2494"/>
      <c r="BE152" s="2494"/>
      <c r="BF152" s="2494"/>
      <c r="BG152" s="2494"/>
      <c r="BH152" s="865"/>
      <c r="BI152" s="865"/>
      <c r="BJ152" s="865"/>
      <c r="BK152" s="865"/>
      <c r="BL152" s="865"/>
      <c r="BM152" s="865"/>
      <c r="BN152" s="865"/>
      <c r="BO152" s="865"/>
      <c r="BP152" s="865"/>
      <c r="BQ152" s="865"/>
      <c r="BR152" s="865"/>
      <c r="BS152" s="865"/>
      <c r="BT152" s="865"/>
      <c r="BU152" s="865"/>
      <c r="BV152" s="865"/>
      <c r="BW152" s="865"/>
      <c r="BX152" s="865"/>
      <c r="BY152" s="874"/>
      <c r="BZ152" s="2430"/>
      <c r="CA152" s="894"/>
      <c r="CB152" s="2433"/>
      <c r="CC152" s="2433"/>
      <c r="CD152" s="2433"/>
      <c r="CE152" s="2433"/>
      <c r="CF152" s="511"/>
      <c r="CG152" s="511"/>
      <c r="CH152" s="511"/>
      <c r="CI152" s="511"/>
      <c r="CJ152" s="511"/>
      <c r="CK152" s="511"/>
      <c r="CL152" s="511"/>
      <c r="CM152" s="511"/>
      <c r="CN152" s="511"/>
      <c r="CO152" s="511"/>
      <c r="CP152" s="511"/>
      <c r="CQ152" s="511"/>
      <c r="CR152" s="511"/>
      <c r="CS152" s="511"/>
      <c r="CT152" s="511"/>
      <c r="CU152" s="2430"/>
      <c r="CV152" s="894"/>
      <c r="CW152" s="2433"/>
      <c r="CX152" s="2433"/>
      <c r="CY152" s="2433"/>
      <c r="CZ152" s="2433"/>
      <c r="DA152" s="511"/>
      <c r="DB152" s="511"/>
      <c r="DC152" s="511"/>
      <c r="DD152" s="511"/>
      <c r="DE152" s="511"/>
      <c r="DF152" s="511"/>
      <c r="DG152" s="511"/>
      <c r="DH152" s="511"/>
      <c r="DI152" s="511"/>
      <c r="DJ152" s="511"/>
      <c r="DK152" s="511"/>
      <c r="DL152" s="511"/>
      <c r="DM152" s="511"/>
      <c r="DN152" s="511"/>
      <c r="DO152" s="511"/>
      <c r="DP152" s="2436"/>
      <c r="DQ152" s="896"/>
      <c r="DR152" s="2460"/>
      <c r="DS152" s="2460"/>
      <c r="DT152" s="2460"/>
      <c r="DU152" s="2460"/>
      <c r="DV152" s="511"/>
      <c r="DW152" s="511"/>
      <c r="DX152" s="511"/>
      <c r="DY152" s="511"/>
      <c r="DZ152" s="511"/>
      <c r="EA152" s="511"/>
      <c r="EB152" s="511"/>
      <c r="EC152" s="511"/>
      <c r="ED152" s="511"/>
      <c r="EE152" s="511"/>
      <c r="EF152" s="511"/>
      <c r="EG152" s="511"/>
      <c r="EH152" s="511"/>
      <c r="EI152" s="511"/>
      <c r="EJ152" s="511"/>
      <c r="EK152" s="2430"/>
      <c r="EL152" s="894"/>
      <c r="EM152" s="2433"/>
      <c r="EN152" s="2433"/>
      <c r="EO152" s="2433"/>
      <c r="EP152" s="2433"/>
      <c r="EQ152" s="511"/>
      <c r="ER152" s="511"/>
      <c r="ES152" s="511"/>
      <c r="ET152" s="511"/>
      <c r="EU152" s="511"/>
      <c r="EV152" s="511"/>
      <c r="EW152" s="511"/>
      <c r="EX152" s="511"/>
      <c r="EY152" s="511"/>
      <c r="EZ152" s="511"/>
      <c r="FA152" s="511"/>
      <c r="FB152" s="511"/>
      <c r="FC152" s="511"/>
      <c r="FD152" s="511"/>
      <c r="FE152" s="511"/>
      <c r="FF152" s="2436"/>
      <c r="FG152" s="896"/>
      <c r="FH152" s="2460"/>
      <c r="FI152" s="2460"/>
      <c r="FJ152" s="2460"/>
      <c r="FK152" s="2460"/>
      <c r="FL152" s="511"/>
      <c r="FM152" s="511"/>
      <c r="FN152" s="511"/>
      <c r="FO152" s="511"/>
      <c r="FP152" s="511"/>
      <c r="FQ152" s="511"/>
      <c r="FR152" s="511"/>
      <c r="FS152" s="511"/>
      <c r="FT152" s="511"/>
      <c r="FU152" s="511"/>
      <c r="FV152" s="511"/>
      <c r="FW152" s="511"/>
      <c r="FX152" s="511"/>
      <c r="FY152" s="511"/>
      <c r="FZ152" s="511"/>
      <c r="GA152" s="2430"/>
      <c r="GB152" s="894"/>
      <c r="GC152" s="2433"/>
      <c r="GD152" s="2433"/>
      <c r="GE152" s="2433"/>
      <c r="GF152" s="2433"/>
      <c r="GG152" s="511"/>
      <c r="GH152" s="511"/>
      <c r="GI152" s="511"/>
      <c r="GJ152" s="511"/>
      <c r="GK152" s="511"/>
      <c r="GL152" s="511"/>
      <c r="GM152" s="511"/>
      <c r="GN152" s="511"/>
      <c r="GO152" s="511"/>
      <c r="GP152" s="511"/>
      <c r="GQ152" s="511"/>
      <c r="GR152" s="511"/>
      <c r="GS152" s="511"/>
      <c r="GT152" s="511"/>
      <c r="GU152" s="511"/>
      <c r="GV152" s="2430"/>
      <c r="GW152" s="894"/>
      <c r="GX152" s="2433"/>
      <c r="GY152" s="2433"/>
      <c r="GZ152" s="2433"/>
      <c r="HA152" s="2433"/>
      <c r="HB152" s="511"/>
      <c r="HC152" s="511"/>
      <c r="HD152" s="511"/>
      <c r="HE152" s="511"/>
      <c r="HF152" s="511"/>
      <c r="HG152" s="511"/>
      <c r="HH152" s="511"/>
      <c r="HI152" s="511"/>
      <c r="HJ152" s="511"/>
      <c r="HK152" s="511"/>
      <c r="HL152" s="511"/>
      <c r="HM152" s="511"/>
      <c r="HN152" s="511"/>
      <c r="HO152" s="511"/>
      <c r="HP152" s="511"/>
      <c r="HQ152" s="2430"/>
      <c r="HR152" s="894"/>
      <c r="HS152" s="2433"/>
      <c r="HT152" s="2433"/>
      <c r="HU152" s="2433"/>
      <c r="HV152" s="2433"/>
      <c r="HW152" s="511"/>
      <c r="HX152" s="511"/>
      <c r="HY152" s="511"/>
      <c r="HZ152" s="511"/>
      <c r="IA152" s="511"/>
      <c r="IB152" s="511"/>
      <c r="IC152" s="511"/>
      <c r="ID152" s="511"/>
      <c r="IE152" s="511"/>
      <c r="IF152" s="511"/>
      <c r="IG152" s="511"/>
      <c r="IH152" s="511"/>
      <c r="II152" s="511"/>
      <c r="IJ152" s="511"/>
      <c r="IK152" s="511"/>
      <c r="IL152" s="2430"/>
      <c r="IM152" s="894"/>
      <c r="IN152" s="2433"/>
      <c r="IO152" s="2433"/>
      <c r="IP152" s="2433"/>
      <c r="IQ152" s="2433"/>
      <c r="IR152" s="511"/>
      <c r="IS152" s="511"/>
      <c r="IT152" s="511"/>
      <c r="IU152" s="511"/>
      <c r="IV152" s="511"/>
      <c r="IW152" s="511"/>
      <c r="IX152" s="511"/>
      <c r="IY152" s="511"/>
      <c r="IZ152" s="511"/>
      <c r="JA152" s="511"/>
      <c r="JB152" s="511"/>
      <c r="JC152" s="511"/>
      <c r="JD152" s="511"/>
      <c r="JE152" s="511"/>
      <c r="JF152" s="511"/>
      <c r="JG152" s="2430"/>
      <c r="JH152" s="894"/>
      <c r="JI152" s="2433"/>
      <c r="JJ152" s="2433"/>
      <c r="JK152" s="2433"/>
      <c r="JL152" s="2433"/>
      <c r="JM152" s="874"/>
      <c r="JN152" s="874"/>
      <c r="JO152" s="874"/>
      <c r="JP152" s="874"/>
      <c r="JQ152" s="874"/>
      <c r="JR152" s="874"/>
      <c r="JS152" s="874"/>
      <c r="JT152" s="874"/>
      <c r="JU152" s="874"/>
      <c r="JV152" s="874"/>
      <c r="JW152" s="874"/>
      <c r="JX152" s="874"/>
      <c r="JY152" s="874"/>
      <c r="JZ152" s="874"/>
      <c r="KA152" s="874"/>
      <c r="KB152" s="874"/>
      <c r="KC152" s="874"/>
      <c r="KD152" s="874"/>
      <c r="KE152" s="874"/>
      <c r="KF152" s="874"/>
      <c r="KG152" s="874"/>
      <c r="KH152" s="865"/>
      <c r="KI152" s="865"/>
      <c r="KJ152" s="865"/>
      <c r="KK152" s="865"/>
      <c r="KL152" s="865"/>
      <c r="KM152" s="865"/>
      <c r="KN152" s="865"/>
      <c r="KO152" s="865"/>
      <c r="KP152" s="865"/>
      <c r="KQ152" s="865"/>
      <c r="KR152" s="865"/>
      <c r="KS152" s="865"/>
      <c r="KT152" s="865"/>
      <c r="KU152" s="865"/>
      <c r="KV152" s="865"/>
      <c r="KW152" s="865"/>
      <c r="KX152" s="865"/>
      <c r="KY152" s="865"/>
      <c r="KZ152" s="865"/>
      <c r="LA152" s="865"/>
      <c r="LB152" s="865"/>
      <c r="LC152" s="865"/>
      <c r="LD152" s="865"/>
      <c r="LE152" s="865"/>
      <c r="LF152" s="865"/>
    </row>
    <row r="153" spans="1:318" ht="16.95" customHeight="1">
      <c r="A153" s="2496"/>
      <c r="B153" s="2494"/>
      <c r="C153" s="2494"/>
      <c r="D153" s="2494"/>
      <c r="E153" s="2494"/>
      <c r="F153" s="511"/>
      <c r="G153" s="2496"/>
      <c r="H153" s="2494"/>
      <c r="I153" s="2494"/>
      <c r="J153" s="2494"/>
      <c r="K153" s="2494"/>
      <c r="L153" s="511"/>
      <c r="M153" s="2496"/>
      <c r="N153" s="2494"/>
      <c r="O153" s="2494"/>
      <c r="P153" s="2494"/>
      <c r="Q153" s="2494"/>
      <c r="R153" s="511"/>
      <c r="S153" s="2496"/>
      <c r="T153" s="2494"/>
      <c r="U153" s="2494"/>
      <c r="V153" s="2494"/>
      <c r="W153" s="2494"/>
      <c r="X153" s="511"/>
      <c r="Y153" s="2496"/>
      <c r="Z153" s="2494"/>
      <c r="AA153" s="2494"/>
      <c r="AB153" s="2494"/>
      <c r="AC153" s="2494"/>
      <c r="AD153" s="511"/>
      <c r="AE153" s="2496"/>
      <c r="AF153" s="2494"/>
      <c r="AG153" s="2494"/>
      <c r="AH153" s="2494"/>
      <c r="AI153" s="2494"/>
      <c r="AJ153" s="511"/>
      <c r="AK153" s="2496"/>
      <c r="AL153" s="2494"/>
      <c r="AM153" s="2494"/>
      <c r="AN153" s="2494"/>
      <c r="AO153" s="2494"/>
      <c r="AP153" s="511"/>
      <c r="AQ153" s="2496"/>
      <c r="AR153" s="2494"/>
      <c r="AS153" s="2494"/>
      <c r="AT153" s="2494"/>
      <c r="AU153" s="2494"/>
      <c r="AV153" s="511"/>
      <c r="AW153" s="2496"/>
      <c r="AX153" s="2494"/>
      <c r="AY153" s="2494"/>
      <c r="AZ153" s="2494"/>
      <c r="BA153" s="2494"/>
      <c r="BB153" s="511"/>
      <c r="BC153" s="2496"/>
      <c r="BD153" s="2494"/>
      <c r="BE153" s="2494"/>
      <c r="BF153" s="2494"/>
      <c r="BG153" s="2494"/>
      <c r="BH153" s="865"/>
      <c r="BI153" s="865"/>
      <c r="BJ153" s="865"/>
      <c r="BK153" s="865"/>
      <c r="BL153" s="865"/>
      <c r="BM153" s="865"/>
      <c r="BN153" s="865"/>
      <c r="BO153" s="865"/>
      <c r="BP153" s="865"/>
      <c r="BQ153" s="865"/>
      <c r="BR153" s="865"/>
      <c r="BS153" s="865"/>
      <c r="BT153" s="865"/>
      <c r="BU153" s="865"/>
      <c r="BV153" s="865"/>
      <c r="BW153" s="865"/>
      <c r="BX153" s="865"/>
      <c r="BY153" s="874"/>
      <c r="BZ153" s="2430"/>
      <c r="CA153" s="894"/>
      <c r="CB153" s="2433"/>
      <c r="CC153" s="2433"/>
      <c r="CD153" s="2433"/>
      <c r="CE153" s="2433"/>
      <c r="CF153" s="511"/>
      <c r="CG153" s="511"/>
      <c r="CH153" s="511"/>
      <c r="CI153" s="511"/>
      <c r="CJ153" s="511"/>
      <c r="CK153" s="511"/>
      <c r="CL153" s="511"/>
      <c r="CM153" s="511"/>
      <c r="CN153" s="511"/>
      <c r="CO153" s="511"/>
      <c r="CP153" s="511"/>
      <c r="CQ153" s="511"/>
      <c r="CR153" s="511"/>
      <c r="CS153" s="511"/>
      <c r="CT153" s="511"/>
      <c r="CU153" s="2430"/>
      <c r="CV153" s="894"/>
      <c r="CW153" s="2433"/>
      <c r="CX153" s="2433"/>
      <c r="CY153" s="2433"/>
      <c r="CZ153" s="2433"/>
      <c r="DA153" s="511"/>
      <c r="DB153" s="511"/>
      <c r="DC153" s="511"/>
      <c r="DD153" s="511"/>
      <c r="DE153" s="511"/>
      <c r="DF153" s="511"/>
      <c r="DG153" s="511"/>
      <c r="DH153" s="511"/>
      <c r="DI153" s="511"/>
      <c r="DJ153" s="511"/>
      <c r="DK153" s="511"/>
      <c r="DL153" s="511"/>
      <c r="DM153" s="511"/>
      <c r="DN153" s="511"/>
      <c r="DO153" s="511"/>
      <c r="DP153" s="2436"/>
      <c r="DQ153" s="896"/>
      <c r="DR153" s="2460"/>
      <c r="DS153" s="2460"/>
      <c r="DT153" s="2460"/>
      <c r="DU153" s="2460"/>
      <c r="DV153" s="511"/>
      <c r="DW153" s="511"/>
      <c r="DX153" s="511"/>
      <c r="DY153" s="511"/>
      <c r="DZ153" s="511"/>
      <c r="EA153" s="511"/>
      <c r="EB153" s="511"/>
      <c r="EC153" s="511"/>
      <c r="ED153" s="511"/>
      <c r="EE153" s="511"/>
      <c r="EF153" s="511"/>
      <c r="EG153" s="511"/>
      <c r="EH153" s="511"/>
      <c r="EI153" s="511"/>
      <c r="EJ153" s="511"/>
      <c r="EK153" s="2430"/>
      <c r="EL153" s="894"/>
      <c r="EM153" s="2433"/>
      <c r="EN153" s="2433"/>
      <c r="EO153" s="2433"/>
      <c r="EP153" s="2433"/>
      <c r="EQ153" s="511"/>
      <c r="ER153" s="511"/>
      <c r="ES153" s="511"/>
      <c r="ET153" s="511"/>
      <c r="EU153" s="511"/>
      <c r="EV153" s="511"/>
      <c r="EW153" s="511"/>
      <c r="EX153" s="511"/>
      <c r="EY153" s="511"/>
      <c r="EZ153" s="511"/>
      <c r="FA153" s="511"/>
      <c r="FB153" s="511"/>
      <c r="FC153" s="511"/>
      <c r="FD153" s="511"/>
      <c r="FE153" s="511"/>
      <c r="FF153" s="2436"/>
      <c r="FG153" s="896"/>
      <c r="FH153" s="2460"/>
      <c r="FI153" s="2460"/>
      <c r="FJ153" s="2460"/>
      <c r="FK153" s="2460"/>
      <c r="FL153" s="511"/>
      <c r="FM153" s="511"/>
      <c r="FN153" s="511"/>
      <c r="FO153" s="511"/>
      <c r="FP153" s="511"/>
      <c r="FQ153" s="511"/>
      <c r="FR153" s="511"/>
      <c r="FS153" s="511"/>
      <c r="FT153" s="511"/>
      <c r="FU153" s="511"/>
      <c r="FV153" s="511"/>
      <c r="FW153" s="511"/>
      <c r="FX153" s="511"/>
      <c r="FY153" s="511"/>
      <c r="FZ153" s="511"/>
      <c r="GA153" s="2430"/>
      <c r="GB153" s="894"/>
      <c r="GC153" s="2433"/>
      <c r="GD153" s="2433"/>
      <c r="GE153" s="2433"/>
      <c r="GF153" s="2433"/>
      <c r="GG153" s="511"/>
      <c r="GH153" s="511"/>
      <c r="GI153" s="511"/>
      <c r="GJ153" s="511"/>
      <c r="GK153" s="511"/>
      <c r="GL153" s="511"/>
      <c r="GM153" s="511"/>
      <c r="GN153" s="511"/>
      <c r="GO153" s="511"/>
      <c r="GP153" s="511"/>
      <c r="GQ153" s="511"/>
      <c r="GR153" s="511"/>
      <c r="GS153" s="511"/>
      <c r="GT153" s="511"/>
      <c r="GU153" s="511"/>
      <c r="GV153" s="2430"/>
      <c r="GW153" s="894"/>
      <c r="GX153" s="2433"/>
      <c r="GY153" s="2433"/>
      <c r="GZ153" s="2433"/>
      <c r="HA153" s="2433"/>
      <c r="HB153" s="511"/>
      <c r="HC153" s="511"/>
      <c r="HD153" s="511"/>
      <c r="HE153" s="511"/>
      <c r="HF153" s="511"/>
      <c r="HG153" s="511"/>
      <c r="HH153" s="511"/>
      <c r="HI153" s="511"/>
      <c r="HJ153" s="511"/>
      <c r="HK153" s="511"/>
      <c r="HL153" s="511"/>
      <c r="HM153" s="511"/>
      <c r="HN153" s="511"/>
      <c r="HO153" s="511"/>
      <c r="HP153" s="511"/>
      <c r="HQ153" s="2430"/>
      <c r="HR153" s="894"/>
      <c r="HS153" s="2433"/>
      <c r="HT153" s="2433"/>
      <c r="HU153" s="2433"/>
      <c r="HV153" s="2433"/>
      <c r="HW153" s="511"/>
      <c r="HX153" s="511"/>
      <c r="HY153" s="511"/>
      <c r="HZ153" s="511"/>
      <c r="IA153" s="511"/>
      <c r="IB153" s="511"/>
      <c r="IC153" s="511"/>
      <c r="ID153" s="511"/>
      <c r="IE153" s="511"/>
      <c r="IF153" s="511"/>
      <c r="IG153" s="511"/>
      <c r="IH153" s="511"/>
      <c r="II153" s="511"/>
      <c r="IJ153" s="511"/>
      <c r="IK153" s="511"/>
      <c r="IL153" s="2430"/>
      <c r="IM153" s="894"/>
      <c r="IN153" s="2433"/>
      <c r="IO153" s="2433"/>
      <c r="IP153" s="2433"/>
      <c r="IQ153" s="2433"/>
      <c r="IR153" s="511"/>
      <c r="IS153" s="511"/>
      <c r="IT153" s="511"/>
      <c r="IU153" s="511"/>
      <c r="IV153" s="511"/>
      <c r="IW153" s="511"/>
      <c r="IX153" s="511"/>
      <c r="IY153" s="511"/>
      <c r="IZ153" s="511"/>
      <c r="JA153" s="511"/>
      <c r="JB153" s="511"/>
      <c r="JC153" s="511"/>
      <c r="JD153" s="511"/>
      <c r="JE153" s="511"/>
      <c r="JF153" s="511"/>
      <c r="JG153" s="2430"/>
      <c r="JH153" s="894"/>
      <c r="JI153" s="2433"/>
      <c r="JJ153" s="2433"/>
      <c r="JK153" s="2433"/>
      <c r="JL153" s="2433"/>
      <c r="JM153" s="874"/>
      <c r="JN153" s="874"/>
      <c r="JO153" s="874"/>
      <c r="JP153" s="874"/>
      <c r="JQ153" s="874"/>
      <c r="JR153" s="874"/>
      <c r="JS153" s="874"/>
      <c r="JT153" s="874"/>
      <c r="JU153" s="874"/>
      <c r="JV153" s="874"/>
      <c r="JW153" s="874"/>
      <c r="JX153" s="874"/>
      <c r="JY153" s="874"/>
      <c r="JZ153" s="874"/>
      <c r="KA153" s="874"/>
      <c r="KB153" s="874"/>
      <c r="KC153" s="874"/>
      <c r="KD153" s="874"/>
      <c r="KE153" s="874"/>
      <c r="KF153" s="874"/>
      <c r="KG153" s="874"/>
      <c r="KH153" s="865"/>
      <c r="KI153" s="865"/>
      <c r="KJ153" s="865"/>
      <c r="KK153" s="865"/>
      <c r="KL153" s="865"/>
      <c r="KM153" s="865"/>
      <c r="KN153" s="865"/>
      <c r="KO153" s="865"/>
      <c r="KP153" s="865"/>
      <c r="KQ153" s="865"/>
      <c r="KR153" s="865"/>
      <c r="KS153" s="865"/>
      <c r="KT153" s="865"/>
      <c r="KU153" s="865"/>
      <c r="KV153" s="865"/>
      <c r="KW153" s="865"/>
      <c r="KX153" s="865"/>
      <c r="KY153" s="865"/>
      <c r="KZ153" s="865"/>
      <c r="LA153" s="865"/>
      <c r="LB153" s="865"/>
      <c r="LC153" s="865"/>
      <c r="LD153" s="865"/>
      <c r="LE153" s="865"/>
      <c r="LF153" s="865"/>
    </row>
    <row r="154" spans="1:318" ht="16.95" customHeight="1">
      <c r="A154" s="2496"/>
      <c r="B154" s="2494"/>
      <c r="C154" s="2494"/>
      <c r="D154" s="2494"/>
      <c r="E154" s="2494"/>
      <c r="F154" s="511"/>
      <c r="G154" s="2496"/>
      <c r="H154" s="2494"/>
      <c r="I154" s="2494"/>
      <c r="J154" s="2494"/>
      <c r="K154" s="2494"/>
      <c r="L154" s="511"/>
      <c r="M154" s="2496"/>
      <c r="N154" s="2494"/>
      <c r="O154" s="2494"/>
      <c r="P154" s="2494"/>
      <c r="Q154" s="2494"/>
      <c r="R154" s="511"/>
      <c r="S154" s="2496"/>
      <c r="T154" s="2494"/>
      <c r="U154" s="2494"/>
      <c r="V154" s="2494"/>
      <c r="W154" s="2494"/>
      <c r="X154" s="511"/>
      <c r="Y154" s="2496"/>
      <c r="Z154" s="2494"/>
      <c r="AA154" s="2494"/>
      <c r="AB154" s="2494"/>
      <c r="AC154" s="2494"/>
      <c r="AD154" s="511"/>
      <c r="AE154" s="2496"/>
      <c r="AF154" s="2494"/>
      <c r="AG154" s="2494"/>
      <c r="AH154" s="2494"/>
      <c r="AI154" s="2494"/>
      <c r="AJ154" s="458"/>
      <c r="AK154" s="2496"/>
      <c r="AL154" s="2494"/>
      <c r="AM154" s="2494"/>
      <c r="AN154" s="2494"/>
      <c r="AO154" s="2494"/>
      <c r="AP154" s="458"/>
      <c r="AQ154" s="2496"/>
      <c r="AR154" s="2494"/>
      <c r="AS154" s="2494"/>
      <c r="AT154" s="2494"/>
      <c r="AU154" s="2494"/>
      <c r="AV154" s="458"/>
      <c r="AW154" s="2496"/>
      <c r="AX154" s="2494"/>
      <c r="AY154" s="2494"/>
      <c r="AZ154" s="2494"/>
      <c r="BA154" s="2494"/>
      <c r="BB154" s="458"/>
      <c r="BC154" s="2496"/>
      <c r="BD154" s="2494"/>
      <c r="BE154" s="2494"/>
      <c r="BF154" s="2494"/>
      <c r="BG154" s="2494"/>
      <c r="BH154" s="865"/>
      <c r="BI154" s="865"/>
      <c r="BJ154" s="865"/>
      <c r="BK154" s="865"/>
      <c r="BL154" s="865"/>
      <c r="BM154" s="865"/>
      <c r="BN154" s="865"/>
      <c r="BO154" s="865"/>
      <c r="BP154" s="865"/>
      <c r="BQ154" s="865"/>
      <c r="BR154" s="865"/>
      <c r="BS154" s="865"/>
      <c r="BT154" s="865"/>
      <c r="BU154" s="865"/>
      <c r="BV154" s="865"/>
      <c r="BW154" s="865"/>
      <c r="BX154" s="865"/>
      <c r="BY154" s="874"/>
      <c r="BZ154" s="2430"/>
      <c r="CA154" s="894"/>
      <c r="CB154" s="2433"/>
      <c r="CC154" s="2433"/>
      <c r="CD154" s="2433"/>
      <c r="CE154" s="2433"/>
      <c r="CF154" s="511"/>
      <c r="CG154" s="511"/>
      <c r="CH154" s="511"/>
      <c r="CI154" s="511"/>
      <c r="CJ154" s="511"/>
      <c r="CK154" s="511"/>
      <c r="CL154" s="511"/>
      <c r="CM154" s="511"/>
      <c r="CN154" s="511"/>
      <c r="CO154" s="511"/>
      <c r="CP154" s="511"/>
      <c r="CQ154" s="511"/>
      <c r="CR154" s="511"/>
      <c r="CS154" s="511"/>
      <c r="CT154" s="511"/>
      <c r="CU154" s="2430"/>
      <c r="CV154" s="894"/>
      <c r="CW154" s="2433"/>
      <c r="CX154" s="2433"/>
      <c r="CY154" s="2433"/>
      <c r="CZ154" s="2433"/>
      <c r="DA154" s="511"/>
      <c r="DB154" s="511"/>
      <c r="DC154" s="511"/>
      <c r="DD154" s="511"/>
      <c r="DE154" s="511"/>
      <c r="DF154" s="511"/>
      <c r="DG154" s="511"/>
      <c r="DH154" s="511"/>
      <c r="DI154" s="511"/>
      <c r="DJ154" s="511"/>
      <c r="DK154" s="511"/>
      <c r="DL154" s="511"/>
      <c r="DM154" s="511"/>
      <c r="DN154" s="511"/>
      <c r="DO154" s="511"/>
      <c r="DP154" s="2436"/>
      <c r="DQ154" s="896"/>
      <c r="DR154" s="2460"/>
      <c r="DS154" s="2460"/>
      <c r="DT154" s="2460"/>
      <c r="DU154" s="2460"/>
      <c r="DV154" s="511"/>
      <c r="DW154" s="511"/>
      <c r="DX154" s="511"/>
      <c r="DY154" s="511"/>
      <c r="DZ154" s="511"/>
      <c r="EA154" s="511"/>
      <c r="EB154" s="511"/>
      <c r="EC154" s="511"/>
      <c r="ED154" s="511"/>
      <c r="EE154" s="511"/>
      <c r="EF154" s="511"/>
      <c r="EG154" s="511"/>
      <c r="EH154" s="511"/>
      <c r="EI154" s="511"/>
      <c r="EJ154" s="511"/>
      <c r="EK154" s="2430"/>
      <c r="EL154" s="894"/>
      <c r="EM154" s="2433"/>
      <c r="EN154" s="2433"/>
      <c r="EO154" s="2433"/>
      <c r="EP154" s="2433"/>
      <c r="EQ154" s="511"/>
      <c r="ER154" s="511"/>
      <c r="ES154" s="511"/>
      <c r="ET154" s="511"/>
      <c r="EU154" s="511"/>
      <c r="EV154" s="511"/>
      <c r="EW154" s="511"/>
      <c r="EX154" s="511"/>
      <c r="EY154" s="511"/>
      <c r="EZ154" s="511"/>
      <c r="FA154" s="511"/>
      <c r="FB154" s="511"/>
      <c r="FC154" s="511"/>
      <c r="FD154" s="511"/>
      <c r="FE154" s="511"/>
      <c r="FF154" s="2436"/>
      <c r="FG154" s="896"/>
      <c r="FH154" s="2460"/>
      <c r="FI154" s="2460"/>
      <c r="FJ154" s="2460"/>
      <c r="FK154" s="2460"/>
      <c r="FL154" s="511"/>
      <c r="FM154" s="511"/>
      <c r="FN154" s="511"/>
      <c r="FO154" s="511"/>
      <c r="FP154" s="511"/>
      <c r="FQ154" s="511"/>
      <c r="FR154" s="511"/>
      <c r="FS154" s="511"/>
      <c r="FT154" s="511"/>
      <c r="FU154" s="511"/>
      <c r="FV154" s="511"/>
      <c r="FW154" s="511"/>
      <c r="FX154" s="511"/>
      <c r="FY154" s="511"/>
      <c r="FZ154" s="511"/>
      <c r="GA154" s="2430"/>
      <c r="GB154" s="894"/>
      <c r="GC154" s="2433"/>
      <c r="GD154" s="2433"/>
      <c r="GE154" s="2433"/>
      <c r="GF154" s="2433"/>
      <c r="GG154" s="511"/>
      <c r="GH154" s="511"/>
      <c r="GI154" s="511"/>
      <c r="GJ154" s="511"/>
      <c r="GK154" s="511"/>
      <c r="GL154" s="511"/>
      <c r="GM154" s="511"/>
      <c r="GN154" s="511"/>
      <c r="GO154" s="458"/>
      <c r="GP154" s="458"/>
      <c r="GQ154" s="458"/>
      <c r="GR154" s="458"/>
      <c r="GS154" s="458"/>
      <c r="GT154" s="458"/>
      <c r="GU154" s="458"/>
      <c r="GV154" s="2430"/>
      <c r="GW154" s="894"/>
      <c r="GX154" s="2433"/>
      <c r="GY154" s="2433"/>
      <c r="GZ154" s="2433"/>
      <c r="HA154" s="2433"/>
      <c r="HB154" s="511"/>
      <c r="HC154" s="511"/>
      <c r="HD154" s="511"/>
      <c r="HE154" s="511"/>
      <c r="HF154" s="511"/>
      <c r="HG154" s="511"/>
      <c r="HH154" s="511"/>
      <c r="HI154" s="511"/>
      <c r="HJ154" s="458"/>
      <c r="HK154" s="458"/>
      <c r="HL154" s="458"/>
      <c r="HM154" s="458"/>
      <c r="HN154" s="458"/>
      <c r="HO154" s="458"/>
      <c r="HP154" s="458"/>
      <c r="HQ154" s="2430"/>
      <c r="HR154" s="894"/>
      <c r="HS154" s="2433"/>
      <c r="HT154" s="2433"/>
      <c r="HU154" s="2433"/>
      <c r="HV154" s="2433"/>
      <c r="HW154" s="511"/>
      <c r="HX154" s="511"/>
      <c r="HY154" s="511"/>
      <c r="HZ154" s="511"/>
      <c r="IA154" s="511"/>
      <c r="IB154" s="511"/>
      <c r="IC154" s="511"/>
      <c r="ID154" s="511"/>
      <c r="IE154" s="458"/>
      <c r="IF154" s="458"/>
      <c r="IG154" s="458"/>
      <c r="IH154" s="458"/>
      <c r="II154" s="458"/>
      <c r="IJ154" s="458"/>
      <c r="IK154" s="458"/>
      <c r="IL154" s="2430"/>
      <c r="IM154" s="894"/>
      <c r="IN154" s="2433"/>
      <c r="IO154" s="2433"/>
      <c r="IP154" s="2433"/>
      <c r="IQ154" s="2433"/>
      <c r="IR154" s="511"/>
      <c r="IS154" s="511"/>
      <c r="IT154" s="511"/>
      <c r="IU154" s="511"/>
      <c r="IV154" s="511"/>
      <c r="IW154" s="511"/>
      <c r="IX154" s="511"/>
      <c r="IY154" s="511"/>
      <c r="IZ154" s="458"/>
      <c r="JA154" s="458"/>
      <c r="JB154" s="458"/>
      <c r="JC154" s="458"/>
      <c r="JD154" s="458"/>
      <c r="JE154" s="458"/>
      <c r="JF154" s="458"/>
      <c r="JG154" s="2430"/>
      <c r="JH154" s="894"/>
      <c r="JI154" s="2433"/>
      <c r="JJ154" s="2433"/>
      <c r="JK154" s="2433"/>
      <c r="JL154" s="2433"/>
      <c r="JM154" s="874"/>
      <c r="JN154" s="874"/>
      <c r="JO154" s="874"/>
      <c r="JP154" s="874"/>
      <c r="JQ154" s="874"/>
      <c r="JR154" s="874"/>
      <c r="JS154" s="874"/>
      <c r="JT154" s="874"/>
      <c r="JU154" s="874"/>
      <c r="JV154" s="874"/>
      <c r="JW154" s="874"/>
      <c r="JX154" s="874"/>
      <c r="JY154" s="874"/>
      <c r="JZ154" s="874"/>
      <c r="KA154" s="874"/>
      <c r="KB154" s="874"/>
      <c r="KC154" s="874"/>
      <c r="KD154" s="874"/>
      <c r="KE154" s="874"/>
      <c r="KF154" s="874"/>
      <c r="KG154" s="874"/>
      <c r="KH154" s="865"/>
      <c r="KI154" s="865"/>
      <c r="KJ154" s="865"/>
      <c r="KK154" s="865"/>
      <c r="KL154" s="865"/>
      <c r="KM154" s="865"/>
      <c r="KN154" s="865"/>
      <c r="KO154" s="865"/>
      <c r="KP154" s="865"/>
      <c r="KQ154" s="865"/>
      <c r="KR154" s="865"/>
      <c r="KS154" s="865"/>
      <c r="KT154" s="865"/>
      <c r="KU154" s="865"/>
      <c r="KV154" s="865"/>
      <c r="KW154" s="865"/>
      <c r="KX154" s="865"/>
      <c r="KY154" s="865"/>
      <c r="KZ154" s="865"/>
      <c r="LA154" s="865"/>
      <c r="LB154" s="865"/>
      <c r="LC154" s="865"/>
      <c r="LD154" s="865"/>
      <c r="LE154" s="865"/>
      <c r="LF154" s="865"/>
    </row>
    <row r="155" spans="1:318" ht="16.95" customHeight="1">
      <c r="A155" s="2496"/>
      <c r="B155" s="2494"/>
      <c r="C155" s="2494"/>
      <c r="D155" s="2494"/>
      <c r="E155" s="2494"/>
      <c r="F155" s="511"/>
      <c r="G155" s="2496"/>
      <c r="H155" s="2494"/>
      <c r="I155" s="2494"/>
      <c r="J155" s="2494"/>
      <c r="K155" s="2494"/>
      <c r="L155" s="511"/>
      <c r="M155" s="2496"/>
      <c r="N155" s="2494"/>
      <c r="O155" s="2494"/>
      <c r="P155" s="2494"/>
      <c r="Q155" s="2494"/>
      <c r="R155" s="511"/>
      <c r="S155" s="2496"/>
      <c r="T155" s="2494"/>
      <c r="U155" s="2494"/>
      <c r="V155" s="2494"/>
      <c r="W155" s="2494"/>
      <c r="X155" s="511"/>
      <c r="Y155" s="2496"/>
      <c r="Z155" s="2494"/>
      <c r="AA155" s="2494"/>
      <c r="AB155" s="2494"/>
      <c r="AC155" s="2494"/>
      <c r="AD155" s="511"/>
      <c r="AE155" s="2496"/>
      <c r="AF155" s="2494"/>
      <c r="AG155" s="2494"/>
      <c r="AH155" s="2494"/>
      <c r="AI155" s="2494"/>
      <c r="AJ155" s="458"/>
      <c r="AK155" s="2496"/>
      <c r="AL155" s="2494"/>
      <c r="AM155" s="2494"/>
      <c r="AN155" s="2494"/>
      <c r="AO155" s="2494"/>
      <c r="AP155" s="458"/>
      <c r="AQ155" s="2496"/>
      <c r="AR155" s="2494"/>
      <c r="AS155" s="2494"/>
      <c r="AT155" s="2494"/>
      <c r="AU155" s="2494"/>
      <c r="AV155" s="458"/>
      <c r="AW155" s="2496"/>
      <c r="AX155" s="2494"/>
      <c r="AY155" s="2494"/>
      <c r="AZ155" s="2494"/>
      <c r="BA155" s="2494"/>
      <c r="BB155" s="458"/>
      <c r="BC155" s="2496"/>
      <c r="BD155" s="2494"/>
      <c r="BE155" s="2494"/>
      <c r="BF155" s="2494"/>
      <c r="BG155" s="2494"/>
      <c r="BH155" s="865"/>
      <c r="BI155" s="865"/>
      <c r="BJ155" s="865"/>
      <c r="BK155" s="865"/>
      <c r="BL155" s="865"/>
      <c r="BM155" s="865"/>
      <c r="BN155" s="865"/>
      <c r="BO155" s="865"/>
      <c r="BP155" s="865"/>
      <c r="BQ155" s="865"/>
      <c r="BR155" s="865"/>
      <c r="BS155" s="865"/>
      <c r="BT155" s="865"/>
      <c r="BU155" s="865"/>
      <c r="BV155" s="865"/>
      <c r="BW155" s="865"/>
      <c r="BX155" s="865"/>
      <c r="BY155" s="874"/>
      <c r="BZ155" s="2430"/>
      <c r="CA155" s="894"/>
      <c r="CB155" s="2433"/>
      <c r="CC155" s="2433"/>
      <c r="CD155" s="2433"/>
      <c r="CE155" s="2433"/>
      <c r="CF155" s="511"/>
      <c r="CG155" s="511"/>
      <c r="CH155" s="511"/>
      <c r="CI155" s="511"/>
      <c r="CJ155" s="511"/>
      <c r="CK155" s="511"/>
      <c r="CL155" s="511"/>
      <c r="CM155" s="511"/>
      <c r="CN155" s="511"/>
      <c r="CO155" s="511"/>
      <c r="CP155" s="511"/>
      <c r="CQ155" s="511"/>
      <c r="CR155" s="511"/>
      <c r="CS155" s="511"/>
      <c r="CT155" s="511"/>
      <c r="CU155" s="2430"/>
      <c r="CV155" s="894"/>
      <c r="CW155" s="2433"/>
      <c r="CX155" s="2433"/>
      <c r="CY155" s="2433"/>
      <c r="CZ155" s="2433"/>
      <c r="DA155" s="511"/>
      <c r="DB155" s="511"/>
      <c r="DC155" s="511"/>
      <c r="DD155" s="511"/>
      <c r="DE155" s="511"/>
      <c r="DF155" s="511"/>
      <c r="DG155" s="511"/>
      <c r="DH155" s="511"/>
      <c r="DI155" s="511"/>
      <c r="DJ155" s="511"/>
      <c r="DK155" s="511"/>
      <c r="DL155" s="511"/>
      <c r="DM155" s="511"/>
      <c r="DN155" s="511"/>
      <c r="DO155" s="511"/>
      <c r="DP155" s="2436"/>
      <c r="DQ155" s="896"/>
      <c r="DR155" s="2460"/>
      <c r="DS155" s="2460"/>
      <c r="DT155" s="2460"/>
      <c r="DU155" s="2460"/>
      <c r="DV155" s="511"/>
      <c r="DW155" s="511"/>
      <c r="DX155" s="511"/>
      <c r="DY155" s="511"/>
      <c r="DZ155" s="511"/>
      <c r="EA155" s="511"/>
      <c r="EB155" s="511"/>
      <c r="EC155" s="511"/>
      <c r="ED155" s="511"/>
      <c r="EE155" s="511"/>
      <c r="EF155" s="511"/>
      <c r="EG155" s="511"/>
      <c r="EH155" s="511"/>
      <c r="EI155" s="511"/>
      <c r="EJ155" s="511"/>
      <c r="EK155" s="2430"/>
      <c r="EL155" s="894"/>
      <c r="EM155" s="2433"/>
      <c r="EN155" s="2433"/>
      <c r="EO155" s="2433"/>
      <c r="EP155" s="2433"/>
      <c r="EQ155" s="511"/>
      <c r="ER155" s="511"/>
      <c r="ES155" s="511"/>
      <c r="ET155" s="511"/>
      <c r="EU155" s="511"/>
      <c r="EV155" s="511"/>
      <c r="EW155" s="511"/>
      <c r="EX155" s="511"/>
      <c r="EY155" s="511"/>
      <c r="EZ155" s="511"/>
      <c r="FA155" s="511"/>
      <c r="FB155" s="511"/>
      <c r="FC155" s="511"/>
      <c r="FD155" s="511"/>
      <c r="FE155" s="511"/>
      <c r="FF155" s="2436"/>
      <c r="FG155" s="896"/>
      <c r="FH155" s="2460"/>
      <c r="FI155" s="2460"/>
      <c r="FJ155" s="2460"/>
      <c r="FK155" s="2460"/>
      <c r="FL155" s="511"/>
      <c r="FM155" s="511"/>
      <c r="FN155" s="511"/>
      <c r="FO155" s="511"/>
      <c r="FP155" s="511"/>
      <c r="FQ155" s="511"/>
      <c r="FR155" s="511"/>
      <c r="FS155" s="511"/>
      <c r="FT155" s="511"/>
      <c r="FU155" s="511"/>
      <c r="FV155" s="511"/>
      <c r="FW155" s="511"/>
      <c r="FX155" s="511"/>
      <c r="FY155" s="511"/>
      <c r="FZ155" s="511"/>
      <c r="GA155" s="2430"/>
      <c r="GB155" s="894"/>
      <c r="GC155" s="2433"/>
      <c r="GD155" s="2433"/>
      <c r="GE155" s="2433"/>
      <c r="GF155" s="2433"/>
      <c r="GG155" s="511"/>
      <c r="GH155" s="511"/>
      <c r="GI155" s="511"/>
      <c r="GJ155" s="511"/>
      <c r="GK155" s="511"/>
      <c r="GL155" s="511"/>
      <c r="GM155" s="511"/>
      <c r="GN155" s="511"/>
      <c r="GO155" s="458"/>
      <c r="GP155" s="458"/>
      <c r="GQ155" s="458"/>
      <c r="GR155" s="458"/>
      <c r="GS155" s="458"/>
      <c r="GT155" s="458"/>
      <c r="GU155" s="458"/>
      <c r="GV155" s="2430"/>
      <c r="GW155" s="894"/>
      <c r="GX155" s="2433"/>
      <c r="GY155" s="2433"/>
      <c r="GZ155" s="2433"/>
      <c r="HA155" s="2433"/>
      <c r="HB155" s="511"/>
      <c r="HC155" s="511"/>
      <c r="HD155" s="511"/>
      <c r="HE155" s="511"/>
      <c r="HF155" s="511"/>
      <c r="HG155" s="511"/>
      <c r="HH155" s="511"/>
      <c r="HI155" s="511"/>
      <c r="HJ155" s="458"/>
      <c r="HK155" s="458"/>
      <c r="HL155" s="458"/>
      <c r="HM155" s="458"/>
      <c r="HN155" s="458"/>
      <c r="HO155" s="458"/>
      <c r="HP155" s="458"/>
      <c r="HQ155" s="2430"/>
      <c r="HR155" s="894"/>
      <c r="HS155" s="2433"/>
      <c r="HT155" s="2433"/>
      <c r="HU155" s="2433"/>
      <c r="HV155" s="2433"/>
      <c r="HW155" s="511"/>
      <c r="HX155" s="511"/>
      <c r="HY155" s="511"/>
      <c r="HZ155" s="511"/>
      <c r="IA155" s="511"/>
      <c r="IB155" s="511"/>
      <c r="IC155" s="511"/>
      <c r="ID155" s="511"/>
      <c r="IE155" s="458"/>
      <c r="IF155" s="458"/>
      <c r="IG155" s="458"/>
      <c r="IH155" s="458"/>
      <c r="II155" s="458"/>
      <c r="IJ155" s="458"/>
      <c r="IK155" s="458"/>
      <c r="IL155" s="2430"/>
      <c r="IM155" s="894"/>
      <c r="IN155" s="2433"/>
      <c r="IO155" s="2433"/>
      <c r="IP155" s="2433"/>
      <c r="IQ155" s="2433"/>
      <c r="IR155" s="511"/>
      <c r="IS155" s="511"/>
      <c r="IT155" s="511"/>
      <c r="IU155" s="511"/>
      <c r="IV155" s="511"/>
      <c r="IW155" s="511"/>
      <c r="IX155" s="511"/>
      <c r="IY155" s="511"/>
      <c r="IZ155" s="458"/>
      <c r="JA155" s="458"/>
      <c r="JB155" s="458"/>
      <c r="JC155" s="458"/>
      <c r="JD155" s="458"/>
      <c r="JE155" s="458"/>
      <c r="JF155" s="458"/>
      <c r="JG155" s="2430"/>
      <c r="JH155" s="894"/>
      <c r="JI155" s="2433"/>
      <c r="JJ155" s="2433"/>
      <c r="JK155" s="2433"/>
      <c r="JL155" s="2433"/>
      <c r="JM155" s="874"/>
      <c r="JN155" s="874"/>
      <c r="JO155" s="874"/>
      <c r="JP155" s="874"/>
      <c r="JQ155" s="874"/>
      <c r="JR155" s="874"/>
      <c r="JS155" s="874"/>
      <c r="JT155" s="874"/>
      <c r="JU155" s="874"/>
      <c r="JV155" s="874"/>
      <c r="JW155" s="874"/>
      <c r="JX155" s="874"/>
      <c r="JY155" s="874"/>
      <c r="JZ155" s="874"/>
      <c r="KA155" s="874"/>
      <c r="KB155" s="874"/>
      <c r="KC155" s="874"/>
      <c r="KD155" s="874"/>
      <c r="KE155" s="874"/>
      <c r="KF155" s="874"/>
      <c r="KG155" s="874"/>
      <c r="KH155" s="865"/>
      <c r="KI155" s="865"/>
      <c r="KJ155" s="865"/>
      <c r="KK155" s="865"/>
      <c r="KL155" s="865"/>
      <c r="KM155" s="865"/>
      <c r="KN155" s="865"/>
      <c r="KO155" s="865"/>
      <c r="KP155" s="865"/>
      <c r="KQ155" s="865"/>
      <c r="KR155" s="865"/>
      <c r="KS155" s="865"/>
      <c r="KT155" s="865"/>
      <c r="KU155" s="865"/>
      <c r="KV155" s="865"/>
      <c r="KW155" s="865"/>
      <c r="KX155" s="865"/>
      <c r="KY155" s="865"/>
      <c r="KZ155" s="865"/>
      <c r="LA155" s="865"/>
      <c r="LB155" s="865"/>
      <c r="LC155" s="865"/>
      <c r="LD155" s="865"/>
      <c r="LE155" s="865"/>
      <c r="LF155" s="865"/>
    </row>
    <row r="156" spans="1:318" ht="16.95" customHeight="1" thickBot="1">
      <c r="A156" s="2497"/>
      <c r="B156" s="2495"/>
      <c r="C156" s="2495"/>
      <c r="D156" s="2495"/>
      <c r="E156" s="2495"/>
      <c r="F156" s="513"/>
      <c r="G156" s="2497"/>
      <c r="H156" s="2495"/>
      <c r="I156" s="2495"/>
      <c r="J156" s="2495"/>
      <c r="K156" s="2495"/>
      <c r="L156" s="513"/>
      <c r="M156" s="2497"/>
      <c r="N156" s="2495"/>
      <c r="O156" s="2495"/>
      <c r="P156" s="2495"/>
      <c r="Q156" s="2495"/>
      <c r="R156" s="513"/>
      <c r="S156" s="2497"/>
      <c r="T156" s="2495"/>
      <c r="U156" s="2495"/>
      <c r="V156" s="2495"/>
      <c r="W156" s="2495"/>
      <c r="X156" s="513"/>
      <c r="Y156" s="2497"/>
      <c r="Z156" s="2495"/>
      <c r="AA156" s="2495"/>
      <c r="AB156" s="2495"/>
      <c r="AC156" s="2495"/>
      <c r="AD156" s="513"/>
      <c r="AE156" s="2497"/>
      <c r="AF156" s="2495"/>
      <c r="AG156" s="2495"/>
      <c r="AH156" s="2495"/>
      <c r="AI156" s="2495"/>
      <c r="AJ156" s="458"/>
      <c r="AK156" s="2497"/>
      <c r="AL156" s="2495"/>
      <c r="AM156" s="2495"/>
      <c r="AN156" s="2495"/>
      <c r="AO156" s="2495"/>
      <c r="AP156" s="458"/>
      <c r="AQ156" s="2497"/>
      <c r="AR156" s="2495"/>
      <c r="AS156" s="2495"/>
      <c r="AT156" s="2495"/>
      <c r="AU156" s="2495"/>
      <c r="AV156" s="458"/>
      <c r="AW156" s="2497"/>
      <c r="AX156" s="2495"/>
      <c r="AY156" s="2495"/>
      <c r="AZ156" s="2495"/>
      <c r="BA156" s="2495"/>
      <c r="BB156" s="458"/>
      <c r="BC156" s="2497"/>
      <c r="BD156" s="2495"/>
      <c r="BE156" s="2495"/>
      <c r="BF156" s="2495"/>
      <c r="BG156" s="2495"/>
      <c r="BH156" s="865"/>
      <c r="BI156" s="865"/>
      <c r="BJ156" s="865"/>
      <c r="BK156" s="865"/>
      <c r="BL156" s="865"/>
      <c r="BM156" s="865"/>
      <c r="BN156" s="865"/>
      <c r="BO156" s="865"/>
      <c r="BP156" s="865"/>
      <c r="BQ156" s="865"/>
      <c r="BR156" s="865"/>
      <c r="BS156" s="865"/>
      <c r="BT156" s="865"/>
      <c r="BU156" s="865"/>
      <c r="BV156" s="865"/>
      <c r="BW156" s="865"/>
      <c r="BX156" s="865"/>
      <c r="BY156" s="874"/>
      <c r="BZ156" s="2447"/>
      <c r="CA156" s="897"/>
      <c r="CB156" s="2434"/>
      <c r="CC156" s="2434"/>
      <c r="CD156" s="2434"/>
      <c r="CE156" s="2434"/>
      <c r="CF156" s="513"/>
      <c r="CG156" s="513"/>
      <c r="CH156" s="513"/>
      <c r="CI156" s="513"/>
      <c r="CJ156" s="513"/>
      <c r="CK156" s="513"/>
      <c r="CL156" s="513"/>
      <c r="CM156" s="513"/>
      <c r="CN156" s="513"/>
      <c r="CO156" s="513"/>
      <c r="CP156" s="513"/>
      <c r="CQ156" s="513"/>
      <c r="CR156" s="513"/>
      <c r="CS156" s="513"/>
      <c r="CT156" s="513"/>
      <c r="CU156" s="2447"/>
      <c r="CV156" s="897"/>
      <c r="CW156" s="2434"/>
      <c r="CX156" s="2434"/>
      <c r="CY156" s="2434"/>
      <c r="CZ156" s="2434"/>
      <c r="DA156" s="513"/>
      <c r="DB156" s="513"/>
      <c r="DC156" s="513"/>
      <c r="DD156" s="513"/>
      <c r="DE156" s="513"/>
      <c r="DF156" s="513"/>
      <c r="DG156" s="513"/>
      <c r="DH156" s="513"/>
      <c r="DI156" s="513"/>
      <c r="DJ156" s="513"/>
      <c r="DK156" s="513"/>
      <c r="DL156" s="513"/>
      <c r="DM156" s="513"/>
      <c r="DN156" s="513"/>
      <c r="DO156" s="513"/>
      <c r="DP156" s="2437"/>
      <c r="DQ156" s="898"/>
      <c r="DR156" s="2461"/>
      <c r="DS156" s="2461"/>
      <c r="DT156" s="2461"/>
      <c r="DU156" s="2461"/>
      <c r="DV156" s="513"/>
      <c r="DW156" s="513"/>
      <c r="DX156" s="513"/>
      <c r="DY156" s="513"/>
      <c r="DZ156" s="513"/>
      <c r="EA156" s="513"/>
      <c r="EB156" s="513"/>
      <c r="EC156" s="513"/>
      <c r="ED156" s="513"/>
      <c r="EE156" s="513"/>
      <c r="EF156" s="513"/>
      <c r="EG156" s="513"/>
      <c r="EH156" s="513"/>
      <c r="EI156" s="513"/>
      <c r="EJ156" s="513"/>
      <c r="EK156" s="2447"/>
      <c r="EL156" s="897"/>
      <c r="EM156" s="2434"/>
      <c r="EN156" s="2434"/>
      <c r="EO156" s="2434"/>
      <c r="EP156" s="2434"/>
      <c r="EQ156" s="513"/>
      <c r="ER156" s="513"/>
      <c r="ES156" s="513"/>
      <c r="ET156" s="513"/>
      <c r="EU156" s="513"/>
      <c r="EV156" s="513"/>
      <c r="EW156" s="513"/>
      <c r="EX156" s="513"/>
      <c r="EY156" s="513"/>
      <c r="EZ156" s="513"/>
      <c r="FA156" s="513"/>
      <c r="FB156" s="513"/>
      <c r="FC156" s="513"/>
      <c r="FD156" s="513"/>
      <c r="FE156" s="513"/>
      <c r="FF156" s="2437"/>
      <c r="FG156" s="898"/>
      <c r="FH156" s="2461"/>
      <c r="FI156" s="2461"/>
      <c r="FJ156" s="2461"/>
      <c r="FK156" s="2461"/>
      <c r="FL156" s="513"/>
      <c r="FM156" s="513"/>
      <c r="FN156" s="513"/>
      <c r="FO156" s="513"/>
      <c r="FP156" s="513"/>
      <c r="FQ156" s="513"/>
      <c r="FR156" s="513"/>
      <c r="FS156" s="513"/>
      <c r="FT156" s="513"/>
      <c r="FU156" s="513"/>
      <c r="FV156" s="513"/>
      <c r="FW156" s="513"/>
      <c r="FX156" s="513"/>
      <c r="FY156" s="513"/>
      <c r="FZ156" s="513"/>
      <c r="GA156" s="2447"/>
      <c r="GB156" s="897"/>
      <c r="GC156" s="2434"/>
      <c r="GD156" s="2434"/>
      <c r="GE156" s="2434"/>
      <c r="GF156" s="2434"/>
      <c r="GG156" s="513"/>
      <c r="GH156" s="513"/>
      <c r="GI156" s="513"/>
      <c r="GJ156" s="513"/>
      <c r="GK156" s="513"/>
      <c r="GL156" s="513"/>
      <c r="GM156" s="513"/>
      <c r="GN156" s="513"/>
      <c r="GO156" s="458"/>
      <c r="GP156" s="458"/>
      <c r="GQ156" s="458"/>
      <c r="GR156" s="458"/>
      <c r="GS156" s="458"/>
      <c r="GT156" s="458"/>
      <c r="GU156" s="458"/>
      <c r="GV156" s="2447"/>
      <c r="GW156" s="897"/>
      <c r="GX156" s="2434"/>
      <c r="GY156" s="2434"/>
      <c r="GZ156" s="2434"/>
      <c r="HA156" s="2434"/>
      <c r="HB156" s="513"/>
      <c r="HC156" s="513"/>
      <c r="HD156" s="513"/>
      <c r="HE156" s="513"/>
      <c r="HF156" s="513"/>
      <c r="HG156" s="513"/>
      <c r="HH156" s="513"/>
      <c r="HI156" s="513"/>
      <c r="HJ156" s="458"/>
      <c r="HK156" s="458"/>
      <c r="HL156" s="458"/>
      <c r="HM156" s="458"/>
      <c r="HN156" s="458"/>
      <c r="HO156" s="458"/>
      <c r="HP156" s="458"/>
      <c r="HQ156" s="2447"/>
      <c r="HR156" s="897"/>
      <c r="HS156" s="2434"/>
      <c r="HT156" s="2434"/>
      <c r="HU156" s="2434"/>
      <c r="HV156" s="2434"/>
      <c r="HW156" s="513"/>
      <c r="HX156" s="513"/>
      <c r="HY156" s="513"/>
      <c r="HZ156" s="513"/>
      <c r="IA156" s="513"/>
      <c r="IB156" s="513"/>
      <c r="IC156" s="513"/>
      <c r="ID156" s="513"/>
      <c r="IE156" s="458"/>
      <c r="IF156" s="458"/>
      <c r="IG156" s="458"/>
      <c r="IH156" s="458"/>
      <c r="II156" s="458"/>
      <c r="IJ156" s="458"/>
      <c r="IK156" s="458"/>
      <c r="IL156" s="2447"/>
      <c r="IM156" s="897"/>
      <c r="IN156" s="2434"/>
      <c r="IO156" s="2434"/>
      <c r="IP156" s="2434"/>
      <c r="IQ156" s="2434"/>
      <c r="IR156" s="513"/>
      <c r="IS156" s="513"/>
      <c r="IT156" s="513"/>
      <c r="IU156" s="513"/>
      <c r="IV156" s="513"/>
      <c r="IW156" s="513"/>
      <c r="IX156" s="513"/>
      <c r="IY156" s="513"/>
      <c r="IZ156" s="458"/>
      <c r="JA156" s="458"/>
      <c r="JB156" s="458"/>
      <c r="JC156" s="458"/>
      <c r="JD156" s="458"/>
      <c r="JE156" s="458"/>
      <c r="JF156" s="458"/>
      <c r="JG156" s="2447"/>
      <c r="JH156" s="897"/>
      <c r="JI156" s="2434"/>
      <c r="JJ156" s="2434"/>
      <c r="JK156" s="2434"/>
      <c r="JL156" s="2434"/>
      <c r="JM156" s="874"/>
      <c r="JN156" s="874"/>
      <c r="JO156" s="874"/>
      <c r="JP156" s="874"/>
      <c r="JQ156" s="874"/>
      <c r="JR156" s="874"/>
      <c r="JS156" s="874"/>
      <c r="JT156" s="874"/>
      <c r="JU156" s="874"/>
      <c r="JV156" s="874"/>
      <c r="JW156" s="874"/>
      <c r="JX156" s="874"/>
      <c r="JY156" s="874"/>
      <c r="JZ156" s="874"/>
      <c r="KA156" s="874"/>
      <c r="KB156" s="874"/>
      <c r="KC156" s="874"/>
      <c r="KD156" s="874"/>
      <c r="KE156" s="874"/>
      <c r="KF156" s="874"/>
      <c r="KG156" s="874"/>
      <c r="KH156" s="865"/>
      <c r="KI156" s="865"/>
      <c r="KJ156" s="865"/>
      <c r="KK156" s="865"/>
      <c r="KL156" s="865"/>
      <c r="KM156" s="865"/>
      <c r="KN156" s="865"/>
      <c r="KO156" s="865"/>
      <c r="KP156" s="865"/>
      <c r="KQ156" s="865"/>
      <c r="KR156" s="865"/>
      <c r="KS156" s="865"/>
      <c r="KT156" s="865"/>
      <c r="KU156" s="865"/>
      <c r="KV156" s="865"/>
      <c r="KW156" s="865"/>
      <c r="KX156" s="865"/>
      <c r="KY156" s="865"/>
      <c r="KZ156" s="865"/>
      <c r="LA156" s="865"/>
      <c r="LB156" s="865"/>
      <c r="LC156" s="865"/>
      <c r="LD156" s="865"/>
      <c r="LE156" s="865"/>
      <c r="LF156" s="865"/>
    </row>
    <row r="157" spans="1:318">
      <c r="A157" s="865"/>
      <c r="B157" s="865"/>
      <c r="C157" s="865"/>
      <c r="D157" s="865"/>
      <c r="E157" s="865"/>
      <c r="F157" s="865"/>
      <c r="G157" s="865"/>
      <c r="H157" s="865"/>
      <c r="I157" s="865"/>
      <c r="J157" s="865"/>
      <c r="K157" s="865"/>
      <c r="L157" s="865"/>
      <c r="M157" s="865"/>
      <c r="N157" s="865"/>
      <c r="O157" s="865"/>
      <c r="P157" s="865"/>
      <c r="Q157" s="865"/>
      <c r="R157" s="865"/>
      <c r="S157" s="865"/>
      <c r="T157" s="865"/>
      <c r="U157" s="865"/>
      <c r="V157" s="865"/>
      <c r="W157" s="865"/>
      <c r="X157" s="865"/>
      <c r="Y157" s="865"/>
      <c r="Z157" s="865"/>
      <c r="AA157" s="865"/>
      <c r="AB157" s="865"/>
      <c r="AC157" s="865"/>
      <c r="AD157" s="510"/>
      <c r="AE157" s="865"/>
      <c r="AF157" s="865"/>
      <c r="AG157" s="865"/>
      <c r="AH157" s="865"/>
      <c r="AI157" s="865"/>
      <c r="AJ157" s="458"/>
      <c r="AK157" s="865"/>
      <c r="AL157" s="865"/>
      <c r="AM157" s="865"/>
      <c r="AN157" s="865"/>
      <c r="AO157" s="865"/>
      <c r="AP157" s="458"/>
      <c r="AQ157" s="865"/>
      <c r="AR157" s="865"/>
      <c r="AS157" s="865"/>
      <c r="AT157" s="865"/>
      <c r="AU157" s="865"/>
      <c r="AV157" s="458"/>
      <c r="AW157" s="865"/>
      <c r="AX157" s="865"/>
      <c r="AY157" s="865"/>
      <c r="AZ157" s="865"/>
      <c r="BA157" s="865"/>
      <c r="BB157" s="458"/>
      <c r="BC157" s="865"/>
      <c r="BD157" s="865"/>
      <c r="BE157" s="865"/>
      <c r="BF157" s="865"/>
      <c r="BG157" s="865"/>
      <c r="BH157" s="865"/>
      <c r="BI157" s="865"/>
      <c r="BJ157" s="865"/>
      <c r="BK157" s="865"/>
      <c r="BL157" s="865"/>
      <c r="BM157" s="865"/>
      <c r="BN157" s="865"/>
      <c r="BO157" s="865"/>
      <c r="BP157" s="865"/>
      <c r="BQ157" s="865"/>
      <c r="BR157" s="865"/>
      <c r="BS157" s="865"/>
      <c r="BT157" s="865"/>
      <c r="BU157" s="865"/>
      <c r="BV157" s="865"/>
      <c r="BW157" s="865"/>
      <c r="BX157" s="865"/>
      <c r="BY157" s="874"/>
      <c r="BZ157" s="874"/>
      <c r="CA157" s="874"/>
      <c r="CB157" s="874"/>
      <c r="CC157" s="874"/>
      <c r="CD157" s="874"/>
      <c r="CE157" s="874"/>
      <c r="CF157" s="874"/>
      <c r="CG157" s="874"/>
      <c r="CH157" s="874"/>
      <c r="CI157" s="874"/>
      <c r="CJ157" s="874"/>
      <c r="CK157" s="874"/>
      <c r="CL157" s="874"/>
      <c r="CM157" s="874"/>
      <c r="CN157" s="874"/>
      <c r="CO157" s="874"/>
      <c r="CP157" s="874"/>
      <c r="CQ157" s="874"/>
      <c r="CR157" s="874"/>
      <c r="CS157" s="874"/>
      <c r="CT157" s="874"/>
      <c r="CU157" s="874"/>
      <c r="CV157" s="874"/>
      <c r="CW157" s="874"/>
      <c r="CX157" s="874"/>
      <c r="CY157" s="874"/>
      <c r="CZ157" s="874"/>
      <c r="DA157" s="874"/>
      <c r="DB157" s="874"/>
      <c r="DC157" s="874"/>
      <c r="DD157" s="874"/>
      <c r="DE157" s="874"/>
      <c r="DF157" s="874"/>
      <c r="DG157" s="874"/>
      <c r="DH157" s="874"/>
      <c r="DI157" s="874"/>
      <c r="DJ157" s="874"/>
      <c r="DK157" s="874"/>
      <c r="DL157" s="874"/>
      <c r="DM157" s="874"/>
      <c r="DN157" s="874"/>
      <c r="DO157" s="874"/>
      <c r="DP157" s="874"/>
      <c r="DQ157" s="874"/>
      <c r="DR157" s="874"/>
      <c r="DS157" s="874"/>
      <c r="DT157" s="874"/>
      <c r="DU157" s="874"/>
      <c r="DV157" s="874"/>
      <c r="DW157" s="874"/>
      <c r="DX157" s="874"/>
      <c r="DY157" s="874"/>
      <c r="DZ157" s="874"/>
      <c r="EA157" s="874"/>
      <c r="EB157" s="874"/>
      <c r="EC157" s="874"/>
      <c r="ED157" s="874"/>
      <c r="EE157" s="874"/>
      <c r="EF157" s="874"/>
      <c r="EG157" s="874"/>
      <c r="EH157" s="874"/>
      <c r="EI157" s="874"/>
      <c r="EJ157" s="874"/>
      <c r="EK157" s="874"/>
      <c r="EL157" s="874"/>
      <c r="EM157" s="874"/>
      <c r="EN157" s="874"/>
      <c r="EO157" s="874"/>
      <c r="EP157" s="874"/>
      <c r="EQ157" s="874"/>
      <c r="ER157" s="874"/>
      <c r="ES157" s="874"/>
      <c r="ET157" s="874"/>
      <c r="EU157" s="874"/>
      <c r="EV157" s="874"/>
      <c r="EW157" s="874"/>
      <c r="EX157" s="874"/>
      <c r="EY157" s="874"/>
      <c r="EZ157" s="874"/>
      <c r="FA157" s="874"/>
      <c r="FB157" s="874"/>
      <c r="FC157" s="874"/>
      <c r="FD157" s="874"/>
      <c r="FE157" s="874"/>
      <c r="FF157" s="874"/>
      <c r="FG157" s="874"/>
      <c r="FH157" s="874"/>
      <c r="FI157" s="874"/>
      <c r="FJ157" s="874"/>
      <c r="FK157" s="874"/>
      <c r="FL157" s="874"/>
      <c r="FM157" s="874"/>
      <c r="FN157" s="874"/>
      <c r="FO157" s="874"/>
      <c r="FP157" s="874"/>
      <c r="FQ157" s="874"/>
      <c r="FR157" s="874"/>
      <c r="FS157" s="874"/>
      <c r="FT157" s="874"/>
      <c r="FU157" s="874"/>
      <c r="FV157" s="874"/>
      <c r="FW157" s="874"/>
      <c r="FX157" s="874"/>
      <c r="FY157" s="874"/>
      <c r="FZ157" s="874"/>
      <c r="GA157" s="874"/>
      <c r="GB157" s="874"/>
      <c r="GC157" s="874"/>
      <c r="GD157" s="874"/>
      <c r="GE157" s="874"/>
      <c r="GF157" s="874"/>
      <c r="GG157" s="874"/>
      <c r="GH157" s="874"/>
      <c r="GI157" s="874"/>
      <c r="GJ157" s="874"/>
      <c r="GK157" s="874"/>
      <c r="GL157" s="874"/>
      <c r="GM157" s="874"/>
      <c r="GN157" s="874"/>
      <c r="GO157" s="874"/>
      <c r="GP157" s="874"/>
      <c r="GQ157" s="874"/>
      <c r="GR157" s="874"/>
      <c r="GS157" s="874"/>
      <c r="GT157" s="874"/>
      <c r="GU157" s="874"/>
      <c r="GV157" s="874"/>
      <c r="GW157" s="874"/>
      <c r="GX157" s="874"/>
      <c r="GY157" s="874"/>
      <c r="GZ157" s="874"/>
      <c r="HA157" s="874"/>
      <c r="HB157" s="874"/>
      <c r="HC157" s="874"/>
      <c r="HD157" s="874"/>
      <c r="HE157" s="874"/>
      <c r="HF157" s="874"/>
      <c r="HG157" s="874"/>
      <c r="HH157" s="874"/>
      <c r="HI157" s="874"/>
      <c r="HJ157" s="874"/>
      <c r="HK157" s="874"/>
      <c r="HL157" s="874"/>
      <c r="HM157" s="874"/>
      <c r="HN157" s="874"/>
      <c r="HO157" s="874"/>
      <c r="HP157" s="874"/>
      <c r="HQ157" s="874"/>
      <c r="HR157" s="874"/>
      <c r="HS157" s="874"/>
      <c r="HT157" s="874"/>
      <c r="HU157" s="874"/>
      <c r="HV157" s="874"/>
      <c r="HW157" s="874"/>
      <c r="HX157" s="874"/>
      <c r="HY157" s="874"/>
      <c r="HZ157" s="874"/>
      <c r="IA157" s="874"/>
      <c r="IB157" s="874"/>
      <c r="IC157" s="874"/>
      <c r="ID157" s="874"/>
      <c r="IE157" s="874"/>
      <c r="IF157" s="874"/>
      <c r="IG157" s="874"/>
      <c r="IH157" s="874"/>
      <c r="II157" s="874"/>
      <c r="IJ157" s="874"/>
      <c r="IK157" s="874"/>
      <c r="IL157" s="874"/>
      <c r="IM157" s="874"/>
      <c r="IN157" s="874"/>
      <c r="IO157" s="874"/>
      <c r="IP157" s="874"/>
      <c r="IQ157" s="874"/>
      <c r="IR157" s="874"/>
      <c r="IS157" s="874"/>
      <c r="IT157" s="874"/>
      <c r="IU157" s="874"/>
      <c r="IV157" s="874"/>
      <c r="IW157" s="874"/>
      <c r="IX157" s="874"/>
      <c r="IY157" s="874"/>
      <c r="IZ157" s="874"/>
      <c r="JA157" s="874"/>
      <c r="JB157" s="874"/>
      <c r="JC157" s="874"/>
      <c r="JD157" s="874"/>
      <c r="JE157" s="874"/>
      <c r="JF157" s="874"/>
      <c r="JG157" s="874"/>
      <c r="JH157" s="874"/>
      <c r="JI157" s="874"/>
      <c r="JJ157" s="874"/>
      <c r="JK157" s="874"/>
      <c r="JL157" s="874"/>
      <c r="JM157" s="874"/>
      <c r="JN157" s="874"/>
      <c r="JO157" s="874"/>
      <c r="JP157" s="874"/>
      <c r="JQ157" s="874"/>
      <c r="JR157" s="874"/>
      <c r="JS157" s="874"/>
      <c r="JT157" s="874"/>
      <c r="JU157" s="874"/>
      <c r="JV157" s="874"/>
      <c r="JW157" s="874"/>
      <c r="JX157" s="874"/>
      <c r="JY157" s="874"/>
      <c r="JZ157" s="874"/>
      <c r="KA157" s="874"/>
      <c r="KB157" s="874"/>
      <c r="KC157" s="874"/>
      <c r="KD157" s="874"/>
      <c r="KE157" s="874"/>
      <c r="KF157" s="874"/>
      <c r="KG157" s="874"/>
      <c r="KH157" s="865"/>
      <c r="KI157" s="865"/>
      <c r="KJ157" s="865"/>
      <c r="KK157" s="865"/>
      <c r="KL157" s="865"/>
      <c r="KM157" s="865"/>
      <c r="KN157" s="865"/>
      <c r="KO157" s="865"/>
      <c r="KP157" s="865"/>
      <c r="KQ157" s="865"/>
      <c r="KR157" s="865"/>
      <c r="KS157" s="865"/>
      <c r="KT157" s="865"/>
      <c r="KU157" s="865"/>
      <c r="KV157" s="865"/>
      <c r="KW157" s="865"/>
      <c r="KX157" s="865"/>
      <c r="KY157" s="865"/>
      <c r="KZ157" s="865"/>
      <c r="LA157" s="865"/>
      <c r="LB157" s="865"/>
      <c r="LC157" s="865"/>
      <c r="LD157" s="865"/>
      <c r="LE157" s="865"/>
      <c r="LF157" s="865"/>
    </row>
    <row r="158" spans="1:318">
      <c r="A158" s="865"/>
      <c r="B158" s="865"/>
      <c r="C158" s="865"/>
      <c r="D158" s="865"/>
      <c r="E158" s="865"/>
      <c r="F158" s="865"/>
      <c r="G158" s="865"/>
      <c r="H158" s="865"/>
      <c r="I158" s="865"/>
      <c r="J158" s="865"/>
      <c r="K158" s="865"/>
      <c r="L158" s="865"/>
      <c r="M158" s="865"/>
      <c r="N158" s="865"/>
      <c r="O158" s="865"/>
      <c r="P158" s="865"/>
      <c r="Q158" s="865"/>
      <c r="R158" s="865"/>
      <c r="S158" s="865"/>
      <c r="T158" s="865"/>
      <c r="U158" s="865"/>
      <c r="V158" s="865"/>
      <c r="W158" s="865"/>
      <c r="X158" s="865"/>
      <c r="Y158" s="865"/>
      <c r="Z158" s="865"/>
      <c r="AA158" s="865"/>
      <c r="AB158" s="865"/>
      <c r="AC158" s="865"/>
      <c r="AD158" s="510"/>
      <c r="AE158" s="865"/>
      <c r="AF158" s="865"/>
      <c r="AG158" s="865"/>
      <c r="AH158" s="865"/>
      <c r="AI158" s="865"/>
      <c r="AJ158" s="458"/>
      <c r="AK158" s="865"/>
      <c r="AL158" s="865"/>
      <c r="AM158" s="865"/>
      <c r="AN158" s="865"/>
      <c r="AO158" s="865"/>
      <c r="AP158" s="458"/>
      <c r="AQ158" s="865"/>
      <c r="AR158" s="865"/>
      <c r="AS158" s="865"/>
      <c r="AT158" s="865"/>
      <c r="AU158" s="865"/>
      <c r="AV158" s="458"/>
      <c r="AW158" s="865"/>
      <c r="AX158" s="865"/>
      <c r="AY158" s="865"/>
      <c r="AZ158" s="865"/>
      <c r="BA158" s="865"/>
      <c r="BB158" s="458"/>
      <c r="BC158" s="865"/>
      <c r="BD158" s="865"/>
      <c r="BE158" s="865"/>
      <c r="BF158" s="865"/>
      <c r="BG158" s="865"/>
      <c r="BH158" s="865"/>
      <c r="BI158" s="865"/>
      <c r="BJ158" s="865"/>
      <c r="BK158" s="865"/>
      <c r="BL158" s="865"/>
      <c r="BM158" s="865"/>
      <c r="BN158" s="865"/>
      <c r="BO158" s="865"/>
      <c r="BP158" s="865"/>
      <c r="BQ158" s="865"/>
      <c r="BR158" s="865"/>
      <c r="BS158" s="865"/>
      <c r="BT158" s="865"/>
      <c r="BU158" s="865"/>
      <c r="BV158" s="865"/>
      <c r="BW158" s="865"/>
      <c r="BX158" s="865"/>
      <c r="BY158" s="874"/>
      <c r="BZ158" s="874"/>
      <c r="CA158" s="874"/>
      <c r="CB158" s="874"/>
      <c r="CC158" s="874"/>
      <c r="CD158" s="874"/>
      <c r="CE158" s="874"/>
      <c r="CF158" s="874"/>
      <c r="CG158" s="874"/>
      <c r="CH158" s="874"/>
      <c r="CI158" s="874"/>
      <c r="CJ158" s="874"/>
      <c r="CK158" s="874"/>
      <c r="CL158" s="874"/>
      <c r="CM158" s="874"/>
      <c r="CN158" s="874"/>
      <c r="CO158" s="874"/>
      <c r="CP158" s="874"/>
      <c r="CQ158" s="874"/>
      <c r="CR158" s="874"/>
      <c r="CS158" s="874"/>
      <c r="CT158" s="874"/>
      <c r="CU158" s="874"/>
      <c r="CV158" s="874"/>
      <c r="CW158" s="874"/>
      <c r="CX158" s="874"/>
      <c r="CY158" s="874"/>
      <c r="CZ158" s="874"/>
      <c r="DA158" s="874"/>
      <c r="DB158" s="874"/>
      <c r="DC158" s="874"/>
      <c r="DD158" s="874"/>
      <c r="DE158" s="874"/>
      <c r="DF158" s="874"/>
      <c r="DG158" s="874"/>
      <c r="DH158" s="874"/>
      <c r="DI158" s="874"/>
      <c r="DJ158" s="874"/>
      <c r="DK158" s="874"/>
      <c r="DL158" s="874"/>
      <c r="DM158" s="874"/>
      <c r="DN158" s="874"/>
      <c r="DO158" s="874"/>
      <c r="DP158" s="874"/>
      <c r="DQ158" s="874"/>
      <c r="DR158" s="874"/>
      <c r="DS158" s="874"/>
      <c r="DT158" s="874"/>
      <c r="DU158" s="874"/>
      <c r="DV158" s="874"/>
      <c r="DW158" s="874"/>
      <c r="DX158" s="874"/>
      <c r="DY158" s="874"/>
      <c r="DZ158" s="874"/>
      <c r="EA158" s="874"/>
      <c r="EB158" s="874"/>
      <c r="EC158" s="874"/>
      <c r="ED158" s="874"/>
      <c r="EE158" s="874"/>
      <c r="EF158" s="874"/>
      <c r="EG158" s="874"/>
      <c r="EH158" s="874"/>
      <c r="EI158" s="874"/>
      <c r="EJ158" s="874"/>
      <c r="EK158" s="874"/>
      <c r="EL158" s="874"/>
      <c r="EM158" s="874"/>
      <c r="EN158" s="874"/>
      <c r="EO158" s="874"/>
      <c r="EP158" s="874"/>
      <c r="EQ158" s="874"/>
      <c r="ER158" s="874"/>
      <c r="ES158" s="874"/>
      <c r="ET158" s="874"/>
      <c r="EU158" s="874"/>
      <c r="EV158" s="874"/>
      <c r="EW158" s="874"/>
      <c r="EX158" s="874"/>
      <c r="EY158" s="874"/>
      <c r="EZ158" s="874"/>
      <c r="FA158" s="874"/>
      <c r="FB158" s="874"/>
      <c r="FC158" s="874"/>
      <c r="FD158" s="874"/>
      <c r="FE158" s="874"/>
      <c r="FF158" s="874"/>
      <c r="FG158" s="874"/>
      <c r="FH158" s="874"/>
      <c r="FI158" s="874"/>
      <c r="FJ158" s="874"/>
      <c r="FK158" s="874"/>
      <c r="FL158" s="874"/>
      <c r="FM158" s="874"/>
      <c r="FN158" s="874"/>
      <c r="FO158" s="874"/>
      <c r="FP158" s="874"/>
      <c r="FQ158" s="874"/>
      <c r="FR158" s="874"/>
      <c r="FS158" s="874"/>
      <c r="FT158" s="874"/>
      <c r="FU158" s="874"/>
      <c r="FV158" s="874"/>
      <c r="FW158" s="874"/>
      <c r="FX158" s="874"/>
      <c r="FY158" s="874"/>
      <c r="FZ158" s="874"/>
      <c r="GA158" s="874"/>
      <c r="GB158" s="874"/>
      <c r="GC158" s="874"/>
      <c r="GD158" s="874"/>
      <c r="GE158" s="874"/>
      <c r="GF158" s="874"/>
      <c r="GG158" s="874"/>
      <c r="GH158" s="874"/>
      <c r="GI158" s="874"/>
      <c r="GJ158" s="874"/>
      <c r="GK158" s="874"/>
      <c r="GL158" s="874"/>
      <c r="GM158" s="874"/>
      <c r="GN158" s="874"/>
      <c r="GO158" s="874"/>
      <c r="GP158" s="874"/>
      <c r="GQ158" s="874"/>
      <c r="GR158" s="874"/>
      <c r="GS158" s="874"/>
      <c r="GT158" s="874"/>
      <c r="GU158" s="874"/>
      <c r="GV158" s="874"/>
      <c r="GW158" s="874"/>
      <c r="GX158" s="874"/>
      <c r="GY158" s="874"/>
      <c r="GZ158" s="874"/>
      <c r="HA158" s="874"/>
      <c r="HB158" s="874"/>
      <c r="HC158" s="874"/>
      <c r="HD158" s="874"/>
      <c r="HE158" s="874"/>
      <c r="HF158" s="874"/>
      <c r="HG158" s="874"/>
      <c r="HH158" s="874"/>
      <c r="HI158" s="874"/>
      <c r="HJ158" s="874"/>
      <c r="HK158" s="874"/>
      <c r="HL158" s="874"/>
      <c r="HM158" s="874"/>
      <c r="HN158" s="874"/>
      <c r="HO158" s="874"/>
      <c r="HP158" s="874"/>
      <c r="HQ158" s="874"/>
      <c r="HR158" s="874"/>
      <c r="HS158" s="874"/>
      <c r="HT158" s="874"/>
      <c r="HU158" s="874"/>
      <c r="HV158" s="874"/>
      <c r="HW158" s="874"/>
      <c r="HX158" s="874"/>
      <c r="HY158" s="874"/>
      <c r="HZ158" s="874"/>
      <c r="IA158" s="874"/>
      <c r="IB158" s="874"/>
      <c r="IC158" s="874"/>
      <c r="ID158" s="874"/>
      <c r="IE158" s="874"/>
      <c r="IF158" s="874"/>
      <c r="IG158" s="874"/>
      <c r="IH158" s="874"/>
      <c r="II158" s="874"/>
      <c r="IJ158" s="874"/>
      <c r="IK158" s="874"/>
      <c r="IL158" s="874"/>
      <c r="IM158" s="874"/>
      <c r="IN158" s="874"/>
      <c r="IO158" s="874"/>
      <c r="IP158" s="874"/>
      <c r="IQ158" s="874"/>
      <c r="IR158" s="874"/>
      <c r="IS158" s="874"/>
      <c r="IT158" s="874"/>
      <c r="IU158" s="874"/>
      <c r="IV158" s="874"/>
      <c r="IW158" s="874"/>
      <c r="IX158" s="874"/>
      <c r="IY158" s="874"/>
      <c r="IZ158" s="874"/>
      <c r="JA158" s="874"/>
      <c r="JB158" s="874"/>
      <c r="JC158" s="874"/>
      <c r="JD158" s="874"/>
      <c r="JE158" s="874"/>
      <c r="JF158" s="874"/>
      <c r="JG158" s="874"/>
      <c r="JH158" s="874"/>
      <c r="JI158" s="874"/>
      <c r="JJ158" s="874"/>
      <c r="JK158" s="874"/>
      <c r="JL158" s="874"/>
      <c r="JM158" s="874"/>
      <c r="JN158" s="874"/>
      <c r="JO158" s="874"/>
      <c r="JP158" s="874"/>
      <c r="JQ158" s="874"/>
      <c r="JR158" s="874"/>
      <c r="JS158" s="874"/>
      <c r="JT158" s="874"/>
      <c r="JU158" s="874"/>
      <c r="JV158" s="874"/>
      <c r="JW158" s="874"/>
      <c r="JX158" s="874"/>
      <c r="JY158" s="874"/>
      <c r="JZ158" s="874"/>
      <c r="KA158" s="874"/>
      <c r="KB158" s="874"/>
      <c r="KC158" s="874"/>
      <c r="KD158" s="874"/>
      <c r="KE158" s="874"/>
      <c r="KF158" s="874"/>
      <c r="KG158" s="874"/>
      <c r="KH158" s="865"/>
      <c r="KI158" s="865"/>
      <c r="KJ158" s="865"/>
      <c r="KK158" s="865"/>
      <c r="KL158" s="865"/>
      <c r="KM158" s="865"/>
      <c r="KN158" s="865"/>
      <c r="KO158" s="865"/>
      <c r="KP158" s="865"/>
      <c r="KQ158" s="865"/>
      <c r="KR158" s="865"/>
      <c r="KS158" s="865"/>
      <c r="KT158" s="865"/>
      <c r="KU158" s="865"/>
      <c r="KV158" s="865"/>
      <c r="KW158" s="865"/>
      <c r="KX158" s="865"/>
      <c r="KY158" s="865"/>
      <c r="KZ158" s="865"/>
      <c r="LA158" s="865"/>
      <c r="LB158" s="865"/>
      <c r="LC158" s="865"/>
      <c r="LD158" s="865"/>
      <c r="LE158" s="865"/>
      <c r="LF158" s="865"/>
    </row>
    <row r="159" spans="1:318" ht="16.2" thickBot="1">
      <c r="A159" s="865"/>
      <c r="B159" s="865"/>
      <c r="C159" s="865"/>
      <c r="D159" s="865"/>
      <c r="E159" s="865"/>
      <c r="F159" s="865"/>
      <c r="G159" s="865"/>
      <c r="H159" s="865"/>
      <c r="I159" s="865"/>
      <c r="J159" s="865"/>
      <c r="K159" s="865"/>
      <c r="L159" s="865"/>
      <c r="M159" s="865"/>
      <c r="N159" s="865"/>
      <c r="O159" s="865"/>
      <c r="P159" s="865"/>
      <c r="Q159" s="865"/>
      <c r="R159" s="865"/>
      <c r="S159" s="865"/>
      <c r="T159" s="865"/>
      <c r="U159" s="865"/>
      <c r="V159" s="865"/>
      <c r="W159" s="865"/>
      <c r="X159" s="865"/>
      <c r="Y159" s="865"/>
      <c r="Z159" s="865"/>
      <c r="AA159" s="865"/>
      <c r="AB159" s="865"/>
      <c r="AC159" s="865"/>
      <c r="AD159" s="510"/>
      <c r="AE159" s="865"/>
      <c r="AF159" s="865"/>
      <c r="AG159" s="865"/>
      <c r="AH159" s="865"/>
      <c r="AI159" s="865"/>
      <c r="AJ159" s="458"/>
      <c r="AK159" s="865"/>
      <c r="AL159" s="865"/>
      <c r="AM159" s="865"/>
      <c r="AN159" s="865"/>
      <c r="AO159" s="865"/>
      <c r="AP159" s="458"/>
      <c r="AQ159" s="865"/>
      <c r="AR159" s="865"/>
      <c r="AS159" s="865"/>
      <c r="AT159" s="865"/>
      <c r="AU159" s="865"/>
      <c r="AV159" s="458"/>
      <c r="AW159" s="865"/>
      <c r="AX159" s="865"/>
      <c r="AY159" s="865"/>
      <c r="AZ159" s="865"/>
      <c r="BA159" s="865"/>
      <c r="BB159" s="458"/>
      <c r="BC159" s="865"/>
      <c r="BD159" s="865"/>
      <c r="BE159" s="865"/>
      <c r="BF159" s="865"/>
      <c r="BG159" s="865"/>
      <c r="BH159" s="865"/>
      <c r="BI159" s="865"/>
      <c r="BJ159" s="865"/>
      <c r="BK159" s="865"/>
      <c r="BL159" s="865"/>
      <c r="BM159" s="865"/>
      <c r="BN159" s="865"/>
      <c r="BO159" s="865"/>
      <c r="BP159" s="865"/>
      <c r="BQ159" s="865"/>
      <c r="BR159" s="865"/>
      <c r="BS159" s="865"/>
      <c r="BT159" s="865"/>
      <c r="BU159" s="865"/>
      <c r="BV159" s="865"/>
      <c r="BW159" s="865"/>
      <c r="BX159" s="865"/>
      <c r="BY159" s="874"/>
      <c r="BZ159" s="874"/>
      <c r="CA159" s="874"/>
      <c r="CB159" s="874"/>
      <c r="CC159" s="874"/>
      <c r="CD159" s="874"/>
      <c r="CE159" s="874"/>
      <c r="CF159" s="874"/>
      <c r="CG159" s="874"/>
      <c r="CH159" s="874"/>
      <c r="CI159" s="874"/>
      <c r="CJ159" s="874"/>
      <c r="CK159" s="874"/>
      <c r="CL159" s="874"/>
      <c r="CM159" s="874"/>
      <c r="CN159" s="874"/>
      <c r="CO159" s="874"/>
      <c r="CP159" s="874"/>
      <c r="CQ159" s="874"/>
      <c r="CR159" s="874"/>
      <c r="CS159" s="874"/>
      <c r="CT159" s="874"/>
      <c r="CU159" s="874"/>
      <c r="CV159" s="874"/>
      <c r="CW159" s="874"/>
      <c r="CX159" s="874"/>
      <c r="CY159" s="874"/>
      <c r="CZ159" s="874"/>
      <c r="DA159" s="874"/>
      <c r="DB159" s="874"/>
      <c r="DC159" s="874"/>
      <c r="DD159" s="874"/>
      <c r="DE159" s="874"/>
      <c r="DF159" s="874"/>
      <c r="DG159" s="874"/>
      <c r="DH159" s="874"/>
      <c r="DI159" s="874"/>
      <c r="DJ159" s="874"/>
      <c r="DK159" s="874"/>
      <c r="DL159" s="874"/>
      <c r="DM159" s="874"/>
      <c r="DN159" s="874"/>
      <c r="DO159" s="874"/>
      <c r="DP159" s="874"/>
      <c r="DQ159" s="874"/>
      <c r="DR159" s="874"/>
      <c r="DS159" s="874"/>
      <c r="DT159" s="874"/>
      <c r="DU159" s="874"/>
      <c r="DV159" s="874"/>
      <c r="DW159" s="874"/>
      <c r="DX159" s="874"/>
      <c r="DY159" s="874"/>
      <c r="DZ159" s="874"/>
      <c r="EA159" s="874"/>
      <c r="EB159" s="874"/>
      <c r="EC159" s="874"/>
      <c r="ED159" s="874"/>
      <c r="EE159" s="874"/>
      <c r="EF159" s="874"/>
      <c r="EG159" s="874"/>
      <c r="EH159" s="874"/>
      <c r="EI159" s="874"/>
      <c r="EJ159" s="874"/>
      <c r="EK159" s="874"/>
      <c r="EL159" s="874"/>
      <c r="EM159" s="874"/>
      <c r="EN159" s="874"/>
      <c r="EO159" s="874"/>
      <c r="EP159" s="874"/>
      <c r="EQ159" s="874"/>
      <c r="ER159" s="874"/>
      <c r="ES159" s="874"/>
      <c r="ET159" s="874"/>
      <c r="EU159" s="874"/>
      <c r="EV159" s="874"/>
      <c r="EW159" s="874"/>
      <c r="EX159" s="874"/>
      <c r="EY159" s="874"/>
      <c r="EZ159" s="874"/>
      <c r="FA159" s="874"/>
      <c r="FB159" s="874"/>
      <c r="FC159" s="874"/>
      <c r="FD159" s="874"/>
      <c r="FE159" s="874"/>
      <c r="FF159" s="874"/>
      <c r="FG159" s="874"/>
      <c r="FH159" s="874"/>
      <c r="FI159" s="874"/>
      <c r="FJ159" s="874"/>
      <c r="FK159" s="874"/>
      <c r="FL159" s="874"/>
      <c r="FM159" s="874"/>
      <c r="FN159" s="874"/>
      <c r="FO159" s="874"/>
      <c r="FP159" s="874"/>
      <c r="FQ159" s="874"/>
      <c r="FR159" s="874"/>
      <c r="FS159" s="874"/>
      <c r="FT159" s="874"/>
      <c r="FU159" s="874"/>
      <c r="FV159" s="874"/>
      <c r="FW159" s="874"/>
      <c r="FX159" s="874"/>
      <c r="FY159" s="874"/>
      <c r="FZ159" s="874"/>
      <c r="GA159" s="874"/>
      <c r="GB159" s="874"/>
      <c r="GC159" s="874"/>
      <c r="GD159" s="874"/>
      <c r="GE159" s="874"/>
      <c r="GF159" s="874"/>
      <c r="GG159" s="874"/>
      <c r="GH159" s="874"/>
      <c r="GI159" s="874"/>
      <c r="GJ159" s="874"/>
      <c r="GK159" s="874"/>
      <c r="GL159" s="874"/>
      <c r="GM159" s="874"/>
      <c r="GN159" s="874"/>
      <c r="GO159" s="874"/>
      <c r="GP159" s="874"/>
      <c r="GQ159" s="874"/>
      <c r="GR159" s="874"/>
      <c r="GS159" s="874"/>
      <c r="GT159" s="874"/>
      <c r="GU159" s="874"/>
      <c r="GV159" s="874"/>
      <c r="GW159" s="874"/>
      <c r="GX159" s="874"/>
      <c r="GY159" s="874"/>
      <c r="GZ159" s="874"/>
      <c r="HA159" s="874"/>
      <c r="HB159" s="874"/>
      <c r="HC159" s="874"/>
      <c r="HD159" s="874"/>
      <c r="HE159" s="874"/>
      <c r="HF159" s="874"/>
      <c r="HG159" s="874"/>
      <c r="HH159" s="874"/>
      <c r="HI159" s="874"/>
      <c r="HJ159" s="874"/>
      <c r="HK159" s="874"/>
      <c r="HL159" s="874"/>
      <c r="HM159" s="874"/>
      <c r="HN159" s="874"/>
      <c r="HO159" s="874"/>
      <c r="HP159" s="874"/>
      <c r="HQ159" s="874"/>
      <c r="HR159" s="874"/>
      <c r="HS159" s="874"/>
      <c r="HT159" s="874"/>
      <c r="HU159" s="874"/>
      <c r="HV159" s="874"/>
      <c r="HW159" s="874"/>
      <c r="HX159" s="874"/>
      <c r="HY159" s="874"/>
      <c r="HZ159" s="874"/>
      <c r="IA159" s="874"/>
      <c r="IB159" s="874"/>
      <c r="IC159" s="874"/>
      <c r="ID159" s="874"/>
      <c r="IE159" s="874"/>
      <c r="IF159" s="874"/>
      <c r="IG159" s="874"/>
      <c r="IH159" s="874"/>
      <c r="II159" s="874"/>
      <c r="IJ159" s="874"/>
      <c r="IK159" s="874"/>
      <c r="IL159" s="874"/>
      <c r="IM159" s="874"/>
      <c r="IN159" s="874"/>
      <c r="IO159" s="874"/>
      <c r="IP159" s="874"/>
      <c r="IQ159" s="874"/>
      <c r="IR159" s="874"/>
      <c r="IS159" s="874"/>
      <c r="IT159" s="874"/>
      <c r="IU159" s="874"/>
      <c r="IV159" s="874"/>
      <c r="IW159" s="874"/>
      <c r="IX159" s="874"/>
      <c r="IY159" s="874"/>
      <c r="IZ159" s="874"/>
      <c r="JA159" s="874"/>
      <c r="JB159" s="874"/>
      <c r="JC159" s="874"/>
      <c r="JD159" s="874"/>
      <c r="JE159" s="874"/>
      <c r="JF159" s="874"/>
      <c r="JG159" s="874"/>
      <c r="JH159" s="874"/>
      <c r="JI159" s="874"/>
      <c r="JJ159" s="874"/>
      <c r="JK159" s="874"/>
      <c r="JL159" s="874"/>
      <c r="JM159" s="874"/>
      <c r="JN159" s="874"/>
      <c r="JO159" s="874"/>
      <c r="JP159" s="874"/>
      <c r="JQ159" s="874"/>
      <c r="JR159" s="874"/>
      <c r="JS159" s="874"/>
      <c r="JT159" s="874"/>
      <c r="JU159" s="874"/>
      <c r="JV159" s="874"/>
      <c r="JW159" s="874"/>
      <c r="JX159" s="874"/>
      <c r="JY159" s="874"/>
      <c r="JZ159" s="874"/>
      <c r="KA159" s="874"/>
      <c r="KB159" s="874"/>
      <c r="KC159" s="874"/>
      <c r="KD159" s="874"/>
      <c r="KE159" s="874"/>
      <c r="KF159" s="874"/>
      <c r="KG159" s="874"/>
      <c r="KH159" s="865"/>
      <c r="KI159" s="865"/>
      <c r="KJ159" s="865"/>
      <c r="KK159" s="865"/>
      <c r="KL159" s="865"/>
      <c r="KM159" s="865"/>
      <c r="KN159" s="865"/>
      <c r="KO159" s="865"/>
      <c r="KP159" s="865"/>
      <c r="KQ159" s="865"/>
      <c r="KR159" s="865"/>
      <c r="KS159" s="865"/>
      <c r="KT159" s="865"/>
      <c r="KU159" s="865"/>
      <c r="KV159" s="865"/>
      <c r="KW159" s="865"/>
      <c r="KX159" s="865"/>
      <c r="KY159" s="865"/>
      <c r="KZ159" s="865"/>
      <c r="LA159" s="865"/>
      <c r="LB159" s="865"/>
      <c r="LC159" s="865"/>
      <c r="LD159" s="865"/>
      <c r="LE159" s="865"/>
      <c r="LF159" s="865"/>
    </row>
    <row r="160" spans="1:318" ht="28.05" customHeight="1">
      <c r="A160" s="1015" t="s">
        <v>837</v>
      </c>
      <c r="B160" s="1284"/>
      <c r="C160" s="1284"/>
      <c r="D160" s="1284"/>
      <c r="E160" s="1284"/>
      <c r="F160" s="1284"/>
      <c r="G160" s="1284"/>
      <c r="H160" s="1284"/>
      <c r="I160" s="1284"/>
      <c r="J160" s="1284"/>
      <c r="K160" s="1284"/>
      <c r="L160" s="1284"/>
      <c r="M160" s="1284"/>
      <c r="N160" s="1285"/>
      <c r="O160" s="865"/>
      <c r="P160" s="865"/>
      <c r="Q160" s="865"/>
      <c r="R160" s="865"/>
      <c r="S160" s="865"/>
      <c r="T160" s="865"/>
      <c r="U160" s="865"/>
      <c r="V160" s="865"/>
      <c r="W160" s="865"/>
      <c r="X160" s="865"/>
      <c r="Y160" s="865"/>
      <c r="Z160" s="865"/>
      <c r="AA160" s="865"/>
      <c r="AB160" s="865"/>
      <c r="AC160" s="865"/>
      <c r="AD160" s="510"/>
      <c r="AE160" s="865"/>
      <c r="AF160" s="865"/>
      <c r="AG160" s="865"/>
      <c r="AH160" s="865"/>
      <c r="AI160" s="865"/>
      <c r="AJ160" s="510"/>
      <c r="AK160" s="865"/>
      <c r="AL160" s="865"/>
      <c r="AM160" s="865"/>
      <c r="AN160" s="865"/>
      <c r="AO160" s="865"/>
      <c r="AP160" s="510"/>
      <c r="AQ160" s="865"/>
      <c r="AR160" s="865"/>
      <c r="AS160" s="865"/>
      <c r="AT160" s="865"/>
      <c r="AU160" s="865"/>
      <c r="AV160" s="510"/>
      <c r="AW160" s="865"/>
      <c r="AX160" s="865"/>
      <c r="AY160" s="865"/>
      <c r="AZ160" s="865"/>
      <c r="BA160" s="865"/>
      <c r="BB160" s="510"/>
      <c r="BC160" s="865"/>
      <c r="BD160" s="865"/>
      <c r="BE160" s="865"/>
      <c r="BF160" s="865"/>
      <c r="BG160" s="865"/>
      <c r="BH160" s="865"/>
      <c r="BI160" s="865"/>
      <c r="BJ160" s="1015" t="s">
        <v>1527</v>
      </c>
      <c r="BK160" s="1284"/>
      <c r="BL160" s="1284"/>
      <c r="BM160" s="1284"/>
      <c r="BN160" s="1284"/>
      <c r="BO160" s="1284"/>
      <c r="BP160" s="1284"/>
      <c r="BQ160" s="1284"/>
      <c r="BR160" s="1284"/>
      <c r="BS160" s="1284"/>
      <c r="BT160" s="1284"/>
      <c r="BU160" s="1284"/>
      <c r="BV160" s="1284"/>
      <c r="BW160" s="1284"/>
      <c r="BX160" s="1285"/>
      <c r="BY160" s="874"/>
      <c r="BZ160" s="874"/>
      <c r="CA160" s="874"/>
      <c r="CB160" s="874"/>
      <c r="CC160" s="874"/>
      <c r="CD160" s="874"/>
      <c r="CE160" s="874"/>
      <c r="CF160" s="874"/>
      <c r="CG160" s="874"/>
      <c r="CH160" s="874"/>
      <c r="CI160" s="874"/>
      <c r="CJ160" s="874"/>
      <c r="CK160" s="874"/>
      <c r="CL160" s="874"/>
      <c r="CM160" s="874"/>
      <c r="CN160" s="874"/>
      <c r="CO160" s="874"/>
      <c r="CP160" s="874"/>
      <c r="CQ160" s="874"/>
      <c r="CR160" s="874"/>
      <c r="CS160" s="874"/>
      <c r="CT160" s="874"/>
      <c r="CU160" s="874"/>
      <c r="CV160" s="874"/>
      <c r="CW160" s="874"/>
      <c r="CX160" s="874"/>
      <c r="CY160" s="874"/>
      <c r="CZ160" s="874"/>
      <c r="DA160" s="874"/>
      <c r="DB160" s="874"/>
      <c r="DC160" s="874"/>
      <c r="DD160" s="874"/>
      <c r="DE160" s="874"/>
      <c r="DF160" s="874"/>
      <c r="DG160" s="874"/>
      <c r="DH160" s="874"/>
      <c r="DI160" s="874"/>
      <c r="DJ160" s="874"/>
      <c r="DK160" s="874"/>
      <c r="DL160" s="874"/>
      <c r="DM160" s="874"/>
      <c r="DN160" s="874"/>
      <c r="DO160" s="874"/>
      <c r="DP160" s="874"/>
      <c r="DQ160" s="874"/>
      <c r="DR160" s="874"/>
      <c r="DS160" s="874"/>
      <c r="DT160" s="874"/>
      <c r="DU160" s="874"/>
      <c r="DV160" s="874"/>
      <c r="DW160" s="874"/>
      <c r="DX160" s="874"/>
      <c r="DY160" s="874"/>
      <c r="DZ160" s="874"/>
      <c r="EA160" s="874"/>
      <c r="EB160" s="874"/>
      <c r="EC160" s="874"/>
      <c r="ED160" s="874"/>
      <c r="EE160" s="874"/>
      <c r="EF160" s="874"/>
      <c r="EG160" s="874"/>
      <c r="EH160" s="874"/>
      <c r="EI160" s="874"/>
      <c r="EJ160" s="874"/>
      <c r="EK160" s="874"/>
      <c r="EL160" s="874"/>
      <c r="EM160" s="874"/>
      <c r="EN160" s="874"/>
      <c r="EO160" s="874"/>
      <c r="EP160" s="874"/>
      <c r="EQ160" s="874"/>
      <c r="ER160" s="874"/>
      <c r="ES160" s="874"/>
      <c r="ET160" s="874"/>
      <c r="EU160" s="874"/>
      <c r="EV160" s="874"/>
      <c r="EW160" s="874"/>
      <c r="EX160" s="874"/>
      <c r="EY160" s="874"/>
      <c r="EZ160" s="874"/>
      <c r="FA160" s="874"/>
      <c r="FB160" s="874"/>
      <c r="FC160" s="874"/>
      <c r="FD160" s="874"/>
      <c r="FE160" s="874"/>
      <c r="FF160" s="874"/>
      <c r="FG160" s="874"/>
      <c r="FH160" s="874"/>
      <c r="FI160" s="874"/>
      <c r="FJ160" s="874"/>
      <c r="FK160" s="874"/>
      <c r="FL160" s="874"/>
      <c r="FM160" s="874"/>
      <c r="FN160" s="874"/>
      <c r="FO160" s="874"/>
      <c r="FP160" s="874"/>
      <c r="FQ160" s="874"/>
      <c r="FR160" s="874"/>
      <c r="FS160" s="874"/>
      <c r="FT160" s="874"/>
      <c r="FU160" s="874"/>
      <c r="FV160" s="874"/>
      <c r="FW160" s="874"/>
      <c r="FX160" s="874"/>
      <c r="FY160" s="874"/>
      <c r="FZ160" s="874"/>
      <c r="GA160" s="874"/>
      <c r="GB160" s="874"/>
      <c r="GC160" s="874"/>
      <c r="GD160" s="874"/>
      <c r="GE160" s="874"/>
      <c r="GF160" s="874"/>
      <c r="GG160" s="874"/>
      <c r="GH160" s="874"/>
      <c r="GI160" s="874"/>
      <c r="GJ160" s="874"/>
      <c r="GK160" s="874"/>
      <c r="GL160" s="874"/>
      <c r="GM160" s="874"/>
      <c r="GN160" s="874"/>
      <c r="GO160" s="874"/>
      <c r="GP160" s="874"/>
      <c r="GQ160" s="874"/>
      <c r="GR160" s="874"/>
      <c r="GS160" s="874"/>
      <c r="GT160" s="874"/>
      <c r="GU160" s="874"/>
      <c r="GV160" s="874"/>
      <c r="GW160" s="874"/>
      <c r="GX160" s="874"/>
      <c r="GY160" s="874"/>
      <c r="GZ160" s="874"/>
      <c r="HA160" s="874"/>
      <c r="HB160" s="874"/>
      <c r="HC160" s="874"/>
      <c r="HD160" s="874"/>
      <c r="HE160" s="874"/>
      <c r="HF160" s="874"/>
      <c r="HG160" s="874"/>
      <c r="HH160" s="874"/>
      <c r="HI160" s="874"/>
      <c r="HJ160" s="874"/>
      <c r="HK160" s="874"/>
      <c r="HL160" s="874"/>
      <c r="HM160" s="874"/>
      <c r="HN160" s="874"/>
      <c r="HO160" s="874"/>
      <c r="HP160" s="874"/>
      <c r="HQ160" s="874"/>
      <c r="HR160" s="874"/>
      <c r="HS160" s="874"/>
      <c r="HT160" s="874"/>
      <c r="HU160" s="874"/>
      <c r="HV160" s="874"/>
      <c r="HW160" s="874"/>
      <c r="HX160" s="874"/>
      <c r="HY160" s="874"/>
      <c r="HZ160" s="874"/>
      <c r="IA160" s="874"/>
      <c r="IB160" s="874"/>
      <c r="IC160" s="874"/>
      <c r="ID160" s="874"/>
      <c r="IE160" s="874"/>
      <c r="IF160" s="874"/>
      <c r="IG160" s="874"/>
      <c r="IH160" s="874"/>
      <c r="II160" s="874"/>
      <c r="IJ160" s="874"/>
      <c r="IK160" s="874"/>
      <c r="IL160" s="874"/>
      <c r="IM160" s="874"/>
      <c r="IN160" s="874"/>
      <c r="IO160" s="874"/>
      <c r="IP160" s="874"/>
      <c r="IQ160" s="874"/>
      <c r="IR160" s="874"/>
      <c r="IS160" s="874"/>
      <c r="IT160" s="874"/>
      <c r="IU160" s="874"/>
      <c r="IV160" s="874"/>
      <c r="IW160" s="874"/>
      <c r="IX160" s="874"/>
      <c r="IY160" s="874"/>
      <c r="IZ160" s="874"/>
      <c r="JA160" s="874"/>
      <c r="JB160" s="874"/>
      <c r="JC160" s="874"/>
      <c r="JD160" s="874"/>
      <c r="JE160" s="874"/>
      <c r="JF160" s="874"/>
      <c r="JG160" s="874"/>
      <c r="JH160" s="874"/>
      <c r="JI160" s="874"/>
      <c r="JJ160" s="874"/>
      <c r="JK160" s="874"/>
      <c r="JL160" s="874"/>
      <c r="JM160" s="874"/>
      <c r="JN160" s="874"/>
      <c r="JO160" s="874"/>
      <c r="JP160" s="874"/>
      <c r="JQ160" s="874"/>
      <c r="JR160" s="874"/>
      <c r="JS160" s="874"/>
      <c r="JT160" s="874"/>
      <c r="JU160" s="874"/>
      <c r="JV160" s="874"/>
      <c r="JW160" s="874"/>
      <c r="JX160" s="874"/>
      <c r="JY160" s="874"/>
      <c r="JZ160" s="874"/>
      <c r="KA160" s="874"/>
      <c r="KB160" s="874"/>
      <c r="KC160" s="874"/>
      <c r="KD160" s="874"/>
      <c r="KE160" s="874"/>
      <c r="KF160" s="874"/>
      <c r="KG160" s="874"/>
      <c r="KH160" s="865"/>
      <c r="KI160" s="865"/>
      <c r="KJ160" s="865"/>
      <c r="KK160" s="865"/>
      <c r="KL160" s="865"/>
      <c r="KM160" s="865"/>
      <c r="KN160" s="865"/>
      <c r="KO160" s="865"/>
      <c r="KP160" s="865"/>
      <c r="KQ160" s="865"/>
      <c r="KR160" s="865"/>
      <c r="KS160" s="865"/>
      <c r="KT160" s="865"/>
      <c r="KU160" s="865"/>
      <c r="KV160" s="865"/>
      <c r="KW160" s="865"/>
      <c r="KX160" s="865"/>
      <c r="KY160" s="865"/>
      <c r="KZ160" s="865"/>
      <c r="LA160" s="865"/>
      <c r="LB160" s="865"/>
      <c r="LC160" s="865"/>
      <c r="LD160" s="865"/>
      <c r="LE160" s="865"/>
      <c r="LF160" s="865"/>
    </row>
    <row r="161" spans="1:318" ht="45.45" customHeight="1">
      <c r="A161" s="1021" t="s">
        <v>833</v>
      </c>
      <c r="B161" s="1022"/>
      <c r="C161" s="1022"/>
      <c r="D161" s="1022"/>
      <c r="E161" s="1022"/>
      <c r="F161" s="1022"/>
      <c r="G161" s="1022"/>
      <c r="H161" s="1022"/>
      <c r="I161" s="1022"/>
      <c r="J161" s="1022"/>
      <c r="K161" s="1022"/>
      <c r="L161" s="1022"/>
      <c r="M161" s="1022"/>
      <c r="N161" s="1023"/>
      <c r="O161" s="865"/>
      <c r="P161" s="865"/>
      <c r="Q161" s="865"/>
      <c r="R161" s="865"/>
      <c r="S161" s="865"/>
      <c r="T161" s="865"/>
      <c r="U161" s="865"/>
      <c r="V161" s="865"/>
      <c r="W161" s="865"/>
      <c r="X161" s="865"/>
      <c r="Y161" s="865"/>
      <c r="Z161" s="865"/>
      <c r="AA161" s="865"/>
      <c r="AB161" s="865"/>
      <c r="AC161" s="865"/>
      <c r="AD161" s="510"/>
      <c r="AE161" s="865"/>
      <c r="AF161" s="865"/>
      <c r="AG161" s="865"/>
      <c r="AH161" s="865"/>
      <c r="AI161" s="865"/>
      <c r="AJ161" s="510"/>
      <c r="AK161" s="865"/>
      <c r="AL161" s="865"/>
      <c r="AM161" s="865"/>
      <c r="AN161" s="865"/>
      <c r="AO161" s="865"/>
      <c r="AP161" s="510"/>
      <c r="AQ161" s="865"/>
      <c r="AR161" s="865"/>
      <c r="AS161" s="865"/>
      <c r="AT161" s="865"/>
      <c r="AU161" s="865"/>
      <c r="AV161" s="510"/>
      <c r="AW161" s="865"/>
      <c r="AX161" s="865"/>
      <c r="AY161" s="865"/>
      <c r="AZ161" s="865"/>
      <c r="BA161" s="865"/>
      <c r="BB161" s="510"/>
      <c r="BC161" s="865"/>
      <c r="BD161" s="865"/>
      <c r="BE161" s="865"/>
      <c r="BF161" s="865"/>
      <c r="BG161" s="865"/>
      <c r="BH161" s="865"/>
      <c r="BI161" s="865"/>
      <c r="BJ161" s="1039" t="s">
        <v>1526</v>
      </c>
      <c r="BK161" s="1037"/>
      <c r="BL161" s="1037"/>
      <c r="BM161" s="1037"/>
      <c r="BN161" s="1037"/>
      <c r="BO161" s="1037"/>
      <c r="BP161" s="1037"/>
      <c r="BQ161" s="1037"/>
      <c r="BR161" s="1037"/>
      <c r="BS161" s="1037"/>
      <c r="BT161" s="1037"/>
      <c r="BU161" s="1037"/>
      <c r="BV161" s="1037"/>
      <c r="BW161" s="1037"/>
      <c r="BX161" s="1038"/>
      <c r="BY161" s="874"/>
      <c r="BZ161" s="874"/>
      <c r="CA161" s="874"/>
      <c r="CB161" s="874"/>
      <c r="CC161" s="874"/>
      <c r="CD161" s="874"/>
      <c r="CE161" s="874"/>
      <c r="CF161" s="874"/>
      <c r="CG161" s="874"/>
      <c r="CH161" s="874"/>
      <c r="CI161" s="874"/>
      <c r="CJ161" s="874"/>
      <c r="CK161" s="874"/>
      <c r="CL161" s="874"/>
      <c r="CM161" s="874"/>
      <c r="CN161" s="874"/>
      <c r="CO161" s="874"/>
      <c r="CP161" s="874"/>
      <c r="CQ161" s="874"/>
      <c r="CR161" s="874"/>
      <c r="CS161" s="874"/>
      <c r="CT161" s="874"/>
      <c r="CU161" s="874"/>
      <c r="CV161" s="874"/>
      <c r="CW161" s="874"/>
      <c r="CX161" s="874"/>
      <c r="CY161" s="874"/>
      <c r="CZ161" s="874"/>
      <c r="DA161" s="874"/>
      <c r="DB161" s="874"/>
      <c r="DC161" s="874"/>
      <c r="DD161" s="874"/>
      <c r="DE161" s="874"/>
      <c r="DF161" s="874"/>
      <c r="DG161" s="874"/>
      <c r="DH161" s="874"/>
      <c r="DI161" s="874"/>
      <c r="DJ161" s="874"/>
      <c r="DK161" s="874"/>
      <c r="DL161" s="874"/>
      <c r="DM161" s="874"/>
      <c r="DN161" s="874"/>
      <c r="DO161" s="874"/>
      <c r="DP161" s="874"/>
      <c r="DQ161" s="874"/>
      <c r="DR161" s="874"/>
      <c r="DS161" s="874"/>
      <c r="DT161" s="874"/>
      <c r="DU161" s="874"/>
      <c r="DV161" s="874"/>
      <c r="DW161" s="874"/>
      <c r="DX161" s="874"/>
      <c r="DY161" s="874"/>
      <c r="DZ161" s="874"/>
      <c r="EA161" s="874"/>
      <c r="EB161" s="874"/>
      <c r="EC161" s="874"/>
      <c r="ED161" s="874"/>
      <c r="EE161" s="874"/>
      <c r="EF161" s="874"/>
      <c r="EG161" s="874"/>
      <c r="EH161" s="874"/>
      <c r="EI161" s="874"/>
      <c r="EJ161" s="874"/>
      <c r="EK161" s="874"/>
      <c r="EL161" s="874"/>
      <c r="EM161" s="874"/>
      <c r="EN161" s="874"/>
      <c r="EO161" s="874"/>
      <c r="EP161" s="874"/>
      <c r="EQ161" s="874"/>
      <c r="ER161" s="874"/>
      <c r="ES161" s="874"/>
      <c r="ET161" s="874"/>
      <c r="EU161" s="874"/>
      <c r="EV161" s="874"/>
      <c r="EW161" s="874"/>
      <c r="EX161" s="874"/>
      <c r="EY161" s="874"/>
      <c r="EZ161" s="874"/>
      <c r="FA161" s="874"/>
      <c r="FB161" s="874"/>
      <c r="FC161" s="874"/>
      <c r="FD161" s="874"/>
      <c r="FE161" s="874"/>
      <c r="FF161" s="874"/>
      <c r="FG161" s="874"/>
      <c r="FH161" s="874"/>
      <c r="FI161" s="874"/>
      <c r="FJ161" s="874"/>
      <c r="FK161" s="874"/>
      <c r="FL161" s="874"/>
      <c r="FM161" s="874"/>
      <c r="FN161" s="874"/>
      <c r="FO161" s="874"/>
      <c r="FP161" s="874"/>
      <c r="FQ161" s="874"/>
      <c r="FR161" s="874"/>
      <c r="FS161" s="874"/>
      <c r="FT161" s="874"/>
      <c r="FU161" s="874"/>
      <c r="FV161" s="874"/>
      <c r="FW161" s="874"/>
      <c r="FX161" s="874"/>
      <c r="FY161" s="874"/>
      <c r="FZ161" s="874"/>
      <c r="GA161" s="874"/>
      <c r="GB161" s="874"/>
      <c r="GC161" s="874"/>
      <c r="GD161" s="874"/>
      <c r="GE161" s="874"/>
      <c r="GF161" s="874"/>
      <c r="GG161" s="874"/>
      <c r="GH161" s="874"/>
      <c r="GI161" s="874"/>
      <c r="GJ161" s="874"/>
      <c r="GK161" s="874"/>
      <c r="GL161" s="874"/>
      <c r="GM161" s="874"/>
      <c r="GN161" s="874"/>
      <c r="GO161" s="874"/>
      <c r="GP161" s="874"/>
      <c r="GQ161" s="874"/>
      <c r="GR161" s="874"/>
      <c r="GS161" s="874"/>
      <c r="GT161" s="874"/>
      <c r="GU161" s="874"/>
      <c r="GV161" s="874"/>
      <c r="GW161" s="874"/>
      <c r="GX161" s="874"/>
      <c r="GY161" s="874"/>
      <c r="GZ161" s="874"/>
      <c r="HA161" s="874"/>
      <c r="HB161" s="874"/>
      <c r="HC161" s="874"/>
      <c r="HD161" s="874"/>
      <c r="HE161" s="874"/>
      <c r="HF161" s="874"/>
      <c r="HG161" s="874"/>
      <c r="HH161" s="874"/>
      <c r="HI161" s="874"/>
      <c r="HJ161" s="874"/>
      <c r="HK161" s="874"/>
      <c r="HL161" s="874"/>
      <c r="HM161" s="874"/>
      <c r="HN161" s="874"/>
      <c r="HO161" s="874"/>
      <c r="HP161" s="874"/>
      <c r="HQ161" s="874"/>
      <c r="HR161" s="874"/>
      <c r="HS161" s="874"/>
      <c r="HT161" s="874"/>
      <c r="HU161" s="874"/>
      <c r="HV161" s="874"/>
      <c r="HW161" s="874"/>
      <c r="HX161" s="874"/>
      <c r="HY161" s="874"/>
      <c r="HZ161" s="874"/>
      <c r="IA161" s="874"/>
      <c r="IB161" s="874"/>
      <c r="IC161" s="874"/>
      <c r="ID161" s="874"/>
      <c r="IE161" s="874"/>
      <c r="IF161" s="874"/>
      <c r="IG161" s="874"/>
      <c r="IH161" s="874"/>
      <c r="II161" s="874"/>
      <c r="IJ161" s="874"/>
      <c r="IK161" s="874"/>
      <c r="IL161" s="874"/>
      <c r="IM161" s="874"/>
      <c r="IN161" s="874"/>
      <c r="IO161" s="874"/>
      <c r="IP161" s="874"/>
      <c r="IQ161" s="874"/>
      <c r="IR161" s="874"/>
      <c r="IS161" s="874"/>
      <c r="IT161" s="874"/>
      <c r="IU161" s="874"/>
      <c r="IV161" s="874"/>
      <c r="IW161" s="874"/>
      <c r="IX161" s="874"/>
      <c r="IY161" s="874"/>
      <c r="IZ161" s="874"/>
      <c r="JA161" s="874"/>
      <c r="JB161" s="874"/>
      <c r="JC161" s="874"/>
      <c r="JD161" s="874"/>
      <c r="JE161" s="874"/>
      <c r="JF161" s="874"/>
      <c r="JG161" s="874"/>
      <c r="JH161" s="874"/>
      <c r="JI161" s="874"/>
      <c r="JJ161" s="874"/>
      <c r="JK161" s="874"/>
      <c r="JL161" s="874"/>
      <c r="JM161" s="874"/>
      <c r="JN161" s="874"/>
      <c r="JO161" s="874"/>
      <c r="JP161" s="874"/>
      <c r="JQ161" s="874"/>
      <c r="JR161" s="874"/>
      <c r="JS161" s="874"/>
      <c r="JT161" s="874"/>
      <c r="JU161" s="874"/>
      <c r="JV161" s="874"/>
      <c r="JW161" s="874"/>
      <c r="JX161" s="874"/>
      <c r="JY161" s="874"/>
      <c r="JZ161" s="874"/>
      <c r="KA161" s="874"/>
      <c r="KB161" s="874"/>
      <c r="KC161" s="874"/>
      <c r="KD161" s="874"/>
      <c r="KE161" s="874"/>
      <c r="KF161" s="874"/>
      <c r="KG161" s="874"/>
      <c r="KH161" s="865"/>
      <c r="KI161" s="865"/>
      <c r="KJ161" s="865"/>
      <c r="KK161" s="865"/>
      <c r="KL161" s="865"/>
      <c r="KM161" s="865"/>
      <c r="KN161" s="865"/>
      <c r="KO161" s="865"/>
      <c r="KP161" s="865"/>
      <c r="KQ161" s="865"/>
      <c r="KR161" s="865"/>
      <c r="KS161" s="865"/>
      <c r="KT161" s="865"/>
      <c r="KU161" s="865"/>
      <c r="KV161" s="865"/>
      <c r="KW161" s="865"/>
      <c r="KX161" s="865"/>
      <c r="KY161" s="865"/>
      <c r="KZ161" s="865"/>
      <c r="LA161" s="865"/>
      <c r="LB161" s="865"/>
      <c r="LC161" s="865"/>
      <c r="LD161" s="865"/>
      <c r="LE161" s="865"/>
      <c r="LF161" s="865"/>
    </row>
    <row r="162" spans="1:318" ht="30.45" customHeight="1">
      <c r="A162" s="1021" t="s">
        <v>1242</v>
      </c>
      <c r="B162" s="1022"/>
      <c r="C162" s="1022"/>
      <c r="D162" s="1022"/>
      <c r="E162" s="1022"/>
      <c r="F162" s="1022"/>
      <c r="G162" s="1022"/>
      <c r="H162" s="1022"/>
      <c r="I162" s="1022"/>
      <c r="J162" s="1022"/>
      <c r="K162" s="1022"/>
      <c r="L162" s="1022"/>
      <c r="M162" s="1022"/>
      <c r="N162" s="1023"/>
      <c r="O162" s="865"/>
      <c r="P162" s="865"/>
      <c r="Q162" s="865"/>
      <c r="R162" s="865"/>
      <c r="S162" s="865"/>
      <c r="T162" s="865"/>
      <c r="U162" s="865"/>
      <c r="V162" s="865"/>
      <c r="W162" s="865"/>
      <c r="X162" s="865"/>
      <c r="Y162" s="865"/>
      <c r="Z162" s="865"/>
      <c r="AA162" s="865"/>
      <c r="AB162" s="865"/>
      <c r="AC162" s="865"/>
      <c r="AD162" s="510"/>
      <c r="AE162" s="865"/>
      <c r="AF162" s="865"/>
      <c r="AG162" s="865"/>
      <c r="AH162" s="865"/>
      <c r="AI162" s="865"/>
      <c r="AJ162" s="510"/>
      <c r="AK162" s="865"/>
      <c r="AL162" s="865"/>
      <c r="AM162" s="865"/>
      <c r="AN162" s="865"/>
      <c r="AO162" s="865"/>
      <c r="AP162" s="510"/>
      <c r="AQ162" s="865"/>
      <c r="AR162" s="865"/>
      <c r="AS162" s="865"/>
      <c r="AT162" s="865"/>
      <c r="AU162" s="865"/>
      <c r="AV162" s="510"/>
      <c r="AW162" s="865"/>
      <c r="AX162" s="865"/>
      <c r="AY162" s="865"/>
      <c r="AZ162" s="865"/>
      <c r="BA162" s="865"/>
      <c r="BB162" s="510"/>
      <c r="BC162" s="865"/>
      <c r="BD162" s="865"/>
      <c r="BE162" s="865"/>
      <c r="BF162" s="865"/>
      <c r="BG162" s="865"/>
      <c r="BH162" s="865"/>
      <c r="BI162" s="865"/>
      <c r="BJ162" s="1039"/>
      <c r="BK162" s="1037"/>
      <c r="BL162" s="1037"/>
      <c r="BM162" s="1037"/>
      <c r="BN162" s="1037"/>
      <c r="BO162" s="1037"/>
      <c r="BP162" s="1037"/>
      <c r="BQ162" s="1037"/>
      <c r="BR162" s="1037"/>
      <c r="BS162" s="1037"/>
      <c r="BT162" s="1037"/>
      <c r="BU162" s="1037"/>
      <c r="BV162" s="1037"/>
      <c r="BW162" s="1037"/>
      <c r="BX162" s="1038"/>
      <c r="BY162" s="874"/>
      <c r="BZ162" s="874"/>
      <c r="CA162" s="874"/>
      <c r="CB162" s="874"/>
      <c r="CC162" s="874"/>
      <c r="CD162" s="874"/>
      <c r="CE162" s="874"/>
      <c r="CF162" s="874"/>
      <c r="CG162" s="874"/>
      <c r="CH162" s="874"/>
      <c r="CI162" s="874"/>
      <c r="CJ162" s="874"/>
      <c r="CK162" s="874"/>
      <c r="CL162" s="874"/>
      <c r="CM162" s="874"/>
      <c r="CN162" s="874"/>
      <c r="CO162" s="874"/>
      <c r="CP162" s="874"/>
      <c r="CQ162" s="874"/>
      <c r="CR162" s="874"/>
      <c r="CS162" s="874"/>
      <c r="CT162" s="874"/>
      <c r="CU162" s="874"/>
      <c r="CV162" s="874"/>
      <c r="CW162" s="874"/>
      <c r="CX162" s="874"/>
      <c r="CY162" s="874"/>
      <c r="CZ162" s="874"/>
      <c r="DA162" s="874"/>
      <c r="DB162" s="874"/>
      <c r="DC162" s="874"/>
      <c r="DD162" s="874"/>
      <c r="DE162" s="874"/>
      <c r="DF162" s="874"/>
      <c r="DG162" s="874"/>
      <c r="DH162" s="874"/>
      <c r="DI162" s="874"/>
      <c r="DJ162" s="874"/>
      <c r="DK162" s="874"/>
      <c r="DL162" s="874"/>
      <c r="DM162" s="874"/>
      <c r="DN162" s="874"/>
      <c r="DO162" s="874"/>
      <c r="DP162" s="874"/>
      <c r="DQ162" s="874"/>
      <c r="DR162" s="874"/>
      <c r="DS162" s="874"/>
      <c r="DT162" s="874"/>
      <c r="DU162" s="874"/>
      <c r="DV162" s="874"/>
      <c r="DW162" s="874"/>
      <c r="DX162" s="874"/>
      <c r="DY162" s="874"/>
      <c r="DZ162" s="874"/>
      <c r="EA162" s="874"/>
      <c r="EB162" s="874"/>
      <c r="EC162" s="874"/>
      <c r="ED162" s="874"/>
      <c r="EE162" s="874"/>
      <c r="EF162" s="874"/>
      <c r="EG162" s="874"/>
      <c r="EH162" s="874"/>
      <c r="EI162" s="874"/>
      <c r="EJ162" s="874"/>
      <c r="EK162" s="874"/>
      <c r="EL162" s="874"/>
      <c r="EM162" s="874"/>
      <c r="EN162" s="874"/>
      <c r="EO162" s="874"/>
      <c r="EP162" s="874"/>
      <c r="EQ162" s="874"/>
      <c r="ER162" s="874"/>
      <c r="ES162" s="874"/>
      <c r="ET162" s="874"/>
      <c r="EU162" s="874"/>
      <c r="EV162" s="874"/>
      <c r="EW162" s="874"/>
      <c r="EX162" s="874"/>
      <c r="EY162" s="874"/>
      <c r="EZ162" s="874"/>
      <c r="FA162" s="874"/>
      <c r="FB162" s="874"/>
      <c r="FC162" s="874"/>
      <c r="FD162" s="874"/>
      <c r="FE162" s="874"/>
      <c r="FF162" s="874"/>
      <c r="FG162" s="874"/>
      <c r="FH162" s="874"/>
      <c r="FI162" s="874"/>
      <c r="FJ162" s="874"/>
      <c r="FK162" s="874"/>
      <c r="FL162" s="874"/>
      <c r="FM162" s="874"/>
      <c r="FN162" s="874"/>
      <c r="FO162" s="874"/>
      <c r="FP162" s="874"/>
      <c r="FQ162" s="874"/>
      <c r="FR162" s="874"/>
      <c r="FS162" s="874"/>
      <c r="FT162" s="874"/>
      <c r="FU162" s="874"/>
      <c r="FV162" s="874"/>
      <c r="FW162" s="874"/>
      <c r="FX162" s="874"/>
      <c r="FY162" s="874"/>
      <c r="FZ162" s="874"/>
      <c r="GA162" s="874"/>
      <c r="GB162" s="874"/>
      <c r="GC162" s="874"/>
      <c r="GD162" s="874"/>
      <c r="GE162" s="874"/>
      <c r="GF162" s="874"/>
      <c r="GG162" s="874"/>
      <c r="GH162" s="874"/>
      <c r="GI162" s="874"/>
      <c r="GJ162" s="874"/>
      <c r="GK162" s="874"/>
      <c r="GL162" s="874"/>
      <c r="GM162" s="874"/>
      <c r="GN162" s="874"/>
      <c r="GO162" s="874"/>
      <c r="GP162" s="874"/>
      <c r="GQ162" s="874"/>
      <c r="GR162" s="874"/>
      <c r="GS162" s="874"/>
      <c r="GT162" s="874"/>
      <c r="GU162" s="874"/>
      <c r="GV162" s="874"/>
      <c r="GW162" s="874"/>
      <c r="GX162" s="874"/>
      <c r="GY162" s="874"/>
      <c r="GZ162" s="874"/>
      <c r="HA162" s="874"/>
      <c r="HB162" s="874"/>
      <c r="HC162" s="874"/>
      <c r="HD162" s="874"/>
      <c r="HE162" s="874"/>
      <c r="HF162" s="874"/>
      <c r="HG162" s="874"/>
      <c r="HH162" s="874"/>
      <c r="HI162" s="874"/>
      <c r="HJ162" s="874"/>
      <c r="HK162" s="874"/>
      <c r="HL162" s="874"/>
      <c r="HM162" s="874"/>
      <c r="HN162" s="874"/>
      <c r="HO162" s="874"/>
      <c r="HP162" s="874"/>
      <c r="HQ162" s="874"/>
      <c r="HR162" s="874"/>
      <c r="HS162" s="874"/>
      <c r="HT162" s="874"/>
      <c r="HU162" s="874"/>
      <c r="HV162" s="874"/>
      <c r="HW162" s="874"/>
      <c r="HX162" s="874"/>
      <c r="HY162" s="874"/>
      <c r="HZ162" s="874"/>
      <c r="IA162" s="874"/>
      <c r="IB162" s="874"/>
      <c r="IC162" s="874"/>
      <c r="ID162" s="874"/>
      <c r="IE162" s="874"/>
      <c r="IF162" s="874"/>
      <c r="IG162" s="874"/>
      <c r="IH162" s="874"/>
      <c r="II162" s="874"/>
      <c r="IJ162" s="874"/>
      <c r="IK162" s="874"/>
      <c r="IL162" s="874"/>
      <c r="IM162" s="874"/>
      <c r="IN162" s="874"/>
      <c r="IO162" s="874"/>
      <c r="IP162" s="874"/>
      <c r="IQ162" s="874"/>
      <c r="IR162" s="874"/>
      <c r="IS162" s="874"/>
      <c r="IT162" s="874"/>
      <c r="IU162" s="874"/>
      <c r="IV162" s="874"/>
      <c r="IW162" s="874"/>
      <c r="IX162" s="874"/>
      <c r="IY162" s="874"/>
      <c r="IZ162" s="874"/>
      <c r="JA162" s="874"/>
      <c r="JB162" s="874"/>
      <c r="JC162" s="874"/>
      <c r="JD162" s="874"/>
      <c r="JE162" s="874"/>
      <c r="JF162" s="874"/>
      <c r="JG162" s="874"/>
      <c r="JH162" s="874"/>
      <c r="JI162" s="874"/>
      <c r="JJ162" s="874"/>
      <c r="JK162" s="874"/>
      <c r="JL162" s="874"/>
      <c r="JM162" s="874"/>
      <c r="JN162" s="874"/>
      <c r="JO162" s="874"/>
      <c r="JP162" s="874"/>
      <c r="JQ162" s="874"/>
      <c r="JR162" s="874"/>
      <c r="JS162" s="874"/>
      <c r="JT162" s="874"/>
      <c r="JU162" s="874"/>
      <c r="JV162" s="874"/>
      <c r="JW162" s="874"/>
      <c r="JX162" s="874"/>
      <c r="JY162" s="874"/>
      <c r="JZ162" s="874"/>
      <c r="KA162" s="874"/>
      <c r="KB162" s="874"/>
      <c r="KC162" s="874"/>
      <c r="KD162" s="874"/>
      <c r="KE162" s="874"/>
      <c r="KF162" s="874"/>
      <c r="KG162" s="874"/>
      <c r="KH162" s="865"/>
      <c r="KI162" s="865"/>
      <c r="KJ162" s="865"/>
      <c r="KK162" s="865"/>
      <c r="KL162" s="865"/>
      <c r="KM162" s="865"/>
      <c r="KN162" s="865"/>
      <c r="KO162" s="865"/>
      <c r="KP162" s="865"/>
      <c r="KQ162" s="865"/>
      <c r="KR162" s="865"/>
      <c r="KS162" s="865"/>
      <c r="KT162" s="865"/>
      <c r="KU162" s="865"/>
      <c r="KV162" s="865"/>
      <c r="KW162" s="865"/>
      <c r="KX162" s="865"/>
      <c r="KY162" s="865"/>
      <c r="KZ162" s="865"/>
      <c r="LA162" s="865"/>
      <c r="LB162" s="865"/>
      <c r="LC162" s="865"/>
      <c r="LD162" s="865"/>
      <c r="LE162" s="865"/>
      <c r="LF162" s="865"/>
    </row>
    <row r="163" spans="1:318" ht="30.45" customHeight="1" thickBot="1">
      <c r="A163" s="1021" t="s">
        <v>1243</v>
      </c>
      <c r="B163" s="1022"/>
      <c r="C163" s="1022"/>
      <c r="D163" s="1022"/>
      <c r="E163" s="1022"/>
      <c r="F163" s="1022"/>
      <c r="G163" s="1022"/>
      <c r="H163" s="1022"/>
      <c r="I163" s="1022"/>
      <c r="J163" s="1022"/>
      <c r="K163" s="1022"/>
      <c r="L163" s="1022"/>
      <c r="M163" s="1022"/>
      <c r="N163" s="1023"/>
      <c r="O163" s="865"/>
      <c r="P163" s="865"/>
      <c r="Q163" s="865"/>
      <c r="R163" s="865"/>
      <c r="S163" s="865"/>
      <c r="T163" s="865"/>
      <c r="U163" s="865"/>
      <c r="V163" s="865"/>
      <c r="W163" s="865"/>
      <c r="X163" s="865"/>
      <c r="Y163" s="865"/>
      <c r="Z163" s="865"/>
      <c r="AA163" s="865"/>
      <c r="AB163" s="865"/>
      <c r="AC163" s="865"/>
      <c r="AD163" s="510"/>
      <c r="AE163" s="865"/>
      <c r="AF163" s="865"/>
      <c r="AG163" s="865"/>
      <c r="AH163" s="865"/>
      <c r="AI163" s="865"/>
      <c r="AJ163" s="510"/>
      <c r="AK163" s="865"/>
      <c r="AL163" s="865"/>
      <c r="AM163" s="865"/>
      <c r="AN163" s="865"/>
      <c r="AO163" s="865"/>
      <c r="AP163" s="510"/>
      <c r="AQ163" s="865"/>
      <c r="AR163" s="865"/>
      <c r="AS163" s="865"/>
      <c r="AT163" s="865"/>
      <c r="AU163" s="865"/>
      <c r="AV163" s="510"/>
      <c r="AW163" s="865"/>
      <c r="AX163" s="865"/>
      <c r="AY163" s="865"/>
      <c r="AZ163" s="865"/>
      <c r="BA163" s="865"/>
      <c r="BB163" s="510"/>
      <c r="BC163" s="865"/>
      <c r="BD163" s="865"/>
      <c r="BE163" s="865"/>
      <c r="BF163" s="865"/>
      <c r="BG163" s="865"/>
      <c r="BH163" s="865"/>
      <c r="BI163" s="865"/>
      <c r="BJ163" s="1283"/>
      <c r="BK163" s="1216"/>
      <c r="BL163" s="1216"/>
      <c r="BM163" s="1216"/>
      <c r="BN163" s="1216"/>
      <c r="BO163" s="1216"/>
      <c r="BP163" s="1216"/>
      <c r="BQ163" s="1216"/>
      <c r="BR163" s="1216"/>
      <c r="BS163" s="1216"/>
      <c r="BT163" s="1216"/>
      <c r="BU163" s="1216"/>
      <c r="BV163" s="1216"/>
      <c r="BW163" s="1216"/>
      <c r="BX163" s="1217"/>
      <c r="BY163" s="874"/>
      <c r="BZ163" s="874"/>
      <c r="CA163" s="874"/>
      <c r="CB163" s="874"/>
      <c r="CC163" s="874"/>
      <c r="CD163" s="874"/>
      <c r="CE163" s="874"/>
      <c r="CF163" s="874"/>
      <c r="CG163" s="874"/>
      <c r="CH163" s="874"/>
      <c r="CI163" s="874"/>
      <c r="CJ163" s="874"/>
      <c r="CK163" s="874"/>
      <c r="CL163" s="874"/>
      <c r="CM163" s="874"/>
      <c r="CN163" s="874"/>
      <c r="CO163" s="874"/>
      <c r="CP163" s="874"/>
      <c r="CQ163" s="874"/>
      <c r="CR163" s="874"/>
      <c r="CS163" s="874"/>
      <c r="CT163" s="874"/>
      <c r="CU163" s="874"/>
      <c r="CV163" s="874"/>
      <c r="CW163" s="874"/>
      <c r="CX163" s="874"/>
      <c r="CY163" s="874"/>
      <c r="CZ163" s="874"/>
      <c r="DA163" s="874"/>
      <c r="DB163" s="874"/>
      <c r="DC163" s="874"/>
      <c r="DD163" s="874"/>
      <c r="DE163" s="874"/>
      <c r="DF163" s="874"/>
      <c r="DG163" s="874"/>
      <c r="DH163" s="874"/>
      <c r="DI163" s="874"/>
      <c r="DJ163" s="874"/>
      <c r="DK163" s="874"/>
      <c r="DL163" s="874"/>
      <c r="DM163" s="874"/>
      <c r="DN163" s="874"/>
      <c r="DO163" s="874"/>
      <c r="DP163" s="874"/>
      <c r="DQ163" s="874"/>
      <c r="DR163" s="874"/>
      <c r="DS163" s="874"/>
      <c r="DT163" s="874"/>
      <c r="DU163" s="874"/>
      <c r="DV163" s="874"/>
      <c r="DW163" s="874"/>
      <c r="DX163" s="874"/>
      <c r="DY163" s="874"/>
      <c r="DZ163" s="874"/>
      <c r="EA163" s="874"/>
      <c r="EB163" s="874"/>
      <c r="EC163" s="874"/>
      <c r="ED163" s="874"/>
      <c r="EE163" s="874"/>
      <c r="EF163" s="874"/>
      <c r="EG163" s="874"/>
      <c r="EH163" s="874"/>
      <c r="EI163" s="874"/>
      <c r="EJ163" s="874"/>
      <c r="EK163" s="874"/>
      <c r="EL163" s="874"/>
      <c r="EM163" s="874"/>
      <c r="EN163" s="874"/>
      <c r="EO163" s="874"/>
      <c r="EP163" s="874"/>
      <c r="EQ163" s="874"/>
      <c r="ER163" s="874"/>
      <c r="ES163" s="874"/>
      <c r="ET163" s="874"/>
      <c r="EU163" s="874"/>
      <c r="EV163" s="874"/>
      <c r="EW163" s="874"/>
      <c r="EX163" s="874"/>
      <c r="EY163" s="874"/>
      <c r="EZ163" s="874"/>
      <c r="FA163" s="874"/>
      <c r="FB163" s="874"/>
      <c r="FC163" s="874"/>
      <c r="FD163" s="874"/>
      <c r="FE163" s="874"/>
      <c r="FF163" s="874"/>
      <c r="FG163" s="874"/>
      <c r="FH163" s="874"/>
      <c r="FI163" s="874"/>
      <c r="FJ163" s="874"/>
      <c r="FK163" s="874"/>
      <c r="FL163" s="874"/>
      <c r="FM163" s="874"/>
      <c r="FN163" s="874"/>
      <c r="FO163" s="874"/>
      <c r="FP163" s="874"/>
      <c r="FQ163" s="874"/>
      <c r="FR163" s="874"/>
      <c r="FS163" s="874"/>
      <c r="FT163" s="874"/>
      <c r="FU163" s="874"/>
      <c r="FV163" s="874"/>
      <c r="FW163" s="874"/>
      <c r="FX163" s="874"/>
      <c r="FY163" s="874"/>
      <c r="FZ163" s="874"/>
      <c r="GA163" s="874"/>
      <c r="GB163" s="874"/>
      <c r="GC163" s="874"/>
      <c r="GD163" s="874"/>
      <c r="GE163" s="874"/>
      <c r="GF163" s="874"/>
      <c r="GG163" s="874"/>
      <c r="GH163" s="874"/>
      <c r="GI163" s="874"/>
      <c r="GJ163" s="874"/>
      <c r="GK163" s="874"/>
      <c r="GL163" s="874"/>
      <c r="GM163" s="874"/>
      <c r="GN163" s="874"/>
      <c r="GO163" s="874"/>
      <c r="GP163" s="874"/>
      <c r="GQ163" s="874"/>
      <c r="GR163" s="874"/>
      <c r="GS163" s="874"/>
      <c r="GT163" s="874"/>
      <c r="GU163" s="874"/>
      <c r="GV163" s="874"/>
      <c r="GW163" s="874"/>
      <c r="GX163" s="874"/>
      <c r="GY163" s="874"/>
      <c r="GZ163" s="874"/>
      <c r="HA163" s="874"/>
      <c r="HB163" s="874"/>
      <c r="HC163" s="874"/>
      <c r="HD163" s="874"/>
      <c r="HE163" s="874"/>
      <c r="HF163" s="874"/>
      <c r="HG163" s="874"/>
      <c r="HH163" s="874"/>
      <c r="HI163" s="874"/>
      <c r="HJ163" s="874"/>
      <c r="HK163" s="874"/>
      <c r="HL163" s="874"/>
      <c r="HM163" s="874"/>
      <c r="HN163" s="874"/>
      <c r="HO163" s="874"/>
      <c r="HP163" s="874"/>
      <c r="HQ163" s="874"/>
      <c r="HR163" s="874"/>
      <c r="HS163" s="874"/>
      <c r="HT163" s="874"/>
      <c r="HU163" s="874"/>
      <c r="HV163" s="874"/>
      <c r="HW163" s="874"/>
      <c r="HX163" s="874"/>
      <c r="HY163" s="874"/>
      <c r="HZ163" s="874"/>
      <c r="IA163" s="874"/>
      <c r="IB163" s="874"/>
      <c r="IC163" s="874"/>
      <c r="ID163" s="874"/>
      <c r="IE163" s="874"/>
      <c r="IF163" s="874"/>
      <c r="IG163" s="874"/>
      <c r="IH163" s="874"/>
      <c r="II163" s="874"/>
      <c r="IJ163" s="874"/>
      <c r="IK163" s="874"/>
      <c r="IL163" s="874"/>
      <c r="IM163" s="874"/>
      <c r="IN163" s="874"/>
      <c r="IO163" s="874"/>
      <c r="IP163" s="874"/>
      <c r="IQ163" s="874"/>
      <c r="IR163" s="874"/>
      <c r="IS163" s="874"/>
      <c r="IT163" s="874"/>
      <c r="IU163" s="874"/>
      <c r="IV163" s="874"/>
      <c r="IW163" s="874"/>
      <c r="IX163" s="874"/>
      <c r="IY163" s="874"/>
      <c r="IZ163" s="874"/>
      <c r="JA163" s="874"/>
      <c r="JB163" s="874"/>
      <c r="JC163" s="874"/>
      <c r="JD163" s="874"/>
      <c r="JE163" s="874"/>
      <c r="JF163" s="874"/>
      <c r="JG163" s="874"/>
      <c r="JH163" s="874"/>
      <c r="JI163" s="874"/>
      <c r="JJ163" s="874"/>
      <c r="JK163" s="874"/>
      <c r="JL163" s="874"/>
      <c r="JM163" s="874"/>
      <c r="JN163" s="874"/>
      <c r="JO163" s="874"/>
      <c r="JP163" s="874"/>
      <c r="JQ163" s="874"/>
      <c r="JR163" s="874"/>
      <c r="JS163" s="874"/>
      <c r="JT163" s="874"/>
      <c r="JU163" s="874"/>
      <c r="JV163" s="874"/>
      <c r="JW163" s="874"/>
      <c r="JX163" s="874"/>
      <c r="JY163" s="874"/>
      <c r="JZ163" s="874"/>
      <c r="KA163" s="874"/>
      <c r="KB163" s="874"/>
      <c r="KC163" s="874"/>
      <c r="KD163" s="874"/>
      <c r="KE163" s="874"/>
      <c r="KF163" s="874"/>
      <c r="KG163" s="874"/>
      <c r="KH163" s="865"/>
      <c r="KI163" s="865"/>
      <c r="KJ163" s="865"/>
      <c r="KK163" s="865"/>
      <c r="KL163" s="865"/>
      <c r="KM163" s="865"/>
      <c r="KN163" s="865"/>
      <c r="KO163" s="865"/>
      <c r="KP163" s="865"/>
      <c r="KQ163" s="865"/>
      <c r="KR163" s="865"/>
      <c r="KS163" s="865"/>
      <c r="KT163" s="865"/>
      <c r="KU163" s="865"/>
      <c r="KV163" s="865"/>
      <c r="KW163" s="865"/>
      <c r="KX163" s="865"/>
      <c r="KY163" s="865"/>
      <c r="KZ163" s="865"/>
      <c r="LA163" s="865"/>
      <c r="LB163" s="865"/>
      <c r="LC163" s="865"/>
      <c r="LD163" s="865"/>
      <c r="LE163" s="865"/>
      <c r="LF163" s="865"/>
    </row>
    <row r="164" spans="1:318" ht="30.45" customHeight="1">
      <c r="A164" s="1021" t="s">
        <v>1250</v>
      </c>
      <c r="B164" s="1022"/>
      <c r="C164" s="1022"/>
      <c r="D164" s="1022"/>
      <c r="E164" s="1022"/>
      <c r="F164" s="1022"/>
      <c r="G164" s="1022"/>
      <c r="H164" s="1022"/>
      <c r="I164" s="1022"/>
      <c r="J164" s="1022"/>
      <c r="K164" s="1022"/>
      <c r="L164" s="1022"/>
      <c r="M164" s="1022"/>
      <c r="N164" s="1023"/>
      <c r="O164" s="865"/>
      <c r="P164" s="865"/>
      <c r="Q164" s="865"/>
      <c r="R164" s="865"/>
      <c r="S164" s="865"/>
      <c r="T164" s="865"/>
      <c r="U164" s="865"/>
      <c r="V164" s="865"/>
      <c r="W164" s="865"/>
      <c r="X164" s="865"/>
      <c r="Y164" s="865"/>
      <c r="Z164" s="865"/>
      <c r="AA164" s="865"/>
      <c r="AB164" s="865"/>
      <c r="AC164" s="865"/>
      <c r="AD164" s="510"/>
      <c r="AE164" s="865"/>
      <c r="AF164" s="865"/>
      <c r="AG164" s="865"/>
      <c r="AH164" s="865"/>
      <c r="AI164" s="865"/>
      <c r="AJ164" s="510"/>
      <c r="AK164" s="865"/>
      <c r="AL164" s="865"/>
      <c r="AM164" s="865"/>
      <c r="AN164" s="865"/>
      <c r="AO164" s="865"/>
      <c r="AP164" s="510"/>
      <c r="AQ164" s="865"/>
      <c r="AR164" s="865"/>
      <c r="AS164" s="865"/>
      <c r="AT164" s="865"/>
      <c r="AU164" s="865"/>
      <c r="AV164" s="510"/>
      <c r="AW164" s="865"/>
      <c r="AX164" s="865"/>
      <c r="AY164" s="865"/>
      <c r="AZ164" s="865"/>
      <c r="BA164" s="865"/>
      <c r="BB164" s="510"/>
      <c r="BC164" s="865"/>
      <c r="BD164" s="865"/>
      <c r="BE164" s="865"/>
      <c r="BF164" s="865"/>
      <c r="BG164" s="865"/>
      <c r="BH164" s="865"/>
      <c r="BI164" s="865"/>
      <c r="BJ164" s="865"/>
      <c r="BK164" s="865"/>
      <c r="BL164" s="865"/>
      <c r="BM164" s="865"/>
      <c r="BN164" s="865"/>
      <c r="BO164" s="865"/>
      <c r="BP164" s="865"/>
      <c r="BQ164" s="865"/>
      <c r="BR164" s="865"/>
      <c r="BS164" s="865"/>
      <c r="BT164" s="865"/>
      <c r="BU164" s="865"/>
      <c r="BV164" s="865"/>
      <c r="BW164" s="865"/>
      <c r="BX164" s="865"/>
      <c r="BY164" s="874"/>
      <c r="BZ164" s="874"/>
      <c r="CA164" s="874"/>
      <c r="CB164" s="874"/>
      <c r="CC164" s="874"/>
      <c r="CD164" s="874"/>
      <c r="CE164" s="874"/>
      <c r="CF164" s="874"/>
      <c r="CG164" s="874"/>
      <c r="CH164" s="874"/>
      <c r="CI164" s="874"/>
      <c r="CJ164" s="874"/>
      <c r="CK164" s="874"/>
      <c r="CL164" s="874"/>
      <c r="CM164" s="874"/>
      <c r="CN164" s="874"/>
      <c r="CO164" s="874"/>
      <c r="CP164" s="874"/>
      <c r="CQ164" s="874"/>
      <c r="CR164" s="874"/>
      <c r="CS164" s="874"/>
      <c r="CT164" s="874"/>
      <c r="CU164" s="874"/>
      <c r="CV164" s="874"/>
      <c r="CW164" s="874"/>
      <c r="CX164" s="874"/>
      <c r="CY164" s="874"/>
      <c r="CZ164" s="874"/>
      <c r="DA164" s="874"/>
      <c r="DB164" s="874"/>
      <c r="DC164" s="874"/>
      <c r="DD164" s="874"/>
      <c r="DE164" s="874"/>
      <c r="DF164" s="874"/>
      <c r="DG164" s="874"/>
      <c r="DH164" s="874"/>
      <c r="DI164" s="874"/>
      <c r="DJ164" s="874"/>
      <c r="DK164" s="874"/>
      <c r="DL164" s="874"/>
      <c r="DM164" s="874"/>
      <c r="DN164" s="874"/>
      <c r="DO164" s="874"/>
      <c r="DP164" s="874"/>
      <c r="DQ164" s="874"/>
      <c r="DR164" s="874"/>
      <c r="DS164" s="874"/>
      <c r="DT164" s="874"/>
      <c r="DU164" s="874"/>
      <c r="DV164" s="874"/>
      <c r="DW164" s="874"/>
      <c r="DX164" s="874"/>
      <c r="DY164" s="874"/>
      <c r="DZ164" s="874"/>
      <c r="EA164" s="874"/>
      <c r="EB164" s="874"/>
      <c r="EC164" s="874"/>
      <c r="ED164" s="874"/>
      <c r="EE164" s="874"/>
      <c r="EF164" s="874"/>
      <c r="EG164" s="874"/>
      <c r="EH164" s="874"/>
      <c r="EI164" s="874"/>
      <c r="EJ164" s="874"/>
      <c r="EK164" s="874"/>
      <c r="EL164" s="874"/>
      <c r="EM164" s="874"/>
      <c r="EN164" s="874"/>
      <c r="EO164" s="874"/>
      <c r="EP164" s="874"/>
      <c r="EQ164" s="874"/>
      <c r="ER164" s="874"/>
      <c r="ES164" s="874"/>
      <c r="ET164" s="874"/>
      <c r="EU164" s="874"/>
      <c r="EV164" s="874"/>
      <c r="EW164" s="874"/>
      <c r="EX164" s="874"/>
      <c r="EY164" s="874"/>
      <c r="EZ164" s="874"/>
      <c r="FA164" s="874"/>
      <c r="FB164" s="874"/>
      <c r="FC164" s="874"/>
      <c r="FD164" s="874"/>
      <c r="FE164" s="874"/>
      <c r="FF164" s="874"/>
      <c r="FG164" s="874"/>
      <c r="FH164" s="874"/>
      <c r="FI164" s="874"/>
      <c r="FJ164" s="874"/>
      <c r="FK164" s="874"/>
      <c r="FL164" s="874"/>
      <c r="FM164" s="874"/>
      <c r="FN164" s="874"/>
      <c r="FO164" s="874"/>
      <c r="FP164" s="874"/>
      <c r="FQ164" s="874"/>
      <c r="FR164" s="874"/>
      <c r="FS164" s="874"/>
      <c r="FT164" s="874"/>
      <c r="FU164" s="874"/>
      <c r="FV164" s="874"/>
      <c r="FW164" s="874"/>
      <c r="FX164" s="874"/>
      <c r="FY164" s="874"/>
      <c r="FZ164" s="874"/>
      <c r="GA164" s="874"/>
      <c r="GB164" s="874"/>
      <c r="GC164" s="874"/>
      <c r="GD164" s="874"/>
      <c r="GE164" s="874"/>
      <c r="GF164" s="874"/>
      <c r="GG164" s="874"/>
      <c r="GH164" s="874"/>
      <c r="GI164" s="874"/>
      <c r="GJ164" s="874"/>
      <c r="GK164" s="874"/>
      <c r="GL164" s="874"/>
      <c r="GM164" s="874"/>
      <c r="GN164" s="874"/>
      <c r="GO164" s="874"/>
      <c r="GP164" s="874"/>
      <c r="GQ164" s="874"/>
      <c r="GR164" s="874"/>
      <c r="GS164" s="874"/>
      <c r="GT164" s="874"/>
      <c r="GU164" s="874"/>
      <c r="GV164" s="874"/>
      <c r="GW164" s="874"/>
      <c r="GX164" s="874"/>
      <c r="GY164" s="874"/>
      <c r="GZ164" s="874"/>
      <c r="HA164" s="874"/>
      <c r="HB164" s="874"/>
      <c r="HC164" s="874"/>
      <c r="HD164" s="874"/>
      <c r="HE164" s="874"/>
      <c r="HF164" s="874"/>
      <c r="HG164" s="874"/>
      <c r="HH164" s="874"/>
      <c r="HI164" s="874"/>
      <c r="HJ164" s="874"/>
      <c r="HK164" s="874"/>
      <c r="HL164" s="874"/>
      <c r="HM164" s="874"/>
      <c r="HN164" s="874"/>
      <c r="HO164" s="874"/>
      <c r="HP164" s="874"/>
      <c r="HQ164" s="874"/>
      <c r="HR164" s="874"/>
      <c r="HS164" s="874"/>
      <c r="HT164" s="874"/>
      <c r="HU164" s="874"/>
      <c r="HV164" s="874"/>
      <c r="HW164" s="874"/>
      <c r="HX164" s="874"/>
      <c r="HY164" s="874"/>
      <c r="HZ164" s="874"/>
      <c r="IA164" s="874"/>
      <c r="IB164" s="874"/>
      <c r="IC164" s="874"/>
      <c r="ID164" s="874"/>
      <c r="IE164" s="874"/>
      <c r="IF164" s="874"/>
      <c r="IG164" s="874"/>
      <c r="IH164" s="874"/>
      <c r="II164" s="874"/>
      <c r="IJ164" s="874"/>
      <c r="IK164" s="874"/>
      <c r="IL164" s="874"/>
      <c r="IM164" s="874"/>
      <c r="IN164" s="874"/>
      <c r="IO164" s="874"/>
      <c r="IP164" s="874"/>
      <c r="IQ164" s="874"/>
      <c r="IR164" s="874"/>
      <c r="IS164" s="874"/>
      <c r="IT164" s="874"/>
      <c r="IU164" s="874"/>
      <c r="IV164" s="874"/>
      <c r="IW164" s="874"/>
      <c r="IX164" s="874"/>
      <c r="IY164" s="874"/>
      <c r="IZ164" s="874"/>
      <c r="JA164" s="874"/>
      <c r="JB164" s="874"/>
      <c r="JC164" s="874"/>
      <c r="JD164" s="874"/>
      <c r="JE164" s="874"/>
      <c r="JF164" s="874"/>
      <c r="JG164" s="874"/>
      <c r="JH164" s="874"/>
      <c r="JI164" s="874"/>
      <c r="JJ164" s="874"/>
      <c r="JK164" s="874"/>
      <c r="JL164" s="874"/>
      <c r="JM164" s="874"/>
      <c r="JN164" s="874"/>
      <c r="JO164" s="874"/>
      <c r="JP164" s="874"/>
      <c r="JQ164" s="874"/>
      <c r="JR164" s="874"/>
      <c r="JS164" s="874"/>
      <c r="JT164" s="874"/>
      <c r="JU164" s="874"/>
      <c r="JV164" s="874"/>
      <c r="JW164" s="874"/>
      <c r="JX164" s="874"/>
      <c r="JY164" s="874"/>
      <c r="JZ164" s="874"/>
      <c r="KA164" s="874"/>
      <c r="KB164" s="874"/>
      <c r="KC164" s="874"/>
      <c r="KD164" s="874"/>
      <c r="KE164" s="874"/>
      <c r="KF164" s="874"/>
      <c r="KG164" s="874"/>
      <c r="KH164" s="865"/>
      <c r="KI164" s="865"/>
      <c r="KJ164" s="865"/>
      <c r="KK164" s="865"/>
      <c r="KL164" s="865"/>
      <c r="KM164" s="865"/>
      <c r="KN164" s="865"/>
      <c r="KO164" s="865"/>
      <c r="KP164" s="865"/>
      <c r="KQ164" s="865"/>
      <c r="KR164" s="865"/>
      <c r="KS164" s="865"/>
      <c r="KT164" s="865"/>
      <c r="KU164" s="865"/>
      <c r="KV164" s="865"/>
      <c r="KW164" s="865"/>
      <c r="KX164" s="865"/>
      <c r="KY164" s="865"/>
      <c r="KZ164" s="865"/>
      <c r="LA164" s="865"/>
      <c r="LB164" s="865"/>
      <c r="LC164" s="865"/>
      <c r="LD164" s="865"/>
      <c r="LE164" s="865"/>
      <c r="LF164" s="865"/>
    </row>
    <row r="165" spans="1:318" s="509" customFormat="1" ht="22.95" customHeight="1">
      <c r="A165" s="1018" t="s">
        <v>1254</v>
      </c>
      <c r="B165" s="1019"/>
      <c r="C165" s="1019"/>
      <c r="D165" s="1019"/>
      <c r="E165" s="1019"/>
      <c r="F165" s="1019"/>
      <c r="G165" s="1019"/>
      <c r="H165" s="1019"/>
      <c r="I165" s="1019"/>
      <c r="J165" s="1019"/>
      <c r="K165" s="1019"/>
      <c r="L165" s="1019"/>
      <c r="M165" s="1019"/>
      <c r="N165" s="1020"/>
      <c r="O165" s="514"/>
      <c r="P165" s="514"/>
      <c r="Q165" s="514"/>
      <c r="R165" s="514"/>
      <c r="S165" s="514"/>
      <c r="T165" s="514"/>
      <c r="U165" s="514"/>
      <c r="V165" s="514"/>
      <c r="W165" s="514"/>
      <c r="X165" s="514"/>
      <c r="Y165" s="514"/>
      <c r="Z165" s="514"/>
      <c r="AA165" s="514"/>
      <c r="AB165" s="514"/>
      <c r="AC165" s="514"/>
      <c r="AD165" s="515"/>
      <c r="AE165" s="514"/>
      <c r="AF165" s="514"/>
      <c r="AG165" s="514"/>
      <c r="AH165" s="514"/>
      <c r="AI165" s="514"/>
      <c r="AJ165" s="515"/>
      <c r="AK165" s="514"/>
      <c r="AL165" s="514"/>
      <c r="AM165" s="514"/>
      <c r="AN165" s="514"/>
      <c r="AO165" s="514"/>
      <c r="AP165" s="515"/>
      <c r="AQ165" s="514"/>
      <c r="AR165" s="514"/>
      <c r="AS165" s="514"/>
      <c r="AT165" s="514"/>
      <c r="AU165" s="514"/>
      <c r="AV165" s="515"/>
      <c r="AW165" s="514"/>
      <c r="AX165" s="514"/>
      <c r="AY165" s="514"/>
      <c r="AZ165" s="514"/>
      <c r="BA165" s="514"/>
      <c r="BB165" s="515"/>
      <c r="BC165" s="514"/>
      <c r="BD165" s="514"/>
      <c r="BE165" s="514"/>
      <c r="BF165" s="514"/>
      <c r="BG165" s="514"/>
      <c r="BH165" s="514"/>
      <c r="BI165" s="514"/>
      <c r="BJ165" s="514"/>
      <c r="BK165" s="514"/>
      <c r="BL165" s="514"/>
      <c r="BM165" s="514"/>
      <c r="BN165" s="514"/>
      <c r="BO165" s="514"/>
      <c r="BP165" s="514"/>
      <c r="BQ165" s="514"/>
      <c r="BR165" s="514"/>
      <c r="BS165" s="514"/>
      <c r="BT165" s="514"/>
      <c r="BU165" s="514"/>
      <c r="BV165" s="514"/>
      <c r="BW165" s="514"/>
      <c r="BX165" s="514"/>
      <c r="BY165" s="514"/>
      <c r="BZ165" s="514"/>
      <c r="CA165" s="514"/>
      <c r="CB165" s="514"/>
      <c r="CC165" s="514"/>
      <c r="CD165" s="514"/>
      <c r="CE165" s="514"/>
      <c r="CF165" s="514"/>
      <c r="CG165" s="514"/>
      <c r="CH165" s="514"/>
      <c r="CI165" s="514"/>
      <c r="CJ165" s="514"/>
      <c r="CK165" s="514"/>
      <c r="CL165" s="514"/>
      <c r="CM165" s="514"/>
      <c r="CN165" s="514"/>
      <c r="CO165" s="514"/>
      <c r="CP165" s="514"/>
      <c r="CQ165" s="514"/>
      <c r="CR165" s="514"/>
      <c r="CS165" s="514"/>
      <c r="CT165" s="514"/>
      <c r="CU165" s="514"/>
      <c r="CV165" s="514"/>
      <c r="CW165" s="514"/>
      <c r="CX165" s="514"/>
      <c r="CY165" s="514"/>
      <c r="CZ165" s="514"/>
      <c r="DA165" s="514"/>
      <c r="DB165" s="514"/>
      <c r="DC165" s="514"/>
      <c r="DD165" s="514"/>
      <c r="DE165" s="514"/>
      <c r="DF165" s="514"/>
      <c r="DG165" s="514"/>
      <c r="DH165" s="514"/>
      <c r="DI165" s="514"/>
      <c r="DJ165" s="514"/>
      <c r="DK165" s="514"/>
      <c r="DL165" s="514"/>
      <c r="DM165" s="514"/>
      <c r="DN165" s="514"/>
      <c r="DO165" s="514"/>
      <c r="DP165" s="514"/>
      <c r="DQ165" s="514"/>
      <c r="DR165" s="514"/>
      <c r="DS165" s="514"/>
      <c r="DT165" s="514"/>
      <c r="DU165" s="514"/>
      <c r="DV165" s="514"/>
      <c r="DW165" s="514"/>
      <c r="DX165" s="514"/>
      <c r="DY165" s="514"/>
      <c r="DZ165" s="514"/>
      <c r="EA165" s="514"/>
      <c r="EB165" s="514"/>
      <c r="EC165" s="514"/>
      <c r="ED165" s="514"/>
      <c r="EE165" s="514"/>
      <c r="EF165" s="514"/>
      <c r="EG165" s="514"/>
      <c r="EH165" s="514"/>
      <c r="EI165" s="514"/>
      <c r="EJ165" s="514"/>
      <c r="EK165" s="514"/>
      <c r="EL165" s="514"/>
      <c r="EM165" s="514"/>
      <c r="EN165" s="514"/>
      <c r="EO165" s="514"/>
      <c r="EP165" s="514"/>
      <c r="EQ165" s="514"/>
      <c r="ER165" s="514"/>
      <c r="ES165" s="514"/>
      <c r="ET165" s="514"/>
      <c r="EU165" s="514"/>
      <c r="EV165" s="514"/>
      <c r="EW165" s="514"/>
      <c r="EX165" s="514"/>
      <c r="EY165" s="514"/>
      <c r="EZ165" s="514"/>
      <c r="FA165" s="514"/>
      <c r="FB165" s="514"/>
      <c r="FC165" s="514"/>
      <c r="FD165" s="514"/>
      <c r="FE165" s="514"/>
      <c r="FF165" s="514"/>
      <c r="FG165" s="514"/>
      <c r="FH165" s="514"/>
      <c r="FI165" s="514"/>
      <c r="FJ165" s="514"/>
      <c r="FK165" s="514"/>
      <c r="FL165" s="514"/>
      <c r="FM165" s="514"/>
      <c r="FN165" s="514"/>
      <c r="FO165" s="514"/>
      <c r="FP165" s="514"/>
      <c r="FQ165" s="514"/>
      <c r="FR165" s="514"/>
      <c r="FS165" s="514"/>
      <c r="FT165" s="514"/>
      <c r="FU165" s="514"/>
      <c r="FV165" s="514"/>
      <c r="FW165" s="514"/>
      <c r="FX165" s="514"/>
      <c r="FY165" s="514"/>
      <c r="FZ165" s="514"/>
      <c r="GA165" s="514"/>
      <c r="GB165" s="514"/>
      <c r="GC165" s="514"/>
      <c r="GD165" s="514"/>
      <c r="GE165" s="514"/>
      <c r="GF165" s="514"/>
      <c r="GG165" s="514"/>
      <c r="GH165" s="514"/>
      <c r="GI165" s="514"/>
      <c r="GJ165" s="514"/>
      <c r="GK165" s="514"/>
      <c r="GL165" s="514"/>
      <c r="GM165" s="514"/>
      <c r="GN165" s="514"/>
      <c r="GO165" s="514"/>
      <c r="GP165" s="514"/>
      <c r="GQ165" s="514"/>
      <c r="GR165" s="514"/>
      <c r="GS165" s="514"/>
      <c r="GT165" s="514"/>
      <c r="GU165" s="514"/>
      <c r="GV165" s="514"/>
      <c r="GW165" s="514"/>
      <c r="GX165" s="514"/>
      <c r="GY165" s="514"/>
      <c r="GZ165" s="514"/>
      <c r="HA165" s="514"/>
      <c r="HB165" s="514"/>
      <c r="HC165" s="514"/>
      <c r="HD165" s="514"/>
      <c r="HE165" s="514"/>
      <c r="HF165" s="514"/>
      <c r="HG165" s="514"/>
      <c r="HH165" s="514"/>
      <c r="HI165" s="514"/>
      <c r="HJ165" s="514"/>
      <c r="HK165" s="514"/>
      <c r="HL165" s="514"/>
      <c r="HM165" s="514"/>
      <c r="HN165" s="514"/>
      <c r="HO165" s="514"/>
      <c r="HP165" s="514"/>
      <c r="HQ165" s="514"/>
      <c r="HR165" s="514"/>
      <c r="HS165" s="514"/>
      <c r="HT165" s="514"/>
      <c r="HU165" s="514"/>
      <c r="HV165" s="514"/>
      <c r="HW165" s="514"/>
      <c r="HX165" s="514"/>
      <c r="HY165" s="514"/>
      <c r="HZ165" s="514"/>
      <c r="IA165" s="514"/>
      <c r="IB165" s="514"/>
      <c r="IC165" s="514"/>
      <c r="ID165" s="514"/>
      <c r="IE165" s="514"/>
      <c r="IF165" s="514"/>
      <c r="IG165" s="514"/>
      <c r="IH165" s="514"/>
      <c r="II165" s="514"/>
      <c r="IJ165" s="514"/>
      <c r="IK165" s="514"/>
      <c r="IL165" s="514"/>
      <c r="IM165" s="514"/>
      <c r="IN165" s="514"/>
      <c r="IO165" s="514"/>
      <c r="IP165" s="514"/>
      <c r="IQ165" s="514"/>
      <c r="IR165" s="514"/>
      <c r="IS165" s="514"/>
      <c r="IT165" s="514"/>
      <c r="IU165" s="514"/>
      <c r="IV165" s="514"/>
      <c r="IW165" s="514"/>
      <c r="IX165" s="514"/>
      <c r="IY165" s="514"/>
      <c r="IZ165" s="514"/>
      <c r="JA165" s="514"/>
      <c r="JB165" s="514"/>
      <c r="JC165" s="514"/>
      <c r="JD165" s="514"/>
      <c r="JE165" s="514"/>
      <c r="JF165" s="514"/>
      <c r="JG165" s="514"/>
      <c r="JH165" s="514"/>
      <c r="JI165" s="514"/>
      <c r="JJ165" s="514"/>
      <c r="JK165" s="514"/>
      <c r="JL165" s="514"/>
      <c r="JM165" s="514"/>
      <c r="JN165" s="514"/>
      <c r="JO165" s="514"/>
      <c r="JP165" s="514"/>
      <c r="JQ165" s="514"/>
      <c r="JR165" s="514"/>
      <c r="JS165" s="514"/>
      <c r="JT165" s="514"/>
      <c r="JU165" s="514"/>
      <c r="JV165" s="514"/>
      <c r="JW165" s="514"/>
      <c r="JX165" s="514"/>
      <c r="JY165" s="514"/>
      <c r="JZ165" s="514"/>
      <c r="KA165" s="514"/>
      <c r="KB165" s="514"/>
      <c r="KC165" s="514"/>
      <c r="KD165" s="514"/>
      <c r="KE165" s="514"/>
      <c r="KF165" s="514"/>
      <c r="KG165" s="514"/>
      <c r="KH165" s="514"/>
      <c r="KI165" s="514"/>
      <c r="KJ165" s="514"/>
      <c r="KK165" s="514"/>
      <c r="KL165" s="514"/>
      <c r="KM165" s="514"/>
      <c r="KN165" s="514"/>
      <c r="KO165" s="514"/>
      <c r="KP165" s="514"/>
      <c r="KQ165" s="514"/>
      <c r="KR165" s="514"/>
      <c r="KS165" s="514"/>
      <c r="KT165" s="514"/>
      <c r="KU165" s="514"/>
      <c r="KV165" s="514"/>
      <c r="KW165" s="514"/>
      <c r="KX165" s="514"/>
      <c r="KY165" s="514"/>
      <c r="KZ165" s="514"/>
      <c r="LA165" s="514"/>
      <c r="LB165" s="514"/>
      <c r="LC165" s="514"/>
      <c r="LD165" s="514"/>
      <c r="LE165" s="514"/>
      <c r="LF165" s="514"/>
    </row>
    <row r="166" spans="1:318" s="509" customFormat="1" ht="25.5" customHeight="1">
      <c r="A166" s="1018" t="s">
        <v>1529</v>
      </c>
      <c r="B166" s="1019"/>
      <c r="C166" s="1019"/>
      <c r="D166" s="1019"/>
      <c r="E166" s="1019"/>
      <c r="F166" s="1019"/>
      <c r="G166" s="1019"/>
      <c r="H166" s="1019"/>
      <c r="I166" s="1019"/>
      <c r="J166" s="1019"/>
      <c r="K166" s="1019"/>
      <c r="L166" s="1019"/>
      <c r="M166" s="1019"/>
      <c r="N166" s="1020"/>
      <c r="O166" s="514"/>
      <c r="P166" s="514"/>
      <c r="Q166" s="514"/>
      <c r="R166" s="514"/>
      <c r="S166" s="514"/>
      <c r="T166" s="514"/>
      <c r="U166" s="514"/>
      <c r="V166" s="514"/>
      <c r="W166" s="514"/>
      <c r="X166" s="514"/>
      <c r="Y166" s="514"/>
      <c r="Z166" s="514"/>
      <c r="AA166" s="514"/>
      <c r="AB166" s="514"/>
      <c r="AC166" s="514"/>
      <c r="AD166" s="515"/>
      <c r="AE166" s="514"/>
      <c r="AF166" s="514"/>
      <c r="AG166" s="514"/>
      <c r="AH166" s="514"/>
      <c r="AI166" s="514"/>
      <c r="AJ166" s="515"/>
      <c r="AK166" s="514"/>
      <c r="AL166" s="514"/>
      <c r="AM166" s="514"/>
      <c r="AN166" s="514"/>
      <c r="AO166" s="514"/>
      <c r="AP166" s="515"/>
      <c r="AQ166" s="514"/>
      <c r="AR166" s="514"/>
      <c r="AS166" s="514"/>
      <c r="AT166" s="514"/>
      <c r="AU166" s="514"/>
      <c r="AV166" s="515"/>
      <c r="AW166" s="514"/>
      <c r="AX166" s="514"/>
      <c r="AY166" s="514"/>
      <c r="AZ166" s="514"/>
      <c r="BA166" s="514"/>
      <c r="BB166" s="515"/>
      <c r="BC166" s="514"/>
      <c r="BD166" s="514"/>
      <c r="BE166" s="514"/>
      <c r="BF166" s="514"/>
      <c r="BG166" s="514"/>
      <c r="BH166" s="514"/>
      <c r="BI166" s="514"/>
      <c r="BJ166" s="514"/>
      <c r="BK166" s="514"/>
      <c r="BL166" s="514"/>
      <c r="BM166" s="514"/>
      <c r="BN166" s="514"/>
      <c r="BO166" s="514"/>
      <c r="BP166" s="514"/>
      <c r="BQ166" s="514"/>
      <c r="BR166" s="514"/>
      <c r="BS166" s="514"/>
      <c r="BT166" s="514"/>
      <c r="BU166" s="514"/>
      <c r="BV166" s="514"/>
      <c r="BW166" s="514"/>
      <c r="BX166" s="514"/>
      <c r="BY166" s="514"/>
      <c r="BZ166" s="514"/>
      <c r="CA166" s="514"/>
      <c r="CB166" s="514"/>
      <c r="CC166" s="514"/>
      <c r="CD166" s="514"/>
      <c r="CE166" s="514"/>
      <c r="CF166" s="514"/>
      <c r="CG166" s="514"/>
      <c r="CH166" s="514"/>
      <c r="CI166" s="514"/>
      <c r="CJ166" s="514"/>
      <c r="CK166" s="514"/>
      <c r="CL166" s="514"/>
      <c r="CM166" s="514"/>
      <c r="CN166" s="514"/>
      <c r="CO166" s="514"/>
      <c r="CP166" s="514"/>
      <c r="CQ166" s="514"/>
      <c r="CR166" s="514"/>
      <c r="CS166" s="514"/>
      <c r="CT166" s="514"/>
      <c r="CU166" s="514"/>
      <c r="CV166" s="514"/>
      <c r="CW166" s="514"/>
      <c r="CX166" s="514"/>
      <c r="CY166" s="514"/>
      <c r="CZ166" s="514"/>
      <c r="DA166" s="514"/>
      <c r="DB166" s="514"/>
      <c r="DC166" s="514"/>
      <c r="DD166" s="514"/>
      <c r="DE166" s="514"/>
      <c r="DF166" s="514"/>
      <c r="DG166" s="514"/>
      <c r="DH166" s="514"/>
      <c r="DI166" s="514"/>
      <c r="DJ166" s="514"/>
      <c r="DK166" s="514"/>
      <c r="DL166" s="514"/>
      <c r="DM166" s="514"/>
      <c r="DN166" s="514"/>
      <c r="DO166" s="514"/>
      <c r="DP166" s="514"/>
      <c r="DQ166" s="514"/>
      <c r="DR166" s="514"/>
      <c r="DS166" s="514"/>
      <c r="DT166" s="514"/>
      <c r="DU166" s="514"/>
      <c r="DV166" s="514"/>
      <c r="DW166" s="514"/>
      <c r="DX166" s="514"/>
      <c r="DY166" s="514"/>
      <c r="DZ166" s="514"/>
      <c r="EA166" s="514"/>
      <c r="EB166" s="514"/>
      <c r="EC166" s="514"/>
      <c r="ED166" s="514"/>
      <c r="EE166" s="514"/>
      <c r="EF166" s="514"/>
      <c r="EG166" s="514"/>
      <c r="EH166" s="514"/>
      <c r="EI166" s="514"/>
      <c r="EJ166" s="514"/>
      <c r="EK166" s="514"/>
      <c r="EL166" s="514"/>
      <c r="EM166" s="514"/>
      <c r="EN166" s="514"/>
      <c r="EO166" s="514"/>
      <c r="EP166" s="514"/>
      <c r="EQ166" s="514"/>
      <c r="ER166" s="514"/>
      <c r="ES166" s="514"/>
      <c r="ET166" s="514"/>
      <c r="EU166" s="514"/>
      <c r="EV166" s="514"/>
      <c r="EW166" s="514"/>
      <c r="EX166" s="514"/>
      <c r="EY166" s="514"/>
      <c r="EZ166" s="514"/>
      <c r="FA166" s="514"/>
      <c r="FB166" s="514"/>
      <c r="FC166" s="514"/>
      <c r="FD166" s="514"/>
      <c r="FE166" s="514"/>
      <c r="FF166" s="514"/>
      <c r="FG166" s="514"/>
      <c r="FH166" s="514"/>
      <c r="FI166" s="514"/>
      <c r="FJ166" s="514"/>
      <c r="FK166" s="514"/>
      <c r="FL166" s="514"/>
      <c r="FM166" s="514"/>
      <c r="FN166" s="514"/>
      <c r="FO166" s="514"/>
      <c r="FP166" s="514"/>
      <c r="FQ166" s="514"/>
      <c r="FR166" s="514"/>
      <c r="FS166" s="514"/>
      <c r="FT166" s="514"/>
      <c r="FU166" s="514"/>
      <c r="FV166" s="514"/>
      <c r="FW166" s="514"/>
      <c r="FX166" s="514"/>
      <c r="FY166" s="514"/>
      <c r="FZ166" s="514"/>
      <c r="GA166" s="514"/>
      <c r="GB166" s="514"/>
      <c r="GC166" s="514"/>
      <c r="GD166" s="514"/>
      <c r="GE166" s="514"/>
      <c r="GF166" s="514"/>
      <c r="GG166" s="514"/>
      <c r="GH166" s="514"/>
      <c r="GI166" s="514"/>
      <c r="GJ166" s="514"/>
      <c r="GK166" s="514"/>
      <c r="GL166" s="514"/>
      <c r="GM166" s="514"/>
      <c r="GN166" s="514"/>
      <c r="GO166" s="514"/>
      <c r="GP166" s="514"/>
      <c r="GQ166" s="514"/>
      <c r="GR166" s="514"/>
      <c r="GS166" s="514"/>
      <c r="GT166" s="514"/>
      <c r="GU166" s="514"/>
      <c r="GV166" s="514"/>
      <c r="GW166" s="514"/>
      <c r="GX166" s="514"/>
      <c r="GY166" s="514"/>
      <c r="GZ166" s="514"/>
      <c r="HA166" s="514"/>
      <c r="HB166" s="514"/>
      <c r="HC166" s="514"/>
      <c r="HD166" s="514"/>
      <c r="HE166" s="514"/>
      <c r="HF166" s="514"/>
      <c r="HG166" s="514"/>
      <c r="HH166" s="514"/>
      <c r="HI166" s="514"/>
      <c r="HJ166" s="514"/>
      <c r="HK166" s="514"/>
      <c r="HL166" s="514"/>
      <c r="HM166" s="514"/>
      <c r="HN166" s="514"/>
      <c r="HO166" s="514"/>
      <c r="HP166" s="514"/>
      <c r="HQ166" s="514"/>
      <c r="HR166" s="514"/>
      <c r="HS166" s="514"/>
      <c r="HT166" s="514"/>
      <c r="HU166" s="514"/>
      <c r="HV166" s="514"/>
      <c r="HW166" s="514"/>
      <c r="HX166" s="514"/>
      <c r="HY166" s="514"/>
      <c r="HZ166" s="514"/>
      <c r="IA166" s="514"/>
      <c r="IB166" s="514"/>
      <c r="IC166" s="514"/>
      <c r="ID166" s="514"/>
      <c r="IE166" s="514"/>
      <c r="IF166" s="514"/>
      <c r="IG166" s="514"/>
      <c r="IH166" s="514"/>
      <c r="II166" s="514"/>
      <c r="IJ166" s="514"/>
      <c r="IK166" s="514"/>
      <c r="IL166" s="514"/>
      <c r="IM166" s="514"/>
      <c r="IN166" s="514"/>
      <c r="IO166" s="514"/>
      <c r="IP166" s="514"/>
      <c r="IQ166" s="514"/>
      <c r="IR166" s="514"/>
      <c r="IS166" s="514"/>
      <c r="IT166" s="514"/>
      <c r="IU166" s="514"/>
      <c r="IV166" s="514"/>
      <c r="IW166" s="514"/>
      <c r="IX166" s="514"/>
      <c r="IY166" s="514"/>
      <c r="IZ166" s="514"/>
      <c r="JA166" s="514"/>
      <c r="JB166" s="514"/>
      <c r="JC166" s="514"/>
      <c r="JD166" s="514"/>
      <c r="JE166" s="514"/>
      <c r="JF166" s="514"/>
      <c r="JG166" s="514"/>
      <c r="JH166" s="514"/>
      <c r="JI166" s="514"/>
      <c r="JJ166" s="514"/>
      <c r="JK166" s="514"/>
      <c r="JL166" s="514"/>
      <c r="JM166" s="514"/>
      <c r="JN166" s="514"/>
      <c r="JO166" s="514"/>
      <c r="JP166" s="514"/>
      <c r="JQ166" s="514"/>
      <c r="JR166" s="514"/>
      <c r="JS166" s="514"/>
      <c r="JT166" s="514"/>
      <c r="JU166" s="514"/>
      <c r="JV166" s="514"/>
      <c r="JW166" s="514"/>
      <c r="JX166" s="514"/>
      <c r="JY166" s="514"/>
      <c r="JZ166" s="514"/>
      <c r="KA166" s="514"/>
      <c r="KB166" s="514"/>
      <c r="KC166" s="514"/>
      <c r="KD166" s="514"/>
      <c r="KE166" s="514"/>
      <c r="KF166" s="514"/>
      <c r="KG166" s="514"/>
      <c r="KH166" s="514"/>
      <c r="KI166" s="514"/>
      <c r="KJ166" s="514"/>
      <c r="KK166" s="514"/>
      <c r="KL166" s="514"/>
      <c r="KM166" s="514"/>
      <c r="KN166" s="514"/>
      <c r="KO166" s="514"/>
      <c r="KP166" s="514"/>
      <c r="KQ166" s="514"/>
      <c r="KR166" s="514"/>
      <c r="KS166" s="514"/>
      <c r="KT166" s="514"/>
      <c r="KU166" s="514"/>
      <c r="KV166" s="514"/>
      <c r="KW166" s="514"/>
      <c r="KX166" s="514"/>
      <c r="KY166" s="514"/>
      <c r="KZ166" s="514"/>
      <c r="LA166" s="514"/>
      <c r="LB166" s="514"/>
      <c r="LC166" s="514"/>
      <c r="LD166" s="514"/>
      <c r="LE166" s="514"/>
      <c r="LF166" s="514"/>
    </row>
    <row r="167" spans="1:318" ht="89.55" customHeight="1" thickBot="1">
      <c r="A167" s="1024" t="s">
        <v>1244</v>
      </c>
      <c r="B167" s="1025"/>
      <c r="C167" s="1025"/>
      <c r="D167" s="1025"/>
      <c r="E167" s="1025"/>
      <c r="F167" s="1025"/>
      <c r="G167" s="1025"/>
      <c r="H167" s="1025"/>
      <c r="I167" s="1025"/>
      <c r="J167" s="1025"/>
      <c r="K167" s="1025"/>
      <c r="L167" s="1025"/>
      <c r="M167" s="1025"/>
      <c r="N167" s="1026"/>
      <c r="O167" s="865"/>
      <c r="P167" s="865"/>
      <c r="Q167" s="865"/>
      <c r="R167" s="865"/>
      <c r="S167" s="865"/>
      <c r="T167" s="865"/>
      <c r="U167" s="865"/>
      <c r="V167" s="865"/>
      <c r="W167" s="865"/>
      <c r="X167" s="865"/>
      <c r="Y167" s="865"/>
      <c r="Z167" s="865"/>
      <c r="AA167" s="865"/>
      <c r="AB167" s="865"/>
      <c r="AC167" s="865"/>
      <c r="AD167" s="510"/>
      <c r="AE167" s="865"/>
      <c r="AF167" s="865"/>
      <c r="AG167" s="865"/>
      <c r="AH167" s="865"/>
      <c r="AI167" s="865"/>
      <c r="AJ167" s="510"/>
      <c r="AK167" s="865"/>
      <c r="AL167" s="865"/>
      <c r="AM167" s="865"/>
      <c r="AN167" s="865"/>
      <c r="AO167" s="865"/>
      <c r="AP167" s="510"/>
      <c r="AQ167" s="865"/>
      <c r="AR167" s="865"/>
      <c r="AS167" s="865"/>
      <c r="AT167" s="865"/>
      <c r="AU167" s="865"/>
      <c r="AV167" s="510"/>
      <c r="AW167" s="865"/>
      <c r="AX167" s="865"/>
      <c r="AY167" s="865"/>
      <c r="AZ167" s="865"/>
      <c r="BA167" s="865"/>
      <c r="BB167" s="510"/>
      <c r="BC167" s="865"/>
      <c r="BD167" s="865"/>
      <c r="BE167" s="865"/>
      <c r="BF167" s="865"/>
      <c r="BG167" s="865"/>
      <c r="BH167" s="865"/>
      <c r="BI167" s="865"/>
      <c r="BJ167" s="865"/>
      <c r="BK167" s="865"/>
      <c r="BL167" s="865"/>
      <c r="BM167" s="865"/>
      <c r="BN167" s="865"/>
      <c r="BO167" s="865"/>
      <c r="BP167" s="865"/>
      <c r="BQ167" s="865"/>
      <c r="BR167" s="865"/>
      <c r="BS167" s="865"/>
      <c r="BT167" s="865"/>
      <c r="BU167" s="865"/>
      <c r="BV167" s="865"/>
      <c r="BW167" s="865"/>
      <c r="BX167" s="865"/>
      <c r="BY167" s="874"/>
      <c r="BZ167" s="874"/>
      <c r="CA167" s="874"/>
      <c r="CB167" s="874"/>
      <c r="CC167" s="874"/>
      <c r="CD167" s="874"/>
      <c r="CE167" s="874"/>
      <c r="CF167" s="874"/>
      <c r="CG167" s="874"/>
      <c r="CH167" s="874"/>
      <c r="CI167" s="874"/>
      <c r="CJ167" s="874"/>
      <c r="CK167" s="874"/>
      <c r="CL167" s="874"/>
      <c r="CM167" s="874"/>
      <c r="CN167" s="874"/>
      <c r="CO167" s="874"/>
      <c r="CP167" s="874"/>
      <c r="CQ167" s="874"/>
      <c r="CR167" s="874"/>
      <c r="CS167" s="874"/>
      <c r="CT167" s="874"/>
      <c r="CU167" s="874"/>
      <c r="CV167" s="874"/>
      <c r="CW167" s="874"/>
      <c r="CX167" s="874"/>
      <c r="CY167" s="874"/>
      <c r="CZ167" s="874"/>
      <c r="DA167" s="874"/>
      <c r="DB167" s="874"/>
      <c r="DC167" s="874"/>
      <c r="DD167" s="874"/>
      <c r="DE167" s="874"/>
      <c r="DF167" s="874"/>
      <c r="DG167" s="874"/>
      <c r="DH167" s="874"/>
      <c r="DI167" s="874"/>
      <c r="DJ167" s="874"/>
      <c r="DK167" s="874"/>
      <c r="DL167" s="874"/>
      <c r="DM167" s="874"/>
      <c r="DN167" s="874"/>
      <c r="DO167" s="874"/>
      <c r="DP167" s="874"/>
      <c r="DQ167" s="874"/>
      <c r="DR167" s="874"/>
      <c r="DS167" s="874"/>
      <c r="DT167" s="874"/>
      <c r="DU167" s="874"/>
      <c r="DV167" s="874"/>
      <c r="DW167" s="874"/>
      <c r="DX167" s="874"/>
      <c r="DY167" s="874"/>
      <c r="DZ167" s="874"/>
      <c r="EA167" s="874"/>
      <c r="EB167" s="874"/>
      <c r="EC167" s="874"/>
      <c r="ED167" s="874"/>
      <c r="EE167" s="874"/>
      <c r="EF167" s="874"/>
      <c r="EG167" s="874"/>
      <c r="EH167" s="874"/>
      <c r="EI167" s="874"/>
      <c r="EJ167" s="874"/>
      <c r="EK167" s="874"/>
      <c r="EL167" s="874"/>
      <c r="EM167" s="874"/>
      <c r="EN167" s="874"/>
      <c r="EO167" s="874"/>
      <c r="EP167" s="874"/>
      <c r="EQ167" s="874"/>
      <c r="ER167" s="874"/>
      <c r="ES167" s="874"/>
      <c r="ET167" s="874"/>
      <c r="EU167" s="874"/>
      <c r="EV167" s="874"/>
      <c r="EW167" s="874"/>
      <c r="EX167" s="874"/>
      <c r="EY167" s="874"/>
      <c r="EZ167" s="874"/>
      <c r="FA167" s="874"/>
      <c r="FB167" s="874"/>
      <c r="FC167" s="874"/>
      <c r="FD167" s="874"/>
      <c r="FE167" s="874"/>
      <c r="FF167" s="874"/>
      <c r="FG167" s="874"/>
      <c r="FH167" s="874"/>
      <c r="FI167" s="874"/>
      <c r="FJ167" s="874"/>
      <c r="FK167" s="874"/>
      <c r="FL167" s="874"/>
      <c r="FM167" s="874"/>
      <c r="FN167" s="874"/>
      <c r="FO167" s="874"/>
      <c r="FP167" s="874"/>
      <c r="FQ167" s="874"/>
      <c r="FR167" s="874"/>
      <c r="FS167" s="874"/>
      <c r="FT167" s="874"/>
      <c r="FU167" s="874"/>
      <c r="FV167" s="874"/>
      <c r="FW167" s="874"/>
      <c r="FX167" s="874"/>
      <c r="FY167" s="874"/>
      <c r="FZ167" s="874"/>
      <c r="GA167" s="874"/>
      <c r="GB167" s="874"/>
      <c r="GC167" s="874"/>
      <c r="GD167" s="874"/>
      <c r="GE167" s="874"/>
      <c r="GF167" s="874"/>
      <c r="GG167" s="874"/>
      <c r="GH167" s="874"/>
      <c r="GI167" s="874"/>
      <c r="GJ167" s="874"/>
      <c r="GK167" s="874"/>
      <c r="GL167" s="874"/>
      <c r="GM167" s="874"/>
      <c r="GN167" s="874"/>
      <c r="GO167" s="874"/>
      <c r="GP167" s="874"/>
      <c r="GQ167" s="874"/>
      <c r="GR167" s="874"/>
      <c r="GS167" s="874"/>
      <c r="GT167" s="874"/>
      <c r="GU167" s="874"/>
      <c r="GV167" s="874"/>
      <c r="GW167" s="874"/>
      <c r="GX167" s="874"/>
      <c r="GY167" s="874"/>
      <c r="GZ167" s="874"/>
      <c r="HA167" s="874"/>
      <c r="HB167" s="874"/>
      <c r="HC167" s="874"/>
      <c r="HD167" s="874"/>
      <c r="HE167" s="874"/>
      <c r="HF167" s="874"/>
      <c r="HG167" s="874"/>
      <c r="HH167" s="874"/>
      <c r="HI167" s="874"/>
      <c r="HJ167" s="874"/>
      <c r="HK167" s="874"/>
      <c r="HL167" s="874"/>
      <c r="HM167" s="874"/>
      <c r="HN167" s="874"/>
      <c r="HO167" s="874"/>
      <c r="HP167" s="874"/>
      <c r="HQ167" s="874"/>
      <c r="HR167" s="874"/>
      <c r="HS167" s="874"/>
      <c r="HT167" s="874"/>
      <c r="HU167" s="874"/>
      <c r="HV167" s="874"/>
      <c r="HW167" s="874"/>
      <c r="HX167" s="874"/>
      <c r="HY167" s="874"/>
      <c r="HZ167" s="874"/>
      <c r="IA167" s="874"/>
      <c r="IB167" s="874"/>
      <c r="IC167" s="874"/>
      <c r="ID167" s="874"/>
      <c r="IE167" s="874"/>
      <c r="IF167" s="874"/>
      <c r="IG167" s="874"/>
      <c r="IH167" s="874"/>
      <c r="II167" s="874"/>
      <c r="IJ167" s="874"/>
      <c r="IK167" s="874"/>
      <c r="IL167" s="874"/>
      <c r="IM167" s="874"/>
      <c r="IN167" s="874"/>
      <c r="IO167" s="874"/>
      <c r="IP167" s="874"/>
      <c r="IQ167" s="874"/>
      <c r="IR167" s="874"/>
      <c r="IS167" s="874"/>
      <c r="IT167" s="874"/>
      <c r="IU167" s="874"/>
      <c r="IV167" s="874"/>
      <c r="IW167" s="874"/>
      <c r="IX167" s="874"/>
      <c r="IY167" s="874"/>
      <c r="IZ167" s="874"/>
      <c r="JA167" s="874"/>
      <c r="JB167" s="874"/>
      <c r="JC167" s="874"/>
      <c r="JD167" s="874"/>
      <c r="JE167" s="874"/>
      <c r="JF167" s="874"/>
      <c r="JG167" s="874"/>
      <c r="JH167" s="874"/>
      <c r="JI167" s="874"/>
      <c r="JJ167" s="874"/>
      <c r="JK167" s="874"/>
      <c r="JL167" s="874"/>
      <c r="JM167" s="874"/>
      <c r="JN167" s="874"/>
      <c r="JO167" s="874"/>
      <c r="JP167" s="874"/>
      <c r="JQ167" s="874"/>
      <c r="JR167" s="874"/>
      <c r="JS167" s="874"/>
      <c r="JT167" s="874"/>
      <c r="JU167" s="874"/>
      <c r="JV167" s="874"/>
      <c r="JW167" s="874"/>
      <c r="JX167" s="874"/>
      <c r="JY167" s="874"/>
      <c r="JZ167" s="874"/>
      <c r="KA167" s="874"/>
      <c r="KB167" s="874"/>
      <c r="KC167" s="874"/>
      <c r="KD167" s="874"/>
      <c r="KE167" s="874"/>
      <c r="KF167" s="874"/>
      <c r="KG167" s="874"/>
      <c r="KH167" s="865"/>
      <c r="KI167" s="865"/>
      <c r="KJ167" s="865"/>
      <c r="KK167" s="865"/>
      <c r="KL167" s="865"/>
      <c r="KM167" s="865"/>
      <c r="KN167" s="865"/>
      <c r="KO167" s="865"/>
      <c r="KP167" s="865"/>
      <c r="KQ167" s="865"/>
      <c r="KR167" s="865"/>
      <c r="KS167" s="865"/>
      <c r="KT167" s="865"/>
      <c r="KU167" s="865"/>
      <c r="KV167" s="865"/>
      <c r="KW167" s="865"/>
      <c r="KX167" s="865"/>
      <c r="KY167" s="865"/>
      <c r="KZ167" s="865"/>
      <c r="LA167" s="865"/>
      <c r="LB167" s="865"/>
      <c r="LC167" s="865"/>
      <c r="LD167" s="865"/>
      <c r="LE167" s="865"/>
      <c r="LF167" s="865"/>
    </row>
    <row r="168" spans="1:318" ht="31.05" customHeight="1">
      <c r="A168" s="1015" t="s">
        <v>836</v>
      </c>
      <c r="B168" s="1284"/>
      <c r="C168" s="1284"/>
      <c r="D168" s="1284"/>
      <c r="E168" s="1284"/>
      <c r="F168" s="1284"/>
      <c r="G168" s="1284"/>
      <c r="H168" s="1284"/>
      <c r="I168" s="1284"/>
      <c r="J168" s="1284"/>
      <c r="K168" s="1284"/>
      <c r="L168" s="1284"/>
      <c r="M168" s="1284"/>
      <c r="N168" s="1285"/>
      <c r="O168" s="865"/>
      <c r="P168" s="865"/>
      <c r="Q168" s="865"/>
      <c r="R168" s="865"/>
      <c r="S168" s="865"/>
      <c r="T168" s="865"/>
      <c r="U168" s="865"/>
      <c r="V168" s="865"/>
      <c r="W168" s="865"/>
      <c r="X168" s="865"/>
      <c r="Y168" s="865"/>
      <c r="Z168" s="865"/>
      <c r="AA168" s="865"/>
      <c r="AB168" s="865"/>
      <c r="AC168" s="865"/>
      <c r="AD168" s="510"/>
      <c r="AE168" s="865"/>
      <c r="AF168" s="865"/>
      <c r="AG168" s="865"/>
      <c r="AH168" s="865"/>
      <c r="AI168" s="865"/>
      <c r="AJ168" s="510"/>
      <c r="AK168" s="865"/>
      <c r="AL168" s="865"/>
      <c r="AM168" s="865"/>
      <c r="AN168" s="865"/>
      <c r="AO168" s="865"/>
      <c r="AP168" s="510"/>
      <c r="AQ168" s="865"/>
      <c r="AR168" s="865"/>
      <c r="AS168" s="865"/>
      <c r="AT168" s="865"/>
      <c r="AU168" s="865"/>
      <c r="AV168" s="510"/>
      <c r="AW168" s="865"/>
      <c r="AX168" s="865"/>
      <c r="AY168" s="865"/>
      <c r="AZ168" s="865"/>
      <c r="BA168" s="865"/>
      <c r="BB168" s="510"/>
      <c r="BC168" s="865"/>
      <c r="BD168" s="865"/>
      <c r="BE168" s="865"/>
      <c r="BF168" s="865"/>
      <c r="BG168" s="865"/>
      <c r="BH168" s="865"/>
      <c r="BI168" s="865"/>
      <c r="BJ168" s="865"/>
      <c r="BK168" s="865"/>
      <c r="BL168" s="865"/>
      <c r="BM168" s="865"/>
      <c r="BN168" s="865"/>
      <c r="BO168" s="865"/>
      <c r="BP168" s="865"/>
      <c r="BQ168" s="865"/>
      <c r="BR168" s="865"/>
      <c r="BS168" s="865"/>
      <c r="BT168" s="865"/>
      <c r="BU168" s="865"/>
      <c r="BV168" s="865"/>
      <c r="BW168" s="865"/>
      <c r="BX168" s="865"/>
      <c r="BY168" s="874"/>
      <c r="BZ168" s="874"/>
      <c r="CA168" s="874"/>
      <c r="CB168" s="874"/>
      <c r="CC168" s="874"/>
      <c r="CD168" s="874"/>
      <c r="CE168" s="874"/>
      <c r="CF168" s="874"/>
      <c r="CG168" s="874"/>
      <c r="CH168" s="874"/>
      <c r="CI168" s="874"/>
      <c r="CJ168" s="874"/>
      <c r="CK168" s="874"/>
      <c r="CL168" s="874"/>
      <c r="CM168" s="874"/>
      <c r="CN168" s="874"/>
      <c r="CO168" s="874"/>
      <c r="CP168" s="874"/>
      <c r="CQ168" s="874"/>
      <c r="CR168" s="874"/>
      <c r="CS168" s="874"/>
      <c r="CT168" s="874"/>
      <c r="CU168" s="874"/>
      <c r="CV168" s="874"/>
      <c r="CW168" s="874"/>
      <c r="CX168" s="874"/>
      <c r="CY168" s="874"/>
      <c r="CZ168" s="874"/>
      <c r="DA168" s="874"/>
      <c r="DB168" s="874"/>
      <c r="DC168" s="874"/>
      <c r="DD168" s="874"/>
      <c r="DE168" s="874"/>
      <c r="DF168" s="874"/>
      <c r="DG168" s="874"/>
      <c r="DH168" s="874"/>
      <c r="DI168" s="874"/>
      <c r="DJ168" s="874"/>
      <c r="DK168" s="874"/>
      <c r="DL168" s="874"/>
      <c r="DM168" s="874"/>
      <c r="DN168" s="874"/>
      <c r="DO168" s="874"/>
      <c r="DP168" s="874"/>
      <c r="DQ168" s="874"/>
      <c r="DR168" s="874"/>
      <c r="DS168" s="874"/>
      <c r="DT168" s="874"/>
      <c r="DU168" s="874"/>
      <c r="DV168" s="874"/>
      <c r="DW168" s="874"/>
      <c r="DX168" s="874"/>
      <c r="DY168" s="874"/>
      <c r="DZ168" s="874"/>
      <c r="EA168" s="874"/>
      <c r="EB168" s="874"/>
      <c r="EC168" s="874"/>
      <c r="ED168" s="874"/>
      <c r="EE168" s="874"/>
      <c r="EF168" s="874"/>
      <c r="EG168" s="874"/>
      <c r="EH168" s="874"/>
      <c r="EI168" s="874"/>
      <c r="EJ168" s="874"/>
      <c r="EK168" s="874"/>
      <c r="EL168" s="874"/>
      <c r="EM168" s="874"/>
      <c r="EN168" s="874"/>
      <c r="EO168" s="874"/>
      <c r="EP168" s="874"/>
      <c r="EQ168" s="874"/>
      <c r="ER168" s="874"/>
      <c r="ES168" s="874"/>
      <c r="ET168" s="874"/>
      <c r="EU168" s="874"/>
      <c r="EV168" s="874"/>
      <c r="EW168" s="874"/>
      <c r="EX168" s="874"/>
      <c r="EY168" s="874"/>
      <c r="EZ168" s="874"/>
      <c r="FA168" s="874"/>
      <c r="FB168" s="874"/>
      <c r="FC168" s="874"/>
      <c r="FD168" s="874"/>
      <c r="FE168" s="874"/>
      <c r="FF168" s="874"/>
      <c r="FG168" s="874"/>
      <c r="FH168" s="874"/>
      <c r="FI168" s="874"/>
      <c r="FJ168" s="874"/>
      <c r="FK168" s="874"/>
      <c r="FL168" s="874"/>
      <c r="FM168" s="874"/>
      <c r="FN168" s="874"/>
      <c r="FO168" s="874"/>
      <c r="FP168" s="874"/>
      <c r="FQ168" s="874"/>
      <c r="FR168" s="874"/>
      <c r="FS168" s="874"/>
      <c r="FT168" s="874"/>
      <c r="FU168" s="874"/>
      <c r="FV168" s="874"/>
      <c r="FW168" s="874"/>
      <c r="FX168" s="874"/>
      <c r="FY168" s="874"/>
      <c r="FZ168" s="874"/>
      <c r="GA168" s="874"/>
      <c r="GB168" s="874"/>
      <c r="GC168" s="874"/>
      <c r="GD168" s="874"/>
      <c r="GE168" s="874"/>
      <c r="GF168" s="874"/>
      <c r="GG168" s="874"/>
      <c r="GH168" s="874"/>
      <c r="GI168" s="874"/>
      <c r="GJ168" s="874"/>
      <c r="GK168" s="874"/>
      <c r="GL168" s="874"/>
      <c r="GM168" s="874"/>
      <c r="GN168" s="874"/>
      <c r="GO168" s="874"/>
      <c r="GP168" s="874"/>
      <c r="GQ168" s="874"/>
      <c r="GR168" s="874"/>
      <c r="GS168" s="874"/>
      <c r="GT168" s="874"/>
      <c r="GU168" s="874"/>
      <c r="GV168" s="874"/>
      <c r="GW168" s="874"/>
      <c r="GX168" s="874"/>
      <c r="GY168" s="874"/>
      <c r="GZ168" s="874"/>
      <c r="HA168" s="874"/>
      <c r="HB168" s="874"/>
      <c r="HC168" s="874"/>
      <c r="HD168" s="874"/>
      <c r="HE168" s="874"/>
      <c r="HF168" s="874"/>
      <c r="HG168" s="874"/>
      <c r="HH168" s="874"/>
      <c r="HI168" s="874"/>
      <c r="HJ168" s="874"/>
      <c r="HK168" s="874"/>
      <c r="HL168" s="874"/>
      <c r="HM168" s="874"/>
      <c r="HN168" s="874"/>
      <c r="HO168" s="874"/>
      <c r="HP168" s="874"/>
      <c r="HQ168" s="874"/>
      <c r="HR168" s="874"/>
      <c r="HS168" s="874"/>
      <c r="HT168" s="874"/>
      <c r="HU168" s="874"/>
      <c r="HV168" s="874"/>
      <c r="HW168" s="874"/>
      <c r="HX168" s="874"/>
      <c r="HY168" s="874"/>
      <c r="HZ168" s="874"/>
      <c r="IA168" s="874"/>
      <c r="IB168" s="874"/>
      <c r="IC168" s="874"/>
      <c r="ID168" s="874"/>
      <c r="IE168" s="874"/>
      <c r="IF168" s="874"/>
      <c r="IG168" s="874"/>
      <c r="IH168" s="874"/>
      <c r="II168" s="874"/>
      <c r="IJ168" s="874"/>
      <c r="IK168" s="874"/>
      <c r="IL168" s="874"/>
      <c r="IM168" s="874"/>
      <c r="IN168" s="874"/>
      <c r="IO168" s="874"/>
      <c r="IP168" s="874"/>
      <c r="IQ168" s="874"/>
      <c r="IR168" s="874"/>
      <c r="IS168" s="874"/>
      <c r="IT168" s="874"/>
      <c r="IU168" s="874"/>
      <c r="IV168" s="874"/>
      <c r="IW168" s="874"/>
      <c r="IX168" s="874"/>
      <c r="IY168" s="874"/>
      <c r="IZ168" s="874"/>
      <c r="JA168" s="874"/>
      <c r="JB168" s="874"/>
      <c r="JC168" s="874"/>
      <c r="JD168" s="874"/>
      <c r="JE168" s="874"/>
      <c r="JF168" s="874"/>
      <c r="JG168" s="874"/>
      <c r="JH168" s="874"/>
      <c r="JI168" s="874"/>
      <c r="JJ168" s="874"/>
      <c r="JK168" s="874"/>
      <c r="JL168" s="874"/>
      <c r="JM168" s="874"/>
      <c r="JN168" s="874"/>
      <c r="JO168" s="874"/>
      <c r="JP168" s="874"/>
      <c r="JQ168" s="874"/>
      <c r="JR168" s="874"/>
      <c r="JS168" s="874"/>
      <c r="JT168" s="874"/>
      <c r="JU168" s="874"/>
      <c r="JV168" s="874"/>
      <c r="JW168" s="874"/>
      <c r="JX168" s="874"/>
      <c r="JY168" s="874"/>
      <c r="JZ168" s="874"/>
      <c r="KA168" s="874"/>
      <c r="KB168" s="874"/>
      <c r="KC168" s="874"/>
      <c r="KD168" s="874"/>
      <c r="KE168" s="874"/>
      <c r="KF168" s="874"/>
      <c r="KG168" s="874"/>
      <c r="KH168" s="865"/>
      <c r="KI168" s="865"/>
      <c r="KJ168" s="865"/>
      <c r="KK168" s="865"/>
      <c r="KL168" s="865"/>
      <c r="KM168" s="865"/>
      <c r="KN168" s="865"/>
      <c r="KO168" s="865"/>
      <c r="KP168" s="865"/>
      <c r="KQ168" s="865"/>
      <c r="KR168" s="865"/>
      <c r="KS168" s="865"/>
      <c r="KT168" s="865"/>
      <c r="KU168" s="865"/>
      <c r="KV168" s="865"/>
      <c r="KW168" s="865"/>
      <c r="KX168" s="865"/>
      <c r="KY168" s="865"/>
      <c r="KZ168" s="865"/>
      <c r="LA168" s="865"/>
      <c r="LB168" s="865"/>
      <c r="LC168" s="865"/>
      <c r="LD168" s="865"/>
      <c r="LE168" s="865"/>
      <c r="LF168" s="865"/>
    </row>
    <row r="169" spans="1:318" ht="24" customHeight="1">
      <c r="A169" s="1021" t="s">
        <v>835</v>
      </c>
      <c r="B169" s="1022"/>
      <c r="C169" s="1022"/>
      <c r="D169" s="1022"/>
      <c r="E169" s="1022"/>
      <c r="F169" s="1022"/>
      <c r="G169" s="1022"/>
      <c r="H169" s="1022"/>
      <c r="I169" s="1022"/>
      <c r="J169" s="1022"/>
      <c r="K169" s="1022"/>
      <c r="L169" s="1022"/>
      <c r="M169" s="1022"/>
      <c r="N169" s="1023"/>
      <c r="O169" s="865"/>
      <c r="P169" s="865"/>
      <c r="Q169" s="865"/>
      <c r="R169" s="865"/>
      <c r="S169" s="865"/>
      <c r="T169" s="865"/>
      <c r="U169" s="865"/>
      <c r="V169" s="865"/>
      <c r="W169" s="865"/>
      <c r="X169" s="865"/>
      <c r="Y169" s="865"/>
      <c r="Z169" s="865"/>
      <c r="AA169" s="865"/>
      <c r="AB169" s="865"/>
      <c r="AC169" s="865"/>
      <c r="AD169" s="510"/>
      <c r="AE169" s="865"/>
      <c r="AF169" s="865"/>
      <c r="AG169" s="865"/>
      <c r="AH169" s="865"/>
      <c r="AI169" s="865"/>
      <c r="AJ169" s="510"/>
      <c r="AK169" s="865"/>
      <c r="AL169" s="865"/>
      <c r="AM169" s="865"/>
      <c r="AN169" s="865"/>
      <c r="AO169" s="865"/>
      <c r="AP169" s="510"/>
      <c r="AQ169" s="865"/>
      <c r="AR169" s="865"/>
      <c r="AS169" s="865"/>
      <c r="AT169" s="865"/>
      <c r="AU169" s="865"/>
      <c r="AV169" s="510"/>
      <c r="AW169" s="865"/>
      <c r="AX169" s="865"/>
      <c r="AY169" s="865"/>
      <c r="AZ169" s="865"/>
      <c r="BA169" s="865"/>
      <c r="BB169" s="510"/>
      <c r="BC169" s="865"/>
      <c r="BD169" s="865"/>
      <c r="BE169" s="865"/>
      <c r="BF169" s="865"/>
      <c r="BG169" s="865"/>
      <c r="BH169" s="865"/>
      <c r="BI169" s="865"/>
      <c r="BJ169" s="865"/>
      <c r="BK169" s="865"/>
      <c r="BL169" s="865"/>
      <c r="BM169" s="865"/>
      <c r="BN169" s="865"/>
      <c r="BO169" s="865"/>
      <c r="BP169" s="865"/>
      <c r="BQ169" s="865"/>
      <c r="BR169" s="865"/>
      <c r="BS169" s="865"/>
      <c r="BT169" s="865"/>
      <c r="BU169" s="865"/>
      <c r="BV169" s="865"/>
      <c r="BW169" s="865"/>
      <c r="BX169" s="865"/>
      <c r="BY169" s="874"/>
      <c r="BZ169" s="874"/>
      <c r="CA169" s="874"/>
      <c r="CB169" s="874"/>
      <c r="CC169" s="874"/>
      <c r="CD169" s="874"/>
      <c r="CE169" s="874"/>
      <c r="CF169" s="874"/>
      <c r="CG169" s="874"/>
      <c r="CH169" s="874"/>
      <c r="CI169" s="874"/>
      <c r="CJ169" s="874"/>
      <c r="CK169" s="874"/>
      <c r="CL169" s="874"/>
      <c r="CM169" s="874"/>
      <c r="CN169" s="874"/>
      <c r="CO169" s="874"/>
      <c r="CP169" s="874"/>
      <c r="CQ169" s="874"/>
      <c r="CR169" s="874"/>
      <c r="CS169" s="874"/>
      <c r="CT169" s="874"/>
      <c r="CU169" s="874"/>
      <c r="CV169" s="874"/>
      <c r="CW169" s="874"/>
      <c r="CX169" s="874"/>
      <c r="CY169" s="874"/>
      <c r="CZ169" s="874"/>
      <c r="DA169" s="874"/>
      <c r="DB169" s="874"/>
      <c r="DC169" s="874"/>
      <c r="DD169" s="874"/>
      <c r="DE169" s="874"/>
      <c r="DF169" s="874"/>
      <c r="DG169" s="874"/>
      <c r="DH169" s="874"/>
      <c r="DI169" s="874"/>
      <c r="DJ169" s="874"/>
      <c r="DK169" s="874"/>
      <c r="DL169" s="874"/>
      <c r="DM169" s="874"/>
      <c r="DN169" s="874"/>
      <c r="DO169" s="874"/>
      <c r="DP169" s="874"/>
      <c r="DQ169" s="874"/>
      <c r="DR169" s="874"/>
      <c r="DS169" s="874"/>
      <c r="DT169" s="874"/>
      <c r="DU169" s="874"/>
      <c r="DV169" s="874"/>
      <c r="DW169" s="874"/>
      <c r="DX169" s="874"/>
      <c r="DY169" s="874"/>
      <c r="DZ169" s="874"/>
      <c r="EA169" s="874"/>
      <c r="EB169" s="874"/>
      <c r="EC169" s="874"/>
      <c r="ED169" s="874"/>
      <c r="EE169" s="874"/>
      <c r="EF169" s="874"/>
      <c r="EG169" s="874"/>
      <c r="EH169" s="874"/>
      <c r="EI169" s="874"/>
      <c r="EJ169" s="874"/>
      <c r="EK169" s="874"/>
      <c r="EL169" s="874"/>
      <c r="EM169" s="874"/>
      <c r="EN169" s="874"/>
      <c r="EO169" s="874"/>
      <c r="EP169" s="874"/>
      <c r="EQ169" s="874"/>
      <c r="ER169" s="874"/>
      <c r="ES169" s="874"/>
      <c r="ET169" s="874"/>
      <c r="EU169" s="874"/>
      <c r="EV169" s="874"/>
      <c r="EW169" s="874"/>
      <c r="EX169" s="874"/>
      <c r="EY169" s="874"/>
      <c r="EZ169" s="874"/>
      <c r="FA169" s="874"/>
      <c r="FB169" s="874"/>
      <c r="FC169" s="874"/>
      <c r="FD169" s="874"/>
      <c r="FE169" s="874"/>
      <c r="FF169" s="874"/>
      <c r="FG169" s="874"/>
      <c r="FH169" s="874"/>
      <c r="FI169" s="874"/>
      <c r="FJ169" s="874"/>
      <c r="FK169" s="874"/>
      <c r="FL169" s="874"/>
      <c r="FM169" s="874"/>
      <c r="FN169" s="874"/>
      <c r="FO169" s="874"/>
      <c r="FP169" s="874"/>
      <c r="FQ169" s="874"/>
      <c r="FR169" s="874"/>
      <c r="FS169" s="874"/>
      <c r="FT169" s="874"/>
      <c r="FU169" s="874"/>
      <c r="FV169" s="874"/>
      <c r="FW169" s="874"/>
      <c r="FX169" s="874"/>
      <c r="FY169" s="874"/>
      <c r="FZ169" s="874"/>
      <c r="GA169" s="874"/>
      <c r="GB169" s="874"/>
      <c r="GC169" s="874"/>
      <c r="GD169" s="874"/>
      <c r="GE169" s="874"/>
      <c r="GF169" s="874"/>
      <c r="GG169" s="874"/>
      <c r="GH169" s="874"/>
      <c r="GI169" s="874"/>
      <c r="GJ169" s="874"/>
      <c r="GK169" s="874"/>
      <c r="GL169" s="874"/>
      <c r="GM169" s="874"/>
      <c r="GN169" s="874"/>
      <c r="GO169" s="874"/>
      <c r="GP169" s="874"/>
      <c r="GQ169" s="874"/>
      <c r="GR169" s="874"/>
      <c r="GS169" s="874"/>
      <c r="GT169" s="874"/>
      <c r="GU169" s="874"/>
      <c r="GV169" s="874"/>
      <c r="GW169" s="874"/>
      <c r="GX169" s="874"/>
      <c r="GY169" s="874"/>
      <c r="GZ169" s="874"/>
      <c r="HA169" s="874"/>
      <c r="HB169" s="874"/>
      <c r="HC169" s="874"/>
      <c r="HD169" s="874"/>
      <c r="HE169" s="874"/>
      <c r="HF169" s="874"/>
      <c r="HG169" s="874"/>
      <c r="HH169" s="874"/>
      <c r="HI169" s="874"/>
      <c r="HJ169" s="874"/>
      <c r="HK169" s="874"/>
      <c r="HL169" s="874"/>
      <c r="HM169" s="874"/>
      <c r="HN169" s="874"/>
      <c r="HO169" s="874"/>
      <c r="HP169" s="874"/>
      <c r="HQ169" s="874"/>
      <c r="HR169" s="874"/>
      <c r="HS169" s="874"/>
      <c r="HT169" s="874"/>
      <c r="HU169" s="874"/>
      <c r="HV169" s="874"/>
      <c r="HW169" s="874"/>
      <c r="HX169" s="874"/>
      <c r="HY169" s="874"/>
      <c r="HZ169" s="874"/>
      <c r="IA169" s="874"/>
      <c r="IB169" s="874"/>
      <c r="IC169" s="874"/>
      <c r="ID169" s="874"/>
      <c r="IE169" s="874"/>
      <c r="IF169" s="874"/>
      <c r="IG169" s="874"/>
      <c r="IH169" s="874"/>
      <c r="II169" s="874"/>
      <c r="IJ169" s="874"/>
      <c r="IK169" s="874"/>
      <c r="IL169" s="874"/>
      <c r="IM169" s="874"/>
      <c r="IN169" s="874"/>
      <c r="IO169" s="874"/>
      <c r="IP169" s="874"/>
      <c r="IQ169" s="874"/>
      <c r="IR169" s="874"/>
      <c r="IS169" s="874"/>
      <c r="IT169" s="874"/>
      <c r="IU169" s="874"/>
      <c r="IV169" s="874"/>
      <c r="IW169" s="874"/>
      <c r="IX169" s="874"/>
      <c r="IY169" s="874"/>
      <c r="IZ169" s="874"/>
      <c r="JA169" s="874"/>
      <c r="JB169" s="874"/>
      <c r="JC169" s="874"/>
      <c r="JD169" s="874"/>
      <c r="JE169" s="874"/>
      <c r="JF169" s="874"/>
      <c r="JG169" s="874"/>
      <c r="JH169" s="874"/>
      <c r="JI169" s="874"/>
      <c r="JJ169" s="874"/>
      <c r="JK169" s="874"/>
      <c r="JL169" s="874"/>
      <c r="JM169" s="874"/>
      <c r="JN169" s="874"/>
      <c r="JO169" s="874"/>
      <c r="JP169" s="874"/>
      <c r="JQ169" s="874"/>
      <c r="JR169" s="874"/>
      <c r="JS169" s="874"/>
      <c r="JT169" s="874"/>
      <c r="JU169" s="874"/>
      <c r="JV169" s="874"/>
      <c r="JW169" s="874"/>
      <c r="JX169" s="874"/>
      <c r="JY169" s="874"/>
      <c r="JZ169" s="874"/>
      <c r="KA169" s="874"/>
      <c r="KB169" s="874"/>
      <c r="KC169" s="874"/>
      <c r="KD169" s="874"/>
      <c r="KE169" s="874"/>
      <c r="KF169" s="874"/>
      <c r="KG169" s="874"/>
      <c r="KH169" s="865"/>
      <c r="KI169" s="865"/>
      <c r="KJ169" s="865"/>
      <c r="KK169" s="865"/>
      <c r="KL169" s="865"/>
      <c r="KM169" s="865"/>
      <c r="KN169" s="865"/>
      <c r="KO169" s="865"/>
      <c r="KP169" s="865"/>
      <c r="KQ169" s="865"/>
      <c r="KR169" s="865"/>
      <c r="KS169" s="865"/>
      <c r="KT169" s="865"/>
      <c r="KU169" s="865"/>
      <c r="KV169" s="865"/>
      <c r="KW169" s="865"/>
      <c r="KX169" s="865"/>
      <c r="KY169" s="865"/>
      <c r="KZ169" s="865"/>
      <c r="LA169" s="865"/>
      <c r="LB169" s="865"/>
      <c r="LC169" s="865"/>
      <c r="LD169" s="865"/>
      <c r="LE169" s="865"/>
      <c r="LF169" s="865"/>
    </row>
    <row r="170" spans="1:318" ht="24.45" customHeight="1">
      <c r="A170" s="1021" t="s">
        <v>1245</v>
      </c>
      <c r="B170" s="1022"/>
      <c r="C170" s="1022"/>
      <c r="D170" s="1022"/>
      <c r="E170" s="1022"/>
      <c r="F170" s="1022"/>
      <c r="G170" s="1022"/>
      <c r="H170" s="1022"/>
      <c r="I170" s="1022"/>
      <c r="J170" s="1022"/>
      <c r="K170" s="1022"/>
      <c r="L170" s="1022"/>
      <c r="M170" s="1022"/>
      <c r="N170" s="1023"/>
      <c r="O170" s="865"/>
      <c r="P170" s="865"/>
      <c r="Q170" s="865"/>
      <c r="R170" s="865"/>
      <c r="S170" s="865"/>
      <c r="T170" s="865"/>
      <c r="U170" s="865"/>
      <c r="V170" s="865"/>
      <c r="W170" s="865"/>
      <c r="X170" s="865"/>
      <c r="Y170" s="865"/>
      <c r="Z170" s="865"/>
      <c r="AA170" s="865"/>
      <c r="AB170" s="865"/>
      <c r="AC170" s="865"/>
      <c r="AD170" s="510"/>
      <c r="AE170" s="865"/>
      <c r="AF170" s="865"/>
      <c r="AG170" s="865"/>
      <c r="AH170" s="865"/>
      <c r="AI170" s="865"/>
      <c r="AJ170" s="510"/>
      <c r="AK170" s="865"/>
      <c r="AL170" s="865"/>
      <c r="AM170" s="865"/>
      <c r="AN170" s="865"/>
      <c r="AO170" s="865"/>
      <c r="AP170" s="510"/>
      <c r="AQ170" s="865"/>
      <c r="AR170" s="865"/>
      <c r="AS170" s="865"/>
      <c r="AT170" s="865"/>
      <c r="AU170" s="865"/>
      <c r="AV170" s="510"/>
      <c r="AW170" s="865"/>
      <c r="AX170" s="865"/>
      <c r="AY170" s="865"/>
      <c r="AZ170" s="865"/>
      <c r="BA170" s="865"/>
      <c r="BB170" s="510"/>
      <c r="BC170" s="865"/>
      <c r="BD170" s="865"/>
      <c r="BE170" s="865"/>
      <c r="BF170" s="865"/>
      <c r="BG170" s="865"/>
      <c r="BH170" s="865"/>
      <c r="BI170" s="865"/>
      <c r="BJ170" s="865"/>
      <c r="BK170" s="865"/>
      <c r="BL170" s="865"/>
      <c r="BM170" s="865"/>
      <c r="BN170" s="865"/>
      <c r="BO170" s="865"/>
      <c r="BP170" s="865"/>
      <c r="BQ170" s="865"/>
      <c r="BR170" s="865"/>
      <c r="BS170" s="865"/>
      <c r="BT170" s="865"/>
      <c r="BU170" s="865"/>
      <c r="BV170" s="865"/>
      <c r="BW170" s="865"/>
      <c r="BX170" s="865"/>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874"/>
      <c r="CU170" s="874"/>
      <c r="CV170" s="874"/>
      <c r="CW170" s="874"/>
      <c r="CX170" s="874"/>
      <c r="CY170" s="874"/>
      <c r="CZ170" s="874"/>
      <c r="DA170" s="874"/>
      <c r="DB170" s="874"/>
      <c r="DC170" s="874"/>
      <c r="DD170" s="874"/>
      <c r="DE170" s="874"/>
      <c r="DF170" s="874"/>
      <c r="DG170" s="874"/>
      <c r="DH170" s="874"/>
      <c r="DI170" s="874"/>
      <c r="DJ170" s="874"/>
      <c r="DK170" s="874"/>
      <c r="DL170" s="874"/>
      <c r="DM170" s="874"/>
      <c r="DN170" s="874"/>
      <c r="DO170" s="874"/>
      <c r="DP170" s="874"/>
      <c r="DQ170" s="874"/>
      <c r="DR170" s="874"/>
      <c r="DS170" s="874"/>
      <c r="DT170" s="874"/>
      <c r="DU170" s="874"/>
      <c r="DV170" s="874"/>
      <c r="DW170" s="874"/>
      <c r="DX170" s="874"/>
      <c r="DY170" s="874"/>
      <c r="DZ170" s="874"/>
      <c r="EA170" s="874"/>
      <c r="EB170" s="874"/>
      <c r="EC170" s="874"/>
      <c r="ED170" s="874"/>
      <c r="EE170" s="874"/>
      <c r="EF170" s="874"/>
      <c r="EG170" s="874"/>
      <c r="EH170" s="874"/>
      <c r="EI170" s="874"/>
      <c r="EJ170" s="874"/>
      <c r="EK170" s="874"/>
      <c r="EL170" s="874"/>
      <c r="EM170" s="874"/>
      <c r="EN170" s="874"/>
      <c r="EO170" s="874"/>
      <c r="EP170" s="874"/>
      <c r="EQ170" s="874"/>
      <c r="ER170" s="874"/>
      <c r="ES170" s="874"/>
      <c r="ET170" s="874"/>
      <c r="EU170" s="874"/>
      <c r="EV170" s="874"/>
      <c r="EW170" s="874"/>
      <c r="EX170" s="874"/>
      <c r="EY170" s="874"/>
      <c r="EZ170" s="874"/>
      <c r="FA170" s="874"/>
      <c r="FB170" s="874"/>
      <c r="FC170" s="874"/>
      <c r="FD170" s="874"/>
      <c r="FE170" s="874"/>
      <c r="FF170" s="874"/>
      <c r="FG170" s="874"/>
      <c r="FH170" s="874"/>
      <c r="FI170" s="874"/>
      <c r="FJ170" s="874"/>
      <c r="FK170" s="874"/>
      <c r="FL170" s="874"/>
      <c r="FM170" s="874"/>
      <c r="FN170" s="874"/>
      <c r="FO170" s="874"/>
      <c r="FP170" s="874"/>
      <c r="FQ170" s="874"/>
      <c r="FR170" s="874"/>
      <c r="FS170" s="874"/>
      <c r="FT170" s="874"/>
      <c r="FU170" s="874"/>
      <c r="FV170" s="874"/>
      <c r="FW170" s="874"/>
      <c r="FX170" s="874"/>
      <c r="FY170" s="874"/>
      <c r="FZ170" s="874"/>
      <c r="GA170" s="874"/>
      <c r="GB170" s="874"/>
      <c r="GC170" s="874"/>
      <c r="GD170" s="874"/>
      <c r="GE170" s="874"/>
      <c r="GF170" s="874"/>
      <c r="GG170" s="874"/>
      <c r="GH170" s="874"/>
      <c r="GI170" s="874"/>
      <c r="GJ170" s="874"/>
      <c r="GK170" s="874"/>
      <c r="GL170" s="874"/>
      <c r="GM170" s="874"/>
      <c r="GN170" s="874"/>
      <c r="GO170" s="874"/>
      <c r="GP170" s="874"/>
      <c r="GQ170" s="874"/>
      <c r="GR170" s="874"/>
      <c r="GS170" s="874"/>
      <c r="GT170" s="874"/>
      <c r="GU170" s="874"/>
      <c r="GV170" s="874"/>
      <c r="GW170" s="874"/>
      <c r="GX170" s="874"/>
      <c r="GY170" s="874"/>
      <c r="GZ170" s="874"/>
      <c r="HA170" s="874"/>
      <c r="HB170" s="874"/>
      <c r="HC170" s="874"/>
      <c r="HD170" s="874"/>
      <c r="HE170" s="874"/>
      <c r="HF170" s="874"/>
      <c r="HG170" s="874"/>
      <c r="HH170" s="874"/>
      <c r="HI170" s="874"/>
      <c r="HJ170" s="874"/>
      <c r="HK170" s="874"/>
      <c r="HL170" s="874"/>
      <c r="HM170" s="874"/>
      <c r="HN170" s="874"/>
      <c r="HO170" s="874"/>
      <c r="HP170" s="874"/>
      <c r="HQ170" s="874"/>
      <c r="HR170" s="874"/>
      <c r="HS170" s="874"/>
      <c r="HT170" s="874"/>
      <c r="HU170" s="874"/>
      <c r="HV170" s="874"/>
      <c r="HW170" s="874"/>
      <c r="HX170" s="874"/>
      <c r="HY170" s="874"/>
      <c r="HZ170" s="874"/>
      <c r="IA170" s="874"/>
      <c r="IB170" s="874"/>
      <c r="IC170" s="874"/>
      <c r="ID170" s="874"/>
      <c r="IE170" s="874"/>
      <c r="IF170" s="874"/>
      <c r="IG170" s="874"/>
      <c r="IH170" s="874"/>
      <c r="II170" s="874"/>
      <c r="IJ170" s="874"/>
      <c r="IK170" s="874"/>
      <c r="IL170" s="874"/>
      <c r="IM170" s="874"/>
      <c r="IN170" s="874"/>
      <c r="IO170" s="874"/>
      <c r="IP170" s="874"/>
      <c r="IQ170" s="874"/>
      <c r="IR170" s="874"/>
      <c r="IS170" s="874"/>
      <c r="IT170" s="874"/>
      <c r="IU170" s="874"/>
      <c r="IV170" s="874"/>
      <c r="IW170" s="874"/>
      <c r="IX170" s="874"/>
      <c r="IY170" s="874"/>
      <c r="IZ170" s="874"/>
      <c r="JA170" s="874"/>
      <c r="JB170" s="874"/>
      <c r="JC170" s="874"/>
      <c r="JD170" s="874"/>
      <c r="JE170" s="874"/>
      <c r="JF170" s="874"/>
      <c r="JG170" s="874"/>
      <c r="JH170" s="874"/>
      <c r="JI170" s="874"/>
      <c r="JJ170" s="874"/>
      <c r="JK170" s="874"/>
      <c r="JL170" s="874"/>
      <c r="JM170" s="874"/>
      <c r="JN170" s="874"/>
      <c r="JO170" s="874"/>
      <c r="JP170" s="874"/>
      <c r="JQ170" s="874"/>
      <c r="JR170" s="874"/>
      <c r="JS170" s="874"/>
      <c r="JT170" s="874"/>
      <c r="JU170" s="874"/>
      <c r="JV170" s="874"/>
      <c r="JW170" s="874"/>
      <c r="JX170" s="874"/>
      <c r="JY170" s="874"/>
      <c r="JZ170" s="874"/>
      <c r="KA170" s="874"/>
      <c r="KB170" s="874"/>
      <c r="KC170" s="874"/>
      <c r="KD170" s="874"/>
      <c r="KE170" s="874"/>
      <c r="KF170" s="874"/>
      <c r="KG170" s="874"/>
      <c r="KH170" s="865"/>
      <c r="KI170" s="865"/>
      <c r="KJ170" s="865"/>
      <c r="KK170" s="865"/>
      <c r="KL170" s="865"/>
      <c r="KM170" s="865"/>
      <c r="KN170" s="865"/>
      <c r="KO170" s="865"/>
      <c r="KP170" s="865"/>
      <c r="KQ170" s="865"/>
      <c r="KR170" s="865"/>
      <c r="KS170" s="865"/>
      <c r="KT170" s="865"/>
      <c r="KU170" s="865"/>
      <c r="KV170" s="865"/>
      <c r="KW170" s="865"/>
      <c r="KX170" s="865"/>
      <c r="KY170" s="865"/>
      <c r="KZ170" s="865"/>
      <c r="LA170" s="865"/>
      <c r="LB170" s="865"/>
      <c r="LC170" s="865"/>
      <c r="LD170" s="865"/>
      <c r="LE170" s="865"/>
      <c r="LF170" s="865"/>
    </row>
    <row r="171" spans="1:318" s="509" customFormat="1" ht="88.05" customHeight="1" thickBot="1">
      <c r="A171" s="1024" t="s">
        <v>1246</v>
      </c>
      <c r="B171" s="1025"/>
      <c r="C171" s="1025"/>
      <c r="D171" s="1025"/>
      <c r="E171" s="1025"/>
      <c r="F171" s="1025"/>
      <c r="G171" s="1025"/>
      <c r="H171" s="1025"/>
      <c r="I171" s="1025"/>
      <c r="J171" s="1025"/>
      <c r="K171" s="1025"/>
      <c r="L171" s="1025"/>
      <c r="M171" s="1025"/>
      <c r="N171" s="1026"/>
      <c r="O171" s="514"/>
      <c r="P171" s="514"/>
      <c r="Q171" s="514"/>
      <c r="R171" s="514"/>
      <c r="S171" s="514"/>
      <c r="T171" s="514"/>
      <c r="U171" s="514"/>
      <c r="V171" s="514"/>
      <c r="W171" s="514"/>
      <c r="X171" s="514"/>
      <c r="Y171" s="514"/>
      <c r="Z171" s="514"/>
      <c r="AA171" s="514"/>
      <c r="AB171" s="514"/>
      <c r="AC171" s="514"/>
      <c r="AD171" s="515"/>
      <c r="AE171" s="514"/>
      <c r="AF171" s="514"/>
      <c r="AG171" s="514"/>
      <c r="AH171" s="514"/>
      <c r="AI171" s="514"/>
      <c r="AJ171" s="515"/>
      <c r="AK171" s="514"/>
      <c r="AL171" s="514"/>
      <c r="AM171" s="514"/>
      <c r="AN171" s="514"/>
      <c r="AO171" s="514"/>
      <c r="AP171" s="515"/>
      <c r="AQ171" s="514"/>
      <c r="AR171" s="514"/>
      <c r="AS171" s="514"/>
      <c r="AT171" s="514"/>
      <c r="AU171" s="514"/>
      <c r="AV171" s="515"/>
      <c r="AW171" s="514"/>
      <c r="AX171" s="514"/>
      <c r="AY171" s="514"/>
      <c r="AZ171" s="514"/>
      <c r="BA171" s="514"/>
      <c r="BB171" s="515"/>
      <c r="BC171" s="514"/>
      <c r="BD171" s="514"/>
      <c r="BE171" s="514"/>
      <c r="BF171" s="514"/>
      <c r="BG171" s="514"/>
      <c r="BH171" s="514"/>
      <c r="BI171" s="514"/>
      <c r="BJ171" s="514"/>
      <c r="BK171" s="514"/>
      <c r="BL171" s="514"/>
      <c r="BM171" s="514"/>
      <c r="BN171" s="514"/>
      <c r="BO171" s="514"/>
      <c r="BP171" s="514"/>
      <c r="BQ171" s="514"/>
      <c r="BR171" s="514"/>
      <c r="BS171" s="514"/>
      <c r="BT171" s="514"/>
      <c r="BU171" s="514"/>
      <c r="BV171" s="514"/>
      <c r="BW171" s="514"/>
      <c r="BX171" s="514"/>
      <c r="BY171" s="514"/>
      <c r="BZ171" s="514"/>
      <c r="CA171" s="514"/>
      <c r="CB171" s="514"/>
      <c r="CC171" s="514"/>
      <c r="CD171" s="514"/>
      <c r="CE171" s="514"/>
      <c r="CF171" s="514"/>
      <c r="CG171" s="514"/>
      <c r="CH171" s="514"/>
      <c r="CI171" s="514"/>
      <c r="CJ171" s="514"/>
      <c r="CK171" s="514"/>
      <c r="CL171" s="514"/>
      <c r="CM171" s="514"/>
      <c r="CN171" s="514"/>
      <c r="CO171" s="514"/>
      <c r="CP171" s="514"/>
      <c r="CQ171" s="514"/>
      <c r="CR171" s="514"/>
      <c r="CS171" s="514"/>
      <c r="CT171" s="514"/>
      <c r="CU171" s="514"/>
      <c r="CV171" s="514"/>
      <c r="CW171" s="514"/>
      <c r="CX171" s="514"/>
      <c r="CY171" s="514"/>
      <c r="CZ171" s="514"/>
      <c r="DA171" s="514"/>
      <c r="DB171" s="514"/>
      <c r="DC171" s="514"/>
      <c r="DD171" s="514"/>
      <c r="DE171" s="514"/>
      <c r="DF171" s="514"/>
      <c r="DG171" s="514"/>
      <c r="DH171" s="514"/>
      <c r="DI171" s="514"/>
      <c r="DJ171" s="514"/>
      <c r="DK171" s="514"/>
      <c r="DL171" s="514"/>
      <c r="DM171" s="514"/>
      <c r="DN171" s="514"/>
      <c r="DO171" s="514"/>
      <c r="DP171" s="514"/>
      <c r="DQ171" s="514"/>
      <c r="DR171" s="514"/>
      <c r="DS171" s="514"/>
      <c r="DT171" s="514"/>
      <c r="DU171" s="514"/>
      <c r="DV171" s="514"/>
      <c r="DW171" s="514"/>
      <c r="DX171" s="514"/>
      <c r="DY171" s="514"/>
      <c r="DZ171" s="514"/>
      <c r="EA171" s="514"/>
      <c r="EB171" s="514"/>
      <c r="EC171" s="514"/>
      <c r="ED171" s="514"/>
      <c r="EE171" s="514"/>
      <c r="EF171" s="514"/>
      <c r="EG171" s="514"/>
      <c r="EH171" s="514"/>
      <c r="EI171" s="514"/>
      <c r="EJ171" s="514"/>
      <c r="EK171" s="514"/>
      <c r="EL171" s="514"/>
      <c r="EM171" s="514"/>
      <c r="EN171" s="514"/>
      <c r="EO171" s="514"/>
      <c r="EP171" s="514"/>
      <c r="EQ171" s="514"/>
      <c r="ER171" s="514"/>
      <c r="ES171" s="514"/>
      <c r="ET171" s="514"/>
      <c r="EU171" s="514"/>
      <c r="EV171" s="514"/>
      <c r="EW171" s="514"/>
      <c r="EX171" s="514"/>
      <c r="EY171" s="514"/>
      <c r="EZ171" s="514"/>
      <c r="FA171" s="514"/>
      <c r="FB171" s="514"/>
      <c r="FC171" s="514"/>
      <c r="FD171" s="514"/>
      <c r="FE171" s="514"/>
      <c r="FF171" s="514"/>
      <c r="FG171" s="514"/>
      <c r="FH171" s="514"/>
      <c r="FI171" s="514"/>
      <c r="FJ171" s="514"/>
      <c r="FK171" s="514"/>
      <c r="FL171" s="514"/>
      <c r="FM171" s="514"/>
      <c r="FN171" s="514"/>
      <c r="FO171" s="514"/>
      <c r="FP171" s="514"/>
      <c r="FQ171" s="514"/>
      <c r="FR171" s="514"/>
      <c r="FS171" s="514"/>
      <c r="FT171" s="514"/>
      <c r="FU171" s="514"/>
      <c r="FV171" s="514"/>
      <c r="FW171" s="514"/>
      <c r="FX171" s="514"/>
      <c r="FY171" s="514"/>
      <c r="FZ171" s="514"/>
      <c r="GA171" s="514"/>
      <c r="GB171" s="514"/>
      <c r="GC171" s="514"/>
      <c r="GD171" s="514"/>
      <c r="GE171" s="514"/>
      <c r="GF171" s="514"/>
      <c r="GG171" s="514"/>
      <c r="GH171" s="514"/>
      <c r="GI171" s="514"/>
      <c r="GJ171" s="514"/>
      <c r="GK171" s="514"/>
      <c r="GL171" s="514"/>
      <c r="GM171" s="514"/>
      <c r="GN171" s="514"/>
      <c r="GO171" s="514"/>
      <c r="GP171" s="514"/>
      <c r="GQ171" s="514"/>
      <c r="GR171" s="514"/>
      <c r="GS171" s="514"/>
      <c r="GT171" s="514"/>
      <c r="GU171" s="514"/>
      <c r="GV171" s="514"/>
      <c r="GW171" s="514"/>
      <c r="GX171" s="514"/>
      <c r="GY171" s="514"/>
      <c r="GZ171" s="514"/>
      <c r="HA171" s="514"/>
      <c r="HB171" s="514"/>
      <c r="HC171" s="514"/>
      <c r="HD171" s="514"/>
      <c r="HE171" s="514"/>
      <c r="HF171" s="514"/>
      <c r="HG171" s="514"/>
      <c r="HH171" s="514"/>
      <c r="HI171" s="514"/>
      <c r="HJ171" s="514"/>
      <c r="HK171" s="514"/>
      <c r="HL171" s="514"/>
      <c r="HM171" s="514"/>
      <c r="HN171" s="514"/>
      <c r="HO171" s="514"/>
      <c r="HP171" s="514"/>
      <c r="HQ171" s="514"/>
      <c r="HR171" s="514"/>
      <c r="HS171" s="514"/>
      <c r="HT171" s="514"/>
      <c r="HU171" s="514"/>
      <c r="HV171" s="514"/>
      <c r="HW171" s="514"/>
      <c r="HX171" s="514"/>
      <c r="HY171" s="514"/>
      <c r="HZ171" s="514"/>
      <c r="IA171" s="514"/>
      <c r="IB171" s="514"/>
      <c r="IC171" s="514"/>
      <c r="ID171" s="514"/>
      <c r="IE171" s="514"/>
      <c r="IF171" s="514"/>
      <c r="IG171" s="514"/>
      <c r="IH171" s="514"/>
      <c r="II171" s="514"/>
      <c r="IJ171" s="514"/>
      <c r="IK171" s="514"/>
      <c r="IL171" s="514"/>
      <c r="IM171" s="514"/>
      <c r="IN171" s="514"/>
      <c r="IO171" s="514"/>
      <c r="IP171" s="514"/>
      <c r="IQ171" s="514"/>
      <c r="IR171" s="514"/>
      <c r="IS171" s="514"/>
      <c r="IT171" s="514"/>
      <c r="IU171" s="514"/>
      <c r="IV171" s="514"/>
      <c r="IW171" s="514"/>
      <c r="IX171" s="514"/>
      <c r="IY171" s="514"/>
      <c r="IZ171" s="514"/>
      <c r="JA171" s="514"/>
      <c r="JB171" s="514"/>
      <c r="JC171" s="514"/>
      <c r="JD171" s="514"/>
      <c r="JE171" s="514"/>
      <c r="JF171" s="514"/>
      <c r="JG171" s="514"/>
      <c r="JH171" s="514"/>
      <c r="JI171" s="514"/>
      <c r="JJ171" s="514"/>
      <c r="JK171" s="514"/>
      <c r="JL171" s="514"/>
      <c r="JM171" s="514"/>
      <c r="JN171" s="514"/>
      <c r="JO171" s="514"/>
      <c r="JP171" s="514"/>
      <c r="JQ171" s="514"/>
      <c r="JR171" s="514"/>
      <c r="JS171" s="514"/>
      <c r="JT171" s="514"/>
      <c r="JU171" s="514"/>
      <c r="JV171" s="514"/>
      <c r="JW171" s="514"/>
      <c r="JX171" s="514"/>
      <c r="JY171" s="514"/>
      <c r="JZ171" s="514"/>
      <c r="KA171" s="514"/>
      <c r="KB171" s="514"/>
      <c r="KC171" s="514"/>
      <c r="KD171" s="514"/>
      <c r="KE171" s="514"/>
      <c r="KF171" s="514"/>
      <c r="KG171" s="514"/>
      <c r="KH171" s="514"/>
      <c r="KI171" s="514"/>
      <c r="KJ171" s="514"/>
      <c r="KK171" s="514"/>
      <c r="KL171" s="514"/>
      <c r="KM171" s="514"/>
      <c r="KN171" s="514"/>
      <c r="KO171" s="514"/>
      <c r="KP171" s="514"/>
      <c r="KQ171" s="514"/>
      <c r="KR171" s="514"/>
      <c r="KS171" s="514"/>
      <c r="KT171" s="514"/>
      <c r="KU171" s="514"/>
      <c r="KV171" s="514"/>
      <c r="KW171" s="514"/>
      <c r="KX171" s="514"/>
      <c r="KY171" s="514"/>
      <c r="KZ171" s="514"/>
      <c r="LA171" s="514"/>
      <c r="LB171" s="514"/>
      <c r="LC171" s="514"/>
      <c r="LD171" s="514"/>
      <c r="LE171" s="514"/>
      <c r="LF171" s="514"/>
    </row>
    <row r="172" spans="1:318" ht="36" customHeight="1">
      <c r="A172" s="1015" t="s">
        <v>838</v>
      </c>
      <c r="B172" s="1284"/>
      <c r="C172" s="1284"/>
      <c r="D172" s="1284"/>
      <c r="E172" s="1284"/>
      <c r="F172" s="1284"/>
      <c r="G172" s="1284"/>
      <c r="H172" s="1284"/>
      <c r="I172" s="1284"/>
      <c r="J172" s="1284"/>
      <c r="K172" s="1284"/>
      <c r="L172" s="1284"/>
      <c r="M172" s="1284"/>
      <c r="N172" s="1285"/>
      <c r="O172" s="865"/>
      <c r="P172" s="865"/>
      <c r="Q172" s="865"/>
      <c r="R172" s="865"/>
      <c r="S172" s="865"/>
      <c r="T172" s="865"/>
      <c r="U172" s="865"/>
      <c r="V172" s="865"/>
      <c r="W172" s="865"/>
      <c r="X172" s="865"/>
      <c r="Y172" s="865"/>
      <c r="Z172" s="865"/>
      <c r="AA172" s="865"/>
      <c r="AB172" s="865"/>
      <c r="AC172" s="865"/>
      <c r="AD172" s="510"/>
      <c r="AE172" s="865"/>
      <c r="AF172" s="865"/>
      <c r="AG172" s="865"/>
      <c r="AH172" s="865"/>
      <c r="AI172" s="865"/>
      <c r="AJ172" s="510"/>
      <c r="AK172" s="865"/>
      <c r="AL172" s="865"/>
      <c r="AM172" s="865"/>
      <c r="AN172" s="865"/>
      <c r="AO172" s="865"/>
      <c r="AP172" s="510"/>
      <c r="AQ172" s="865"/>
      <c r="AR172" s="865"/>
      <c r="AS172" s="865"/>
      <c r="AT172" s="865"/>
      <c r="AU172" s="865"/>
      <c r="AV172" s="510"/>
      <c r="AW172" s="865"/>
      <c r="AX172" s="865"/>
      <c r="AY172" s="865"/>
      <c r="AZ172" s="865"/>
      <c r="BA172" s="865"/>
      <c r="BB172" s="510"/>
      <c r="BC172" s="865"/>
      <c r="BD172" s="865"/>
      <c r="BE172" s="865"/>
      <c r="BF172" s="865"/>
      <c r="BG172" s="865"/>
      <c r="BH172" s="865"/>
      <c r="BI172" s="865"/>
      <c r="BJ172" s="865"/>
      <c r="BK172" s="865"/>
      <c r="BL172" s="865"/>
      <c r="BM172" s="865"/>
      <c r="BN172" s="865"/>
      <c r="BO172" s="865"/>
      <c r="BP172" s="865"/>
      <c r="BQ172" s="865"/>
      <c r="BR172" s="865"/>
      <c r="BS172" s="865"/>
      <c r="BT172" s="865"/>
      <c r="BU172" s="865"/>
      <c r="BV172" s="865"/>
      <c r="BW172" s="865"/>
      <c r="BX172" s="865"/>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874"/>
      <c r="CU172" s="874"/>
      <c r="CV172" s="874"/>
      <c r="CW172" s="874"/>
      <c r="CX172" s="874"/>
      <c r="CY172" s="874"/>
      <c r="CZ172" s="874"/>
      <c r="DA172" s="874"/>
      <c r="DB172" s="874"/>
      <c r="DC172" s="874"/>
      <c r="DD172" s="874"/>
      <c r="DE172" s="874"/>
      <c r="DF172" s="874"/>
      <c r="DG172" s="874"/>
      <c r="DH172" s="874"/>
      <c r="DI172" s="874"/>
      <c r="DJ172" s="874"/>
      <c r="DK172" s="874"/>
      <c r="DL172" s="874"/>
      <c r="DM172" s="874"/>
      <c r="DN172" s="874"/>
      <c r="DO172" s="874"/>
      <c r="DP172" s="874"/>
      <c r="DQ172" s="874"/>
      <c r="DR172" s="874"/>
      <c r="DS172" s="874"/>
      <c r="DT172" s="874"/>
      <c r="DU172" s="874"/>
      <c r="DV172" s="874"/>
      <c r="DW172" s="874"/>
      <c r="DX172" s="874"/>
      <c r="DY172" s="874"/>
      <c r="DZ172" s="874"/>
      <c r="EA172" s="874"/>
      <c r="EB172" s="874"/>
      <c r="EC172" s="874"/>
      <c r="ED172" s="874"/>
      <c r="EE172" s="874"/>
      <c r="EF172" s="874"/>
      <c r="EG172" s="874"/>
      <c r="EH172" s="874"/>
      <c r="EI172" s="874"/>
      <c r="EJ172" s="874"/>
      <c r="EK172" s="874"/>
      <c r="EL172" s="874"/>
      <c r="EM172" s="874"/>
      <c r="EN172" s="874"/>
      <c r="EO172" s="874"/>
      <c r="EP172" s="874"/>
      <c r="EQ172" s="874"/>
      <c r="ER172" s="874"/>
      <c r="ES172" s="874"/>
      <c r="ET172" s="874"/>
      <c r="EU172" s="874"/>
      <c r="EV172" s="874"/>
      <c r="EW172" s="874"/>
      <c r="EX172" s="874"/>
      <c r="EY172" s="874"/>
      <c r="EZ172" s="874"/>
      <c r="FA172" s="874"/>
      <c r="FB172" s="874"/>
      <c r="FC172" s="874"/>
      <c r="FD172" s="874"/>
      <c r="FE172" s="874"/>
      <c r="FF172" s="874"/>
      <c r="FG172" s="874"/>
      <c r="FH172" s="874"/>
      <c r="FI172" s="874"/>
      <c r="FJ172" s="874"/>
      <c r="FK172" s="874"/>
      <c r="FL172" s="874"/>
      <c r="FM172" s="874"/>
      <c r="FN172" s="874"/>
      <c r="FO172" s="874"/>
      <c r="FP172" s="874"/>
      <c r="FQ172" s="874"/>
      <c r="FR172" s="874"/>
      <c r="FS172" s="874"/>
      <c r="FT172" s="874"/>
      <c r="FU172" s="874"/>
      <c r="FV172" s="874"/>
      <c r="FW172" s="874"/>
      <c r="FX172" s="874"/>
      <c r="FY172" s="874"/>
      <c r="FZ172" s="874"/>
      <c r="GA172" s="874"/>
      <c r="GB172" s="874"/>
      <c r="GC172" s="874"/>
      <c r="GD172" s="874"/>
      <c r="GE172" s="874"/>
      <c r="GF172" s="874"/>
      <c r="GG172" s="874"/>
      <c r="GH172" s="874"/>
      <c r="GI172" s="874"/>
      <c r="GJ172" s="874"/>
      <c r="GK172" s="874"/>
      <c r="GL172" s="874"/>
      <c r="GM172" s="874"/>
      <c r="GN172" s="874"/>
      <c r="GO172" s="874"/>
      <c r="GP172" s="874"/>
      <c r="GQ172" s="874"/>
      <c r="GR172" s="874"/>
      <c r="GS172" s="874"/>
      <c r="GT172" s="874"/>
      <c r="GU172" s="874"/>
      <c r="GV172" s="874"/>
      <c r="GW172" s="874"/>
      <c r="GX172" s="874"/>
      <c r="GY172" s="874"/>
      <c r="GZ172" s="874"/>
      <c r="HA172" s="874"/>
      <c r="HB172" s="874"/>
      <c r="HC172" s="874"/>
      <c r="HD172" s="874"/>
      <c r="HE172" s="874"/>
      <c r="HF172" s="874"/>
      <c r="HG172" s="874"/>
      <c r="HH172" s="874"/>
      <c r="HI172" s="874"/>
      <c r="HJ172" s="874"/>
      <c r="HK172" s="874"/>
      <c r="HL172" s="874"/>
      <c r="HM172" s="874"/>
      <c r="HN172" s="874"/>
      <c r="HO172" s="874"/>
      <c r="HP172" s="874"/>
      <c r="HQ172" s="874"/>
      <c r="HR172" s="874"/>
      <c r="HS172" s="874"/>
      <c r="HT172" s="874"/>
      <c r="HU172" s="874"/>
      <c r="HV172" s="874"/>
      <c r="HW172" s="874"/>
      <c r="HX172" s="874"/>
      <c r="HY172" s="874"/>
      <c r="HZ172" s="874"/>
      <c r="IA172" s="874"/>
      <c r="IB172" s="874"/>
      <c r="IC172" s="874"/>
      <c r="ID172" s="874"/>
      <c r="IE172" s="874"/>
      <c r="IF172" s="874"/>
      <c r="IG172" s="874"/>
      <c r="IH172" s="874"/>
      <c r="II172" s="874"/>
      <c r="IJ172" s="874"/>
      <c r="IK172" s="874"/>
      <c r="IL172" s="874"/>
      <c r="IM172" s="874"/>
      <c r="IN172" s="874"/>
      <c r="IO172" s="874"/>
      <c r="IP172" s="874"/>
      <c r="IQ172" s="874"/>
      <c r="IR172" s="874"/>
      <c r="IS172" s="874"/>
      <c r="IT172" s="874"/>
      <c r="IU172" s="874"/>
      <c r="IV172" s="874"/>
      <c r="IW172" s="874"/>
      <c r="IX172" s="874"/>
      <c r="IY172" s="874"/>
      <c r="IZ172" s="874"/>
      <c r="JA172" s="874"/>
      <c r="JB172" s="874"/>
      <c r="JC172" s="874"/>
      <c r="JD172" s="874"/>
      <c r="JE172" s="874"/>
      <c r="JF172" s="874"/>
      <c r="JG172" s="874"/>
      <c r="JH172" s="874"/>
      <c r="JI172" s="874"/>
      <c r="JJ172" s="874"/>
      <c r="JK172" s="874"/>
      <c r="JL172" s="874"/>
      <c r="JM172" s="874"/>
      <c r="JN172" s="874"/>
      <c r="JO172" s="874"/>
      <c r="JP172" s="874"/>
      <c r="JQ172" s="874"/>
      <c r="JR172" s="874"/>
      <c r="JS172" s="874"/>
      <c r="JT172" s="874"/>
      <c r="JU172" s="874"/>
      <c r="JV172" s="874"/>
      <c r="JW172" s="874"/>
      <c r="JX172" s="874"/>
      <c r="JY172" s="874"/>
      <c r="JZ172" s="874"/>
      <c r="KA172" s="874"/>
      <c r="KB172" s="874"/>
      <c r="KC172" s="874"/>
      <c r="KD172" s="874"/>
      <c r="KE172" s="874"/>
      <c r="KF172" s="874"/>
      <c r="KG172" s="874"/>
      <c r="KH172" s="865"/>
      <c r="KI172" s="865"/>
      <c r="KJ172" s="865"/>
      <c r="KK172" s="865"/>
      <c r="KL172" s="865"/>
      <c r="KM172" s="865"/>
      <c r="KN172" s="865"/>
      <c r="KO172" s="865"/>
      <c r="KP172" s="865"/>
      <c r="KQ172" s="865"/>
      <c r="KR172" s="865"/>
      <c r="KS172" s="865"/>
      <c r="KT172" s="865"/>
      <c r="KU172" s="865"/>
      <c r="KV172" s="865"/>
      <c r="KW172" s="865"/>
      <c r="KX172" s="865"/>
      <c r="KY172" s="865"/>
      <c r="KZ172" s="865"/>
      <c r="LA172" s="865"/>
      <c r="LB172" s="865"/>
      <c r="LC172" s="865"/>
      <c r="LD172" s="865"/>
      <c r="LE172" s="865"/>
      <c r="LF172" s="865"/>
    </row>
    <row r="173" spans="1:318" ht="52.05" customHeight="1">
      <c r="A173" s="1021" t="s">
        <v>1251</v>
      </c>
      <c r="B173" s="1022"/>
      <c r="C173" s="1022"/>
      <c r="D173" s="1022"/>
      <c r="E173" s="1022"/>
      <c r="F173" s="1022"/>
      <c r="G173" s="1022"/>
      <c r="H173" s="1022"/>
      <c r="I173" s="1022"/>
      <c r="J173" s="1022"/>
      <c r="K173" s="1022"/>
      <c r="L173" s="1022"/>
      <c r="M173" s="1022"/>
      <c r="N173" s="1023"/>
      <c r="O173" s="865"/>
      <c r="P173" s="865"/>
      <c r="Q173" s="865"/>
      <c r="R173" s="865"/>
      <c r="S173" s="865"/>
      <c r="T173" s="865"/>
      <c r="U173" s="865"/>
      <c r="V173" s="865"/>
      <c r="W173" s="865"/>
      <c r="X173" s="865"/>
      <c r="Y173" s="865"/>
      <c r="Z173" s="865"/>
      <c r="AA173" s="865"/>
      <c r="AB173" s="865"/>
      <c r="AC173" s="865"/>
      <c r="AD173" s="510"/>
      <c r="AE173" s="865"/>
      <c r="AF173" s="865"/>
      <c r="AG173" s="865"/>
      <c r="AH173" s="865"/>
      <c r="AI173" s="865"/>
      <c r="AJ173" s="510"/>
      <c r="AK173" s="865"/>
      <c r="AL173" s="865"/>
      <c r="AM173" s="865"/>
      <c r="AN173" s="865"/>
      <c r="AO173" s="865"/>
      <c r="AP173" s="510"/>
      <c r="AQ173" s="865"/>
      <c r="AR173" s="865"/>
      <c r="AS173" s="865"/>
      <c r="AT173" s="865"/>
      <c r="AU173" s="865"/>
      <c r="AV173" s="510"/>
      <c r="AW173" s="865"/>
      <c r="AX173" s="865"/>
      <c r="AY173" s="865"/>
      <c r="AZ173" s="865"/>
      <c r="BA173" s="865"/>
      <c r="BB173" s="510"/>
      <c r="BC173" s="865"/>
      <c r="BD173" s="865"/>
      <c r="BE173" s="865"/>
      <c r="BF173" s="865"/>
      <c r="BG173" s="865"/>
      <c r="BH173" s="865"/>
      <c r="BI173" s="865"/>
      <c r="BJ173" s="865"/>
      <c r="BK173" s="865"/>
      <c r="BL173" s="865"/>
      <c r="BM173" s="865"/>
      <c r="BN173" s="865"/>
      <c r="BO173" s="865"/>
      <c r="BP173" s="865"/>
      <c r="BQ173" s="865"/>
      <c r="BR173" s="865"/>
      <c r="BS173" s="865"/>
      <c r="BT173" s="865"/>
      <c r="BU173" s="865"/>
      <c r="BV173" s="865"/>
      <c r="BW173" s="865"/>
      <c r="BX173" s="865"/>
      <c r="BY173" s="874"/>
      <c r="BZ173" s="874"/>
      <c r="CA173" s="874"/>
      <c r="CB173" s="874"/>
      <c r="CC173" s="874"/>
      <c r="CD173" s="874"/>
      <c r="CE173" s="874"/>
      <c r="CF173" s="874"/>
      <c r="CG173" s="874"/>
      <c r="CH173" s="874"/>
      <c r="CI173" s="874"/>
      <c r="CJ173" s="874"/>
      <c r="CK173" s="874"/>
      <c r="CL173" s="874"/>
      <c r="CM173" s="874"/>
      <c r="CN173" s="874"/>
      <c r="CO173" s="874"/>
      <c r="CP173" s="874"/>
      <c r="CQ173" s="874"/>
      <c r="CR173" s="874"/>
      <c r="CS173" s="874"/>
      <c r="CT173" s="874"/>
      <c r="CU173" s="874"/>
      <c r="CV173" s="874"/>
      <c r="CW173" s="874"/>
      <c r="CX173" s="874"/>
      <c r="CY173" s="874"/>
      <c r="CZ173" s="874"/>
      <c r="DA173" s="874"/>
      <c r="DB173" s="874"/>
      <c r="DC173" s="874"/>
      <c r="DD173" s="874"/>
      <c r="DE173" s="874"/>
      <c r="DF173" s="874"/>
      <c r="DG173" s="874"/>
      <c r="DH173" s="874"/>
      <c r="DI173" s="874"/>
      <c r="DJ173" s="874"/>
      <c r="DK173" s="874"/>
      <c r="DL173" s="874"/>
      <c r="DM173" s="874"/>
      <c r="DN173" s="874"/>
      <c r="DO173" s="874"/>
      <c r="DP173" s="874"/>
      <c r="DQ173" s="874"/>
      <c r="DR173" s="874"/>
      <c r="DS173" s="874"/>
      <c r="DT173" s="874"/>
      <c r="DU173" s="874"/>
      <c r="DV173" s="874"/>
      <c r="DW173" s="874"/>
      <c r="DX173" s="874"/>
      <c r="DY173" s="874"/>
      <c r="DZ173" s="874"/>
      <c r="EA173" s="874"/>
      <c r="EB173" s="874"/>
      <c r="EC173" s="874"/>
      <c r="ED173" s="874"/>
      <c r="EE173" s="874"/>
      <c r="EF173" s="874"/>
      <c r="EG173" s="874"/>
      <c r="EH173" s="874"/>
      <c r="EI173" s="874"/>
      <c r="EJ173" s="874"/>
      <c r="EK173" s="874"/>
      <c r="EL173" s="874"/>
      <c r="EM173" s="874"/>
      <c r="EN173" s="874"/>
      <c r="EO173" s="874"/>
      <c r="EP173" s="874"/>
      <c r="EQ173" s="874"/>
      <c r="ER173" s="874"/>
      <c r="ES173" s="874"/>
      <c r="ET173" s="874"/>
      <c r="EU173" s="874"/>
      <c r="EV173" s="874"/>
      <c r="EW173" s="874"/>
      <c r="EX173" s="874"/>
      <c r="EY173" s="874"/>
      <c r="EZ173" s="874"/>
      <c r="FA173" s="874"/>
      <c r="FB173" s="874"/>
      <c r="FC173" s="874"/>
      <c r="FD173" s="874"/>
      <c r="FE173" s="874"/>
      <c r="FF173" s="874"/>
      <c r="FG173" s="874"/>
      <c r="FH173" s="874"/>
      <c r="FI173" s="874"/>
      <c r="FJ173" s="874"/>
      <c r="FK173" s="874"/>
      <c r="FL173" s="874"/>
      <c r="FM173" s="874"/>
      <c r="FN173" s="874"/>
      <c r="FO173" s="874"/>
      <c r="FP173" s="874"/>
      <c r="FQ173" s="874"/>
      <c r="FR173" s="874"/>
      <c r="FS173" s="874"/>
      <c r="FT173" s="874"/>
      <c r="FU173" s="874"/>
      <c r="FV173" s="874"/>
      <c r="FW173" s="874"/>
      <c r="FX173" s="874"/>
      <c r="FY173" s="874"/>
      <c r="FZ173" s="874"/>
      <c r="GA173" s="874"/>
      <c r="GB173" s="874"/>
      <c r="GC173" s="874"/>
      <c r="GD173" s="874"/>
      <c r="GE173" s="874"/>
      <c r="GF173" s="874"/>
      <c r="GG173" s="874"/>
      <c r="GH173" s="874"/>
      <c r="GI173" s="874"/>
      <c r="GJ173" s="874"/>
      <c r="GK173" s="874"/>
      <c r="GL173" s="874"/>
      <c r="GM173" s="874"/>
      <c r="GN173" s="874"/>
      <c r="GO173" s="874"/>
      <c r="GP173" s="874"/>
      <c r="GQ173" s="874"/>
      <c r="GR173" s="874"/>
      <c r="GS173" s="874"/>
      <c r="GT173" s="874"/>
      <c r="GU173" s="874"/>
      <c r="GV173" s="874"/>
      <c r="GW173" s="874"/>
      <c r="GX173" s="874"/>
      <c r="GY173" s="874"/>
      <c r="GZ173" s="874"/>
      <c r="HA173" s="874"/>
      <c r="HB173" s="874"/>
      <c r="HC173" s="874"/>
      <c r="HD173" s="874"/>
      <c r="HE173" s="874"/>
      <c r="HF173" s="874"/>
      <c r="HG173" s="874"/>
      <c r="HH173" s="874"/>
      <c r="HI173" s="874"/>
      <c r="HJ173" s="874"/>
      <c r="HK173" s="874"/>
      <c r="HL173" s="874"/>
      <c r="HM173" s="874"/>
      <c r="HN173" s="874"/>
      <c r="HO173" s="874"/>
      <c r="HP173" s="874"/>
      <c r="HQ173" s="874"/>
      <c r="HR173" s="874"/>
      <c r="HS173" s="874"/>
      <c r="HT173" s="874"/>
      <c r="HU173" s="874"/>
      <c r="HV173" s="874"/>
      <c r="HW173" s="874"/>
      <c r="HX173" s="874"/>
      <c r="HY173" s="874"/>
      <c r="HZ173" s="874"/>
      <c r="IA173" s="874"/>
      <c r="IB173" s="874"/>
      <c r="IC173" s="874"/>
      <c r="ID173" s="874"/>
      <c r="IE173" s="874"/>
      <c r="IF173" s="874"/>
      <c r="IG173" s="874"/>
      <c r="IH173" s="874"/>
      <c r="II173" s="874"/>
      <c r="IJ173" s="874"/>
      <c r="IK173" s="874"/>
      <c r="IL173" s="874"/>
      <c r="IM173" s="874"/>
      <c r="IN173" s="874"/>
      <c r="IO173" s="874"/>
      <c r="IP173" s="874"/>
      <c r="IQ173" s="874"/>
      <c r="IR173" s="874"/>
      <c r="IS173" s="874"/>
      <c r="IT173" s="874"/>
      <c r="IU173" s="874"/>
      <c r="IV173" s="874"/>
      <c r="IW173" s="874"/>
      <c r="IX173" s="874"/>
      <c r="IY173" s="874"/>
      <c r="IZ173" s="874"/>
      <c r="JA173" s="874"/>
      <c r="JB173" s="874"/>
      <c r="JC173" s="874"/>
      <c r="JD173" s="874"/>
      <c r="JE173" s="874"/>
      <c r="JF173" s="874"/>
      <c r="JG173" s="874"/>
      <c r="JH173" s="874"/>
      <c r="JI173" s="874"/>
      <c r="JJ173" s="874"/>
      <c r="JK173" s="874"/>
      <c r="JL173" s="874"/>
      <c r="JM173" s="874"/>
      <c r="JN173" s="874"/>
      <c r="JO173" s="874"/>
      <c r="JP173" s="874"/>
      <c r="JQ173" s="874"/>
      <c r="JR173" s="874"/>
      <c r="JS173" s="874"/>
      <c r="JT173" s="874"/>
      <c r="JU173" s="874"/>
      <c r="JV173" s="874"/>
      <c r="JW173" s="874"/>
      <c r="JX173" s="874"/>
      <c r="JY173" s="874"/>
      <c r="JZ173" s="874"/>
      <c r="KA173" s="874"/>
      <c r="KB173" s="874"/>
      <c r="KC173" s="874"/>
      <c r="KD173" s="874"/>
      <c r="KE173" s="874"/>
      <c r="KF173" s="874"/>
      <c r="KG173" s="874"/>
      <c r="KH173" s="865"/>
      <c r="KI173" s="865"/>
      <c r="KJ173" s="865"/>
      <c r="KK173" s="865"/>
      <c r="KL173" s="865"/>
      <c r="KM173" s="865"/>
      <c r="KN173" s="865"/>
      <c r="KO173" s="865"/>
      <c r="KP173" s="865"/>
      <c r="KQ173" s="865"/>
      <c r="KR173" s="865"/>
      <c r="KS173" s="865"/>
      <c r="KT173" s="865"/>
      <c r="KU173" s="865"/>
      <c r="KV173" s="865"/>
      <c r="KW173" s="865"/>
      <c r="KX173" s="865"/>
      <c r="KY173" s="865"/>
      <c r="KZ173" s="865"/>
      <c r="LA173" s="865"/>
      <c r="LB173" s="865"/>
      <c r="LC173" s="865"/>
      <c r="LD173" s="865"/>
      <c r="LE173" s="865"/>
      <c r="LF173" s="865"/>
    </row>
    <row r="174" spans="1:318" ht="34.950000000000003" customHeight="1">
      <c r="A174" s="1021" t="s">
        <v>1247</v>
      </c>
      <c r="B174" s="1022"/>
      <c r="C174" s="1022"/>
      <c r="D174" s="1022"/>
      <c r="E174" s="1022"/>
      <c r="F174" s="1022"/>
      <c r="G174" s="1022"/>
      <c r="H174" s="1022"/>
      <c r="I174" s="1022"/>
      <c r="J174" s="1022"/>
      <c r="K174" s="1022"/>
      <c r="L174" s="1022"/>
      <c r="M174" s="1022"/>
      <c r="N174" s="1023"/>
      <c r="O174" s="865"/>
      <c r="P174" s="865"/>
      <c r="Q174" s="865"/>
      <c r="R174" s="865"/>
      <c r="S174" s="865"/>
      <c r="T174" s="865"/>
      <c r="U174" s="865"/>
      <c r="V174" s="865"/>
      <c r="W174" s="865"/>
      <c r="X174" s="865"/>
      <c r="Y174" s="865"/>
      <c r="Z174" s="865"/>
      <c r="AA174" s="865"/>
      <c r="AB174" s="865"/>
      <c r="AC174" s="865"/>
      <c r="AD174" s="510"/>
      <c r="AE174" s="865"/>
      <c r="AF174" s="865"/>
      <c r="AG174" s="865"/>
      <c r="AH174" s="865"/>
      <c r="AI174" s="865"/>
      <c r="AJ174" s="510"/>
      <c r="AK174" s="865"/>
      <c r="AL174" s="865"/>
      <c r="AM174" s="865"/>
      <c r="AN174" s="865"/>
      <c r="AO174" s="865"/>
      <c r="AP174" s="510"/>
      <c r="AQ174" s="865"/>
      <c r="AR174" s="865"/>
      <c r="AS174" s="865"/>
      <c r="AT174" s="865"/>
      <c r="AU174" s="865"/>
      <c r="AV174" s="510"/>
      <c r="AW174" s="865"/>
      <c r="AX174" s="865"/>
      <c r="AY174" s="865"/>
      <c r="AZ174" s="865"/>
      <c r="BA174" s="865"/>
      <c r="BB174" s="510"/>
      <c r="BC174" s="865"/>
      <c r="BD174" s="865"/>
      <c r="BE174" s="865"/>
      <c r="BF174" s="865"/>
      <c r="BG174" s="865"/>
      <c r="BH174" s="865"/>
      <c r="BI174" s="865"/>
      <c r="BJ174" s="865"/>
      <c r="BK174" s="865"/>
      <c r="BL174" s="865"/>
      <c r="BM174" s="865"/>
      <c r="BN174" s="865"/>
      <c r="BO174" s="865"/>
      <c r="BP174" s="865"/>
      <c r="BQ174" s="865"/>
      <c r="BR174" s="865"/>
      <c r="BS174" s="865"/>
      <c r="BT174" s="865"/>
      <c r="BU174" s="865"/>
      <c r="BV174" s="865"/>
      <c r="BW174" s="865"/>
      <c r="BX174" s="865"/>
      <c r="BY174" s="874"/>
      <c r="BZ174" s="874"/>
      <c r="CA174" s="874"/>
      <c r="CB174" s="874"/>
      <c r="CC174" s="874"/>
      <c r="CD174" s="874"/>
      <c r="CE174" s="874"/>
      <c r="CF174" s="874"/>
      <c r="CG174" s="874"/>
      <c r="CH174" s="874"/>
      <c r="CI174" s="874"/>
      <c r="CJ174" s="874"/>
      <c r="CK174" s="874"/>
      <c r="CL174" s="874"/>
      <c r="CM174" s="874"/>
      <c r="CN174" s="874"/>
      <c r="CO174" s="874"/>
      <c r="CP174" s="874"/>
      <c r="CQ174" s="874"/>
      <c r="CR174" s="874"/>
      <c r="CS174" s="874"/>
      <c r="CT174" s="874"/>
      <c r="CU174" s="874"/>
      <c r="CV174" s="874"/>
      <c r="CW174" s="874"/>
      <c r="CX174" s="874"/>
      <c r="CY174" s="874"/>
      <c r="CZ174" s="874"/>
      <c r="DA174" s="874"/>
      <c r="DB174" s="874"/>
      <c r="DC174" s="874"/>
      <c r="DD174" s="874"/>
      <c r="DE174" s="874"/>
      <c r="DF174" s="874"/>
      <c r="DG174" s="874"/>
      <c r="DH174" s="874"/>
      <c r="DI174" s="874"/>
      <c r="DJ174" s="874"/>
      <c r="DK174" s="874"/>
      <c r="DL174" s="874"/>
      <c r="DM174" s="874"/>
      <c r="DN174" s="874"/>
      <c r="DO174" s="874"/>
      <c r="DP174" s="874"/>
      <c r="DQ174" s="874"/>
      <c r="DR174" s="874"/>
      <c r="DS174" s="874"/>
      <c r="DT174" s="874"/>
      <c r="DU174" s="874"/>
      <c r="DV174" s="874"/>
      <c r="DW174" s="874"/>
      <c r="DX174" s="874"/>
      <c r="DY174" s="874"/>
      <c r="DZ174" s="874"/>
      <c r="EA174" s="874"/>
      <c r="EB174" s="874"/>
      <c r="EC174" s="874"/>
      <c r="ED174" s="874"/>
      <c r="EE174" s="874"/>
      <c r="EF174" s="874"/>
      <c r="EG174" s="874"/>
      <c r="EH174" s="874"/>
      <c r="EI174" s="874"/>
      <c r="EJ174" s="874"/>
      <c r="EK174" s="874"/>
      <c r="EL174" s="874"/>
      <c r="EM174" s="874"/>
      <c r="EN174" s="874"/>
      <c r="EO174" s="874"/>
      <c r="EP174" s="874"/>
      <c r="EQ174" s="874"/>
      <c r="ER174" s="874"/>
      <c r="ES174" s="874"/>
      <c r="ET174" s="874"/>
      <c r="EU174" s="874"/>
      <c r="EV174" s="874"/>
      <c r="EW174" s="874"/>
      <c r="EX174" s="874"/>
      <c r="EY174" s="874"/>
      <c r="EZ174" s="874"/>
      <c r="FA174" s="874"/>
      <c r="FB174" s="874"/>
      <c r="FC174" s="874"/>
      <c r="FD174" s="874"/>
      <c r="FE174" s="874"/>
      <c r="FF174" s="874"/>
      <c r="FG174" s="874"/>
      <c r="FH174" s="874"/>
      <c r="FI174" s="874"/>
      <c r="FJ174" s="874"/>
      <c r="FK174" s="874"/>
      <c r="FL174" s="874"/>
      <c r="FM174" s="874"/>
      <c r="FN174" s="874"/>
      <c r="FO174" s="874"/>
      <c r="FP174" s="874"/>
      <c r="FQ174" s="874"/>
      <c r="FR174" s="874"/>
      <c r="FS174" s="874"/>
      <c r="FT174" s="874"/>
      <c r="FU174" s="874"/>
      <c r="FV174" s="874"/>
      <c r="FW174" s="874"/>
      <c r="FX174" s="874"/>
      <c r="FY174" s="874"/>
      <c r="FZ174" s="874"/>
      <c r="GA174" s="874"/>
      <c r="GB174" s="874"/>
      <c r="GC174" s="874"/>
      <c r="GD174" s="874"/>
      <c r="GE174" s="874"/>
      <c r="GF174" s="874"/>
      <c r="GG174" s="874"/>
      <c r="GH174" s="874"/>
      <c r="GI174" s="874"/>
      <c r="GJ174" s="874"/>
      <c r="GK174" s="874"/>
      <c r="GL174" s="874"/>
      <c r="GM174" s="874"/>
      <c r="GN174" s="874"/>
      <c r="GO174" s="874"/>
      <c r="GP174" s="874"/>
      <c r="GQ174" s="874"/>
      <c r="GR174" s="874"/>
      <c r="GS174" s="874"/>
      <c r="GT174" s="874"/>
      <c r="GU174" s="874"/>
      <c r="GV174" s="874"/>
      <c r="GW174" s="874"/>
      <c r="GX174" s="874"/>
      <c r="GY174" s="874"/>
      <c r="GZ174" s="874"/>
      <c r="HA174" s="874"/>
      <c r="HB174" s="874"/>
      <c r="HC174" s="874"/>
      <c r="HD174" s="874"/>
      <c r="HE174" s="874"/>
      <c r="HF174" s="874"/>
      <c r="HG174" s="874"/>
      <c r="HH174" s="874"/>
      <c r="HI174" s="874"/>
      <c r="HJ174" s="874"/>
      <c r="HK174" s="874"/>
      <c r="HL174" s="874"/>
      <c r="HM174" s="874"/>
      <c r="HN174" s="874"/>
      <c r="HO174" s="874"/>
      <c r="HP174" s="874"/>
      <c r="HQ174" s="874"/>
      <c r="HR174" s="874"/>
      <c r="HS174" s="874"/>
      <c r="HT174" s="874"/>
      <c r="HU174" s="874"/>
      <c r="HV174" s="874"/>
      <c r="HW174" s="874"/>
      <c r="HX174" s="874"/>
      <c r="HY174" s="874"/>
      <c r="HZ174" s="874"/>
      <c r="IA174" s="874"/>
      <c r="IB174" s="874"/>
      <c r="IC174" s="874"/>
      <c r="ID174" s="874"/>
      <c r="IE174" s="874"/>
      <c r="IF174" s="874"/>
      <c r="IG174" s="874"/>
      <c r="IH174" s="874"/>
      <c r="II174" s="874"/>
      <c r="IJ174" s="874"/>
      <c r="IK174" s="874"/>
      <c r="IL174" s="874"/>
      <c r="IM174" s="874"/>
      <c r="IN174" s="874"/>
      <c r="IO174" s="874"/>
      <c r="IP174" s="874"/>
      <c r="IQ174" s="874"/>
      <c r="IR174" s="874"/>
      <c r="IS174" s="874"/>
      <c r="IT174" s="874"/>
      <c r="IU174" s="874"/>
      <c r="IV174" s="874"/>
      <c r="IW174" s="874"/>
      <c r="IX174" s="874"/>
      <c r="IY174" s="874"/>
      <c r="IZ174" s="874"/>
      <c r="JA174" s="874"/>
      <c r="JB174" s="874"/>
      <c r="JC174" s="874"/>
      <c r="JD174" s="874"/>
      <c r="JE174" s="874"/>
      <c r="JF174" s="874"/>
      <c r="JG174" s="874"/>
      <c r="JH174" s="874"/>
      <c r="JI174" s="874"/>
      <c r="JJ174" s="874"/>
      <c r="JK174" s="874"/>
      <c r="JL174" s="874"/>
      <c r="JM174" s="874"/>
      <c r="JN174" s="874"/>
      <c r="JO174" s="874"/>
      <c r="JP174" s="874"/>
      <c r="JQ174" s="874"/>
      <c r="JR174" s="874"/>
      <c r="JS174" s="874"/>
      <c r="JT174" s="874"/>
      <c r="JU174" s="874"/>
      <c r="JV174" s="874"/>
      <c r="JW174" s="874"/>
      <c r="JX174" s="874"/>
      <c r="JY174" s="874"/>
      <c r="JZ174" s="874"/>
      <c r="KA174" s="874"/>
      <c r="KB174" s="874"/>
      <c r="KC174" s="874"/>
      <c r="KD174" s="874"/>
      <c r="KE174" s="874"/>
      <c r="KF174" s="874"/>
      <c r="KG174" s="874"/>
      <c r="KH174" s="865"/>
      <c r="KI174" s="865"/>
      <c r="KJ174" s="865"/>
      <c r="KK174" s="865"/>
      <c r="KL174" s="865"/>
      <c r="KM174" s="865"/>
      <c r="KN174" s="865"/>
      <c r="KO174" s="865"/>
      <c r="KP174" s="865"/>
      <c r="KQ174" s="865"/>
      <c r="KR174" s="865"/>
      <c r="KS174" s="865"/>
      <c r="KT174" s="865"/>
      <c r="KU174" s="865"/>
      <c r="KV174" s="865"/>
      <c r="KW174" s="865"/>
      <c r="KX174" s="865"/>
      <c r="KY174" s="865"/>
      <c r="KZ174" s="865"/>
      <c r="LA174" s="865"/>
      <c r="LB174" s="865"/>
      <c r="LC174" s="865"/>
      <c r="LD174" s="865"/>
      <c r="LE174" s="865"/>
      <c r="LF174" s="865"/>
    </row>
    <row r="175" spans="1:318" ht="34.950000000000003" customHeight="1">
      <c r="A175" s="1021" t="s">
        <v>1248</v>
      </c>
      <c r="B175" s="1022"/>
      <c r="C175" s="1022"/>
      <c r="D175" s="1022"/>
      <c r="E175" s="1022"/>
      <c r="F175" s="1022"/>
      <c r="G175" s="1022"/>
      <c r="H175" s="1022"/>
      <c r="I175" s="1022"/>
      <c r="J175" s="1022"/>
      <c r="K175" s="1022"/>
      <c r="L175" s="1022"/>
      <c r="M175" s="1022"/>
      <c r="N175" s="1023"/>
      <c r="O175" s="865"/>
      <c r="P175" s="865"/>
      <c r="Q175" s="865"/>
      <c r="R175" s="865"/>
      <c r="S175" s="865"/>
      <c r="T175" s="865"/>
      <c r="U175" s="865"/>
      <c r="V175" s="865"/>
      <c r="W175" s="865"/>
      <c r="X175" s="865"/>
      <c r="Y175" s="865"/>
      <c r="Z175" s="865"/>
      <c r="AA175" s="865"/>
      <c r="AB175" s="865"/>
      <c r="AC175" s="865"/>
      <c r="AD175" s="510"/>
      <c r="AE175" s="865"/>
      <c r="AF175" s="865"/>
      <c r="AG175" s="865"/>
      <c r="AH175" s="865"/>
      <c r="AI175" s="865"/>
      <c r="AJ175" s="510"/>
      <c r="AK175" s="865"/>
      <c r="AL175" s="865"/>
      <c r="AM175" s="865"/>
      <c r="AN175" s="865"/>
      <c r="AO175" s="865"/>
      <c r="AP175" s="510"/>
      <c r="AQ175" s="865"/>
      <c r="AR175" s="865"/>
      <c r="AS175" s="865"/>
      <c r="AT175" s="865"/>
      <c r="AU175" s="865"/>
      <c r="AV175" s="510"/>
      <c r="AW175" s="865"/>
      <c r="AX175" s="865"/>
      <c r="AY175" s="865"/>
      <c r="AZ175" s="865"/>
      <c r="BA175" s="865"/>
      <c r="BB175" s="510"/>
      <c r="BC175" s="865"/>
      <c r="BD175" s="865"/>
      <c r="BE175" s="865"/>
      <c r="BF175" s="865"/>
      <c r="BG175" s="865"/>
      <c r="BH175" s="865"/>
      <c r="BI175" s="865"/>
      <c r="BJ175" s="865"/>
      <c r="BK175" s="865"/>
      <c r="BL175" s="865"/>
      <c r="BM175" s="865"/>
      <c r="BN175" s="865"/>
      <c r="BO175" s="865"/>
      <c r="BP175" s="865"/>
      <c r="BQ175" s="865"/>
      <c r="BR175" s="865"/>
      <c r="BS175" s="865"/>
      <c r="BT175" s="865"/>
      <c r="BU175" s="865"/>
      <c r="BV175" s="865"/>
      <c r="BW175" s="865"/>
      <c r="BX175" s="865"/>
      <c r="BY175" s="874"/>
      <c r="BZ175" s="874"/>
      <c r="CA175" s="874"/>
      <c r="CB175" s="874"/>
      <c r="CC175" s="874"/>
      <c r="CD175" s="874"/>
      <c r="CE175" s="874"/>
      <c r="CF175" s="874"/>
      <c r="CG175" s="874"/>
      <c r="CH175" s="874"/>
      <c r="CI175" s="874"/>
      <c r="CJ175" s="874"/>
      <c r="CK175" s="874"/>
      <c r="CL175" s="874"/>
      <c r="CM175" s="874"/>
      <c r="CN175" s="874"/>
      <c r="CO175" s="874"/>
      <c r="CP175" s="874"/>
      <c r="CQ175" s="874"/>
      <c r="CR175" s="874"/>
      <c r="CS175" s="874"/>
      <c r="CT175" s="874"/>
      <c r="CU175" s="874"/>
      <c r="CV175" s="874"/>
      <c r="CW175" s="874"/>
      <c r="CX175" s="874"/>
      <c r="CY175" s="874"/>
      <c r="CZ175" s="874"/>
      <c r="DA175" s="874"/>
      <c r="DB175" s="874"/>
      <c r="DC175" s="874"/>
      <c r="DD175" s="874"/>
      <c r="DE175" s="874"/>
      <c r="DF175" s="874"/>
      <c r="DG175" s="874"/>
      <c r="DH175" s="874"/>
      <c r="DI175" s="874"/>
      <c r="DJ175" s="874"/>
      <c r="DK175" s="874"/>
      <c r="DL175" s="874"/>
      <c r="DM175" s="874"/>
      <c r="DN175" s="874"/>
      <c r="DO175" s="874"/>
      <c r="DP175" s="874"/>
      <c r="DQ175" s="874"/>
      <c r="DR175" s="874"/>
      <c r="DS175" s="874"/>
      <c r="DT175" s="874"/>
      <c r="DU175" s="874"/>
      <c r="DV175" s="874"/>
      <c r="DW175" s="874"/>
      <c r="DX175" s="874"/>
      <c r="DY175" s="874"/>
      <c r="DZ175" s="874"/>
      <c r="EA175" s="874"/>
      <c r="EB175" s="874"/>
      <c r="EC175" s="874"/>
      <c r="ED175" s="874"/>
      <c r="EE175" s="874"/>
      <c r="EF175" s="874"/>
      <c r="EG175" s="874"/>
      <c r="EH175" s="874"/>
      <c r="EI175" s="874"/>
      <c r="EJ175" s="874"/>
      <c r="EK175" s="874"/>
      <c r="EL175" s="874"/>
      <c r="EM175" s="874"/>
      <c r="EN175" s="874"/>
      <c r="EO175" s="874"/>
      <c r="EP175" s="874"/>
      <c r="EQ175" s="874"/>
      <c r="ER175" s="874"/>
      <c r="ES175" s="874"/>
      <c r="ET175" s="874"/>
      <c r="EU175" s="874"/>
      <c r="EV175" s="874"/>
      <c r="EW175" s="874"/>
      <c r="EX175" s="874"/>
      <c r="EY175" s="874"/>
      <c r="EZ175" s="874"/>
      <c r="FA175" s="874"/>
      <c r="FB175" s="874"/>
      <c r="FC175" s="874"/>
      <c r="FD175" s="874"/>
      <c r="FE175" s="874"/>
      <c r="FF175" s="874"/>
      <c r="FG175" s="874"/>
      <c r="FH175" s="874"/>
      <c r="FI175" s="874"/>
      <c r="FJ175" s="874"/>
      <c r="FK175" s="874"/>
      <c r="FL175" s="874"/>
      <c r="FM175" s="874"/>
      <c r="FN175" s="874"/>
      <c r="FO175" s="874"/>
      <c r="FP175" s="874"/>
      <c r="FQ175" s="874"/>
      <c r="FR175" s="874"/>
      <c r="FS175" s="874"/>
      <c r="FT175" s="874"/>
      <c r="FU175" s="874"/>
      <c r="FV175" s="874"/>
      <c r="FW175" s="874"/>
      <c r="FX175" s="874"/>
      <c r="FY175" s="874"/>
      <c r="FZ175" s="874"/>
      <c r="GA175" s="874"/>
      <c r="GB175" s="874"/>
      <c r="GC175" s="874"/>
      <c r="GD175" s="874"/>
      <c r="GE175" s="874"/>
      <c r="GF175" s="874"/>
      <c r="GG175" s="874"/>
      <c r="GH175" s="874"/>
      <c r="GI175" s="874"/>
      <c r="GJ175" s="874"/>
      <c r="GK175" s="874"/>
      <c r="GL175" s="874"/>
      <c r="GM175" s="874"/>
      <c r="GN175" s="874"/>
      <c r="GO175" s="874"/>
      <c r="GP175" s="874"/>
      <c r="GQ175" s="874"/>
      <c r="GR175" s="874"/>
      <c r="GS175" s="874"/>
      <c r="GT175" s="874"/>
      <c r="GU175" s="874"/>
      <c r="GV175" s="874"/>
      <c r="GW175" s="874"/>
      <c r="GX175" s="874"/>
      <c r="GY175" s="874"/>
      <c r="GZ175" s="874"/>
      <c r="HA175" s="874"/>
      <c r="HB175" s="874"/>
      <c r="HC175" s="874"/>
      <c r="HD175" s="874"/>
      <c r="HE175" s="874"/>
      <c r="HF175" s="874"/>
      <c r="HG175" s="874"/>
      <c r="HH175" s="874"/>
      <c r="HI175" s="874"/>
      <c r="HJ175" s="874"/>
      <c r="HK175" s="874"/>
      <c r="HL175" s="874"/>
      <c r="HM175" s="874"/>
      <c r="HN175" s="874"/>
      <c r="HO175" s="874"/>
      <c r="HP175" s="874"/>
      <c r="HQ175" s="874"/>
      <c r="HR175" s="874"/>
      <c r="HS175" s="874"/>
      <c r="HT175" s="874"/>
      <c r="HU175" s="874"/>
      <c r="HV175" s="874"/>
      <c r="HW175" s="874"/>
      <c r="HX175" s="874"/>
      <c r="HY175" s="874"/>
      <c r="HZ175" s="874"/>
      <c r="IA175" s="874"/>
      <c r="IB175" s="874"/>
      <c r="IC175" s="874"/>
      <c r="ID175" s="874"/>
      <c r="IE175" s="874"/>
      <c r="IF175" s="874"/>
      <c r="IG175" s="874"/>
      <c r="IH175" s="874"/>
      <c r="II175" s="874"/>
      <c r="IJ175" s="874"/>
      <c r="IK175" s="874"/>
      <c r="IL175" s="874"/>
      <c r="IM175" s="874"/>
      <c r="IN175" s="874"/>
      <c r="IO175" s="874"/>
      <c r="IP175" s="874"/>
      <c r="IQ175" s="874"/>
      <c r="IR175" s="874"/>
      <c r="IS175" s="874"/>
      <c r="IT175" s="874"/>
      <c r="IU175" s="874"/>
      <c r="IV175" s="874"/>
      <c r="IW175" s="874"/>
      <c r="IX175" s="874"/>
      <c r="IY175" s="874"/>
      <c r="IZ175" s="874"/>
      <c r="JA175" s="874"/>
      <c r="JB175" s="874"/>
      <c r="JC175" s="874"/>
      <c r="JD175" s="874"/>
      <c r="JE175" s="874"/>
      <c r="JF175" s="874"/>
      <c r="JG175" s="874"/>
      <c r="JH175" s="874"/>
      <c r="JI175" s="874"/>
      <c r="JJ175" s="874"/>
      <c r="JK175" s="874"/>
      <c r="JL175" s="874"/>
      <c r="JM175" s="874"/>
      <c r="JN175" s="874"/>
      <c r="JO175" s="874"/>
      <c r="JP175" s="874"/>
      <c r="JQ175" s="874"/>
      <c r="JR175" s="874"/>
      <c r="JS175" s="874"/>
      <c r="JT175" s="874"/>
      <c r="JU175" s="874"/>
      <c r="JV175" s="874"/>
      <c r="JW175" s="874"/>
      <c r="JX175" s="874"/>
      <c r="JY175" s="874"/>
      <c r="JZ175" s="874"/>
      <c r="KA175" s="874"/>
      <c r="KB175" s="874"/>
      <c r="KC175" s="874"/>
      <c r="KD175" s="874"/>
      <c r="KE175" s="874"/>
      <c r="KF175" s="874"/>
      <c r="KG175" s="874"/>
      <c r="KH175" s="865"/>
      <c r="KI175" s="865"/>
      <c r="KJ175" s="865"/>
      <c r="KK175" s="865"/>
      <c r="KL175" s="865"/>
      <c r="KM175" s="865"/>
      <c r="KN175" s="865"/>
      <c r="KO175" s="865"/>
      <c r="KP175" s="865"/>
      <c r="KQ175" s="865"/>
      <c r="KR175" s="865"/>
      <c r="KS175" s="865"/>
      <c r="KT175" s="865"/>
      <c r="KU175" s="865"/>
      <c r="KV175" s="865"/>
      <c r="KW175" s="865"/>
      <c r="KX175" s="865"/>
      <c r="KY175" s="865"/>
      <c r="KZ175" s="865"/>
      <c r="LA175" s="865"/>
      <c r="LB175" s="865"/>
      <c r="LC175" s="865"/>
      <c r="LD175" s="865"/>
      <c r="LE175" s="865"/>
      <c r="LF175" s="865"/>
    </row>
    <row r="176" spans="1:318" ht="34.950000000000003" customHeight="1">
      <c r="A176" s="1021" t="s">
        <v>1252</v>
      </c>
      <c r="B176" s="1022"/>
      <c r="C176" s="1022"/>
      <c r="D176" s="1022"/>
      <c r="E176" s="1022"/>
      <c r="F176" s="1022"/>
      <c r="G176" s="1022"/>
      <c r="H176" s="1022"/>
      <c r="I176" s="1022"/>
      <c r="J176" s="1022"/>
      <c r="K176" s="1022"/>
      <c r="L176" s="1022"/>
      <c r="M176" s="1022"/>
      <c r="N176" s="1023"/>
      <c r="O176" s="865"/>
      <c r="P176" s="865"/>
      <c r="Q176" s="865"/>
      <c r="R176" s="865"/>
      <c r="S176" s="865"/>
      <c r="T176" s="865"/>
      <c r="U176" s="865"/>
      <c r="V176" s="865"/>
      <c r="W176" s="865"/>
      <c r="X176" s="865"/>
      <c r="Y176" s="865"/>
      <c r="Z176" s="865"/>
      <c r="AA176" s="865"/>
      <c r="AB176" s="865"/>
      <c r="AC176" s="865"/>
      <c r="AD176" s="510"/>
      <c r="AE176" s="865"/>
      <c r="AF176" s="865"/>
      <c r="AG176" s="865"/>
      <c r="AH176" s="865"/>
      <c r="AI176" s="865"/>
      <c r="AJ176" s="510"/>
      <c r="AK176" s="865"/>
      <c r="AL176" s="865"/>
      <c r="AM176" s="865"/>
      <c r="AN176" s="865"/>
      <c r="AO176" s="865"/>
      <c r="AP176" s="510"/>
      <c r="AQ176" s="865"/>
      <c r="AR176" s="865"/>
      <c r="AS176" s="865"/>
      <c r="AT176" s="865"/>
      <c r="AU176" s="865"/>
      <c r="AV176" s="510"/>
      <c r="AW176" s="865"/>
      <c r="AX176" s="865"/>
      <c r="AY176" s="865"/>
      <c r="AZ176" s="865"/>
      <c r="BA176" s="865"/>
      <c r="BB176" s="510"/>
      <c r="BC176" s="865"/>
      <c r="BD176" s="865"/>
      <c r="BE176" s="865"/>
      <c r="BF176" s="865"/>
      <c r="BG176" s="865"/>
      <c r="BH176" s="865"/>
      <c r="BI176" s="865"/>
      <c r="BJ176" s="865"/>
      <c r="BK176" s="865"/>
      <c r="BL176" s="865"/>
      <c r="BM176" s="865"/>
      <c r="BN176" s="865"/>
      <c r="BO176" s="865"/>
      <c r="BP176" s="865"/>
      <c r="BQ176" s="865"/>
      <c r="BR176" s="865"/>
      <c r="BS176" s="865"/>
      <c r="BT176" s="865"/>
      <c r="BU176" s="865"/>
      <c r="BV176" s="865"/>
      <c r="BW176" s="865"/>
      <c r="BX176" s="865"/>
      <c r="BY176" s="874"/>
      <c r="BZ176" s="874"/>
      <c r="CA176" s="874"/>
      <c r="CB176" s="874"/>
      <c r="CC176" s="874"/>
      <c r="CD176" s="874"/>
      <c r="CE176" s="874"/>
      <c r="CF176" s="874"/>
      <c r="CG176" s="874"/>
      <c r="CH176" s="874"/>
      <c r="CI176" s="874"/>
      <c r="CJ176" s="874"/>
      <c r="CK176" s="874"/>
      <c r="CL176" s="874"/>
      <c r="CM176" s="874"/>
      <c r="CN176" s="874"/>
      <c r="CO176" s="874"/>
      <c r="CP176" s="874"/>
      <c r="CQ176" s="874"/>
      <c r="CR176" s="874"/>
      <c r="CS176" s="874"/>
      <c r="CT176" s="874"/>
      <c r="CU176" s="874"/>
      <c r="CV176" s="874"/>
      <c r="CW176" s="874"/>
      <c r="CX176" s="874"/>
      <c r="CY176" s="874"/>
      <c r="CZ176" s="874"/>
      <c r="DA176" s="874"/>
      <c r="DB176" s="874"/>
      <c r="DC176" s="874"/>
      <c r="DD176" s="874"/>
      <c r="DE176" s="874"/>
      <c r="DF176" s="874"/>
      <c r="DG176" s="874"/>
      <c r="DH176" s="874"/>
      <c r="DI176" s="874"/>
      <c r="DJ176" s="874"/>
      <c r="DK176" s="874"/>
      <c r="DL176" s="874"/>
      <c r="DM176" s="874"/>
      <c r="DN176" s="874"/>
      <c r="DO176" s="874"/>
      <c r="DP176" s="874"/>
      <c r="DQ176" s="874"/>
      <c r="DR176" s="874"/>
      <c r="DS176" s="874"/>
      <c r="DT176" s="874"/>
      <c r="DU176" s="874"/>
      <c r="DV176" s="874"/>
      <c r="DW176" s="874"/>
      <c r="DX176" s="874"/>
      <c r="DY176" s="874"/>
      <c r="DZ176" s="874"/>
      <c r="EA176" s="874"/>
      <c r="EB176" s="874"/>
      <c r="EC176" s="874"/>
      <c r="ED176" s="874"/>
      <c r="EE176" s="874"/>
      <c r="EF176" s="874"/>
      <c r="EG176" s="874"/>
      <c r="EH176" s="874"/>
      <c r="EI176" s="874"/>
      <c r="EJ176" s="874"/>
      <c r="EK176" s="874"/>
      <c r="EL176" s="874"/>
      <c r="EM176" s="874"/>
      <c r="EN176" s="874"/>
      <c r="EO176" s="874"/>
      <c r="EP176" s="874"/>
      <c r="EQ176" s="874"/>
      <c r="ER176" s="874"/>
      <c r="ES176" s="874"/>
      <c r="ET176" s="874"/>
      <c r="EU176" s="874"/>
      <c r="EV176" s="874"/>
      <c r="EW176" s="874"/>
      <c r="EX176" s="874"/>
      <c r="EY176" s="874"/>
      <c r="EZ176" s="874"/>
      <c r="FA176" s="874"/>
      <c r="FB176" s="874"/>
      <c r="FC176" s="874"/>
      <c r="FD176" s="874"/>
      <c r="FE176" s="874"/>
      <c r="FF176" s="874"/>
      <c r="FG176" s="874"/>
      <c r="FH176" s="874"/>
      <c r="FI176" s="874"/>
      <c r="FJ176" s="874"/>
      <c r="FK176" s="874"/>
      <c r="FL176" s="874"/>
      <c r="FM176" s="874"/>
      <c r="FN176" s="874"/>
      <c r="FO176" s="874"/>
      <c r="FP176" s="874"/>
      <c r="FQ176" s="874"/>
      <c r="FR176" s="874"/>
      <c r="FS176" s="874"/>
      <c r="FT176" s="874"/>
      <c r="FU176" s="874"/>
      <c r="FV176" s="874"/>
      <c r="FW176" s="874"/>
      <c r="FX176" s="874"/>
      <c r="FY176" s="874"/>
      <c r="FZ176" s="874"/>
      <c r="GA176" s="874"/>
      <c r="GB176" s="874"/>
      <c r="GC176" s="874"/>
      <c r="GD176" s="874"/>
      <c r="GE176" s="874"/>
      <c r="GF176" s="874"/>
      <c r="GG176" s="874"/>
      <c r="GH176" s="874"/>
      <c r="GI176" s="874"/>
      <c r="GJ176" s="874"/>
      <c r="GK176" s="874"/>
      <c r="GL176" s="874"/>
      <c r="GM176" s="874"/>
      <c r="GN176" s="874"/>
      <c r="GO176" s="874"/>
      <c r="GP176" s="874"/>
      <c r="GQ176" s="874"/>
      <c r="GR176" s="874"/>
      <c r="GS176" s="874"/>
      <c r="GT176" s="874"/>
      <c r="GU176" s="874"/>
      <c r="GV176" s="874"/>
      <c r="GW176" s="874"/>
      <c r="GX176" s="874"/>
      <c r="GY176" s="874"/>
      <c r="GZ176" s="874"/>
      <c r="HA176" s="874"/>
      <c r="HB176" s="874"/>
      <c r="HC176" s="874"/>
      <c r="HD176" s="874"/>
      <c r="HE176" s="874"/>
      <c r="HF176" s="874"/>
      <c r="HG176" s="874"/>
      <c r="HH176" s="874"/>
      <c r="HI176" s="874"/>
      <c r="HJ176" s="874"/>
      <c r="HK176" s="874"/>
      <c r="HL176" s="874"/>
      <c r="HM176" s="874"/>
      <c r="HN176" s="874"/>
      <c r="HO176" s="874"/>
      <c r="HP176" s="874"/>
      <c r="HQ176" s="874"/>
      <c r="HR176" s="874"/>
      <c r="HS176" s="874"/>
      <c r="HT176" s="874"/>
      <c r="HU176" s="874"/>
      <c r="HV176" s="874"/>
      <c r="HW176" s="874"/>
      <c r="HX176" s="874"/>
      <c r="HY176" s="874"/>
      <c r="HZ176" s="874"/>
      <c r="IA176" s="874"/>
      <c r="IB176" s="874"/>
      <c r="IC176" s="874"/>
      <c r="ID176" s="874"/>
      <c r="IE176" s="874"/>
      <c r="IF176" s="874"/>
      <c r="IG176" s="874"/>
      <c r="IH176" s="874"/>
      <c r="II176" s="874"/>
      <c r="IJ176" s="874"/>
      <c r="IK176" s="874"/>
      <c r="IL176" s="874"/>
      <c r="IM176" s="874"/>
      <c r="IN176" s="874"/>
      <c r="IO176" s="874"/>
      <c r="IP176" s="874"/>
      <c r="IQ176" s="874"/>
      <c r="IR176" s="874"/>
      <c r="IS176" s="874"/>
      <c r="IT176" s="874"/>
      <c r="IU176" s="874"/>
      <c r="IV176" s="874"/>
      <c r="IW176" s="874"/>
      <c r="IX176" s="874"/>
      <c r="IY176" s="874"/>
      <c r="IZ176" s="874"/>
      <c r="JA176" s="874"/>
      <c r="JB176" s="874"/>
      <c r="JC176" s="874"/>
      <c r="JD176" s="874"/>
      <c r="JE176" s="874"/>
      <c r="JF176" s="874"/>
      <c r="JG176" s="874"/>
      <c r="JH176" s="874"/>
      <c r="JI176" s="874"/>
      <c r="JJ176" s="874"/>
      <c r="JK176" s="874"/>
      <c r="JL176" s="874"/>
      <c r="JM176" s="874"/>
      <c r="JN176" s="874"/>
      <c r="JO176" s="874"/>
      <c r="JP176" s="874"/>
      <c r="JQ176" s="874"/>
      <c r="JR176" s="874"/>
      <c r="JS176" s="874"/>
      <c r="JT176" s="874"/>
      <c r="JU176" s="874"/>
      <c r="JV176" s="874"/>
      <c r="JW176" s="874"/>
      <c r="JX176" s="874"/>
      <c r="JY176" s="874"/>
      <c r="JZ176" s="874"/>
      <c r="KA176" s="874"/>
      <c r="KB176" s="874"/>
      <c r="KC176" s="874"/>
      <c r="KD176" s="874"/>
      <c r="KE176" s="874"/>
      <c r="KF176" s="874"/>
      <c r="KG176" s="874"/>
      <c r="KH176" s="865"/>
      <c r="KI176" s="865"/>
      <c r="KJ176" s="865"/>
      <c r="KK176" s="865"/>
      <c r="KL176" s="865"/>
      <c r="KM176" s="865"/>
      <c r="KN176" s="865"/>
      <c r="KO176" s="865"/>
      <c r="KP176" s="865"/>
      <c r="KQ176" s="865"/>
      <c r="KR176" s="865"/>
      <c r="KS176" s="865"/>
      <c r="KT176" s="865"/>
      <c r="KU176" s="865"/>
      <c r="KV176" s="865"/>
      <c r="KW176" s="865"/>
      <c r="KX176" s="865"/>
      <c r="KY176" s="865"/>
      <c r="KZ176" s="865"/>
      <c r="LA176" s="865"/>
      <c r="LB176" s="865"/>
      <c r="LC176" s="865"/>
      <c r="LD176" s="865"/>
      <c r="LE176" s="865"/>
      <c r="LF176" s="865"/>
    </row>
    <row r="177" spans="1:318" s="509" customFormat="1" ht="24" customHeight="1">
      <c r="A177" s="1018" t="s">
        <v>1253</v>
      </c>
      <c r="B177" s="1019"/>
      <c r="C177" s="1019"/>
      <c r="D177" s="1019"/>
      <c r="E177" s="1019"/>
      <c r="F177" s="1019"/>
      <c r="G177" s="1019"/>
      <c r="H177" s="1019"/>
      <c r="I177" s="1019"/>
      <c r="J177" s="1019"/>
      <c r="K177" s="1019"/>
      <c r="L177" s="1019"/>
      <c r="M177" s="1019"/>
      <c r="N177" s="1020"/>
      <c r="O177" s="514"/>
      <c r="P177" s="514"/>
      <c r="Q177" s="514"/>
      <c r="R177" s="514"/>
      <c r="S177" s="514"/>
      <c r="T177" s="514"/>
      <c r="U177" s="514"/>
      <c r="V177" s="514"/>
      <c r="W177" s="514"/>
      <c r="X177" s="514"/>
      <c r="Y177" s="514"/>
      <c r="Z177" s="514"/>
      <c r="AA177" s="514"/>
      <c r="AB177" s="514"/>
      <c r="AC177" s="514"/>
      <c r="AD177" s="515"/>
      <c r="AE177" s="514"/>
      <c r="AF177" s="514"/>
      <c r="AG177" s="514"/>
      <c r="AH177" s="514"/>
      <c r="AI177" s="514"/>
      <c r="AJ177" s="515"/>
      <c r="AK177" s="514"/>
      <c r="AL177" s="514"/>
      <c r="AM177" s="514"/>
      <c r="AN177" s="514"/>
      <c r="AO177" s="514"/>
      <c r="AP177" s="515"/>
      <c r="AQ177" s="514"/>
      <c r="AR177" s="514"/>
      <c r="AS177" s="514"/>
      <c r="AT177" s="514"/>
      <c r="AU177" s="514"/>
      <c r="AV177" s="515"/>
      <c r="AW177" s="514"/>
      <c r="AX177" s="514"/>
      <c r="AY177" s="514"/>
      <c r="AZ177" s="514"/>
      <c r="BA177" s="514"/>
      <c r="BB177" s="515"/>
      <c r="BC177" s="514"/>
      <c r="BD177" s="514"/>
      <c r="BE177" s="514"/>
      <c r="BF177" s="514"/>
      <c r="BG177" s="514"/>
      <c r="BH177" s="514"/>
      <c r="BI177" s="514"/>
      <c r="BJ177" s="514"/>
      <c r="BK177" s="514"/>
      <c r="BL177" s="514"/>
      <c r="BM177" s="514"/>
      <c r="BN177" s="514"/>
      <c r="BO177" s="514"/>
      <c r="BP177" s="514"/>
      <c r="BQ177" s="514"/>
      <c r="BR177" s="514"/>
      <c r="BS177" s="514"/>
      <c r="BT177" s="514"/>
      <c r="BU177" s="514"/>
      <c r="BV177" s="514"/>
      <c r="BW177" s="514"/>
      <c r="BX177" s="514"/>
      <c r="BY177" s="514"/>
      <c r="BZ177" s="514"/>
      <c r="CA177" s="514"/>
      <c r="CB177" s="514"/>
      <c r="CC177" s="514"/>
      <c r="CD177" s="514"/>
      <c r="CE177" s="514"/>
      <c r="CF177" s="514"/>
      <c r="CG177" s="514"/>
      <c r="CH177" s="514"/>
      <c r="CI177" s="514"/>
      <c r="CJ177" s="514"/>
      <c r="CK177" s="514"/>
      <c r="CL177" s="514"/>
      <c r="CM177" s="514"/>
      <c r="CN177" s="514"/>
      <c r="CO177" s="514"/>
      <c r="CP177" s="514"/>
      <c r="CQ177" s="514"/>
      <c r="CR177" s="514"/>
      <c r="CS177" s="514"/>
      <c r="CT177" s="514"/>
      <c r="CU177" s="514"/>
      <c r="CV177" s="514"/>
      <c r="CW177" s="514"/>
      <c r="CX177" s="514"/>
      <c r="CY177" s="514"/>
      <c r="CZ177" s="514"/>
      <c r="DA177" s="514"/>
      <c r="DB177" s="514"/>
      <c r="DC177" s="514"/>
      <c r="DD177" s="514"/>
      <c r="DE177" s="514"/>
      <c r="DF177" s="514"/>
      <c r="DG177" s="514"/>
      <c r="DH177" s="514"/>
      <c r="DI177" s="514"/>
      <c r="DJ177" s="514"/>
      <c r="DK177" s="514"/>
      <c r="DL177" s="514"/>
      <c r="DM177" s="514"/>
      <c r="DN177" s="514"/>
      <c r="DO177" s="514"/>
      <c r="DP177" s="514"/>
      <c r="DQ177" s="514"/>
      <c r="DR177" s="514"/>
      <c r="DS177" s="514"/>
      <c r="DT177" s="514"/>
      <c r="DU177" s="514"/>
      <c r="DV177" s="514"/>
      <c r="DW177" s="514"/>
      <c r="DX177" s="514"/>
      <c r="DY177" s="514"/>
      <c r="DZ177" s="514"/>
      <c r="EA177" s="514"/>
      <c r="EB177" s="514"/>
      <c r="EC177" s="514"/>
      <c r="ED177" s="514"/>
      <c r="EE177" s="514"/>
      <c r="EF177" s="514"/>
      <c r="EG177" s="514"/>
      <c r="EH177" s="514"/>
      <c r="EI177" s="514"/>
      <c r="EJ177" s="514"/>
      <c r="EK177" s="514"/>
      <c r="EL177" s="514"/>
      <c r="EM177" s="514"/>
      <c r="EN177" s="514"/>
      <c r="EO177" s="514"/>
      <c r="EP177" s="514"/>
      <c r="EQ177" s="514"/>
      <c r="ER177" s="514"/>
      <c r="ES177" s="514"/>
      <c r="ET177" s="514"/>
      <c r="EU177" s="514"/>
      <c r="EV177" s="514"/>
      <c r="EW177" s="514"/>
      <c r="EX177" s="514"/>
      <c r="EY177" s="514"/>
      <c r="EZ177" s="514"/>
      <c r="FA177" s="514"/>
      <c r="FB177" s="514"/>
      <c r="FC177" s="514"/>
      <c r="FD177" s="514"/>
      <c r="FE177" s="514"/>
      <c r="FF177" s="514"/>
      <c r="FG177" s="514"/>
      <c r="FH177" s="514"/>
      <c r="FI177" s="514"/>
      <c r="FJ177" s="514"/>
      <c r="FK177" s="514"/>
      <c r="FL177" s="514"/>
      <c r="FM177" s="514"/>
      <c r="FN177" s="514"/>
      <c r="FO177" s="514"/>
      <c r="FP177" s="514"/>
      <c r="FQ177" s="514"/>
      <c r="FR177" s="514"/>
      <c r="FS177" s="514"/>
      <c r="FT177" s="514"/>
      <c r="FU177" s="514"/>
      <c r="FV177" s="514"/>
      <c r="FW177" s="514"/>
      <c r="FX177" s="514"/>
      <c r="FY177" s="514"/>
      <c r="FZ177" s="514"/>
      <c r="GA177" s="514"/>
      <c r="GB177" s="514"/>
      <c r="GC177" s="514"/>
      <c r="GD177" s="514"/>
      <c r="GE177" s="514"/>
      <c r="GF177" s="514"/>
      <c r="GG177" s="514"/>
      <c r="GH177" s="514"/>
      <c r="GI177" s="514"/>
      <c r="GJ177" s="514"/>
      <c r="GK177" s="514"/>
      <c r="GL177" s="514"/>
      <c r="GM177" s="514"/>
      <c r="GN177" s="514"/>
      <c r="GO177" s="514"/>
      <c r="GP177" s="514"/>
      <c r="GQ177" s="514"/>
      <c r="GR177" s="514"/>
      <c r="GS177" s="514"/>
      <c r="GT177" s="514"/>
      <c r="GU177" s="514"/>
      <c r="GV177" s="514"/>
      <c r="GW177" s="514"/>
      <c r="GX177" s="514"/>
      <c r="GY177" s="514"/>
      <c r="GZ177" s="514"/>
      <c r="HA177" s="514"/>
      <c r="HB177" s="514"/>
      <c r="HC177" s="514"/>
      <c r="HD177" s="514"/>
      <c r="HE177" s="514"/>
      <c r="HF177" s="514"/>
      <c r="HG177" s="514"/>
      <c r="HH177" s="514"/>
      <c r="HI177" s="514"/>
      <c r="HJ177" s="514"/>
      <c r="HK177" s="514"/>
      <c r="HL177" s="514"/>
      <c r="HM177" s="514"/>
      <c r="HN177" s="514"/>
      <c r="HO177" s="514"/>
      <c r="HP177" s="514"/>
      <c r="HQ177" s="514"/>
      <c r="HR177" s="514"/>
      <c r="HS177" s="514"/>
      <c r="HT177" s="514"/>
      <c r="HU177" s="514"/>
      <c r="HV177" s="514"/>
      <c r="HW177" s="514"/>
      <c r="HX177" s="514"/>
      <c r="HY177" s="514"/>
      <c r="HZ177" s="514"/>
      <c r="IA177" s="514"/>
      <c r="IB177" s="514"/>
      <c r="IC177" s="514"/>
      <c r="ID177" s="514"/>
      <c r="IE177" s="514"/>
      <c r="IF177" s="514"/>
      <c r="IG177" s="514"/>
      <c r="IH177" s="514"/>
      <c r="II177" s="514"/>
      <c r="IJ177" s="514"/>
      <c r="IK177" s="514"/>
      <c r="IL177" s="514"/>
      <c r="IM177" s="514"/>
      <c r="IN177" s="514"/>
      <c r="IO177" s="514"/>
      <c r="IP177" s="514"/>
      <c r="IQ177" s="514"/>
      <c r="IR177" s="514"/>
      <c r="IS177" s="514"/>
      <c r="IT177" s="514"/>
      <c r="IU177" s="514"/>
      <c r="IV177" s="514"/>
      <c r="IW177" s="514"/>
      <c r="IX177" s="514"/>
      <c r="IY177" s="514"/>
      <c r="IZ177" s="514"/>
      <c r="JA177" s="514"/>
      <c r="JB177" s="514"/>
      <c r="JC177" s="514"/>
      <c r="JD177" s="514"/>
      <c r="JE177" s="514"/>
      <c r="JF177" s="514"/>
      <c r="JG177" s="514"/>
      <c r="JH177" s="514"/>
      <c r="JI177" s="514"/>
      <c r="JJ177" s="514"/>
      <c r="JK177" s="514"/>
      <c r="JL177" s="514"/>
      <c r="JM177" s="514"/>
      <c r="JN177" s="514"/>
      <c r="JO177" s="514"/>
      <c r="JP177" s="514"/>
      <c r="JQ177" s="514"/>
      <c r="JR177" s="514"/>
      <c r="JS177" s="514"/>
      <c r="JT177" s="514"/>
      <c r="JU177" s="514"/>
      <c r="JV177" s="514"/>
      <c r="JW177" s="514"/>
      <c r="JX177" s="514"/>
      <c r="JY177" s="514"/>
      <c r="JZ177" s="514"/>
      <c r="KA177" s="514"/>
      <c r="KB177" s="514"/>
      <c r="KC177" s="514"/>
      <c r="KD177" s="514"/>
      <c r="KE177" s="514"/>
      <c r="KF177" s="514"/>
      <c r="KG177" s="514"/>
      <c r="KH177" s="514"/>
      <c r="KI177" s="514"/>
      <c r="KJ177" s="514"/>
      <c r="KK177" s="514"/>
      <c r="KL177" s="514"/>
      <c r="KM177" s="514"/>
      <c r="KN177" s="514"/>
      <c r="KO177" s="514"/>
      <c r="KP177" s="514"/>
      <c r="KQ177" s="514"/>
      <c r="KR177" s="514"/>
      <c r="KS177" s="514"/>
      <c r="KT177" s="514"/>
      <c r="KU177" s="514"/>
      <c r="KV177" s="514"/>
      <c r="KW177" s="514"/>
      <c r="KX177" s="514"/>
      <c r="KY177" s="514"/>
      <c r="KZ177" s="514"/>
      <c r="LA177" s="514"/>
      <c r="LB177" s="514"/>
      <c r="LC177" s="514"/>
      <c r="LD177" s="514"/>
      <c r="LE177" s="514"/>
      <c r="LF177" s="514"/>
    </row>
    <row r="178" spans="1:318" s="509" customFormat="1" ht="24" customHeight="1">
      <c r="A178" s="1018" t="s">
        <v>1249</v>
      </c>
      <c r="B178" s="1019"/>
      <c r="C178" s="1019"/>
      <c r="D178" s="1019"/>
      <c r="E178" s="1019"/>
      <c r="F178" s="1019"/>
      <c r="G178" s="1019"/>
      <c r="H178" s="1019"/>
      <c r="I178" s="1019"/>
      <c r="J178" s="1019"/>
      <c r="K178" s="1019"/>
      <c r="L178" s="1019"/>
      <c r="M178" s="1019"/>
      <c r="N178" s="1020"/>
      <c r="O178" s="514"/>
      <c r="P178" s="514"/>
      <c r="Q178" s="514"/>
      <c r="R178" s="514"/>
      <c r="S178" s="514"/>
      <c r="T178" s="514"/>
      <c r="U178" s="514"/>
      <c r="V178" s="514"/>
      <c r="W178" s="514"/>
      <c r="X178" s="514"/>
      <c r="Y178" s="514"/>
      <c r="Z178" s="514"/>
      <c r="AA178" s="514"/>
      <c r="AB178" s="514"/>
      <c r="AC178" s="514"/>
      <c r="AD178" s="515"/>
      <c r="AE178" s="514"/>
      <c r="AF178" s="514"/>
      <c r="AG178" s="514"/>
      <c r="AH178" s="514"/>
      <c r="AI178" s="514"/>
      <c r="AJ178" s="515"/>
      <c r="AK178" s="514"/>
      <c r="AL178" s="514"/>
      <c r="AM178" s="514"/>
      <c r="AN178" s="514"/>
      <c r="AO178" s="514"/>
      <c r="AP178" s="515"/>
      <c r="AQ178" s="514"/>
      <c r="AR178" s="514"/>
      <c r="AS178" s="514"/>
      <c r="AT178" s="514"/>
      <c r="AU178" s="514"/>
      <c r="AV178" s="515"/>
      <c r="AW178" s="514"/>
      <c r="AX178" s="514"/>
      <c r="AY178" s="514"/>
      <c r="AZ178" s="514"/>
      <c r="BA178" s="514"/>
      <c r="BB178" s="515"/>
      <c r="BC178" s="514"/>
      <c r="BD178" s="514"/>
      <c r="BE178" s="514"/>
      <c r="BF178" s="514"/>
      <c r="BG178" s="514"/>
      <c r="BH178" s="514"/>
      <c r="BI178" s="514"/>
      <c r="BJ178" s="514"/>
      <c r="BK178" s="514"/>
      <c r="BL178" s="514"/>
      <c r="BM178" s="514"/>
      <c r="BN178" s="514"/>
      <c r="BO178" s="514"/>
      <c r="BP178" s="514"/>
      <c r="BQ178" s="514"/>
      <c r="BR178" s="514"/>
      <c r="BS178" s="514"/>
      <c r="BT178" s="514"/>
      <c r="BU178" s="514"/>
      <c r="BV178" s="514"/>
      <c r="BW178" s="514"/>
      <c r="BX178" s="514"/>
      <c r="BY178" s="514"/>
      <c r="BZ178" s="514"/>
      <c r="CA178" s="514"/>
      <c r="CB178" s="514"/>
      <c r="CC178" s="514"/>
      <c r="CD178" s="514"/>
      <c r="CE178" s="514"/>
      <c r="CF178" s="514"/>
      <c r="CG178" s="514"/>
      <c r="CH178" s="514"/>
      <c r="CI178" s="514"/>
      <c r="CJ178" s="514"/>
      <c r="CK178" s="514"/>
      <c r="CL178" s="514"/>
      <c r="CM178" s="514"/>
      <c r="CN178" s="514"/>
      <c r="CO178" s="514"/>
      <c r="CP178" s="514"/>
      <c r="CQ178" s="514"/>
      <c r="CR178" s="514"/>
      <c r="CS178" s="514"/>
      <c r="CT178" s="514"/>
      <c r="CU178" s="514"/>
      <c r="CV178" s="514"/>
      <c r="CW178" s="514"/>
      <c r="CX178" s="514"/>
      <c r="CY178" s="514"/>
      <c r="CZ178" s="514"/>
      <c r="DA178" s="514"/>
      <c r="DB178" s="514"/>
      <c r="DC178" s="514"/>
      <c r="DD178" s="514"/>
      <c r="DE178" s="514"/>
      <c r="DF178" s="514"/>
      <c r="DG178" s="514"/>
      <c r="DH178" s="514"/>
      <c r="DI178" s="514"/>
      <c r="DJ178" s="514"/>
      <c r="DK178" s="514"/>
      <c r="DL178" s="514"/>
      <c r="DM178" s="514"/>
      <c r="DN178" s="514"/>
      <c r="DO178" s="514"/>
      <c r="DP178" s="514"/>
      <c r="DQ178" s="514"/>
      <c r="DR178" s="514"/>
      <c r="DS178" s="514"/>
      <c r="DT178" s="514"/>
      <c r="DU178" s="514"/>
      <c r="DV178" s="514"/>
      <c r="DW178" s="514"/>
      <c r="DX178" s="514"/>
      <c r="DY178" s="514"/>
      <c r="DZ178" s="514"/>
      <c r="EA178" s="514"/>
      <c r="EB178" s="514"/>
      <c r="EC178" s="514"/>
      <c r="ED178" s="514"/>
      <c r="EE178" s="514"/>
      <c r="EF178" s="514"/>
      <c r="EG178" s="514"/>
      <c r="EH178" s="514"/>
      <c r="EI178" s="514"/>
      <c r="EJ178" s="514"/>
      <c r="EK178" s="514"/>
      <c r="EL178" s="514"/>
      <c r="EM178" s="514"/>
      <c r="EN178" s="514"/>
      <c r="EO178" s="514"/>
      <c r="EP178" s="514"/>
      <c r="EQ178" s="514"/>
      <c r="ER178" s="514"/>
      <c r="ES178" s="514"/>
      <c r="ET178" s="514"/>
      <c r="EU178" s="514"/>
      <c r="EV178" s="514"/>
      <c r="EW178" s="514"/>
      <c r="EX178" s="514"/>
      <c r="EY178" s="514"/>
      <c r="EZ178" s="514"/>
      <c r="FA178" s="514"/>
      <c r="FB178" s="514"/>
      <c r="FC178" s="514"/>
      <c r="FD178" s="514"/>
      <c r="FE178" s="514"/>
      <c r="FF178" s="514"/>
      <c r="FG178" s="514"/>
      <c r="FH178" s="514"/>
      <c r="FI178" s="514"/>
      <c r="FJ178" s="514"/>
      <c r="FK178" s="514"/>
      <c r="FL178" s="514"/>
      <c r="FM178" s="514"/>
      <c r="FN178" s="514"/>
      <c r="FO178" s="514"/>
      <c r="FP178" s="514"/>
      <c r="FQ178" s="514"/>
      <c r="FR178" s="514"/>
      <c r="FS178" s="514"/>
      <c r="FT178" s="514"/>
      <c r="FU178" s="514"/>
      <c r="FV178" s="514"/>
      <c r="FW178" s="514"/>
      <c r="FX178" s="514"/>
      <c r="FY178" s="514"/>
      <c r="FZ178" s="514"/>
      <c r="GA178" s="514"/>
      <c r="GB178" s="514"/>
      <c r="GC178" s="514"/>
      <c r="GD178" s="514"/>
      <c r="GE178" s="514"/>
      <c r="GF178" s="514"/>
      <c r="GG178" s="514"/>
      <c r="GH178" s="514"/>
      <c r="GI178" s="514"/>
      <c r="GJ178" s="514"/>
      <c r="GK178" s="514"/>
      <c r="GL178" s="514"/>
      <c r="GM178" s="514"/>
      <c r="GN178" s="514"/>
      <c r="GO178" s="514"/>
      <c r="GP178" s="514"/>
      <c r="GQ178" s="514"/>
      <c r="GR178" s="514"/>
      <c r="GS178" s="514"/>
      <c r="GT178" s="514"/>
      <c r="GU178" s="514"/>
      <c r="GV178" s="514"/>
      <c r="GW178" s="514"/>
      <c r="GX178" s="514"/>
      <c r="GY178" s="514"/>
      <c r="GZ178" s="514"/>
      <c r="HA178" s="514"/>
      <c r="HB178" s="514"/>
      <c r="HC178" s="514"/>
      <c r="HD178" s="514"/>
      <c r="HE178" s="514"/>
      <c r="HF178" s="514"/>
      <c r="HG178" s="514"/>
      <c r="HH178" s="514"/>
      <c r="HI178" s="514"/>
      <c r="HJ178" s="514"/>
      <c r="HK178" s="514"/>
      <c r="HL178" s="514"/>
      <c r="HM178" s="514"/>
      <c r="HN178" s="514"/>
      <c r="HO178" s="514"/>
      <c r="HP178" s="514"/>
      <c r="HQ178" s="514"/>
      <c r="HR178" s="514"/>
      <c r="HS178" s="514"/>
      <c r="HT178" s="514"/>
      <c r="HU178" s="514"/>
      <c r="HV178" s="514"/>
      <c r="HW178" s="514"/>
      <c r="HX178" s="514"/>
      <c r="HY178" s="514"/>
      <c r="HZ178" s="514"/>
      <c r="IA178" s="514"/>
      <c r="IB178" s="514"/>
      <c r="IC178" s="514"/>
      <c r="ID178" s="514"/>
      <c r="IE178" s="514"/>
      <c r="IF178" s="514"/>
      <c r="IG178" s="514"/>
      <c r="IH178" s="514"/>
      <c r="II178" s="514"/>
      <c r="IJ178" s="514"/>
      <c r="IK178" s="514"/>
      <c r="IL178" s="514"/>
      <c r="IM178" s="514"/>
      <c r="IN178" s="514"/>
      <c r="IO178" s="514"/>
      <c r="IP178" s="514"/>
      <c r="IQ178" s="514"/>
      <c r="IR178" s="514"/>
      <c r="IS178" s="514"/>
      <c r="IT178" s="514"/>
      <c r="IU178" s="514"/>
      <c r="IV178" s="514"/>
      <c r="IW178" s="514"/>
      <c r="IX178" s="514"/>
      <c r="IY178" s="514"/>
      <c r="IZ178" s="514"/>
      <c r="JA178" s="514"/>
      <c r="JB178" s="514"/>
      <c r="JC178" s="514"/>
      <c r="JD178" s="514"/>
      <c r="JE178" s="514"/>
      <c r="JF178" s="514"/>
      <c r="JG178" s="514"/>
      <c r="JH178" s="514"/>
      <c r="JI178" s="514"/>
      <c r="JJ178" s="514"/>
      <c r="JK178" s="514"/>
      <c r="JL178" s="514"/>
      <c r="JM178" s="514"/>
      <c r="JN178" s="514"/>
      <c r="JO178" s="514"/>
      <c r="JP178" s="514"/>
      <c r="JQ178" s="514"/>
      <c r="JR178" s="514"/>
      <c r="JS178" s="514"/>
      <c r="JT178" s="514"/>
      <c r="JU178" s="514"/>
      <c r="JV178" s="514"/>
      <c r="JW178" s="514"/>
      <c r="JX178" s="514"/>
      <c r="JY178" s="514"/>
      <c r="JZ178" s="514"/>
      <c r="KA178" s="514"/>
      <c r="KB178" s="514"/>
      <c r="KC178" s="514"/>
      <c r="KD178" s="514"/>
      <c r="KE178" s="514"/>
      <c r="KF178" s="514"/>
      <c r="KG178" s="514"/>
      <c r="KH178" s="514"/>
      <c r="KI178" s="514"/>
      <c r="KJ178" s="514"/>
      <c r="KK178" s="514"/>
      <c r="KL178" s="514"/>
      <c r="KM178" s="514"/>
      <c r="KN178" s="514"/>
      <c r="KO178" s="514"/>
      <c r="KP178" s="514"/>
      <c r="KQ178" s="514"/>
      <c r="KR178" s="514"/>
      <c r="KS178" s="514"/>
      <c r="KT178" s="514"/>
      <c r="KU178" s="514"/>
      <c r="KV178" s="514"/>
      <c r="KW178" s="514"/>
      <c r="KX178" s="514"/>
      <c r="KY178" s="514"/>
      <c r="KZ178" s="514"/>
      <c r="LA178" s="514"/>
      <c r="LB178" s="514"/>
      <c r="LC178" s="514"/>
      <c r="LD178" s="514"/>
      <c r="LE178" s="514"/>
      <c r="LF178" s="514"/>
    </row>
    <row r="179" spans="1:318" ht="88.05" customHeight="1" thickBot="1">
      <c r="A179" s="1024" t="s">
        <v>1244</v>
      </c>
      <c r="B179" s="1025"/>
      <c r="C179" s="1025"/>
      <c r="D179" s="1025"/>
      <c r="E179" s="1025"/>
      <c r="F179" s="1025"/>
      <c r="G179" s="1025"/>
      <c r="H179" s="1025"/>
      <c r="I179" s="1025"/>
      <c r="J179" s="1025"/>
      <c r="K179" s="1025"/>
      <c r="L179" s="1025"/>
      <c r="M179" s="1025"/>
      <c r="N179" s="1026"/>
      <c r="O179" s="865"/>
      <c r="P179" s="865"/>
      <c r="Q179" s="865"/>
      <c r="R179" s="865"/>
      <c r="S179" s="865"/>
      <c r="T179" s="865"/>
      <c r="U179" s="865"/>
      <c r="V179" s="865"/>
      <c r="W179" s="865"/>
      <c r="X179" s="865"/>
      <c r="Y179" s="865"/>
      <c r="Z179" s="865"/>
      <c r="AA179" s="865"/>
      <c r="AB179" s="865"/>
      <c r="AC179" s="865"/>
      <c r="AD179" s="510"/>
      <c r="AE179" s="865"/>
      <c r="AF179" s="865"/>
      <c r="AG179" s="865"/>
      <c r="AH179" s="865"/>
      <c r="AI179" s="865"/>
      <c r="AJ179" s="510"/>
      <c r="AK179" s="865"/>
      <c r="AL179" s="865"/>
      <c r="AM179" s="865"/>
      <c r="AN179" s="865"/>
      <c r="AO179" s="865"/>
      <c r="AP179" s="510"/>
      <c r="AQ179" s="865"/>
      <c r="AR179" s="865"/>
      <c r="AS179" s="865"/>
      <c r="AT179" s="865"/>
      <c r="AU179" s="865"/>
      <c r="AV179" s="510"/>
      <c r="AW179" s="865"/>
      <c r="AX179" s="865"/>
      <c r="AY179" s="865"/>
      <c r="AZ179" s="865"/>
      <c r="BA179" s="865"/>
      <c r="BB179" s="510"/>
      <c r="BC179" s="865"/>
      <c r="BD179" s="865"/>
      <c r="BE179" s="865"/>
      <c r="BF179" s="865"/>
      <c r="BG179" s="865"/>
      <c r="BH179" s="865"/>
      <c r="BI179" s="865"/>
      <c r="BJ179" s="865"/>
      <c r="BK179" s="865"/>
      <c r="BL179" s="865"/>
      <c r="BM179" s="865"/>
      <c r="BN179" s="865"/>
      <c r="BO179" s="865"/>
      <c r="BP179" s="865"/>
      <c r="BQ179" s="865"/>
      <c r="BR179" s="865"/>
      <c r="BS179" s="865"/>
      <c r="BT179" s="865"/>
      <c r="BU179" s="865"/>
      <c r="BV179" s="865"/>
      <c r="BW179" s="865"/>
      <c r="BX179" s="865"/>
      <c r="BY179" s="874"/>
      <c r="BZ179" s="874"/>
      <c r="CA179" s="874"/>
      <c r="CB179" s="874"/>
      <c r="CC179" s="874"/>
      <c r="CD179" s="874"/>
      <c r="CE179" s="874"/>
      <c r="CF179" s="874"/>
      <c r="CG179" s="874"/>
      <c r="CH179" s="874"/>
      <c r="CI179" s="874"/>
      <c r="CJ179" s="874"/>
      <c r="CK179" s="874"/>
      <c r="CL179" s="874"/>
      <c r="CM179" s="874"/>
      <c r="CN179" s="874"/>
      <c r="CO179" s="874"/>
      <c r="CP179" s="874"/>
      <c r="CQ179" s="874"/>
      <c r="CR179" s="874"/>
      <c r="CS179" s="874"/>
      <c r="CT179" s="874"/>
      <c r="CU179" s="874"/>
      <c r="CV179" s="874"/>
      <c r="CW179" s="874"/>
      <c r="CX179" s="874"/>
      <c r="CY179" s="874"/>
      <c r="CZ179" s="874"/>
      <c r="DA179" s="874"/>
      <c r="DB179" s="874"/>
      <c r="DC179" s="874"/>
      <c r="DD179" s="874"/>
      <c r="DE179" s="874"/>
      <c r="DF179" s="874"/>
      <c r="DG179" s="874"/>
      <c r="DH179" s="874"/>
      <c r="DI179" s="874"/>
      <c r="DJ179" s="874"/>
      <c r="DK179" s="874"/>
      <c r="DL179" s="874"/>
      <c r="DM179" s="874"/>
      <c r="DN179" s="874"/>
      <c r="DO179" s="874"/>
      <c r="DP179" s="874"/>
      <c r="DQ179" s="874"/>
      <c r="DR179" s="874"/>
      <c r="DS179" s="874"/>
      <c r="DT179" s="874"/>
      <c r="DU179" s="874"/>
      <c r="DV179" s="874"/>
      <c r="DW179" s="874"/>
      <c r="DX179" s="874"/>
      <c r="DY179" s="874"/>
      <c r="DZ179" s="874"/>
      <c r="EA179" s="874"/>
      <c r="EB179" s="874"/>
      <c r="EC179" s="874"/>
      <c r="ED179" s="874"/>
      <c r="EE179" s="874"/>
      <c r="EF179" s="874"/>
      <c r="EG179" s="874"/>
      <c r="EH179" s="874"/>
      <c r="EI179" s="874"/>
      <c r="EJ179" s="874"/>
      <c r="EK179" s="874"/>
      <c r="EL179" s="874"/>
      <c r="EM179" s="874"/>
      <c r="EN179" s="874"/>
      <c r="EO179" s="874"/>
      <c r="EP179" s="874"/>
      <c r="EQ179" s="874"/>
      <c r="ER179" s="874"/>
      <c r="ES179" s="874"/>
      <c r="ET179" s="874"/>
      <c r="EU179" s="874"/>
      <c r="EV179" s="874"/>
      <c r="EW179" s="874"/>
      <c r="EX179" s="874"/>
      <c r="EY179" s="874"/>
      <c r="EZ179" s="874"/>
      <c r="FA179" s="874"/>
      <c r="FB179" s="874"/>
      <c r="FC179" s="874"/>
      <c r="FD179" s="874"/>
      <c r="FE179" s="874"/>
      <c r="FF179" s="874"/>
      <c r="FG179" s="874"/>
      <c r="FH179" s="874"/>
      <c r="FI179" s="874"/>
      <c r="FJ179" s="874"/>
      <c r="FK179" s="874"/>
      <c r="FL179" s="874"/>
      <c r="FM179" s="874"/>
      <c r="FN179" s="874"/>
      <c r="FO179" s="874"/>
      <c r="FP179" s="874"/>
      <c r="FQ179" s="874"/>
      <c r="FR179" s="874"/>
      <c r="FS179" s="874"/>
      <c r="FT179" s="874"/>
      <c r="FU179" s="874"/>
      <c r="FV179" s="874"/>
      <c r="FW179" s="874"/>
      <c r="FX179" s="874"/>
      <c r="FY179" s="874"/>
      <c r="FZ179" s="874"/>
      <c r="GA179" s="874"/>
      <c r="GB179" s="874"/>
      <c r="GC179" s="874"/>
      <c r="GD179" s="874"/>
      <c r="GE179" s="874"/>
      <c r="GF179" s="874"/>
      <c r="GG179" s="874"/>
      <c r="GH179" s="874"/>
      <c r="GI179" s="874"/>
      <c r="GJ179" s="874"/>
      <c r="GK179" s="874"/>
      <c r="GL179" s="874"/>
      <c r="GM179" s="874"/>
      <c r="GN179" s="874"/>
      <c r="GO179" s="874"/>
      <c r="GP179" s="874"/>
      <c r="GQ179" s="874"/>
      <c r="GR179" s="874"/>
      <c r="GS179" s="874"/>
      <c r="GT179" s="874"/>
      <c r="GU179" s="874"/>
      <c r="GV179" s="874"/>
      <c r="GW179" s="874"/>
      <c r="GX179" s="874"/>
      <c r="GY179" s="874"/>
      <c r="GZ179" s="874"/>
      <c r="HA179" s="874"/>
      <c r="HB179" s="874"/>
      <c r="HC179" s="874"/>
      <c r="HD179" s="874"/>
      <c r="HE179" s="874"/>
      <c r="HF179" s="874"/>
      <c r="HG179" s="874"/>
      <c r="HH179" s="874"/>
      <c r="HI179" s="874"/>
      <c r="HJ179" s="874"/>
      <c r="HK179" s="874"/>
      <c r="HL179" s="874"/>
      <c r="HM179" s="874"/>
      <c r="HN179" s="874"/>
      <c r="HO179" s="874"/>
      <c r="HP179" s="874"/>
      <c r="HQ179" s="874"/>
      <c r="HR179" s="874"/>
      <c r="HS179" s="874"/>
      <c r="HT179" s="874"/>
      <c r="HU179" s="874"/>
      <c r="HV179" s="874"/>
      <c r="HW179" s="874"/>
      <c r="HX179" s="874"/>
      <c r="HY179" s="874"/>
      <c r="HZ179" s="874"/>
      <c r="IA179" s="874"/>
      <c r="IB179" s="874"/>
      <c r="IC179" s="874"/>
      <c r="ID179" s="874"/>
      <c r="IE179" s="874"/>
      <c r="IF179" s="874"/>
      <c r="IG179" s="874"/>
      <c r="IH179" s="874"/>
      <c r="II179" s="874"/>
      <c r="IJ179" s="874"/>
      <c r="IK179" s="874"/>
      <c r="IL179" s="874"/>
      <c r="IM179" s="874"/>
      <c r="IN179" s="874"/>
      <c r="IO179" s="874"/>
      <c r="IP179" s="874"/>
      <c r="IQ179" s="874"/>
      <c r="IR179" s="874"/>
      <c r="IS179" s="874"/>
      <c r="IT179" s="874"/>
      <c r="IU179" s="874"/>
      <c r="IV179" s="874"/>
      <c r="IW179" s="874"/>
      <c r="IX179" s="874"/>
      <c r="IY179" s="874"/>
      <c r="IZ179" s="874"/>
      <c r="JA179" s="874"/>
      <c r="JB179" s="874"/>
      <c r="JC179" s="874"/>
      <c r="JD179" s="874"/>
      <c r="JE179" s="874"/>
      <c r="JF179" s="874"/>
      <c r="JG179" s="874"/>
      <c r="JH179" s="874"/>
      <c r="JI179" s="874"/>
      <c r="JJ179" s="874"/>
      <c r="JK179" s="874"/>
      <c r="JL179" s="874"/>
      <c r="JM179" s="874"/>
      <c r="JN179" s="874"/>
      <c r="JO179" s="874"/>
      <c r="JP179" s="874"/>
      <c r="JQ179" s="874"/>
      <c r="JR179" s="874"/>
      <c r="JS179" s="874"/>
      <c r="JT179" s="874"/>
      <c r="JU179" s="874"/>
      <c r="JV179" s="874"/>
      <c r="JW179" s="874"/>
      <c r="JX179" s="874"/>
      <c r="JY179" s="874"/>
      <c r="JZ179" s="874"/>
      <c r="KA179" s="874"/>
      <c r="KB179" s="874"/>
      <c r="KC179" s="874"/>
      <c r="KD179" s="874"/>
      <c r="KE179" s="874"/>
      <c r="KF179" s="874"/>
      <c r="KG179" s="874"/>
      <c r="KH179" s="865"/>
      <c r="KI179" s="865"/>
      <c r="KJ179" s="865"/>
      <c r="KK179" s="865"/>
      <c r="KL179" s="865"/>
      <c r="KM179" s="865"/>
      <c r="KN179" s="865"/>
      <c r="KO179" s="865"/>
      <c r="KP179" s="865"/>
      <c r="KQ179" s="865"/>
      <c r="KR179" s="865"/>
      <c r="KS179" s="865"/>
      <c r="KT179" s="865"/>
      <c r="KU179" s="865"/>
      <c r="KV179" s="865"/>
      <c r="KW179" s="865"/>
      <c r="KX179" s="865"/>
      <c r="KY179" s="865"/>
      <c r="KZ179" s="865"/>
      <c r="LA179" s="865"/>
      <c r="LB179" s="865"/>
      <c r="LC179" s="865"/>
      <c r="LD179" s="865"/>
      <c r="LE179" s="865"/>
      <c r="LF179" s="865"/>
    </row>
    <row r="180" spans="1:318">
      <c r="A180" s="865"/>
      <c r="B180" s="865"/>
      <c r="C180" s="865"/>
      <c r="D180" s="865"/>
      <c r="E180" s="865"/>
      <c r="F180" s="865"/>
      <c r="G180" s="865"/>
      <c r="H180" s="865"/>
      <c r="I180" s="865"/>
      <c r="J180" s="865"/>
      <c r="K180" s="865"/>
      <c r="L180" s="865"/>
      <c r="M180" s="865"/>
      <c r="N180" s="865"/>
      <c r="O180" s="865"/>
      <c r="P180" s="865"/>
      <c r="Q180" s="865"/>
      <c r="R180" s="865"/>
      <c r="S180" s="865"/>
      <c r="T180" s="865"/>
      <c r="U180" s="865"/>
      <c r="V180" s="865"/>
      <c r="W180" s="865"/>
      <c r="X180" s="865"/>
      <c r="Y180" s="865"/>
      <c r="Z180" s="865"/>
      <c r="AA180" s="865"/>
      <c r="AB180" s="865"/>
      <c r="AC180" s="865"/>
      <c r="AD180" s="510"/>
      <c r="AE180" s="865"/>
      <c r="AF180" s="865"/>
      <c r="AG180" s="865"/>
      <c r="AH180" s="865"/>
      <c r="AI180" s="865"/>
      <c r="AJ180" s="510"/>
      <c r="AK180" s="865"/>
      <c r="AL180" s="865"/>
      <c r="AM180" s="865"/>
      <c r="AN180" s="865"/>
      <c r="AO180" s="865"/>
      <c r="AP180" s="510"/>
      <c r="AQ180" s="865"/>
      <c r="AR180" s="865"/>
      <c r="AS180" s="865"/>
      <c r="AT180" s="865"/>
      <c r="AU180" s="865"/>
      <c r="AV180" s="510"/>
      <c r="AW180" s="865"/>
      <c r="AX180" s="865"/>
      <c r="AY180" s="865"/>
      <c r="AZ180" s="865"/>
      <c r="BA180" s="865"/>
      <c r="BB180" s="510"/>
      <c r="BC180" s="865"/>
      <c r="BD180" s="865"/>
      <c r="BE180" s="865"/>
      <c r="BF180" s="865"/>
      <c r="BG180" s="865"/>
      <c r="BH180" s="865"/>
      <c r="BI180" s="865"/>
      <c r="BJ180" s="865"/>
      <c r="BK180" s="865"/>
      <c r="BL180" s="865"/>
      <c r="BM180" s="865"/>
      <c r="BN180" s="865"/>
      <c r="BO180" s="865"/>
      <c r="BP180" s="865"/>
      <c r="BQ180" s="865"/>
      <c r="BR180" s="865"/>
      <c r="BS180" s="865"/>
      <c r="BT180" s="865"/>
      <c r="BU180" s="865"/>
      <c r="BV180" s="865"/>
      <c r="BW180" s="865"/>
      <c r="BX180" s="865"/>
      <c r="BY180" s="874"/>
      <c r="BZ180" s="874"/>
      <c r="CA180" s="874"/>
      <c r="CB180" s="874"/>
      <c r="CC180" s="874"/>
      <c r="CD180" s="874"/>
      <c r="CE180" s="874"/>
      <c r="CF180" s="874"/>
      <c r="CG180" s="874"/>
      <c r="CH180" s="874"/>
      <c r="CI180" s="874"/>
      <c r="CJ180" s="874"/>
      <c r="CK180" s="874"/>
      <c r="CL180" s="874"/>
      <c r="CM180" s="874"/>
      <c r="CN180" s="874"/>
      <c r="CO180" s="874"/>
      <c r="CP180" s="874"/>
      <c r="CQ180" s="874"/>
      <c r="CR180" s="874"/>
      <c r="CS180" s="874"/>
      <c r="CT180" s="874"/>
      <c r="CU180" s="874"/>
      <c r="CV180" s="874"/>
      <c r="CW180" s="874"/>
      <c r="CX180" s="874"/>
      <c r="CY180" s="874"/>
      <c r="CZ180" s="874"/>
      <c r="DA180" s="874"/>
      <c r="DB180" s="874"/>
      <c r="DC180" s="874"/>
      <c r="DD180" s="874"/>
      <c r="DE180" s="874"/>
      <c r="DF180" s="874"/>
      <c r="DG180" s="874"/>
      <c r="DH180" s="874"/>
      <c r="DI180" s="874"/>
      <c r="DJ180" s="874"/>
      <c r="DK180" s="874"/>
      <c r="DL180" s="874"/>
      <c r="DM180" s="874"/>
      <c r="DN180" s="874"/>
      <c r="DO180" s="874"/>
      <c r="DP180" s="874"/>
      <c r="DQ180" s="874"/>
      <c r="DR180" s="874"/>
      <c r="DS180" s="874"/>
      <c r="DT180" s="874"/>
      <c r="DU180" s="874"/>
      <c r="DV180" s="874"/>
      <c r="DW180" s="874"/>
      <c r="DX180" s="874"/>
      <c r="DY180" s="874"/>
      <c r="DZ180" s="874"/>
      <c r="EA180" s="874"/>
      <c r="EB180" s="874"/>
      <c r="EC180" s="874"/>
      <c r="ED180" s="874"/>
      <c r="EE180" s="874"/>
      <c r="EF180" s="874"/>
      <c r="EG180" s="874"/>
      <c r="EH180" s="874"/>
      <c r="EI180" s="874"/>
      <c r="EJ180" s="874"/>
      <c r="EK180" s="874"/>
      <c r="EL180" s="874"/>
      <c r="EM180" s="874"/>
      <c r="EN180" s="874"/>
      <c r="EO180" s="874"/>
      <c r="EP180" s="874"/>
      <c r="EQ180" s="874"/>
      <c r="ER180" s="874"/>
      <c r="ES180" s="874"/>
      <c r="ET180" s="874"/>
      <c r="EU180" s="874"/>
      <c r="EV180" s="874"/>
      <c r="EW180" s="874"/>
      <c r="EX180" s="874"/>
      <c r="EY180" s="874"/>
      <c r="EZ180" s="874"/>
      <c r="FA180" s="874"/>
      <c r="FB180" s="874"/>
      <c r="FC180" s="874"/>
      <c r="FD180" s="874"/>
      <c r="FE180" s="874"/>
      <c r="FF180" s="874"/>
      <c r="FG180" s="874"/>
      <c r="FH180" s="874"/>
      <c r="FI180" s="874"/>
      <c r="FJ180" s="874"/>
      <c r="FK180" s="874"/>
      <c r="FL180" s="874"/>
      <c r="FM180" s="874"/>
      <c r="FN180" s="874"/>
      <c r="FO180" s="874"/>
      <c r="FP180" s="874"/>
      <c r="FQ180" s="874"/>
      <c r="FR180" s="874"/>
      <c r="FS180" s="874"/>
      <c r="FT180" s="874"/>
      <c r="FU180" s="874"/>
      <c r="FV180" s="874"/>
      <c r="FW180" s="874"/>
      <c r="FX180" s="874"/>
      <c r="FY180" s="874"/>
      <c r="FZ180" s="874"/>
      <c r="GA180" s="874"/>
      <c r="GB180" s="874"/>
      <c r="GC180" s="874"/>
      <c r="GD180" s="874"/>
      <c r="GE180" s="874"/>
      <c r="GF180" s="874"/>
      <c r="GG180" s="874"/>
      <c r="GH180" s="874"/>
      <c r="GI180" s="874"/>
      <c r="GJ180" s="874"/>
      <c r="GK180" s="874"/>
      <c r="GL180" s="874"/>
      <c r="GM180" s="874"/>
      <c r="GN180" s="874"/>
      <c r="GO180" s="874"/>
      <c r="GP180" s="874"/>
      <c r="GQ180" s="874"/>
      <c r="GR180" s="874"/>
      <c r="GS180" s="874"/>
      <c r="GT180" s="874"/>
      <c r="GU180" s="874"/>
      <c r="GV180" s="874"/>
      <c r="GW180" s="874"/>
      <c r="GX180" s="874"/>
      <c r="GY180" s="874"/>
      <c r="GZ180" s="874"/>
      <c r="HA180" s="874"/>
      <c r="HB180" s="874"/>
      <c r="HC180" s="874"/>
      <c r="HD180" s="874"/>
      <c r="HE180" s="874"/>
      <c r="HF180" s="874"/>
      <c r="HG180" s="874"/>
      <c r="HH180" s="874"/>
      <c r="HI180" s="874"/>
      <c r="HJ180" s="874"/>
      <c r="HK180" s="874"/>
      <c r="HL180" s="874"/>
      <c r="HM180" s="874"/>
      <c r="HN180" s="874"/>
      <c r="HO180" s="874"/>
      <c r="HP180" s="874"/>
      <c r="HQ180" s="874"/>
      <c r="HR180" s="874"/>
      <c r="HS180" s="874"/>
      <c r="HT180" s="874"/>
      <c r="HU180" s="874"/>
      <c r="HV180" s="874"/>
      <c r="HW180" s="874"/>
      <c r="HX180" s="874"/>
      <c r="HY180" s="874"/>
      <c r="HZ180" s="874"/>
      <c r="IA180" s="874"/>
      <c r="IB180" s="874"/>
      <c r="IC180" s="874"/>
      <c r="ID180" s="874"/>
      <c r="IE180" s="874"/>
      <c r="IF180" s="874"/>
      <c r="IG180" s="874"/>
      <c r="IH180" s="874"/>
      <c r="II180" s="874"/>
      <c r="IJ180" s="874"/>
      <c r="IK180" s="874"/>
      <c r="IL180" s="874"/>
      <c r="IM180" s="874"/>
      <c r="IN180" s="874"/>
      <c r="IO180" s="874"/>
      <c r="IP180" s="874"/>
      <c r="IQ180" s="874"/>
      <c r="IR180" s="874"/>
      <c r="IS180" s="874"/>
      <c r="IT180" s="874"/>
      <c r="IU180" s="874"/>
      <c r="IV180" s="874"/>
      <c r="IW180" s="874"/>
      <c r="IX180" s="874"/>
      <c r="IY180" s="874"/>
      <c r="IZ180" s="874"/>
      <c r="JA180" s="874"/>
      <c r="JB180" s="874"/>
      <c r="JC180" s="874"/>
      <c r="JD180" s="874"/>
      <c r="JE180" s="874"/>
      <c r="JF180" s="874"/>
      <c r="JG180" s="874"/>
      <c r="JH180" s="874"/>
      <c r="JI180" s="874"/>
      <c r="JJ180" s="874"/>
      <c r="JK180" s="874"/>
      <c r="JL180" s="874"/>
      <c r="JM180" s="874"/>
      <c r="JN180" s="874"/>
      <c r="JO180" s="874"/>
      <c r="JP180" s="874"/>
      <c r="JQ180" s="874"/>
      <c r="JR180" s="874"/>
      <c r="JS180" s="874"/>
      <c r="JT180" s="874"/>
      <c r="JU180" s="874"/>
      <c r="JV180" s="874"/>
      <c r="JW180" s="874"/>
      <c r="JX180" s="874"/>
      <c r="JY180" s="874"/>
      <c r="JZ180" s="874"/>
      <c r="KA180" s="874"/>
      <c r="KB180" s="874"/>
      <c r="KC180" s="874"/>
      <c r="KD180" s="874"/>
      <c r="KE180" s="874"/>
      <c r="KF180" s="874"/>
      <c r="KG180" s="874"/>
      <c r="KH180" s="865"/>
      <c r="KI180" s="865"/>
      <c r="KJ180" s="865"/>
      <c r="KK180" s="865"/>
      <c r="KL180" s="865"/>
      <c r="KM180" s="865"/>
      <c r="KN180" s="865"/>
      <c r="KO180" s="865"/>
      <c r="KP180" s="865"/>
      <c r="KQ180" s="865"/>
      <c r="KR180" s="865"/>
      <c r="KS180" s="865"/>
      <c r="KT180" s="865"/>
      <c r="KU180" s="865"/>
      <c r="KV180" s="865"/>
      <c r="KW180" s="865"/>
      <c r="KX180" s="865"/>
      <c r="KY180" s="865"/>
      <c r="KZ180" s="865"/>
      <c r="LA180" s="865"/>
      <c r="LB180" s="865"/>
      <c r="LC180" s="865"/>
      <c r="LD180" s="865"/>
      <c r="LE180" s="865"/>
      <c r="LF180" s="865"/>
    </row>
    <row r="181" spans="1:318">
      <c r="A181" s="865"/>
      <c r="B181" s="865"/>
      <c r="C181" s="865"/>
      <c r="D181" s="865"/>
      <c r="E181" s="865"/>
      <c r="F181" s="865"/>
      <c r="G181" s="865"/>
      <c r="H181" s="865"/>
      <c r="I181" s="865"/>
      <c r="J181" s="865"/>
      <c r="K181" s="865"/>
      <c r="L181" s="865"/>
      <c r="M181" s="865"/>
      <c r="N181" s="865"/>
      <c r="O181" s="865"/>
      <c r="P181" s="865"/>
      <c r="Q181" s="865"/>
      <c r="R181" s="865"/>
      <c r="S181" s="865"/>
      <c r="T181" s="865"/>
      <c r="U181" s="865"/>
      <c r="V181" s="865"/>
      <c r="W181" s="865"/>
      <c r="X181" s="865"/>
      <c r="Y181" s="865"/>
      <c r="Z181" s="865"/>
      <c r="AA181" s="865"/>
      <c r="AB181" s="865"/>
      <c r="AC181" s="865"/>
      <c r="AD181" s="510"/>
      <c r="AE181" s="865"/>
      <c r="AF181" s="865"/>
      <c r="AG181" s="865"/>
      <c r="AH181" s="865"/>
      <c r="AI181" s="865"/>
      <c r="AJ181" s="510"/>
      <c r="AK181" s="865"/>
      <c r="AL181" s="865"/>
      <c r="AM181" s="865"/>
      <c r="AN181" s="865"/>
      <c r="AO181" s="865"/>
      <c r="AP181" s="510"/>
      <c r="AQ181" s="865"/>
      <c r="AR181" s="865"/>
      <c r="AS181" s="865"/>
      <c r="AT181" s="865"/>
      <c r="AU181" s="865"/>
      <c r="AV181" s="510"/>
      <c r="AW181" s="865"/>
      <c r="AX181" s="865"/>
      <c r="AY181" s="865"/>
      <c r="AZ181" s="865"/>
      <c r="BA181" s="865"/>
      <c r="BB181" s="510"/>
      <c r="BC181" s="865"/>
      <c r="BD181" s="865"/>
      <c r="BE181" s="865"/>
      <c r="BF181" s="865"/>
      <c r="BG181" s="865"/>
      <c r="BH181" s="865"/>
      <c r="BI181" s="865"/>
      <c r="BJ181" s="865"/>
      <c r="BK181" s="865"/>
      <c r="BL181" s="865"/>
      <c r="BM181" s="865"/>
      <c r="BN181" s="865"/>
      <c r="BO181" s="865"/>
      <c r="BP181" s="865"/>
      <c r="BQ181" s="865"/>
      <c r="BR181" s="865"/>
      <c r="BS181" s="865"/>
      <c r="BT181" s="865"/>
      <c r="BU181" s="865"/>
      <c r="BV181" s="865"/>
      <c r="BW181" s="865"/>
      <c r="BX181" s="865"/>
      <c r="BY181" s="874"/>
      <c r="BZ181" s="874"/>
      <c r="CA181" s="874"/>
      <c r="CB181" s="874"/>
      <c r="CC181" s="874"/>
      <c r="CD181" s="874"/>
      <c r="CE181" s="874"/>
      <c r="CF181" s="874"/>
      <c r="CG181" s="874"/>
      <c r="CH181" s="874"/>
      <c r="CI181" s="874"/>
      <c r="CJ181" s="874"/>
      <c r="CK181" s="874"/>
      <c r="CL181" s="874"/>
      <c r="CM181" s="874"/>
      <c r="CN181" s="874"/>
      <c r="CO181" s="874"/>
      <c r="CP181" s="874"/>
      <c r="CQ181" s="874"/>
      <c r="CR181" s="874"/>
      <c r="CS181" s="874"/>
      <c r="CT181" s="874"/>
      <c r="CU181" s="874"/>
      <c r="CV181" s="874"/>
      <c r="CW181" s="874"/>
      <c r="CX181" s="874"/>
      <c r="CY181" s="874"/>
      <c r="CZ181" s="874"/>
      <c r="DA181" s="874"/>
      <c r="DB181" s="874"/>
      <c r="DC181" s="874"/>
      <c r="DD181" s="874"/>
      <c r="DE181" s="874"/>
      <c r="DF181" s="874"/>
      <c r="DG181" s="874"/>
      <c r="DH181" s="874"/>
      <c r="DI181" s="874"/>
      <c r="DJ181" s="874"/>
      <c r="DK181" s="874"/>
      <c r="DL181" s="874"/>
      <c r="DM181" s="874"/>
      <c r="DN181" s="874"/>
      <c r="DO181" s="874"/>
      <c r="DP181" s="874"/>
      <c r="DQ181" s="874"/>
      <c r="DR181" s="874"/>
      <c r="DS181" s="874"/>
      <c r="DT181" s="874"/>
      <c r="DU181" s="874"/>
      <c r="DV181" s="874"/>
      <c r="DW181" s="874"/>
      <c r="DX181" s="874"/>
      <c r="DY181" s="874"/>
      <c r="DZ181" s="874"/>
      <c r="EA181" s="874"/>
      <c r="EB181" s="874"/>
      <c r="EC181" s="874"/>
      <c r="ED181" s="874"/>
      <c r="EE181" s="874"/>
      <c r="EF181" s="874"/>
      <c r="EG181" s="874"/>
      <c r="EH181" s="874"/>
      <c r="EI181" s="874"/>
      <c r="EJ181" s="874"/>
      <c r="EK181" s="874"/>
      <c r="EL181" s="874"/>
      <c r="EM181" s="874"/>
      <c r="EN181" s="874"/>
      <c r="EO181" s="874"/>
      <c r="EP181" s="874"/>
      <c r="EQ181" s="874"/>
      <c r="ER181" s="874"/>
      <c r="ES181" s="874"/>
      <c r="ET181" s="874"/>
      <c r="EU181" s="874"/>
      <c r="EV181" s="874"/>
      <c r="EW181" s="874"/>
      <c r="EX181" s="874"/>
      <c r="EY181" s="874"/>
      <c r="EZ181" s="874"/>
      <c r="FA181" s="874"/>
      <c r="FB181" s="874"/>
      <c r="FC181" s="874"/>
      <c r="FD181" s="874"/>
      <c r="FE181" s="874"/>
      <c r="FF181" s="874"/>
      <c r="FG181" s="874"/>
      <c r="FH181" s="874"/>
      <c r="FI181" s="874"/>
      <c r="FJ181" s="874"/>
      <c r="FK181" s="874"/>
      <c r="FL181" s="874"/>
      <c r="FM181" s="874"/>
      <c r="FN181" s="874"/>
      <c r="FO181" s="874"/>
      <c r="FP181" s="874"/>
      <c r="FQ181" s="874"/>
      <c r="FR181" s="874"/>
      <c r="FS181" s="874"/>
      <c r="FT181" s="874"/>
      <c r="FU181" s="874"/>
      <c r="FV181" s="874"/>
      <c r="FW181" s="874"/>
      <c r="FX181" s="874"/>
      <c r="FY181" s="874"/>
      <c r="FZ181" s="874"/>
      <c r="GA181" s="874"/>
      <c r="GB181" s="874"/>
      <c r="GC181" s="874"/>
      <c r="GD181" s="874"/>
      <c r="GE181" s="874"/>
      <c r="GF181" s="874"/>
      <c r="GG181" s="874"/>
      <c r="GH181" s="874"/>
      <c r="GI181" s="874"/>
      <c r="GJ181" s="874"/>
      <c r="GK181" s="874"/>
      <c r="GL181" s="874"/>
      <c r="GM181" s="874"/>
      <c r="GN181" s="874"/>
      <c r="GO181" s="874"/>
      <c r="GP181" s="874"/>
      <c r="GQ181" s="874"/>
      <c r="GR181" s="874"/>
      <c r="GS181" s="874"/>
      <c r="GT181" s="874"/>
      <c r="GU181" s="874"/>
      <c r="GV181" s="874"/>
      <c r="GW181" s="874"/>
      <c r="GX181" s="874"/>
      <c r="GY181" s="874"/>
      <c r="GZ181" s="874"/>
      <c r="HA181" s="874"/>
      <c r="HB181" s="874"/>
      <c r="HC181" s="874"/>
      <c r="HD181" s="874"/>
      <c r="HE181" s="874"/>
      <c r="HF181" s="874"/>
      <c r="HG181" s="874"/>
      <c r="HH181" s="874"/>
      <c r="HI181" s="874"/>
      <c r="HJ181" s="874"/>
      <c r="HK181" s="874"/>
      <c r="HL181" s="874"/>
      <c r="HM181" s="874"/>
      <c r="HN181" s="874"/>
      <c r="HO181" s="874"/>
      <c r="HP181" s="874"/>
      <c r="HQ181" s="874"/>
      <c r="HR181" s="874"/>
      <c r="HS181" s="874"/>
      <c r="HT181" s="874"/>
      <c r="HU181" s="874"/>
      <c r="HV181" s="874"/>
      <c r="HW181" s="874"/>
      <c r="HX181" s="874"/>
      <c r="HY181" s="874"/>
      <c r="HZ181" s="874"/>
      <c r="IA181" s="874"/>
      <c r="IB181" s="874"/>
      <c r="IC181" s="874"/>
      <c r="ID181" s="874"/>
      <c r="IE181" s="874"/>
      <c r="IF181" s="874"/>
      <c r="IG181" s="874"/>
      <c r="IH181" s="874"/>
      <c r="II181" s="874"/>
      <c r="IJ181" s="874"/>
      <c r="IK181" s="874"/>
      <c r="IL181" s="874"/>
      <c r="IM181" s="874"/>
      <c r="IN181" s="874"/>
      <c r="IO181" s="874"/>
      <c r="IP181" s="874"/>
      <c r="IQ181" s="874"/>
      <c r="IR181" s="874"/>
      <c r="IS181" s="874"/>
      <c r="IT181" s="874"/>
      <c r="IU181" s="874"/>
      <c r="IV181" s="874"/>
      <c r="IW181" s="874"/>
      <c r="IX181" s="874"/>
      <c r="IY181" s="874"/>
      <c r="IZ181" s="874"/>
      <c r="JA181" s="874"/>
      <c r="JB181" s="874"/>
      <c r="JC181" s="874"/>
      <c r="JD181" s="874"/>
      <c r="JE181" s="874"/>
      <c r="JF181" s="874"/>
      <c r="JG181" s="874"/>
      <c r="JH181" s="874"/>
      <c r="JI181" s="874"/>
      <c r="JJ181" s="874"/>
      <c r="JK181" s="874"/>
      <c r="JL181" s="874"/>
      <c r="JM181" s="874"/>
      <c r="JN181" s="874"/>
      <c r="JO181" s="874"/>
      <c r="JP181" s="874"/>
      <c r="JQ181" s="874"/>
      <c r="JR181" s="874"/>
      <c r="JS181" s="874"/>
      <c r="JT181" s="874"/>
      <c r="JU181" s="874"/>
      <c r="JV181" s="874"/>
      <c r="JW181" s="874"/>
      <c r="JX181" s="874"/>
      <c r="JY181" s="874"/>
      <c r="JZ181" s="874"/>
      <c r="KA181" s="874"/>
      <c r="KB181" s="874"/>
      <c r="KC181" s="874"/>
      <c r="KD181" s="874"/>
      <c r="KE181" s="874"/>
      <c r="KF181" s="874"/>
      <c r="KG181" s="874"/>
      <c r="KH181" s="865"/>
      <c r="KI181" s="865"/>
      <c r="KJ181" s="865"/>
      <c r="KK181" s="865"/>
      <c r="KL181" s="865"/>
      <c r="KM181" s="865"/>
      <c r="KN181" s="865"/>
      <c r="KO181" s="865"/>
      <c r="KP181" s="865"/>
      <c r="KQ181" s="865"/>
      <c r="KR181" s="865"/>
      <c r="KS181" s="865"/>
      <c r="KT181" s="865"/>
      <c r="KU181" s="865"/>
      <c r="KV181" s="865"/>
      <c r="KW181" s="865"/>
      <c r="KX181" s="865"/>
      <c r="KY181" s="865"/>
      <c r="KZ181" s="865"/>
      <c r="LA181" s="865"/>
      <c r="LB181" s="865"/>
      <c r="LC181" s="865"/>
      <c r="LD181" s="865"/>
      <c r="LE181" s="865"/>
      <c r="LF181" s="865"/>
    </row>
    <row r="182" spans="1:318">
      <c r="A182" s="865"/>
      <c r="B182" s="865"/>
      <c r="C182" s="865"/>
      <c r="D182" s="865"/>
      <c r="E182" s="865"/>
      <c r="F182" s="865"/>
      <c r="G182" s="865"/>
      <c r="H182" s="865"/>
      <c r="I182" s="865"/>
      <c r="J182" s="865"/>
      <c r="K182" s="865"/>
      <c r="L182" s="865"/>
      <c r="M182" s="865"/>
      <c r="N182" s="865"/>
      <c r="O182" s="865"/>
      <c r="P182" s="865"/>
      <c r="Q182" s="865"/>
      <c r="R182" s="865"/>
      <c r="S182" s="865"/>
      <c r="T182" s="865"/>
      <c r="U182" s="865"/>
      <c r="V182" s="865"/>
      <c r="W182" s="865"/>
      <c r="X182" s="865"/>
      <c r="Y182" s="865"/>
      <c r="Z182" s="865"/>
      <c r="AA182" s="865"/>
      <c r="AB182" s="865"/>
      <c r="AC182" s="865"/>
      <c r="AD182" s="510"/>
      <c r="AE182" s="865"/>
      <c r="AF182" s="865"/>
      <c r="AG182" s="865"/>
      <c r="AH182" s="865"/>
      <c r="AI182" s="865"/>
      <c r="AJ182" s="510"/>
      <c r="AK182" s="865"/>
      <c r="AL182" s="865"/>
      <c r="AM182" s="865"/>
      <c r="AN182" s="865"/>
      <c r="AO182" s="865"/>
      <c r="AP182" s="510"/>
      <c r="AQ182" s="865"/>
      <c r="AR182" s="865"/>
      <c r="AS182" s="865"/>
      <c r="AT182" s="865"/>
      <c r="AU182" s="865"/>
      <c r="AV182" s="510"/>
      <c r="AW182" s="865"/>
      <c r="AX182" s="865"/>
      <c r="AY182" s="865"/>
      <c r="AZ182" s="865"/>
      <c r="BA182" s="865"/>
      <c r="BB182" s="510"/>
      <c r="BC182" s="865"/>
      <c r="BD182" s="865"/>
      <c r="BE182" s="865"/>
      <c r="BF182" s="865"/>
      <c r="BG182" s="865"/>
      <c r="BH182" s="865"/>
      <c r="BI182" s="865"/>
      <c r="BJ182" s="865"/>
      <c r="BK182" s="865"/>
      <c r="BL182" s="865"/>
      <c r="BM182" s="865"/>
      <c r="BN182" s="865"/>
      <c r="BO182" s="865"/>
      <c r="BP182" s="865"/>
      <c r="BQ182" s="865"/>
      <c r="BR182" s="865"/>
      <c r="BS182" s="865"/>
      <c r="BT182" s="865"/>
      <c r="BU182" s="865"/>
      <c r="BV182" s="865"/>
      <c r="BW182" s="865"/>
      <c r="BX182" s="865"/>
      <c r="BY182" s="874"/>
      <c r="BZ182" s="874"/>
      <c r="CA182" s="874"/>
      <c r="CB182" s="874"/>
      <c r="CC182" s="874"/>
      <c r="CD182" s="874"/>
      <c r="CE182" s="874"/>
      <c r="CF182" s="874"/>
      <c r="CG182" s="874"/>
      <c r="CH182" s="874"/>
      <c r="CI182" s="874"/>
      <c r="CJ182" s="874"/>
      <c r="CK182" s="874"/>
      <c r="CL182" s="874"/>
      <c r="CM182" s="874"/>
      <c r="CN182" s="874"/>
      <c r="CO182" s="874"/>
      <c r="CP182" s="874"/>
      <c r="CQ182" s="874"/>
      <c r="CR182" s="874"/>
      <c r="CS182" s="874"/>
      <c r="CT182" s="874"/>
      <c r="CU182" s="874"/>
      <c r="CV182" s="874"/>
      <c r="CW182" s="874"/>
      <c r="CX182" s="874"/>
      <c r="CY182" s="874"/>
      <c r="CZ182" s="874"/>
      <c r="DA182" s="874"/>
      <c r="DB182" s="874"/>
      <c r="DC182" s="874"/>
      <c r="DD182" s="874"/>
      <c r="DE182" s="874"/>
      <c r="DF182" s="874"/>
      <c r="DG182" s="874"/>
      <c r="DH182" s="874"/>
      <c r="DI182" s="874"/>
      <c r="DJ182" s="874"/>
      <c r="DK182" s="874"/>
      <c r="DL182" s="874"/>
      <c r="DM182" s="874"/>
      <c r="DN182" s="874"/>
      <c r="DO182" s="874"/>
      <c r="DP182" s="874"/>
      <c r="DQ182" s="874"/>
      <c r="DR182" s="874"/>
      <c r="DS182" s="874"/>
      <c r="DT182" s="874"/>
      <c r="DU182" s="874"/>
      <c r="DV182" s="874"/>
      <c r="DW182" s="874"/>
      <c r="DX182" s="874"/>
      <c r="DY182" s="874"/>
      <c r="DZ182" s="874"/>
      <c r="EA182" s="874"/>
      <c r="EB182" s="874"/>
      <c r="EC182" s="874"/>
      <c r="ED182" s="874"/>
      <c r="EE182" s="874"/>
      <c r="EF182" s="874"/>
      <c r="EG182" s="874"/>
      <c r="EH182" s="874"/>
      <c r="EI182" s="874"/>
      <c r="EJ182" s="874"/>
      <c r="EK182" s="874"/>
      <c r="EL182" s="874"/>
      <c r="EM182" s="874"/>
      <c r="EN182" s="874"/>
      <c r="EO182" s="874"/>
      <c r="EP182" s="874"/>
      <c r="EQ182" s="874"/>
      <c r="ER182" s="874"/>
      <c r="ES182" s="874"/>
      <c r="ET182" s="874"/>
      <c r="EU182" s="874"/>
      <c r="EV182" s="874"/>
      <c r="EW182" s="874"/>
      <c r="EX182" s="874"/>
      <c r="EY182" s="874"/>
      <c r="EZ182" s="874"/>
      <c r="FA182" s="874"/>
      <c r="FB182" s="874"/>
      <c r="FC182" s="874"/>
      <c r="FD182" s="874"/>
      <c r="FE182" s="874"/>
      <c r="FF182" s="874"/>
      <c r="FG182" s="874"/>
      <c r="FH182" s="874"/>
      <c r="FI182" s="874"/>
      <c r="FJ182" s="874"/>
      <c r="FK182" s="874"/>
      <c r="FL182" s="874"/>
      <c r="FM182" s="874"/>
      <c r="FN182" s="874"/>
      <c r="FO182" s="874"/>
      <c r="FP182" s="874"/>
      <c r="FQ182" s="874"/>
      <c r="FR182" s="874"/>
      <c r="FS182" s="874"/>
      <c r="FT182" s="874"/>
      <c r="FU182" s="874"/>
      <c r="FV182" s="874"/>
      <c r="FW182" s="874"/>
      <c r="FX182" s="874"/>
      <c r="FY182" s="874"/>
      <c r="FZ182" s="874"/>
      <c r="GA182" s="874"/>
      <c r="GB182" s="874"/>
      <c r="GC182" s="874"/>
      <c r="GD182" s="874"/>
      <c r="GE182" s="874"/>
      <c r="GF182" s="874"/>
      <c r="GG182" s="874"/>
      <c r="GH182" s="874"/>
      <c r="GI182" s="874"/>
      <c r="GJ182" s="874"/>
      <c r="GK182" s="874"/>
      <c r="GL182" s="874"/>
      <c r="GM182" s="874"/>
      <c r="GN182" s="874"/>
      <c r="GO182" s="874"/>
      <c r="GP182" s="874"/>
      <c r="GQ182" s="874"/>
      <c r="GR182" s="874"/>
      <c r="GS182" s="874"/>
      <c r="GT182" s="874"/>
      <c r="GU182" s="874"/>
      <c r="GV182" s="874"/>
      <c r="GW182" s="874"/>
      <c r="GX182" s="874"/>
      <c r="GY182" s="874"/>
      <c r="GZ182" s="874"/>
      <c r="HA182" s="874"/>
      <c r="HB182" s="874"/>
      <c r="HC182" s="874"/>
      <c r="HD182" s="874"/>
      <c r="HE182" s="874"/>
      <c r="HF182" s="874"/>
      <c r="HG182" s="874"/>
      <c r="HH182" s="874"/>
      <c r="HI182" s="874"/>
      <c r="HJ182" s="874"/>
      <c r="HK182" s="874"/>
      <c r="HL182" s="874"/>
      <c r="HM182" s="874"/>
      <c r="HN182" s="874"/>
      <c r="HO182" s="874"/>
      <c r="HP182" s="874"/>
      <c r="HQ182" s="874"/>
      <c r="HR182" s="874"/>
      <c r="HS182" s="874"/>
      <c r="HT182" s="874"/>
      <c r="HU182" s="874"/>
      <c r="HV182" s="874"/>
      <c r="HW182" s="874"/>
      <c r="HX182" s="874"/>
      <c r="HY182" s="874"/>
      <c r="HZ182" s="874"/>
      <c r="IA182" s="874"/>
      <c r="IB182" s="874"/>
      <c r="IC182" s="874"/>
      <c r="ID182" s="874"/>
      <c r="IE182" s="874"/>
      <c r="IF182" s="874"/>
      <c r="IG182" s="874"/>
      <c r="IH182" s="874"/>
      <c r="II182" s="874"/>
      <c r="IJ182" s="874"/>
      <c r="IK182" s="874"/>
      <c r="IL182" s="874"/>
      <c r="IM182" s="874"/>
      <c r="IN182" s="874"/>
      <c r="IO182" s="874"/>
      <c r="IP182" s="874"/>
      <c r="IQ182" s="874"/>
      <c r="IR182" s="874"/>
      <c r="IS182" s="874"/>
      <c r="IT182" s="874"/>
      <c r="IU182" s="874"/>
      <c r="IV182" s="874"/>
      <c r="IW182" s="874"/>
      <c r="IX182" s="874"/>
      <c r="IY182" s="874"/>
      <c r="IZ182" s="874"/>
      <c r="JA182" s="874"/>
      <c r="JB182" s="874"/>
      <c r="JC182" s="874"/>
      <c r="JD182" s="874"/>
      <c r="JE182" s="874"/>
      <c r="JF182" s="874"/>
      <c r="JG182" s="874"/>
      <c r="JH182" s="874"/>
      <c r="JI182" s="874"/>
      <c r="JJ182" s="874"/>
      <c r="JK182" s="874"/>
      <c r="JL182" s="874"/>
      <c r="JM182" s="874"/>
      <c r="JN182" s="874"/>
      <c r="JO182" s="874"/>
      <c r="JP182" s="874"/>
      <c r="JQ182" s="874"/>
      <c r="JR182" s="874"/>
      <c r="JS182" s="874"/>
      <c r="JT182" s="874"/>
      <c r="JU182" s="874"/>
      <c r="JV182" s="874"/>
      <c r="JW182" s="874"/>
      <c r="JX182" s="874"/>
      <c r="JY182" s="874"/>
      <c r="JZ182" s="874"/>
      <c r="KA182" s="874"/>
      <c r="KB182" s="874"/>
      <c r="KC182" s="874"/>
      <c r="KD182" s="874"/>
      <c r="KE182" s="874"/>
      <c r="KF182" s="874"/>
      <c r="KG182" s="874"/>
      <c r="KH182" s="865"/>
      <c r="KI182" s="865"/>
      <c r="KJ182" s="865"/>
      <c r="KK182" s="865"/>
      <c r="KL182" s="865"/>
      <c r="KM182" s="865"/>
      <c r="KN182" s="865"/>
      <c r="KO182" s="865"/>
      <c r="KP182" s="865"/>
      <c r="KQ182" s="865"/>
      <c r="KR182" s="865"/>
      <c r="KS182" s="865"/>
      <c r="KT182" s="865"/>
      <c r="KU182" s="865"/>
      <c r="KV182" s="865"/>
      <c r="KW182" s="865"/>
      <c r="KX182" s="865"/>
      <c r="KY182" s="865"/>
      <c r="KZ182" s="865"/>
      <c r="LA182" s="865"/>
      <c r="LB182" s="865"/>
      <c r="LC182" s="865"/>
      <c r="LD182" s="865"/>
      <c r="LE182" s="865"/>
      <c r="LF182" s="865"/>
    </row>
    <row r="183" spans="1:318">
      <c r="A183" s="865"/>
      <c r="B183" s="865"/>
      <c r="C183" s="865"/>
      <c r="D183" s="865"/>
      <c r="E183" s="865"/>
      <c r="F183" s="865"/>
      <c r="G183" s="865"/>
      <c r="H183" s="865"/>
      <c r="I183" s="865"/>
      <c r="J183" s="865"/>
      <c r="K183" s="865"/>
      <c r="L183" s="865"/>
      <c r="M183" s="865"/>
      <c r="N183" s="865"/>
      <c r="O183" s="865"/>
      <c r="P183" s="865"/>
      <c r="Q183" s="865"/>
      <c r="R183" s="865"/>
      <c r="S183" s="865"/>
      <c r="T183" s="865"/>
      <c r="U183" s="865"/>
      <c r="V183" s="865"/>
      <c r="W183" s="865"/>
      <c r="X183" s="865"/>
      <c r="Y183" s="865"/>
      <c r="Z183" s="865"/>
      <c r="AA183" s="865"/>
      <c r="AB183" s="865"/>
      <c r="AC183" s="865"/>
      <c r="AD183" s="510"/>
      <c r="AE183" s="865"/>
      <c r="AF183" s="865"/>
      <c r="AG183" s="865"/>
      <c r="AH183" s="865"/>
      <c r="AI183" s="865"/>
      <c r="AJ183" s="510"/>
      <c r="AK183" s="865"/>
      <c r="AL183" s="865"/>
      <c r="AM183" s="865"/>
      <c r="AN183" s="865"/>
      <c r="AO183" s="865"/>
      <c r="AP183" s="510"/>
      <c r="AQ183" s="865"/>
      <c r="AR183" s="865"/>
      <c r="AS183" s="865"/>
      <c r="AT183" s="865"/>
      <c r="AU183" s="865"/>
      <c r="AV183" s="510"/>
      <c r="AW183" s="865"/>
      <c r="AX183" s="865"/>
      <c r="AY183" s="865"/>
      <c r="AZ183" s="865"/>
      <c r="BA183" s="865"/>
      <c r="BB183" s="510"/>
      <c r="BC183" s="865"/>
      <c r="BD183" s="865"/>
      <c r="BE183" s="865"/>
      <c r="BF183" s="865"/>
      <c r="BG183" s="865"/>
      <c r="BH183" s="865"/>
      <c r="BI183" s="865"/>
      <c r="BJ183" s="865"/>
      <c r="BK183" s="865"/>
      <c r="BL183" s="865"/>
      <c r="BM183" s="865"/>
      <c r="BN183" s="865"/>
      <c r="BO183" s="865"/>
      <c r="BP183" s="865"/>
      <c r="BQ183" s="865"/>
      <c r="BR183" s="865"/>
      <c r="BS183" s="865"/>
      <c r="BT183" s="865"/>
      <c r="BU183" s="865"/>
      <c r="BV183" s="865"/>
      <c r="BW183" s="865"/>
      <c r="BX183" s="865"/>
      <c r="BY183" s="874"/>
      <c r="BZ183" s="874"/>
      <c r="CA183" s="874"/>
      <c r="CB183" s="874"/>
      <c r="CC183" s="874"/>
      <c r="CD183" s="874"/>
      <c r="CE183" s="874"/>
      <c r="CF183" s="874"/>
      <c r="CG183" s="874"/>
      <c r="CH183" s="874"/>
      <c r="CI183" s="874"/>
      <c r="CJ183" s="874"/>
      <c r="CK183" s="874"/>
      <c r="CL183" s="874"/>
      <c r="CM183" s="874"/>
      <c r="CN183" s="874"/>
      <c r="CO183" s="874"/>
      <c r="CP183" s="874"/>
      <c r="CQ183" s="874"/>
      <c r="CR183" s="874"/>
      <c r="CS183" s="874"/>
      <c r="CT183" s="874"/>
      <c r="CU183" s="874"/>
      <c r="CV183" s="874"/>
      <c r="CW183" s="874"/>
      <c r="CX183" s="874"/>
      <c r="CY183" s="874"/>
      <c r="CZ183" s="874"/>
      <c r="DA183" s="874"/>
      <c r="DB183" s="874"/>
      <c r="DC183" s="874"/>
      <c r="DD183" s="874"/>
      <c r="DE183" s="874"/>
      <c r="DF183" s="874"/>
      <c r="DG183" s="874"/>
      <c r="DH183" s="874"/>
      <c r="DI183" s="874"/>
      <c r="DJ183" s="874"/>
      <c r="DK183" s="874"/>
      <c r="DL183" s="874"/>
      <c r="DM183" s="874"/>
      <c r="DN183" s="874"/>
      <c r="DO183" s="874"/>
      <c r="DP183" s="874"/>
      <c r="DQ183" s="874"/>
      <c r="DR183" s="874"/>
      <c r="DS183" s="874"/>
      <c r="DT183" s="874"/>
      <c r="DU183" s="874"/>
      <c r="DV183" s="874"/>
      <c r="DW183" s="874"/>
      <c r="DX183" s="874"/>
      <c r="DY183" s="874"/>
      <c r="DZ183" s="874"/>
      <c r="EA183" s="874"/>
      <c r="EB183" s="874"/>
      <c r="EC183" s="874"/>
      <c r="ED183" s="874"/>
      <c r="EE183" s="874"/>
      <c r="EF183" s="874"/>
      <c r="EG183" s="874"/>
      <c r="EH183" s="874"/>
      <c r="EI183" s="874"/>
      <c r="EJ183" s="874"/>
      <c r="EK183" s="874"/>
      <c r="EL183" s="874"/>
      <c r="EM183" s="874"/>
      <c r="EN183" s="874"/>
      <c r="EO183" s="874"/>
      <c r="EP183" s="874"/>
      <c r="EQ183" s="874"/>
      <c r="ER183" s="874"/>
      <c r="ES183" s="874"/>
      <c r="ET183" s="874"/>
      <c r="EU183" s="874"/>
      <c r="EV183" s="874"/>
      <c r="EW183" s="874"/>
      <c r="EX183" s="874"/>
      <c r="EY183" s="874"/>
      <c r="EZ183" s="874"/>
      <c r="FA183" s="874"/>
      <c r="FB183" s="874"/>
      <c r="FC183" s="874"/>
      <c r="FD183" s="874"/>
      <c r="FE183" s="874"/>
      <c r="FF183" s="874"/>
      <c r="FG183" s="874"/>
      <c r="FH183" s="874"/>
      <c r="FI183" s="874"/>
      <c r="FJ183" s="874"/>
      <c r="FK183" s="874"/>
      <c r="FL183" s="874"/>
      <c r="FM183" s="874"/>
      <c r="FN183" s="874"/>
      <c r="FO183" s="874"/>
      <c r="FP183" s="874"/>
      <c r="FQ183" s="874"/>
      <c r="FR183" s="874"/>
      <c r="FS183" s="874"/>
      <c r="FT183" s="874"/>
      <c r="FU183" s="874"/>
      <c r="FV183" s="874"/>
      <c r="FW183" s="874"/>
      <c r="FX183" s="874"/>
      <c r="FY183" s="874"/>
      <c r="FZ183" s="874"/>
      <c r="GA183" s="874"/>
      <c r="GB183" s="874"/>
      <c r="GC183" s="874"/>
      <c r="GD183" s="874"/>
      <c r="GE183" s="874"/>
      <c r="GF183" s="874"/>
      <c r="GG183" s="874"/>
      <c r="GH183" s="874"/>
      <c r="GI183" s="874"/>
      <c r="GJ183" s="874"/>
      <c r="GK183" s="874"/>
      <c r="GL183" s="874"/>
      <c r="GM183" s="874"/>
      <c r="GN183" s="874"/>
      <c r="GO183" s="874"/>
      <c r="GP183" s="874"/>
      <c r="GQ183" s="874"/>
      <c r="GR183" s="874"/>
      <c r="GS183" s="874"/>
      <c r="GT183" s="874"/>
      <c r="GU183" s="874"/>
      <c r="GV183" s="874"/>
      <c r="GW183" s="874"/>
      <c r="GX183" s="874"/>
      <c r="GY183" s="874"/>
      <c r="GZ183" s="874"/>
      <c r="HA183" s="874"/>
      <c r="HB183" s="874"/>
      <c r="HC183" s="874"/>
      <c r="HD183" s="874"/>
      <c r="HE183" s="874"/>
      <c r="HF183" s="874"/>
      <c r="HG183" s="874"/>
      <c r="HH183" s="874"/>
      <c r="HI183" s="874"/>
      <c r="HJ183" s="874"/>
      <c r="HK183" s="874"/>
      <c r="HL183" s="874"/>
      <c r="HM183" s="874"/>
      <c r="HN183" s="874"/>
      <c r="HO183" s="874"/>
      <c r="HP183" s="874"/>
      <c r="HQ183" s="874"/>
      <c r="HR183" s="874"/>
      <c r="HS183" s="874"/>
      <c r="HT183" s="874"/>
      <c r="HU183" s="874"/>
      <c r="HV183" s="874"/>
      <c r="HW183" s="874"/>
      <c r="HX183" s="874"/>
      <c r="HY183" s="874"/>
      <c r="HZ183" s="874"/>
      <c r="IA183" s="874"/>
      <c r="IB183" s="874"/>
      <c r="IC183" s="874"/>
      <c r="ID183" s="874"/>
      <c r="IE183" s="874"/>
      <c r="IF183" s="874"/>
      <c r="IG183" s="874"/>
      <c r="IH183" s="874"/>
      <c r="II183" s="874"/>
      <c r="IJ183" s="874"/>
      <c r="IK183" s="874"/>
      <c r="IL183" s="874"/>
      <c r="IM183" s="874"/>
      <c r="IN183" s="874"/>
      <c r="IO183" s="874"/>
      <c r="IP183" s="874"/>
      <c r="IQ183" s="874"/>
      <c r="IR183" s="874"/>
      <c r="IS183" s="874"/>
      <c r="IT183" s="874"/>
      <c r="IU183" s="874"/>
      <c r="IV183" s="874"/>
      <c r="IW183" s="874"/>
      <c r="IX183" s="874"/>
      <c r="IY183" s="874"/>
      <c r="IZ183" s="874"/>
      <c r="JA183" s="874"/>
      <c r="JB183" s="874"/>
      <c r="JC183" s="874"/>
      <c r="JD183" s="874"/>
      <c r="JE183" s="874"/>
      <c r="JF183" s="874"/>
      <c r="JG183" s="874"/>
      <c r="JH183" s="874"/>
      <c r="JI183" s="874"/>
      <c r="JJ183" s="874"/>
      <c r="JK183" s="874"/>
      <c r="JL183" s="874"/>
      <c r="JM183" s="874"/>
      <c r="JN183" s="874"/>
      <c r="JO183" s="874"/>
      <c r="JP183" s="874"/>
      <c r="JQ183" s="874"/>
      <c r="JR183" s="874"/>
      <c r="JS183" s="874"/>
      <c r="JT183" s="874"/>
      <c r="JU183" s="874"/>
      <c r="JV183" s="874"/>
      <c r="JW183" s="874"/>
      <c r="JX183" s="874"/>
      <c r="JY183" s="874"/>
      <c r="JZ183" s="874"/>
      <c r="KA183" s="874"/>
      <c r="KB183" s="874"/>
      <c r="KC183" s="874"/>
      <c r="KD183" s="874"/>
      <c r="KE183" s="874"/>
      <c r="KF183" s="874"/>
      <c r="KG183" s="874"/>
      <c r="KH183" s="865"/>
      <c r="KI183" s="865"/>
      <c r="KJ183" s="865"/>
      <c r="KK183" s="865"/>
      <c r="KL183" s="865"/>
      <c r="KM183" s="865"/>
      <c r="KN183" s="865"/>
      <c r="KO183" s="865"/>
      <c r="KP183" s="865"/>
      <c r="KQ183" s="865"/>
      <c r="KR183" s="865"/>
      <c r="KS183" s="865"/>
      <c r="KT183" s="865"/>
      <c r="KU183" s="865"/>
      <c r="KV183" s="865"/>
      <c r="KW183" s="865"/>
      <c r="KX183" s="865"/>
      <c r="KY183" s="865"/>
      <c r="KZ183" s="865"/>
      <c r="LA183" s="865"/>
      <c r="LB183" s="865"/>
      <c r="LC183" s="865"/>
      <c r="LD183" s="865"/>
      <c r="LE183" s="865"/>
      <c r="LF183" s="865"/>
    </row>
    <row r="184" spans="1:318">
      <c r="A184" s="865"/>
      <c r="B184" s="865"/>
      <c r="C184" s="865"/>
      <c r="D184" s="865"/>
      <c r="E184" s="865"/>
      <c r="F184" s="865"/>
      <c r="G184" s="865"/>
      <c r="H184" s="865"/>
      <c r="I184" s="865"/>
      <c r="J184" s="865"/>
      <c r="K184" s="865"/>
      <c r="L184" s="865"/>
      <c r="M184" s="865"/>
      <c r="N184" s="865"/>
      <c r="O184" s="865"/>
      <c r="P184" s="865"/>
      <c r="Q184" s="865"/>
      <c r="R184" s="865"/>
      <c r="S184" s="865"/>
      <c r="T184" s="865"/>
      <c r="U184" s="865"/>
      <c r="V184" s="865"/>
      <c r="W184" s="865"/>
      <c r="X184" s="865"/>
      <c r="Y184" s="865"/>
      <c r="Z184" s="865"/>
      <c r="AA184" s="865"/>
      <c r="AB184" s="865"/>
      <c r="AC184" s="865"/>
      <c r="AD184" s="510"/>
      <c r="AE184" s="865"/>
      <c r="AF184" s="865"/>
      <c r="AG184" s="865"/>
      <c r="AH184" s="865"/>
      <c r="AI184" s="865"/>
      <c r="AJ184" s="510"/>
      <c r="AK184" s="865"/>
      <c r="AL184" s="865"/>
      <c r="AM184" s="865"/>
      <c r="AN184" s="865"/>
      <c r="AO184" s="865"/>
      <c r="AP184" s="510"/>
      <c r="AQ184" s="865"/>
      <c r="AR184" s="865"/>
      <c r="AS184" s="865"/>
      <c r="AT184" s="865"/>
      <c r="AU184" s="865"/>
      <c r="AV184" s="510"/>
      <c r="AW184" s="865"/>
      <c r="AX184" s="865"/>
      <c r="AY184" s="865"/>
      <c r="AZ184" s="865"/>
      <c r="BA184" s="865"/>
      <c r="BB184" s="510"/>
      <c r="BC184" s="865"/>
      <c r="BD184" s="865"/>
      <c r="BE184" s="865"/>
      <c r="BF184" s="865"/>
      <c r="BG184" s="865"/>
      <c r="BH184" s="865"/>
      <c r="BI184" s="865"/>
      <c r="BJ184" s="865"/>
      <c r="BK184" s="865"/>
      <c r="BL184" s="865"/>
      <c r="BM184" s="865"/>
      <c r="BN184" s="865"/>
      <c r="BO184" s="865"/>
      <c r="BP184" s="865"/>
      <c r="BQ184" s="865"/>
      <c r="BR184" s="865"/>
      <c r="BS184" s="865"/>
      <c r="BT184" s="865"/>
      <c r="BU184" s="865"/>
      <c r="BV184" s="865"/>
      <c r="BW184" s="865"/>
      <c r="BX184" s="865"/>
      <c r="BY184" s="874"/>
      <c r="BZ184" s="874"/>
      <c r="CA184" s="874"/>
      <c r="CB184" s="874"/>
      <c r="CC184" s="874"/>
      <c r="CD184" s="874"/>
      <c r="CE184" s="874"/>
      <c r="CF184" s="874"/>
      <c r="CG184" s="874"/>
      <c r="CH184" s="874"/>
      <c r="CI184" s="874"/>
      <c r="CJ184" s="874"/>
      <c r="CK184" s="874"/>
      <c r="CL184" s="874"/>
      <c r="CM184" s="874"/>
      <c r="CN184" s="874"/>
      <c r="CO184" s="874"/>
      <c r="CP184" s="874"/>
      <c r="CQ184" s="874"/>
      <c r="CR184" s="874"/>
      <c r="CS184" s="874"/>
      <c r="CT184" s="874"/>
      <c r="CU184" s="874"/>
      <c r="CV184" s="874"/>
      <c r="CW184" s="874"/>
      <c r="CX184" s="874"/>
      <c r="CY184" s="874"/>
      <c r="CZ184" s="874"/>
      <c r="DA184" s="874"/>
      <c r="DB184" s="874"/>
      <c r="DC184" s="874"/>
      <c r="DD184" s="874"/>
      <c r="DE184" s="874"/>
      <c r="DF184" s="874"/>
      <c r="DG184" s="874"/>
      <c r="DH184" s="874"/>
      <c r="DI184" s="874"/>
      <c r="DJ184" s="874"/>
      <c r="DK184" s="874"/>
      <c r="DL184" s="874"/>
      <c r="DM184" s="874"/>
      <c r="DN184" s="874"/>
      <c r="DO184" s="874"/>
      <c r="DP184" s="874"/>
      <c r="DQ184" s="874"/>
      <c r="DR184" s="874"/>
      <c r="DS184" s="874"/>
      <c r="DT184" s="874"/>
      <c r="DU184" s="874"/>
      <c r="DV184" s="874"/>
      <c r="DW184" s="874"/>
      <c r="DX184" s="874"/>
      <c r="DY184" s="874"/>
      <c r="DZ184" s="874"/>
      <c r="EA184" s="874"/>
      <c r="EB184" s="874"/>
      <c r="EC184" s="874"/>
      <c r="ED184" s="874"/>
      <c r="EE184" s="874"/>
      <c r="EF184" s="874"/>
      <c r="EG184" s="874"/>
      <c r="EH184" s="874"/>
      <c r="EI184" s="874"/>
      <c r="EJ184" s="874"/>
      <c r="EK184" s="874"/>
      <c r="EL184" s="874"/>
      <c r="EM184" s="874"/>
      <c r="EN184" s="874"/>
      <c r="EO184" s="874"/>
      <c r="EP184" s="874"/>
      <c r="EQ184" s="874"/>
      <c r="ER184" s="874"/>
      <c r="ES184" s="874"/>
      <c r="ET184" s="874"/>
      <c r="EU184" s="874"/>
      <c r="EV184" s="874"/>
      <c r="EW184" s="874"/>
      <c r="EX184" s="874"/>
      <c r="EY184" s="874"/>
      <c r="EZ184" s="874"/>
      <c r="FA184" s="874"/>
      <c r="FB184" s="874"/>
      <c r="FC184" s="874"/>
      <c r="FD184" s="874"/>
      <c r="FE184" s="874"/>
      <c r="FF184" s="874"/>
      <c r="FG184" s="874"/>
      <c r="FH184" s="874"/>
      <c r="FI184" s="874"/>
      <c r="FJ184" s="874"/>
      <c r="FK184" s="874"/>
      <c r="FL184" s="874"/>
      <c r="FM184" s="874"/>
      <c r="FN184" s="874"/>
      <c r="FO184" s="874"/>
      <c r="FP184" s="874"/>
      <c r="FQ184" s="874"/>
      <c r="FR184" s="874"/>
      <c r="FS184" s="874"/>
      <c r="FT184" s="874"/>
      <c r="FU184" s="874"/>
      <c r="FV184" s="874"/>
      <c r="FW184" s="874"/>
      <c r="FX184" s="874"/>
      <c r="FY184" s="874"/>
      <c r="FZ184" s="874"/>
      <c r="GA184" s="874"/>
      <c r="GB184" s="874"/>
      <c r="GC184" s="874"/>
      <c r="GD184" s="874"/>
      <c r="GE184" s="874"/>
      <c r="GF184" s="874"/>
      <c r="GG184" s="874"/>
      <c r="GH184" s="874"/>
      <c r="GI184" s="874"/>
      <c r="GJ184" s="874"/>
      <c r="GK184" s="874"/>
      <c r="GL184" s="874"/>
      <c r="GM184" s="874"/>
      <c r="GN184" s="874"/>
      <c r="GO184" s="874"/>
      <c r="GP184" s="874"/>
      <c r="GQ184" s="874"/>
      <c r="GR184" s="874"/>
      <c r="GS184" s="874"/>
      <c r="GT184" s="874"/>
      <c r="GU184" s="874"/>
      <c r="GV184" s="874"/>
      <c r="GW184" s="874"/>
      <c r="GX184" s="874"/>
      <c r="GY184" s="874"/>
      <c r="GZ184" s="874"/>
      <c r="HA184" s="874"/>
      <c r="HB184" s="874"/>
      <c r="HC184" s="874"/>
      <c r="HD184" s="874"/>
      <c r="HE184" s="874"/>
      <c r="HF184" s="874"/>
      <c r="HG184" s="874"/>
      <c r="HH184" s="874"/>
      <c r="HI184" s="874"/>
      <c r="HJ184" s="874"/>
      <c r="HK184" s="874"/>
      <c r="HL184" s="874"/>
      <c r="HM184" s="874"/>
      <c r="HN184" s="874"/>
      <c r="HO184" s="874"/>
      <c r="HP184" s="874"/>
      <c r="HQ184" s="874"/>
      <c r="HR184" s="874"/>
      <c r="HS184" s="874"/>
      <c r="HT184" s="874"/>
      <c r="HU184" s="874"/>
      <c r="HV184" s="874"/>
      <c r="HW184" s="874"/>
      <c r="HX184" s="874"/>
      <c r="HY184" s="874"/>
      <c r="HZ184" s="874"/>
      <c r="IA184" s="874"/>
      <c r="IB184" s="874"/>
      <c r="IC184" s="874"/>
      <c r="ID184" s="874"/>
      <c r="IE184" s="874"/>
      <c r="IF184" s="874"/>
      <c r="IG184" s="874"/>
      <c r="IH184" s="874"/>
      <c r="II184" s="874"/>
      <c r="IJ184" s="874"/>
      <c r="IK184" s="874"/>
      <c r="IL184" s="874"/>
      <c r="IM184" s="874"/>
      <c r="IN184" s="874"/>
      <c r="IO184" s="874"/>
      <c r="IP184" s="874"/>
      <c r="IQ184" s="874"/>
      <c r="IR184" s="874"/>
      <c r="IS184" s="874"/>
      <c r="IT184" s="874"/>
      <c r="IU184" s="874"/>
      <c r="IV184" s="874"/>
      <c r="IW184" s="874"/>
      <c r="IX184" s="874"/>
      <c r="IY184" s="874"/>
      <c r="IZ184" s="874"/>
      <c r="JA184" s="874"/>
      <c r="JB184" s="874"/>
      <c r="JC184" s="874"/>
      <c r="JD184" s="874"/>
      <c r="JE184" s="874"/>
      <c r="JF184" s="874"/>
      <c r="JG184" s="874"/>
      <c r="JH184" s="874"/>
      <c r="JI184" s="874"/>
      <c r="JJ184" s="874"/>
      <c r="JK184" s="874"/>
      <c r="JL184" s="874"/>
      <c r="JM184" s="874"/>
      <c r="JN184" s="874"/>
      <c r="JO184" s="874"/>
      <c r="JP184" s="874"/>
      <c r="JQ184" s="874"/>
      <c r="JR184" s="874"/>
      <c r="JS184" s="874"/>
      <c r="JT184" s="874"/>
      <c r="JU184" s="874"/>
      <c r="JV184" s="874"/>
      <c r="JW184" s="874"/>
      <c r="JX184" s="874"/>
      <c r="JY184" s="874"/>
      <c r="JZ184" s="874"/>
      <c r="KA184" s="874"/>
      <c r="KB184" s="874"/>
      <c r="KC184" s="874"/>
      <c r="KD184" s="874"/>
      <c r="KE184" s="874"/>
      <c r="KF184" s="874"/>
      <c r="KG184" s="874"/>
      <c r="KH184" s="865"/>
      <c r="KI184" s="865"/>
      <c r="KJ184" s="865"/>
      <c r="KK184" s="865"/>
      <c r="KL184" s="865"/>
      <c r="KM184" s="865"/>
      <c r="KN184" s="865"/>
      <c r="KO184" s="865"/>
      <c r="KP184" s="865"/>
      <c r="KQ184" s="865"/>
      <c r="KR184" s="865"/>
      <c r="KS184" s="865"/>
      <c r="KT184" s="865"/>
      <c r="KU184" s="865"/>
      <c r="KV184" s="865"/>
      <c r="KW184" s="865"/>
      <c r="KX184" s="865"/>
      <c r="KY184" s="865"/>
      <c r="KZ184" s="865"/>
      <c r="LA184" s="865"/>
      <c r="LB184" s="865"/>
      <c r="LC184" s="865"/>
      <c r="LD184" s="865"/>
      <c r="LE184" s="865"/>
      <c r="LF184" s="865"/>
    </row>
    <row r="185" spans="1:318">
      <c r="A185" s="865"/>
      <c r="B185" s="865"/>
      <c r="C185" s="865"/>
      <c r="D185" s="865"/>
      <c r="E185" s="865"/>
      <c r="F185" s="865"/>
      <c r="G185" s="865"/>
      <c r="H185" s="865"/>
      <c r="I185" s="865"/>
      <c r="J185" s="865"/>
      <c r="K185" s="865"/>
      <c r="L185" s="865"/>
      <c r="M185" s="865"/>
      <c r="N185" s="865"/>
      <c r="O185" s="865"/>
      <c r="P185" s="865"/>
      <c r="Q185" s="865"/>
      <c r="R185" s="865"/>
      <c r="S185" s="865"/>
      <c r="T185" s="865"/>
      <c r="U185" s="865"/>
      <c r="V185" s="865"/>
      <c r="W185" s="865"/>
      <c r="X185" s="865"/>
      <c r="Y185" s="865"/>
      <c r="Z185" s="865"/>
      <c r="AA185" s="865"/>
      <c r="AB185" s="865"/>
      <c r="AC185" s="865"/>
      <c r="AD185" s="510"/>
      <c r="AE185" s="865"/>
      <c r="AF185" s="865"/>
      <c r="AG185" s="865"/>
      <c r="AH185" s="865"/>
      <c r="AI185" s="865"/>
      <c r="AJ185" s="510"/>
      <c r="AK185" s="865"/>
      <c r="AL185" s="865"/>
      <c r="AM185" s="865"/>
      <c r="AN185" s="865"/>
      <c r="AO185" s="865"/>
      <c r="AP185" s="510"/>
      <c r="AQ185" s="865"/>
      <c r="AR185" s="865"/>
      <c r="AS185" s="865"/>
      <c r="AT185" s="865"/>
      <c r="AU185" s="865"/>
      <c r="AV185" s="510"/>
      <c r="AW185" s="865"/>
      <c r="AX185" s="865"/>
      <c r="AY185" s="865"/>
      <c r="AZ185" s="865"/>
      <c r="BA185" s="865"/>
      <c r="BB185" s="510"/>
      <c r="BC185" s="865"/>
      <c r="BD185" s="865"/>
      <c r="BE185" s="865"/>
      <c r="BF185" s="865"/>
      <c r="BG185" s="865"/>
      <c r="BH185" s="865"/>
      <c r="BI185" s="865"/>
      <c r="BJ185" s="865"/>
      <c r="BK185" s="865"/>
      <c r="BL185" s="865"/>
      <c r="BM185" s="865"/>
      <c r="BN185" s="865"/>
      <c r="BO185" s="865"/>
      <c r="BP185" s="865"/>
      <c r="BQ185" s="865"/>
      <c r="BR185" s="865"/>
      <c r="BS185" s="865"/>
      <c r="BT185" s="865"/>
      <c r="BU185" s="865"/>
      <c r="BV185" s="865"/>
      <c r="BW185" s="865"/>
      <c r="BX185" s="865"/>
      <c r="BY185" s="874"/>
      <c r="BZ185" s="874"/>
      <c r="CA185" s="874"/>
      <c r="CB185" s="874"/>
      <c r="CC185" s="874"/>
      <c r="CD185" s="874"/>
      <c r="CE185" s="874"/>
      <c r="CF185" s="874"/>
      <c r="CG185" s="874"/>
      <c r="CH185" s="874"/>
      <c r="CI185" s="874"/>
      <c r="CJ185" s="874"/>
      <c r="CK185" s="874"/>
      <c r="CL185" s="874"/>
      <c r="CM185" s="874"/>
      <c r="CN185" s="874"/>
      <c r="CO185" s="874"/>
      <c r="CP185" s="874"/>
      <c r="CQ185" s="874"/>
      <c r="CR185" s="874"/>
      <c r="CS185" s="874"/>
      <c r="CT185" s="874"/>
      <c r="CU185" s="874"/>
      <c r="CV185" s="874"/>
      <c r="CW185" s="874"/>
      <c r="CX185" s="874"/>
      <c r="CY185" s="874"/>
      <c r="CZ185" s="874"/>
      <c r="DA185" s="874"/>
      <c r="DB185" s="874"/>
      <c r="DC185" s="874"/>
      <c r="DD185" s="874"/>
      <c r="DE185" s="874"/>
      <c r="DF185" s="874"/>
      <c r="DG185" s="874"/>
      <c r="DH185" s="874"/>
      <c r="DI185" s="874"/>
      <c r="DJ185" s="874"/>
      <c r="DK185" s="874"/>
      <c r="DL185" s="874"/>
      <c r="DM185" s="874"/>
      <c r="DN185" s="874"/>
      <c r="DO185" s="874"/>
      <c r="DP185" s="874"/>
      <c r="DQ185" s="874"/>
      <c r="DR185" s="874"/>
      <c r="DS185" s="874"/>
      <c r="DT185" s="874"/>
      <c r="DU185" s="874"/>
      <c r="DV185" s="874"/>
      <c r="DW185" s="874"/>
      <c r="DX185" s="874"/>
      <c r="DY185" s="874"/>
      <c r="DZ185" s="874"/>
      <c r="EA185" s="874"/>
      <c r="EB185" s="874"/>
      <c r="EC185" s="874"/>
      <c r="ED185" s="874"/>
      <c r="EE185" s="874"/>
      <c r="EF185" s="874"/>
      <c r="EG185" s="874"/>
      <c r="EH185" s="874"/>
      <c r="EI185" s="874"/>
      <c r="EJ185" s="874"/>
      <c r="EK185" s="874"/>
      <c r="EL185" s="874"/>
      <c r="EM185" s="874"/>
      <c r="EN185" s="874"/>
      <c r="EO185" s="874"/>
      <c r="EP185" s="874"/>
      <c r="EQ185" s="874"/>
      <c r="ER185" s="874"/>
      <c r="ES185" s="874"/>
      <c r="ET185" s="874"/>
      <c r="EU185" s="874"/>
      <c r="EV185" s="874"/>
      <c r="EW185" s="874"/>
      <c r="EX185" s="874"/>
      <c r="EY185" s="874"/>
      <c r="EZ185" s="874"/>
      <c r="FA185" s="874"/>
      <c r="FB185" s="874"/>
      <c r="FC185" s="874"/>
      <c r="FD185" s="874"/>
      <c r="FE185" s="874"/>
      <c r="FF185" s="874"/>
      <c r="FG185" s="874"/>
      <c r="FH185" s="874"/>
      <c r="FI185" s="874"/>
      <c r="FJ185" s="874"/>
      <c r="FK185" s="874"/>
      <c r="FL185" s="874"/>
      <c r="FM185" s="874"/>
      <c r="FN185" s="874"/>
      <c r="FO185" s="874"/>
      <c r="FP185" s="874"/>
      <c r="FQ185" s="874"/>
      <c r="FR185" s="874"/>
      <c r="FS185" s="874"/>
      <c r="FT185" s="874"/>
      <c r="FU185" s="874"/>
      <c r="FV185" s="874"/>
      <c r="FW185" s="874"/>
      <c r="FX185" s="874"/>
      <c r="FY185" s="874"/>
      <c r="FZ185" s="874"/>
      <c r="GA185" s="874"/>
      <c r="GB185" s="874"/>
      <c r="GC185" s="874"/>
      <c r="GD185" s="874"/>
      <c r="GE185" s="874"/>
      <c r="GF185" s="874"/>
      <c r="GG185" s="874"/>
      <c r="GH185" s="874"/>
      <c r="GI185" s="874"/>
      <c r="GJ185" s="874"/>
      <c r="GK185" s="874"/>
      <c r="GL185" s="874"/>
      <c r="GM185" s="874"/>
      <c r="GN185" s="874"/>
      <c r="GO185" s="874"/>
      <c r="GP185" s="874"/>
      <c r="GQ185" s="874"/>
      <c r="GR185" s="874"/>
      <c r="GS185" s="874"/>
      <c r="GT185" s="874"/>
      <c r="GU185" s="874"/>
      <c r="GV185" s="874"/>
      <c r="GW185" s="874"/>
      <c r="GX185" s="874"/>
      <c r="GY185" s="874"/>
      <c r="GZ185" s="874"/>
      <c r="HA185" s="874"/>
      <c r="HB185" s="874"/>
      <c r="HC185" s="874"/>
      <c r="HD185" s="874"/>
      <c r="HE185" s="874"/>
      <c r="HF185" s="874"/>
      <c r="HG185" s="874"/>
      <c r="HH185" s="874"/>
      <c r="HI185" s="874"/>
      <c r="HJ185" s="874"/>
      <c r="HK185" s="874"/>
      <c r="HL185" s="874"/>
      <c r="HM185" s="874"/>
      <c r="HN185" s="874"/>
      <c r="HO185" s="874"/>
      <c r="HP185" s="874"/>
      <c r="HQ185" s="874"/>
      <c r="HR185" s="874"/>
      <c r="HS185" s="874"/>
      <c r="HT185" s="874"/>
      <c r="HU185" s="874"/>
      <c r="HV185" s="874"/>
      <c r="HW185" s="874"/>
      <c r="HX185" s="874"/>
      <c r="HY185" s="874"/>
      <c r="HZ185" s="874"/>
      <c r="IA185" s="874"/>
      <c r="IB185" s="874"/>
      <c r="IC185" s="874"/>
      <c r="ID185" s="874"/>
      <c r="IE185" s="874"/>
      <c r="IF185" s="874"/>
      <c r="IG185" s="874"/>
      <c r="IH185" s="874"/>
      <c r="II185" s="874"/>
      <c r="IJ185" s="874"/>
      <c r="IK185" s="874"/>
      <c r="IL185" s="874"/>
      <c r="IM185" s="874"/>
      <c r="IN185" s="874"/>
      <c r="IO185" s="874"/>
      <c r="IP185" s="874"/>
      <c r="IQ185" s="874"/>
      <c r="IR185" s="874"/>
      <c r="IS185" s="874"/>
      <c r="IT185" s="874"/>
      <c r="IU185" s="874"/>
      <c r="IV185" s="874"/>
      <c r="IW185" s="874"/>
      <c r="IX185" s="874"/>
      <c r="IY185" s="874"/>
      <c r="IZ185" s="874"/>
      <c r="JA185" s="874"/>
      <c r="JB185" s="874"/>
      <c r="JC185" s="874"/>
      <c r="JD185" s="874"/>
      <c r="JE185" s="874"/>
      <c r="JF185" s="874"/>
      <c r="JG185" s="874"/>
      <c r="JH185" s="874"/>
      <c r="JI185" s="874"/>
      <c r="JJ185" s="874"/>
      <c r="JK185" s="874"/>
      <c r="JL185" s="874"/>
      <c r="JM185" s="874"/>
      <c r="JN185" s="874"/>
      <c r="JO185" s="874"/>
      <c r="JP185" s="874"/>
      <c r="JQ185" s="874"/>
      <c r="JR185" s="874"/>
      <c r="JS185" s="874"/>
      <c r="JT185" s="874"/>
      <c r="JU185" s="874"/>
      <c r="JV185" s="874"/>
      <c r="JW185" s="874"/>
      <c r="JX185" s="874"/>
      <c r="JY185" s="874"/>
      <c r="JZ185" s="874"/>
      <c r="KA185" s="874"/>
      <c r="KB185" s="874"/>
      <c r="KC185" s="874"/>
      <c r="KD185" s="874"/>
      <c r="KE185" s="874"/>
      <c r="KF185" s="874"/>
      <c r="KG185" s="874"/>
      <c r="KH185" s="865"/>
      <c r="KI185" s="865"/>
      <c r="KJ185" s="865"/>
      <c r="KK185" s="865"/>
      <c r="KL185" s="865"/>
      <c r="KM185" s="865"/>
      <c r="KN185" s="865"/>
      <c r="KO185" s="865"/>
      <c r="KP185" s="865"/>
      <c r="KQ185" s="865"/>
      <c r="KR185" s="865"/>
      <c r="KS185" s="865"/>
      <c r="KT185" s="865"/>
      <c r="KU185" s="865"/>
      <c r="KV185" s="865"/>
      <c r="KW185" s="865"/>
      <c r="KX185" s="865"/>
      <c r="KY185" s="865"/>
      <c r="KZ185" s="865"/>
      <c r="LA185" s="865"/>
      <c r="LB185" s="865"/>
      <c r="LC185" s="865"/>
      <c r="LD185" s="865"/>
      <c r="LE185" s="865"/>
      <c r="LF185" s="865"/>
    </row>
    <row r="186" spans="1:318">
      <c r="A186" s="865"/>
      <c r="B186" s="865"/>
      <c r="C186" s="865"/>
      <c r="D186" s="865"/>
      <c r="E186" s="865"/>
      <c r="F186" s="865"/>
      <c r="G186" s="865"/>
      <c r="H186" s="865"/>
      <c r="I186" s="865"/>
      <c r="J186" s="865"/>
      <c r="K186" s="865"/>
      <c r="L186" s="865"/>
      <c r="M186" s="865"/>
      <c r="N186" s="865"/>
      <c r="O186" s="865"/>
      <c r="P186" s="865"/>
      <c r="Q186" s="865"/>
      <c r="R186" s="865"/>
      <c r="S186" s="865"/>
      <c r="T186" s="865"/>
      <c r="U186" s="865"/>
      <c r="V186" s="865"/>
      <c r="W186" s="865"/>
      <c r="X186" s="865"/>
      <c r="Y186" s="865"/>
      <c r="Z186" s="865"/>
      <c r="AA186" s="865"/>
      <c r="AB186" s="865"/>
      <c r="AC186" s="865"/>
      <c r="AD186" s="510"/>
      <c r="AE186" s="865"/>
      <c r="AF186" s="865"/>
      <c r="AG186" s="865"/>
      <c r="AH186" s="865"/>
      <c r="AI186" s="865"/>
      <c r="AJ186" s="510"/>
      <c r="AK186" s="865"/>
      <c r="AL186" s="865"/>
      <c r="AM186" s="865"/>
      <c r="AN186" s="865"/>
      <c r="AO186" s="865"/>
      <c r="AP186" s="510"/>
      <c r="AQ186" s="865"/>
      <c r="AR186" s="865"/>
      <c r="AS186" s="865"/>
      <c r="AT186" s="865"/>
      <c r="AU186" s="865"/>
      <c r="AV186" s="510"/>
      <c r="AW186" s="865"/>
      <c r="AX186" s="865"/>
      <c r="AY186" s="865"/>
      <c r="AZ186" s="865"/>
      <c r="BA186" s="865"/>
      <c r="BB186" s="510"/>
      <c r="BC186" s="865"/>
      <c r="BD186" s="865"/>
      <c r="BE186" s="865"/>
      <c r="BF186" s="865"/>
      <c r="BG186" s="865"/>
      <c r="BH186" s="865"/>
      <c r="BI186" s="865"/>
      <c r="BJ186" s="865"/>
      <c r="BK186" s="865"/>
      <c r="BL186" s="865"/>
      <c r="BM186" s="865"/>
      <c r="BN186" s="865"/>
      <c r="BO186" s="865"/>
      <c r="BP186" s="865"/>
      <c r="BQ186" s="865"/>
      <c r="BR186" s="865"/>
      <c r="BS186" s="865"/>
      <c r="BT186" s="865"/>
      <c r="BU186" s="865"/>
      <c r="BV186" s="865"/>
      <c r="BW186" s="865"/>
      <c r="BX186" s="865"/>
      <c r="BY186" s="874"/>
      <c r="BZ186" s="874"/>
      <c r="CA186" s="874"/>
      <c r="CB186" s="874"/>
      <c r="CC186" s="874"/>
      <c r="CD186" s="874"/>
      <c r="CE186" s="874"/>
      <c r="CF186" s="874"/>
      <c r="CG186" s="874"/>
      <c r="CH186" s="874"/>
      <c r="CI186" s="874"/>
      <c r="CJ186" s="874"/>
      <c r="CK186" s="874"/>
      <c r="CL186" s="874"/>
      <c r="CM186" s="874"/>
      <c r="CN186" s="874"/>
      <c r="CO186" s="874"/>
      <c r="CP186" s="874"/>
      <c r="CQ186" s="874"/>
      <c r="CR186" s="874"/>
      <c r="CS186" s="874"/>
      <c r="CT186" s="874"/>
      <c r="CU186" s="874"/>
      <c r="CV186" s="874"/>
      <c r="CW186" s="874"/>
      <c r="CX186" s="874"/>
      <c r="CY186" s="874"/>
      <c r="CZ186" s="874"/>
      <c r="DA186" s="874"/>
      <c r="DB186" s="874"/>
      <c r="DC186" s="874"/>
      <c r="DD186" s="874"/>
      <c r="DE186" s="874"/>
      <c r="DF186" s="874"/>
      <c r="DG186" s="874"/>
      <c r="DH186" s="874"/>
      <c r="DI186" s="874"/>
      <c r="DJ186" s="874"/>
      <c r="DK186" s="874"/>
      <c r="DL186" s="874"/>
      <c r="DM186" s="874"/>
      <c r="DN186" s="874"/>
      <c r="DO186" s="874"/>
      <c r="DP186" s="874"/>
      <c r="DQ186" s="874"/>
      <c r="DR186" s="874"/>
      <c r="DS186" s="874"/>
      <c r="DT186" s="874"/>
      <c r="DU186" s="874"/>
      <c r="DV186" s="874"/>
      <c r="DW186" s="874"/>
      <c r="DX186" s="874"/>
      <c r="DY186" s="874"/>
      <c r="DZ186" s="874"/>
      <c r="EA186" s="874"/>
      <c r="EB186" s="874"/>
      <c r="EC186" s="874"/>
      <c r="ED186" s="874"/>
      <c r="EE186" s="874"/>
      <c r="EF186" s="874"/>
      <c r="EG186" s="874"/>
      <c r="EH186" s="874"/>
      <c r="EI186" s="874"/>
      <c r="EJ186" s="874"/>
      <c r="EK186" s="874"/>
      <c r="EL186" s="874"/>
      <c r="EM186" s="874"/>
      <c r="EN186" s="874"/>
      <c r="EO186" s="874"/>
      <c r="EP186" s="874"/>
      <c r="EQ186" s="874"/>
      <c r="ER186" s="874"/>
      <c r="ES186" s="874"/>
      <c r="ET186" s="874"/>
      <c r="EU186" s="874"/>
      <c r="EV186" s="874"/>
      <c r="EW186" s="874"/>
      <c r="EX186" s="874"/>
      <c r="EY186" s="874"/>
      <c r="EZ186" s="874"/>
      <c r="FA186" s="874"/>
      <c r="FB186" s="874"/>
      <c r="FC186" s="874"/>
      <c r="FD186" s="874"/>
      <c r="FE186" s="874"/>
      <c r="FF186" s="874"/>
      <c r="FG186" s="874"/>
      <c r="FH186" s="874"/>
      <c r="FI186" s="874"/>
      <c r="FJ186" s="874"/>
      <c r="FK186" s="874"/>
      <c r="FL186" s="874"/>
      <c r="FM186" s="874"/>
      <c r="FN186" s="874"/>
      <c r="FO186" s="874"/>
      <c r="FP186" s="874"/>
      <c r="FQ186" s="874"/>
      <c r="FR186" s="874"/>
      <c r="FS186" s="874"/>
      <c r="FT186" s="874"/>
      <c r="FU186" s="874"/>
      <c r="FV186" s="874"/>
      <c r="FW186" s="874"/>
      <c r="FX186" s="874"/>
      <c r="FY186" s="874"/>
      <c r="FZ186" s="874"/>
      <c r="GA186" s="874"/>
      <c r="GB186" s="874"/>
      <c r="GC186" s="874"/>
      <c r="GD186" s="874"/>
      <c r="GE186" s="874"/>
      <c r="GF186" s="874"/>
      <c r="GG186" s="874"/>
      <c r="GH186" s="874"/>
      <c r="GI186" s="874"/>
      <c r="GJ186" s="874"/>
      <c r="GK186" s="874"/>
      <c r="GL186" s="874"/>
      <c r="GM186" s="874"/>
      <c r="GN186" s="874"/>
      <c r="GO186" s="874"/>
      <c r="GP186" s="874"/>
      <c r="GQ186" s="874"/>
      <c r="GR186" s="874"/>
      <c r="GS186" s="874"/>
      <c r="GT186" s="874"/>
      <c r="GU186" s="874"/>
      <c r="GV186" s="874"/>
      <c r="GW186" s="874"/>
      <c r="GX186" s="874"/>
      <c r="GY186" s="874"/>
      <c r="GZ186" s="874"/>
      <c r="HA186" s="874"/>
      <c r="HB186" s="874"/>
      <c r="HC186" s="874"/>
      <c r="HD186" s="874"/>
      <c r="HE186" s="874"/>
      <c r="HF186" s="874"/>
      <c r="HG186" s="874"/>
      <c r="HH186" s="874"/>
      <c r="HI186" s="874"/>
      <c r="HJ186" s="874"/>
      <c r="HK186" s="874"/>
      <c r="HL186" s="874"/>
      <c r="HM186" s="874"/>
      <c r="HN186" s="874"/>
      <c r="HO186" s="874"/>
      <c r="HP186" s="874"/>
      <c r="HQ186" s="874"/>
      <c r="HR186" s="874"/>
      <c r="HS186" s="874"/>
      <c r="HT186" s="874"/>
      <c r="HU186" s="874"/>
      <c r="HV186" s="874"/>
      <c r="HW186" s="874"/>
      <c r="HX186" s="874"/>
      <c r="HY186" s="874"/>
      <c r="HZ186" s="874"/>
      <c r="IA186" s="874"/>
      <c r="IB186" s="874"/>
      <c r="IC186" s="874"/>
      <c r="ID186" s="874"/>
      <c r="IE186" s="874"/>
      <c r="IF186" s="874"/>
      <c r="IG186" s="874"/>
      <c r="IH186" s="874"/>
      <c r="II186" s="874"/>
      <c r="IJ186" s="874"/>
      <c r="IK186" s="874"/>
      <c r="IL186" s="874"/>
      <c r="IM186" s="874"/>
      <c r="IN186" s="874"/>
      <c r="IO186" s="874"/>
      <c r="IP186" s="874"/>
      <c r="IQ186" s="874"/>
      <c r="IR186" s="874"/>
      <c r="IS186" s="874"/>
      <c r="IT186" s="874"/>
      <c r="IU186" s="874"/>
      <c r="IV186" s="874"/>
      <c r="IW186" s="874"/>
      <c r="IX186" s="874"/>
      <c r="IY186" s="874"/>
      <c r="IZ186" s="874"/>
      <c r="JA186" s="874"/>
      <c r="JB186" s="874"/>
      <c r="JC186" s="874"/>
      <c r="JD186" s="874"/>
      <c r="JE186" s="874"/>
      <c r="JF186" s="874"/>
      <c r="JG186" s="874"/>
      <c r="JH186" s="874"/>
      <c r="JI186" s="874"/>
      <c r="JJ186" s="874"/>
      <c r="JK186" s="874"/>
      <c r="JL186" s="874"/>
      <c r="JM186" s="874"/>
      <c r="JN186" s="874"/>
      <c r="JO186" s="874"/>
      <c r="JP186" s="874"/>
      <c r="JQ186" s="874"/>
      <c r="JR186" s="874"/>
      <c r="JS186" s="874"/>
      <c r="JT186" s="874"/>
      <c r="JU186" s="874"/>
      <c r="JV186" s="874"/>
      <c r="JW186" s="874"/>
      <c r="JX186" s="874"/>
      <c r="JY186" s="874"/>
      <c r="JZ186" s="874"/>
      <c r="KA186" s="874"/>
      <c r="KB186" s="874"/>
      <c r="KC186" s="874"/>
      <c r="KD186" s="874"/>
      <c r="KE186" s="874"/>
      <c r="KF186" s="874"/>
      <c r="KG186" s="874"/>
      <c r="KH186" s="865"/>
      <c r="KI186" s="865"/>
      <c r="KJ186" s="865"/>
      <c r="KK186" s="865"/>
      <c r="KL186" s="865"/>
      <c r="KM186" s="865"/>
      <c r="KN186" s="865"/>
      <c r="KO186" s="865"/>
      <c r="KP186" s="865"/>
      <c r="KQ186" s="865"/>
      <c r="KR186" s="865"/>
      <c r="KS186" s="865"/>
      <c r="KT186" s="865"/>
      <c r="KU186" s="865"/>
      <c r="KV186" s="865"/>
      <c r="KW186" s="865"/>
      <c r="KX186" s="865"/>
      <c r="KY186" s="865"/>
      <c r="KZ186" s="865"/>
      <c r="LA186" s="865"/>
      <c r="LB186" s="865"/>
      <c r="LC186" s="865"/>
      <c r="LD186" s="865"/>
      <c r="LE186" s="865"/>
      <c r="LF186" s="865"/>
    </row>
    <row r="187" spans="1:318">
      <c r="A187" s="865"/>
      <c r="B187" s="865"/>
      <c r="C187" s="865"/>
      <c r="D187" s="865"/>
      <c r="E187" s="865"/>
      <c r="F187" s="865"/>
      <c r="G187" s="865"/>
      <c r="H187" s="865"/>
      <c r="I187" s="865"/>
      <c r="J187" s="865"/>
      <c r="K187" s="865"/>
      <c r="L187" s="865"/>
      <c r="M187" s="865"/>
      <c r="N187" s="865"/>
      <c r="O187" s="865"/>
      <c r="P187" s="865"/>
      <c r="Q187" s="865"/>
      <c r="R187" s="865"/>
      <c r="S187" s="865"/>
      <c r="T187" s="865"/>
      <c r="U187" s="865"/>
      <c r="V187" s="865"/>
      <c r="W187" s="865"/>
      <c r="X187" s="865"/>
      <c r="Y187" s="865"/>
      <c r="Z187" s="865"/>
      <c r="AA187" s="865"/>
      <c r="AB187" s="865"/>
      <c r="AC187" s="865"/>
      <c r="AD187" s="510"/>
      <c r="AE187" s="865"/>
      <c r="AF187" s="865"/>
      <c r="AG187" s="865"/>
      <c r="AH187" s="865"/>
      <c r="AI187" s="865"/>
      <c r="AJ187" s="510"/>
      <c r="AK187" s="865"/>
      <c r="AL187" s="865"/>
      <c r="AM187" s="865"/>
      <c r="AN187" s="865"/>
      <c r="AO187" s="865"/>
      <c r="AP187" s="510"/>
      <c r="AQ187" s="865"/>
      <c r="AR187" s="865"/>
      <c r="AS187" s="865"/>
      <c r="AT187" s="865"/>
      <c r="AU187" s="865"/>
      <c r="AV187" s="510"/>
      <c r="AW187" s="865"/>
      <c r="AX187" s="865"/>
      <c r="AY187" s="865"/>
      <c r="AZ187" s="865"/>
      <c r="BA187" s="865"/>
      <c r="BB187" s="510"/>
      <c r="BC187" s="865"/>
      <c r="BD187" s="865"/>
      <c r="BE187" s="865"/>
      <c r="BF187" s="865"/>
      <c r="BG187" s="865"/>
      <c r="BH187" s="865"/>
      <c r="BI187" s="865"/>
      <c r="BJ187" s="865"/>
      <c r="BK187" s="865"/>
      <c r="BL187" s="865"/>
      <c r="BM187" s="865"/>
      <c r="BN187" s="865"/>
      <c r="BO187" s="865"/>
      <c r="BP187" s="865"/>
      <c r="BQ187" s="865"/>
      <c r="BR187" s="865"/>
      <c r="BS187" s="865"/>
      <c r="BT187" s="865"/>
      <c r="BU187" s="865"/>
      <c r="BV187" s="865"/>
      <c r="BW187" s="865"/>
      <c r="BX187" s="865"/>
      <c r="BY187" s="874"/>
      <c r="BZ187" s="874"/>
      <c r="CA187" s="874"/>
      <c r="CB187" s="874"/>
      <c r="CC187" s="874"/>
      <c r="CD187" s="874"/>
      <c r="CE187" s="874"/>
      <c r="CF187" s="874"/>
      <c r="CG187" s="874"/>
      <c r="CH187" s="874"/>
      <c r="CI187" s="874"/>
      <c r="CJ187" s="874"/>
      <c r="CK187" s="874"/>
      <c r="CL187" s="874"/>
      <c r="CM187" s="874"/>
      <c r="CN187" s="874"/>
      <c r="CO187" s="874"/>
      <c r="CP187" s="874"/>
      <c r="CQ187" s="874"/>
      <c r="CR187" s="874"/>
      <c r="CS187" s="874"/>
      <c r="CT187" s="874"/>
      <c r="CU187" s="874"/>
      <c r="CV187" s="874"/>
      <c r="CW187" s="874"/>
      <c r="CX187" s="874"/>
      <c r="CY187" s="874"/>
      <c r="CZ187" s="874"/>
      <c r="DA187" s="874"/>
      <c r="DB187" s="874"/>
      <c r="DC187" s="874"/>
      <c r="DD187" s="874"/>
      <c r="DE187" s="874"/>
      <c r="DF187" s="874"/>
      <c r="DG187" s="874"/>
      <c r="DH187" s="874"/>
      <c r="DI187" s="874"/>
      <c r="DJ187" s="874"/>
      <c r="DK187" s="874"/>
      <c r="DL187" s="874"/>
      <c r="DM187" s="874"/>
      <c r="DN187" s="874"/>
      <c r="DO187" s="874"/>
      <c r="DP187" s="874"/>
      <c r="DQ187" s="874"/>
      <c r="DR187" s="874"/>
      <c r="DS187" s="874"/>
      <c r="DT187" s="874"/>
      <c r="DU187" s="874"/>
      <c r="DV187" s="874"/>
      <c r="DW187" s="874"/>
      <c r="DX187" s="874"/>
      <c r="DY187" s="874"/>
      <c r="DZ187" s="874"/>
      <c r="EA187" s="874"/>
      <c r="EB187" s="874"/>
      <c r="EC187" s="874"/>
      <c r="ED187" s="874"/>
      <c r="EE187" s="874"/>
      <c r="EF187" s="874"/>
      <c r="EG187" s="874"/>
      <c r="EH187" s="874"/>
      <c r="EI187" s="874"/>
      <c r="EJ187" s="874"/>
      <c r="EK187" s="874"/>
      <c r="EL187" s="874"/>
      <c r="EM187" s="874"/>
      <c r="EN187" s="874"/>
      <c r="EO187" s="874"/>
      <c r="EP187" s="874"/>
      <c r="EQ187" s="874"/>
      <c r="ER187" s="874"/>
      <c r="ES187" s="874"/>
      <c r="ET187" s="874"/>
      <c r="EU187" s="874"/>
      <c r="EV187" s="874"/>
      <c r="EW187" s="874"/>
      <c r="EX187" s="874"/>
      <c r="EY187" s="874"/>
      <c r="EZ187" s="874"/>
      <c r="FA187" s="874"/>
      <c r="FB187" s="874"/>
      <c r="FC187" s="874"/>
      <c r="FD187" s="874"/>
      <c r="FE187" s="874"/>
      <c r="FF187" s="874"/>
      <c r="FG187" s="874"/>
      <c r="FH187" s="874"/>
      <c r="FI187" s="874"/>
      <c r="FJ187" s="874"/>
      <c r="FK187" s="874"/>
      <c r="FL187" s="874"/>
      <c r="FM187" s="874"/>
      <c r="FN187" s="874"/>
      <c r="FO187" s="874"/>
      <c r="FP187" s="874"/>
      <c r="FQ187" s="874"/>
      <c r="FR187" s="874"/>
      <c r="FS187" s="874"/>
      <c r="FT187" s="874"/>
      <c r="FU187" s="874"/>
      <c r="FV187" s="874"/>
      <c r="FW187" s="874"/>
      <c r="FX187" s="874"/>
      <c r="FY187" s="874"/>
      <c r="FZ187" s="874"/>
      <c r="GA187" s="874"/>
      <c r="GB187" s="874"/>
      <c r="GC187" s="874"/>
      <c r="GD187" s="874"/>
      <c r="GE187" s="874"/>
      <c r="GF187" s="874"/>
      <c r="GG187" s="874"/>
      <c r="GH187" s="874"/>
      <c r="GI187" s="874"/>
      <c r="GJ187" s="874"/>
      <c r="GK187" s="874"/>
      <c r="GL187" s="874"/>
      <c r="GM187" s="874"/>
      <c r="GN187" s="874"/>
      <c r="GO187" s="874"/>
      <c r="GP187" s="874"/>
      <c r="GQ187" s="874"/>
      <c r="GR187" s="874"/>
      <c r="GS187" s="874"/>
      <c r="GT187" s="874"/>
      <c r="GU187" s="874"/>
      <c r="GV187" s="874"/>
      <c r="GW187" s="874"/>
      <c r="GX187" s="874"/>
      <c r="GY187" s="874"/>
      <c r="GZ187" s="874"/>
      <c r="HA187" s="874"/>
      <c r="HB187" s="874"/>
      <c r="HC187" s="874"/>
      <c r="HD187" s="874"/>
      <c r="HE187" s="874"/>
      <c r="HF187" s="874"/>
      <c r="HG187" s="874"/>
      <c r="HH187" s="874"/>
      <c r="HI187" s="874"/>
      <c r="HJ187" s="874"/>
      <c r="HK187" s="874"/>
      <c r="HL187" s="874"/>
      <c r="HM187" s="874"/>
      <c r="HN187" s="874"/>
      <c r="HO187" s="874"/>
      <c r="HP187" s="874"/>
      <c r="HQ187" s="874"/>
      <c r="HR187" s="874"/>
      <c r="HS187" s="874"/>
      <c r="HT187" s="874"/>
      <c r="HU187" s="874"/>
      <c r="HV187" s="874"/>
      <c r="HW187" s="874"/>
      <c r="HX187" s="874"/>
      <c r="HY187" s="874"/>
      <c r="HZ187" s="874"/>
      <c r="IA187" s="874"/>
      <c r="IB187" s="874"/>
      <c r="IC187" s="874"/>
      <c r="ID187" s="874"/>
      <c r="IE187" s="874"/>
      <c r="IF187" s="874"/>
      <c r="IG187" s="874"/>
      <c r="IH187" s="874"/>
      <c r="II187" s="874"/>
      <c r="IJ187" s="874"/>
      <c r="IK187" s="874"/>
      <c r="IL187" s="874"/>
      <c r="IM187" s="874"/>
      <c r="IN187" s="874"/>
      <c r="IO187" s="874"/>
      <c r="IP187" s="874"/>
      <c r="IQ187" s="874"/>
      <c r="IR187" s="874"/>
      <c r="IS187" s="874"/>
      <c r="IT187" s="874"/>
      <c r="IU187" s="874"/>
      <c r="IV187" s="874"/>
      <c r="IW187" s="874"/>
      <c r="IX187" s="874"/>
      <c r="IY187" s="874"/>
      <c r="IZ187" s="874"/>
      <c r="JA187" s="874"/>
      <c r="JB187" s="874"/>
      <c r="JC187" s="874"/>
      <c r="JD187" s="874"/>
      <c r="JE187" s="874"/>
      <c r="JF187" s="874"/>
      <c r="JG187" s="874"/>
      <c r="JH187" s="874"/>
      <c r="JI187" s="874"/>
      <c r="JJ187" s="874"/>
      <c r="JK187" s="874"/>
      <c r="JL187" s="874"/>
      <c r="JM187" s="874"/>
      <c r="JN187" s="874"/>
      <c r="JO187" s="874"/>
      <c r="JP187" s="874"/>
      <c r="JQ187" s="874"/>
      <c r="JR187" s="874"/>
      <c r="JS187" s="874"/>
      <c r="JT187" s="874"/>
      <c r="JU187" s="874"/>
      <c r="JV187" s="874"/>
      <c r="JW187" s="874"/>
      <c r="JX187" s="874"/>
      <c r="JY187" s="874"/>
      <c r="JZ187" s="874"/>
      <c r="KA187" s="874"/>
      <c r="KB187" s="874"/>
      <c r="KC187" s="874"/>
      <c r="KD187" s="874"/>
      <c r="KE187" s="874"/>
      <c r="KF187" s="874"/>
      <c r="KG187" s="874"/>
      <c r="KH187" s="865"/>
      <c r="KI187" s="865"/>
      <c r="KJ187" s="865"/>
      <c r="KK187" s="865"/>
      <c r="KL187" s="865"/>
      <c r="KM187" s="865"/>
      <c r="KN187" s="865"/>
      <c r="KO187" s="865"/>
      <c r="KP187" s="865"/>
      <c r="KQ187" s="865"/>
      <c r="KR187" s="865"/>
      <c r="KS187" s="865"/>
      <c r="KT187" s="865"/>
      <c r="KU187" s="865"/>
      <c r="KV187" s="865"/>
      <c r="KW187" s="865"/>
      <c r="KX187" s="865"/>
      <c r="KY187" s="865"/>
      <c r="KZ187" s="865"/>
      <c r="LA187" s="865"/>
      <c r="LB187" s="865"/>
      <c r="LC187" s="865"/>
      <c r="LD187" s="865"/>
      <c r="LE187" s="865"/>
      <c r="LF187" s="865"/>
    </row>
    <row r="188" spans="1:318">
      <c r="A188" s="865"/>
      <c r="B188" s="865"/>
      <c r="C188" s="865"/>
      <c r="D188" s="865"/>
      <c r="E188" s="865"/>
      <c r="F188" s="865"/>
      <c r="G188" s="865"/>
      <c r="H188" s="865"/>
      <c r="I188" s="865"/>
      <c r="J188" s="865"/>
      <c r="K188" s="865"/>
      <c r="L188" s="865"/>
      <c r="M188" s="865"/>
      <c r="N188" s="865"/>
      <c r="O188" s="865"/>
      <c r="P188" s="865"/>
      <c r="Q188" s="865"/>
      <c r="R188" s="865"/>
      <c r="S188" s="865"/>
      <c r="T188" s="865"/>
      <c r="U188" s="865"/>
      <c r="V188" s="865"/>
      <c r="W188" s="865"/>
      <c r="X188" s="865"/>
      <c r="Y188" s="865"/>
      <c r="Z188" s="865"/>
      <c r="AA188" s="865"/>
      <c r="AB188" s="865"/>
      <c r="AC188" s="865"/>
      <c r="AD188" s="510"/>
      <c r="AE188" s="865"/>
      <c r="AF188" s="865"/>
      <c r="AG188" s="865"/>
      <c r="AH188" s="865"/>
      <c r="AI188" s="865"/>
      <c r="AJ188" s="510"/>
      <c r="AK188" s="865"/>
      <c r="AL188" s="865"/>
      <c r="AM188" s="865"/>
      <c r="AN188" s="865"/>
      <c r="AO188" s="865"/>
      <c r="AP188" s="510"/>
      <c r="AQ188" s="865"/>
      <c r="AR188" s="865"/>
      <c r="AS188" s="865"/>
      <c r="AT188" s="865"/>
      <c r="AU188" s="865"/>
      <c r="AV188" s="510"/>
      <c r="AW188" s="865"/>
      <c r="AX188" s="865"/>
      <c r="AY188" s="865"/>
      <c r="AZ188" s="865"/>
      <c r="BA188" s="865"/>
      <c r="BB188" s="510"/>
      <c r="BC188" s="865"/>
      <c r="BD188" s="865"/>
      <c r="BE188" s="865"/>
      <c r="BF188" s="865"/>
      <c r="BG188" s="865"/>
      <c r="BH188" s="865"/>
      <c r="BI188" s="865"/>
      <c r="BJ188" s="865"/>
      <c r="BK188" s="865"/>
      <c r="BL188" s="865"/>
      <c r="BM188" s="865"/>
      <c r="BN188" s="865"/>
      <c r="BO188" s="865"/>
      <c r="BP188" s="865"/>
      <c r="BQ188" s="865"/>
      <c r="BR188" s="865"/>
      <c r="BS188" s="865"/>
      <c r="BT188" s="865"/>
      <c r="BU188" s="865"/>
      <c r="BV188" s="865"/>
      <c r="BW188" s="865"/>
      <c r="BX188" s="865"/>
      <c r="BY188" s="874"/>
      <c r="BZ188" s="874"/>
      <c r="CA188" s="874"/>
      <c r="CB188" s="874"/>
      <c r="CC188" s="874"/>
      <c r="CD188" s="874"/>
      <c r="CE188" s="874"/>
      <c r="CF188" s="874"/>
      <c r="CG188" s="874"/>
      <c r="CH188" s="874"/>
      <c r="CI188" s="874"/>
      <c r="CJ188" s="874"/>
      <c r="CK188" s="874"/>
      <c r="CL188" s="874"/>
      <c r="CM188" s="874"/>
      <c r="CN188" s="874"/>
      <c r="CO188" s="874"/>
      <c r="CP188" s="874"/>
      <c r="CQ188" s="874"/>
      <c r="CR188" s="874"/>
      <c r="CS188" s="874"/>
      <c r="CT188" s="874"/>
      <c r="CU188" s="874"/>
      <c r="CV188" s="874"/>
      <c r="CW188" s="874"/>
      <c r="CX188" s="874"/>
      <c r="CY188" s="874"/>
      <c r="CZ188" s="874"/>
      <c r="DA188" s="874"/>
      <c r="DB188" s="874"/>
      <c r="DC188" s="874"/>
      <c r="DD188" s="874"/>
      <c r="DE188" s="874"/>
      <c r="DF188" s="874"/>
      <c r="DG188" s="874"/>
      <c r="DH188" s="874"/>
      <c r="DI188" s="874"/>
      <c r="DJ188" s="874"/>
      <c r="DK188" s="874"/>
      <c r="DL188" s="874"/>
      <c r="DM188" s="874"/>
      <c r="DN188" s="874"/>
      <c r="DO188" s="874"/>
      <c r="DP188" s="874"/>
      <c r="DQ188" s="874"/>
      <c r="DR188" s="874"/>
      <c r="DS188" s="874"/>
      <c r="DT188" s="874"/>
      <c r="DU188" s="874"/>
      <c r="DV188" s="874"/>
      <c r="DW188" s="874"/>
      <c r="DX188" s="874"/>
      <c r="DY188" s="874"/>
      <c r="DZ188" s="874"/>
      <c r="EA188" s="874"/>
      <c r="EB188" s="874"/>
      <c r="EC188" s="874"/>
      <c r="ED188" s="874"/>
      <c r="EE188" s="874"/>
      <c r="EF188" s="874"/>
      <c r="EG188" s="874"/>
      <c r="EH188" s="874"/>
      <c r="EI188" s="874"/>
      <c r="EJ188" s="874"/>
      <c r="EK188" s="874"/>
      <c r="EL188" s="874"/>
      <c r="EM188" s="874"/>
      <c r="EN188" s="874"/>
      <c r="EO188" s="874"/>
      <c r="EP188" s="874"/>
      <c r="EQ188" s="874"/>
      <c r="ER188" s="874"/>
      <c r="ES188" s="874"/>
      <c r="ET188" s="874"/>
      <c r="EU188" s="874"/>
      <c r="EV188" s="874"/>
      <c r="EW188" s="874"/>
      <c r="EX188" s="874"/>
      <c r="EY188" s="874"/>
      <c r="EZ188" s="874"/>
      <c r="FA188" s="874"/>
      <c r="FB188" s="874"/>
      <c r="FC188" s="874"/>
      <c r="FD188" s="874"/>
      <c r="FE188" s="874"/>
      <c r="FF188" s="874"/>
      <c r="FG188" s="874"/>
      <c r="FH188" s="874"/>
      <c r="FI188" s="874"/>
      <c r="FJ188" s="874"/>
      <c r="FK188" s="874"/>
      <c r="FL188" s="874"/>
      <c r="FM188" s="874"/>
      <c r="FN188" s="874"/>
      <c r="FO188" s="874"/>
      <c r="FP188" s="874"/>
      <c r="FQ188" s="874"/>
      <c r="FR188" s="874"/>
      <c r="FS188" s="874"/>
      <c r="FT188" s="874"/>
      <c r="FU188" s="874"/>
      <c r="FV188" s="874"/>
      <c r="FW188" s="874"/>
      <c r="FX188" s="874"/>
      <c r="FY188" s="874"/>
      <c r="FZ188" s="874"/>
      <c r="GA188" s="874"/>
      <c r="GB188" s="874"/>
      <c r="GC188" s="874"/>
      <c r="GD188" s="874"/>
      <c r="GE188" s="874"/>
      <c r="GF188" s="874"/>
      <c r="GG188" s="874"/>
      <c r="GH188" s="874"/>
      <c r="GI188" s="874"/>
      <c r="GJ188" s="874"/>
      <c r="GK188" s="874"/>
      <c r="GL188" s="874"/>
      <c r="GM188" s="874"/>
      <c r="GN188" s="874"/>
      <c r="GO188" s="874"/>
      <c r="GP188" s="874"/>
      <c r="GQ188" s="874"/>
      <c r="GR188" s="874"/>
      <c r="GS188" s="874"/>
      <c r="GT188" s="874"/>
      <c r="GU188" s="874"/>
      <c r="GV188" s="874"/>
      <c r="GW188" s="874"/>
      <c r="GX188" s="874"/>
      <c r="GY188" s="874"/>
      <c r="GZ188" s="874"/>
      <c r="HA188" s="874"/>
      <c r="HB188" s="874"/>
      <c r="HC188" s="874"/>
      <c r="HD188" s="874"/>
      <c r="HE188" s="874"/>
      <c r="HF188" s="874"/>
      <c r="HG188" s="874"/>
      <c r="HH188" s="874"/>
      <c r="HI188" s="874"/>
      <c r="HJ188" s="874"/>
      <c r="HK188" s="874"/>
      <c r="HL188" s="874"/>
      <c r="HM188" s="874"/>
      <c r="HN188" s="874"/>
      <c r="HO188" s="874"/>
      <c r="HP188" s="874"/>
      <c r="HQ188" s="874"/>
      <c r="HR188" s="874"/>
      <c r="HS188" s="874"/>
      <c r="HT188" s="874"/>
      <c r="HU188" s="874"/>
      <c r="HV188" s="874"/>
      <c r="HW188" s="874"/>
      <c r="HX188" s="874"/>
      <c r="HY188" s="874"/>
      <c r="HZ188" s="874"/>
      <c r="IA188" s="874"/>
      <c r="IB188" s="874"/>
      <c r="IC188" s="874"/>
      <c r="ID188" s="874"/>
      <c r="IE188" s="874"/>
      <c r="IF188" s="874"/>
      <c r="IG188" s="874"/>
      <c r="IH188" s="874"/>
      <c r="II188" s="874"/>
      <c r="IJ188" s="874"/>
      <c r="IK188" s="874"/>
      <c r="IL188" s="874"/>
      <c r="IM188" s="874"/>
      <c r="IN188" s="874"/>
      <c r="IO188" s="874"/>
      <c r="IP188" s="874"/>
      <c r="IQ188" s="874"/>
      <c r="IR188" s="874"/>
      <c r="IS188" s="874"/>
      <c r="IT188" s="874"/>
      <c r="IU188" s="874"/>
      <c r="IV188" s="874"/>
      <c r="IW188" s="874"/>
      <c r="IX188" s="874"/>
      <c r="IY188" s="874"/>
      <c r="IZ188" s="874"/>
      <c r="JA188" s="874"/>
      <c r="JB188" s="874"/>
      <c r="JC188" s="874"/>
      <c r="JD188" s="874"/>
      <c r="JE188" s="874"/>
      <c r="JF188" s="874"/>
      <c r="JG188" s="874"/>
      <c r="JH188" s="874"/>
      <c r="JI188" s="874"/>
      <c r="JJ188" s="874"/>
      <c r="JK188" s="874"/>
      <c r="JL188" s="874"/>
      <c r="JM188" s="874"/>
      <c r="JN188" s="874"/>
      <c r="JO188" s="874"/>
      <c r="JP188" s="874"/>
      <c r="JQ188" s="874"/>
      <c r="JR188" s="874"/>
      <c r="JS188" s="874"/>
      <c r="JT188" s="874"/>
      <c r="JU188" s="874"/>
      <c r="JV188" s="874"/>
      <c r="JW188" s="874"/>
      <c r="JX188" s="874"/>
      <c r="JY188" s="874"/>
      <c r="JZ188" s="874"/>
      <c r="KA188" s="874"/>
      <c r="KB188" s="874"/>
      <c r="KC188" s="874"/>
      <c r="KD188" s="874"/>
      <c r="KE188" s="874"/>
      <c r="KF188" s="874"/>
      <c r="KG188" s="874"/>
      <c r="KH188" s="865"/>
      <c r="KI188" s="865"/>
      <c r="KJ188" s="865"/>
      <c r="KK188" s="865"/>
      <c r="KL188" s="865"/>
      <c r="KM188" s="865"/>
      <c r="KN188" s="865"/>
      <c r="KO188" s="865"/>
      <c r="KP188" s="865"/>
      <c r="KQ188" s="865"/>
      <c r="KR188" s="865"/>
      <c r="KS188" s="865"/>
      <c r="KT188" s="865"/>
      <c r="KU188" s="865"/>
      <c r="KV188" s="865"/>
      <c r="KW188" s="865"/>
      <c r="KX188" s="865"/>
      <c r="KY188" s="865"/>
      <c r="KZ188" s="865"/>
      <c r="LA188" s="865"/>
      <c r="LB188" s="865"/>
      <c r="LC188" s="865"/>
      <c r="LD188" s="865"/>
      <c r="LE188" s="865"/>
      <c r="LF188" s="865"/>
    </row>
    <row r="189" spans="1:318">
      <c r="A189" s="865"/>
      <c r="B189" s="865"/>
      <c r="C189" s="865"/>
      <c r="D189" s="865"/>
      <c r="E189" s="865"/>
      <c r="F189" s="865"/>
      <c r="G189" s="865"/>
      <c r="H189" s="865"/>
      <c r="I189" s="865"/>
      <c r="J189" s="865"/>
      <c r="K189" s="865"/>
      <c r="L189" s="865"/>
      <c r="M189" s="865"/>
      <c r="N189" s="865"/>
      <c r="O189" s="865"/>
      <c r="P189" s="865"/>
      <c r="Q189" s="865"/>
      <c r="R189" s="865"/>
      <c r="S189" s="865"/>
      <c r="T189" s="865"/>
      <c r="U189" s="865"/>
      <c r="V189" s="865"/>
      <c r="W189" s="865"/>
      <c r="X189" s="865"/>
      <c r="Y189" s="865"/>
      <c r="Z189" s="865"/>
      <c r="AA189" s="865"/>
      <c r="AB189" s="865"/>
      <c r="AC189" s="865"/>
      <c r="AD189" s="510"/>
      <c r="AE189" s="865"/>
      <c r="AF189" s="865"/>
      <c r="AG189" s="865"/>
      <c r="AH189" s="865"/>
      <c r="AI189" s="865"/>
      <c r="AJ189" s="510"/>
      <c r="AK189" s="865"/>
      <c r="AL189" s="865"/>
      <c r="AM189" s="865"/>
      <c r="AN189" s="865"/>
      <c r="AO189" s="865"/>
      <c r="AP189" s="510"/>
      <c r="AQ189" s="865"/>
      <c r="AR189" s="865"/>
      <c r="AS189" s="865"/>
      <c r="AT189" s="865"/>
      <c r="AU189" s="865"/>
      <c r="AV189" s="510"/>
      <c r="AW189" s="865"/>
      <c r="AX189" s="865"/>
      <c r="AY189" s="865"/>
      <c r="AZ189" s="865"/>
      <c r="BA189" s="865"/>
      <c r="BB189" s="510"/>
      <c r="BC189" s="865"/>
      <c r="BD189" s="865"/>
      <c r="BE189" s="865"/>
      <c r="BF189" s="865"/>
      <c r="BG189" s="865"/>
      <c r="BH189" s="865"/>
      <c r="BI189" s="865"/>
      <c r="BJ189" s="865"/>
      <c r="BK189" s="865"/>
      <c r="BL189" s="865"/>
      <c r="BM189" s="865"/>
      <c r="BN189" s="865"/>
      <c r="BO189" s="865"/>
      <c r="BP189" s="865"/>
      <c r="BQ189" s="865"/>
      <c r="BR189" s="865"/>
      <c r="BS189" s="865"/>
      <c r="BT189" s="865"/>
      <c r="BU189" s="865"/>
      <c r="BV189" s="865"/>
      <c r="BW189" s="865"/>
      <c r="BX189" s="865"/>
      <c r="BY189" s="874"/>
      <c r="BZ189" s="874"/>
      <c r="CA189" s="874"/>
      <c r="CB189" s="874"/>
      <c r="CC189" s="874"/>
      <c r="CD189" s="874"/>
      <c r="CE189" s="874"/>
      <c r="CF189" s="874"/>
      <c r="CG189" s="874"/>
      <c r="CH189" s="874"/>
      <c r="CI189" s="874"/>
      <c r="CJ189" s="874"/>
      <c r="CK189" s="874"/>
      <c r="CL189" s="874"/>
      <c r="CM189" s="874"/>
      <c r="CN189" s="874"/>
      <c r="CO189" s="874"/>
      <c r="CP189" s="874"/>
      <c r="CQ189" s="874"/>
      <c r="CR189" s="874"/>
      <c r="CS189" s="874"/>
      <c r="CT189" s="874"/>
      <c r="CU189" s="874"/>
      <c r="CV189" s="874"/>
      <c r="CW189" s="874"/>
      <c r="CX189" s="874"/>
      <c r="CY189" s="874"/>
      <c r="CZ189" s="874"/>
      <c r="DA189" s="874"/>
      <c r="DB189" s="874"/>
      <c r="DC189" s="874"/>
      <c r="DD189" s="874"/>
      <c r="DE189" s="874"/>
      <c r="DF189" s="874"/>
      <c r="DG189" s="874"/>
      <c r="DH189" s="874"/>
      <c r="DI189" s="874"/>
      <c r="DJ189" s="874"/>
      <c r="DK189" s="874"/>
      <c r="DL189" s="874"/>
      <c r="DM189" s="874"/>
      <c r="DN189" s="874"/>
      <c r="DO189" s="874"/>
      <c r="DP189" s="874"/>
      <c r="DQ189" s="874"/>
      <c r="DR189" s="874"/>
      <c r="DS189" s="874"/>
      <c r="DT189" s="874"/>
      <c r="DU189" s="874"/>
      <c r="DV189" s="874"/>
      <c r="DW189" s="874"/>
      <c r="DX189" s="874"/>
      <c r="DY189" s="874"/>
      <c r="DZ189" s="874"/>
      <c r="EA189" s="874"/>
      <c r="EB189" s="874"/>
      <c r="EC189" s="874"/>
      <c r="ED189" s="874"/>
      <c r="EE189" s="874"/>
      <c r="EF189" s="874"/>
      <c r="EG189" s="874"/>
      <c r="EH189" s="874"/>
      <c r="EI189" s="874"/>
      <c r="EJ189" s="874"/>
      <c r="EK189" s="874"/>
      <c r="EL189" s="874"/>
      <c r="EM189" s="874"/>
      <c r="EN189" s="874"/>
      <c r="EO189" s="874"/>
      <c r="EP189" s="874"/>
      <c r="EQ189" s="874"/>
      <c r="ER189" s="874"/>
      <c r="ES189" s="874"/>
      <c r="ET189" s="874"/>
      <c r="EU189" s="874"/>
      <c r="EV189" s="874"/>
      <c r="EW189" s="874"/>
      <c r="EX189" s="874"/>
      <c r="EY189" s="874"/>
      <c r="EZ189" s="874"/>
      <c r="FA189" s="874"/>
      <c r="FB189" s="874"/>
      <c r="FC189" s="874"/>
      <c r="FD189" s="874"/>
      <c r="FE189" s="874"/>
      <c r="FF189" s="874"/>
      <c r="FG189" s="874"/>
      <c r="FH189" s="874"/>
      <c r="FI189" s="874"/>
      <c r="FJ189" s="874"/>
      <c r="FK189" s="874"/>
      <c r="FL189" s="874"/>
      <c r="FM189" s="874"/>
      <c r="FN189" s="874"/>
      <c r="FO189" s="874"/>
      <c r="FP189" s="874"/>
      <c r="FQ189" s="874"/>
      <c r="FR189" s="874"/>
      <c r="FS189" s="874"/>
      <c r="FT189" s="874"/>
      <c r="FU189" s="874"/>
      <c r="FV189" s="874"/>
      <c r="FW189" s="874"/>
      <c r="FX189" s="874"/>
      <c r="FY189" s="874"/>
      <c r="FZ189" s="874"/>
      <c r="GA189" s="874"/>
      <c r="GB189" s="874"/>
      <c r="GC189" s="874"/>
      <c r="GD189" s="874"/>
      <c r="GE189" s="874"/>
      <c r="GF189" s="874"/>
      <c r="GG189" s="874"/>
      <c r="GH189" s="874"/>
      <c r="GI189" s="874"/>
      <c r="GJ189" s="874"/>
      <c r="GK189" s="874"/>
      <c r="GL189" s="874"/>
      <c r="GM189" s="874"/>
      <c r="GN189" s="874"/>
      <c r="GO189" s="874"/>
      <c r="GP189" s="874"/>
      <c r="GQ189" s="874"/>
      <c r="GR189" s="874"/>
      <c r="GS189" s="874"/>
      <c r="GT189" s="874"/>
      <c r="GU189" s="874"/>
      <c r="GV189" s="874"/>
      <c r="GW189" s="874"/>
      <c r="GX189" s="874"/>
      <c r="GY189" s="874"/>
      <c r="GZ189" s="874"/>
      <c r="HA189" s="874"/>
      <c r="HB189" s="874"/>
      <c r="HC189" s="874"/>
      <c r="HD189" s="874"/>
      <c r="HE189" s="874"/>
      <c r="HF189" s="874"/>
      <c r="HG189" s="874"/>
      <c r="HH189" s="874"/>
      <c r="HI189" s="874"/>
      <c r="HJ189" s="874"/>
      <c r="HK189" s="874"/>
      <c r="HL189" s="874"/>
      <c r="HM189" s="874"/>
      <c r="HN189" s="874"/>
      <c r="HO189" s="874"/>
      <c r="HP189" s="874"/>
      <c r="HQ189" s="874"/>
      <c r="HR189" s="874"/>
      <c r="HS189" s="874"/>
      <c r="HT189" s="874"/>
      <c r="HU189" s="874"/>
      <c r="HV189" s="874"/>
      <c r="HW189" s="874"/>
      <c r="HX189" s="874"/>
      <c r="HY189" s="874"/>
      <c r="HZ189" s="874"/>
      <c r="IA189" s="874"/>
      <c r="IB189" s="874"/>
      <c r="IC189" s="874"/>
      <c r="ID189" s="874"/>
      <c r="IE189" s="874"/>
      <c r="IF189" s="874"/>
      <c r="IG189" s="874"/>
      <c r="IH189" s="874"/>
      <c r="II189" s="874"/>
      <c r="IJ189" s="874"/>
      <c r="IK189" s="874"/>
      <c r="IL189" s="874"/>
      <c r="IM189" s="874"/>
      <c r="IN189" s="874"/>
      <c r="IO189" s="874"/>
      <c r="IP189" s="874"/>
      <c r="IQ189" s="874"/>
      <c r="IR189" s="874"/>
      <c r="IS189" s="874"/>
      <c r="IT189" s="874"/>
      <c r="IU189" s="874"/>
      <c r="IV189" s="874"/>
      <c r="IW189" s="874"/>
      <c r="IX189" s="874"/>
      <c r="IY189" s="874"/>
      <c r="IZ189" s="874"/>
      <c r="JA189" s="874"/>
      <c r="JB189" s="874"/>
      <c r="JC189" s="874"/>
      <c r="JD189" s="874"/>
      <c r="JE189" s="874"/>
      <c r="JF189" s="874"/>
      <c r="JG189" s="874"/>
      <c r="JH189" s="874"/>
      <c r="JI189" s="874"/>
      <c r="JJ189" s="874"/>
      <c r="JK189" s="874"/>
      <c r="JL189" s="874"/>
      <c r="JM189" s="874"/>
      <c r="JN189" s="874"/>
      <c r="JO189" s="874"/>
      <c r="JP189" s="874"/>
      <c r="JQ189" s="874"/>
      <c r="JR189" s="874"/>
      <c r="JS189" s="874"/>
      <c r="JT189" s="874"/>
      <c r="JU189" s="874"/>
      <c r="JV189" s="874"/>
      <c r="JW189" s="874"/>
      <c r="JX189" s="874"/>
      <c r="JY189" s="874"/>
      <c r="JZ189" s="874"/>
      <c r="KA189" s="874"/>
      <c r="KB189" s="874"/>
      <c r="KC189" s="874"/>
      <c r="KD189" s="874"/>
      <c r="KE189" s="874"/>
      <c r="KF189" s="874"/>
      <c r="KG189" s="874"/>
      <c r="KH189" s="865"/>
      <c r="KI189" s="865"/>
      <c r="KJ189" s="865"/>
      <c r="KK189" s="865"/>
      <c r="KL189" s="865"/>
      <c r="KM189" s="865"/>
      <c r="KN189" s="865"/>
      <c r="KO189" s="865"/>
      <c r="KP189" s="865"/>
      <c r="KQ189" s="865"/>
      <c r="KR189" s="865"/>
      <c r="KS189" s="865"/>
      <c r="KT189" s="865"/>
      <c r="KU189" s="865"/>
      <c r="KV189" s="865"/>
      <c r="KW189" s="865"/>
      <c r="KX189" s="865"/>
      <c r="KY189" s="865"/>
      <c r="KZ189" s="865"/>
      <c r="LA189" s="865"/>
      <c r="LB189" s="865"/>
      <c r="LC189" s="865"/>
      <c r="LD189" s="865"/>
      <c r="LE189" s="865"/>
      <c r="LF189" s="865"/>
    </row>
    <row r="190" spans="1:318">
      <c r="A190" s="865"/>
      <c r="B190" s="865"/>
      <c r="C190" s="865"/>
      <c r="D190" s="865"/>
      <c r="E190" s="865"/>
      <c r="F190" s="865"/>
      <c r="G190" s="865"/>
      <c r="H190" s="865"/>
      <c r="I190" s="865"/>
      <c r="J190" s="865"/>
      <c r="K190" s="865"/>
      <c r="L190" s="865"/>
      <c r="M190" s="865"/>
      <c r="N190" s="865"/>
      <c r="O190" s="865"/>
      <c r="P190" s="865"/>
      <c r="Q190" s="865"/>
      <c r="R190" s="865"/>
      <c r="S190" s="865"/>
      <c r="T190" s="865"/>
      <c r="U190" s="865"/>
      <c r="V190" s="865"/>
      <c r="W190" s="865"/>
      <c r="X190" s="865"/>
      <c r="Y190" s="865"/>
      <c r="Z190" s="865"/>
      <c r="AA190" s="865"/>
      <c r="AB190" s="865"/>
      <c r="AC190" s="865"/>
      <c r="AD190" s="510"/>
      <c r="AE190" s="865"/>
      <c r="AF190" s="865"/>
      <c r="AG190" s="865"/>
      <c r="AH190" s="865"/>
      <c r="AI190" s="865"/>
      <c r="AJ190" s="510"/>
      <c r="AK190" s="865"/>
      <c r="AL190" s="865"/>
      <c r="AM190" s="865"/>
      <c r="AN190" s="865"/>
      <c r="AO190" s="865"/>
      <c r="AP190" s="510"/>
      <c r="AQ190" s="865"/>
      <c r="AR190" s="865"/>
      <c r="AS190" s="865"/>
      <c r="AT190" s="865"/>
      <c r="AU190" s="865"/>
      <c r="AV190" s="510"/>
      <c r="AW190" s="865"/>
      <c r="AX190" s="865"/>
      <c r="AY190" s="865"/>
      <c r="AZ190" s="865"/>
      <c r="BA190" s="865"/>
      <c r="BB190" s="510"/>
      <c r="BC190" s="865"/>
      <c r="BD190" s="865"/>
      <c r="BE190" s="865"/>
      <c r="BF190" s="865"/>
      <c r="BG190" s="865"/>
      <c r="BH190" s="865"/>
      <c r="BI190" s="865"/>
      <c r="BJ190" s="865"/>
      <c r="BK190" s="865"/>
      <c r="BL190" s="865"/>
      <c r="BM190" s="865"/>
      <c r="BN190" s="865"/>
      <c r="BO190" s="865"/>
      <c r="BP190" s="865"/>
      <c r="BQ190" s="865"/>
      <c r="BR190" s="865"/>
      <c r="BS190" s="865"/>
      <c r="BT190" s="865"/>
      <c r="BU190" s="865"/>
      <c r="BV190" s="865"/>
      <c r="BW190" s="865"/>
      <c r="BX190" s="865"/>
      <c r="BY190" s="874"/>
      <c r="BZ190" s="874"/>
      <c r="CA190" s="874"/>
      <c r="CB190" s="874"/>
      <c r="CC190" s="874"/>
      <c r="CD190" s="874"/>
      <c r="CE190" s="874"/>
      <c r="CF190" s="874"/>
      <c r="CG190" s="874"/>
      <c r="CH190" s="874"/>
      <c r="CI190" s="874"/>
      <c r="CJ190" s="874"/>
      <c r="CK190" s="874"/>
      <c r="CL190" s="874"/>
      <c r="CM190" s="874"/>
      <c r="CN190" s="874"/>
      <c r="CO190" s="874"/>
      <c r="CP190" s="874"/>
      <c r="CQ190" s="874"/>
      <c r="CR190" s="874"/>
      <c r="CS190" s="874"/>
      <c r="CT190" s="874"/>
      <c r="CU190" s="874"/>
      <c r="CV190" s="874"/>
      <c r="CW190" s="874"/>
      <c r="CX190" s="874"/>
      <c r="CY190" s="874"/>
      <c r="CZ190" s="874"/>
      <c r="DA190" s="874"/>
      <c r="DB190" s="874"/>
      <c r="DC190" s="874"/>
      <c r="DD190" s="874"/>
      <c r="DE190" s="874"/>
      <c r="DF190" s="874"/>
      <c r="DG190" s="874"/>
      <c r="DH190" s="874"/>
      <c r="DI190" s="874"/>
      <c r="DJ190" s="874"/>
      <c r="DK190" s="874"/>
      <c r="DL190" s="874"/>
      <c r="DM190" s="874"/>
      <c r="DN190" s="874"/>
      <c r="DO190" s="874"/>
      <c r="DP190" s="874"/>
      <c r="DQ190" s="874"/>
      <c r="DR190" s="874"/>
      <c r="DS190" s="874"/>
      <c r="DT190" s="874"/>
      <c r="DU190" s="874"/>
      <c r="DV190" s="874"/>
      <c r="DW190" s="874"/>
      <c r="DX190" s="874"/>
      <c r="DY190" s="874"/>
      <c r="DZ190" s="874"/>
      <c r="EA190" s="874"/>
      <c r="EB190" s="874"/>
      <c r="EC190" s="874"/>
      <c r="ED190" s="874"/>
      <c r="EE190" s="874"/>
      <c r="EF190" s="874"/>
      <c r="EG190" s="874"/>
      <c r="EH190" s="874"/>
      <c r="EI190" s="874"/>
      <c r="EJ190" s="874"/>
      <c r="EK190" s="874"/>
      <c r="EL190" s="874"/>
      <c r="EM190" s="874"/>
      <c r="EN190" s="874"/>
      <c r="EO190" s="874"/>
      <c r="EP190" s="874"/>
      <c r="EQ190" s="874"/>
      <c r="ER190" s="874"/>
      <c r="ES190" s="874"/>
      <c r="ET190" s="874"/>
      <c r="EU190" s="874"/>
      <c r="EV190" s="874"/>
      <c r="EW190" s="874"/>
      <c r="EX190" s="874"/>
      <c r="EY190" s="874"/>
      <c r="EZ190" s="874"/>
      <c r="FA190" s="874"/>
      <c r="FB190" s="874"/>
      <c r="FC190" s="874"/>
      <c r="FD190" s="874"/>
      <c r="FE190" s="874"/>
      <c r="FF190" s="874"/>
      <c r="FG190" s="874"/>
      <c r="FH190" s="874"/>
      <c r="FI190" s="874"/>
      <c r="FJ190" s="874"/>
      <c r="FK190" s="874"/>
      <c r="FL190" s="874"/>
      <c r="FM190" s="874"/>
      <c r="FN190" s="874"/>
      <c r="FO190" s="874"/>
      <c r="FP190" s="874"/>
      <c r="FQ190" s="874"/>
      <c r="FR190" s="874"/>
      <c r="FS190" s="874"/>
      <c r="FT190" s="874"/>
      <c r="FU190" s="874"/>
      <c r="FV190" s="874"/>
      <c r="FW190" s="874"/>
      <c r="FX190" s="874"/>
      <c r="FY190" s="874"/>
      <c r="FZ190" s="874"/>
      <c r="GA190" s="874"/>
      <c r="GB190" s="874"/>
      <c r="GC190" s="874"/>
      <c r="GD190" s="874"/>
      <c r="GE190" s="874"/>
      <c r="GF190" s="874"/>
      <c r="GG190" s="874"/>
      <c r="GH190" s="874"/>
      <c r="GI190" s="874"/>
      <c r="GJ190" s="874"/>
      <c r="GK190" s="874"/>
      <c r="GL190" s="874"/>
      <c r="GM190" s="874"/>
      <c r="GN190" s="874"/>
      <c r="GO190" s="874"/>
      <c r="GP190" s="874"/>
      <c r="GQ190" s="874"/>
      <c r="GR190" s="874"/>
      <c r="GS190" s="874"/>
      <c r="GT190" s="874"/>
      <c r="GU190" s="874"/>
      <c r="GV190" s="874"/>
      <c r="GW190" s="874"/>
      <c r="GX190" s="874"/>
      <c r="GY190" s="874"/>
      <c r="GZ190" s="874"/>
      <c r="HA190" s="874"/>
      <c r="HB190" s="874"/>
      <c r="HC190" s="874"/>
      <c r="HD190" s="874"/>
      <c r="HE190" s="874"/>
      <c r="HF190" s="874"/>
      <c r="HG190" s="874"/>
      <c r="HH190" s="874"/>
      <c r="HI190" s="874"/>
      <c r="HJ190" s="874"/>
      <c r="HK190" s="874"/>
      <c r="HL190" s="874"/>
      <c r="HM190" s="874"/>
      <c r="HN190" s="874"/>
      <c r="HO190" s="874"/>
      <c r="HP190" s="874"/>
      <c r="HQ190" s="874"/>
      <c r="HR190" s="874"/>
      <c r="HS190" s="874"/>
      <c r="HT190" s="874"/>
      <c r="HU190" s="874"/>
      <c r="HV190" s="874"/>
      <c r="HW190" s="874"/>
      <c r="HX190" s="874"/>
      <c r="HY190" s="874"/>
      <c r="HZ190" s="874"/>
      <c r="IA190" s="874"/>
      <c r="IB190" s="874"/>
      <c r="IC190" s="874"/>
      <c r="ID190" s="874"/>
      <c r="IE190" s="874"/>
      <c r="IF190" s="874"/>
      <c r="IG190" s="874"/>
      <c r="IH190" s="874"/>
      <c r="II190" s="874"/>
      <c r="IJ190" s="874"/>
      <c r="IK190" s="874"/>
      <c r="IL190" s="874"/>
      <c r="IM190" s="874"/>
      <c r="IN190" s="874"/>
      <c r="IO190" s="874"/>
      <c r="IP190" s="874"/>
      <c r="IQ190" s="874"/>
      <c r="IR190" s="874"/>
      <c r="IS190" s="874"/>
      <c r="IT190" s="874"/>
      <c r="IU190" s="874"/>
      <c r="IV190" s="874"/>
      <c r="IW190" s="874"/>
      <c r="IX190" s="874"/>
      <c r="IY190" s="874"/>
      <c r="IZ190" s="874"/>
      <c r="JA190" s="874"/>
      <c r="JB190" s="874"/>
      <c r="JC190" s="874"/>
      <c r="JD190" s="874"/>
      <c r="JE190" s="874"/>
      <c r="JF190" s="874"/>
      <c r="JG190" s="874"/>
      <c r="JH190" s="874"/>
      <c r="JI190" s="874"/>
      <c r="JJ190" s="874"/>
      <c r="JK190" s="874"/>
      <c r="JL190" s="874"/>
      <c r="JM190" s="874"/>
      <c r="JN190" s="874"/>
      <c r="JO190" s="874"/>
      <c r="JP190" s="874"/>
      <c r="JQ190" s="874"/>
      <c r="JR190" s="874"/>
      <c r="JS190" s="874"/>
      <c r="JT190" s="874"/>
      <c r="JU190" s="874"/>
      <c r="JV190" s="874"/>
      <c r="JW190" s="874"/>
      <c r="JX190" s="874"/>
      <c r="JY190" s="874"/>
      <c r="JZ190" s="874"/>
      <c r="KA190" s="874"/>
      <c r="KB190" s="874"/>
      <c r="KC190" s="874"/>
      <c r="KD190" s="874"/>
      <c r="KE190" s="874"/>
      <c r="KF190" s="874"/>
      <c r="KG190" s="874"/>
      <c r="KH190" s="865"/>
      <c r="KI190" s="865"/>
      <c r="KJ190" s="865"/>
      <c r="KK190" s="865"/>
      <c r="KL190" s="865"/>
      <c r="KM190" s="865"/>
      <c r="KN190" s="865"/>
      <c r="KO190" s="865"/>
      <c r="KP190" s="865"/>
      <c r="KQ190" s="865"/>
      <c r="KR190" s="865"/>
      <c r="KS190" s="865"/>
      <c r="KT190" s="865"/>
      <c r="KU190" s="865"/>
      <c r="KV190" s="865"/>
      <c r="KW190" s="865"/>
      <c r="KX190" s="865"/>
      <c r="KY190" s="865"/>
      <c r="KZ190" s="865"/>
      <c r="LA190" s="865"/>
      <c r="LB190" s="865"/>
      <c r="LC190" s="865"/>
      <c r="LD190" s="865"/>
      <c r="LE190" s="865"/>
      <c r="LF190" s="865"/>
    </row>
    <row r="191" spans="1:318">
      <c r="A191" s="865"/>
      <c r="B191" s="865"/>
      <c r="C191" s="865"/>
      <c r="D191" s="865"/>
      <c r="E191" s="865"/>
      <c r="F191" s="865"/>
      <c r="G191" s="865"/>
      <c r="H191" s="865"/>
      <c r="I191" s="865"/>
      <c r="J191" s="865"/>
      <c r="K191" s="865"/>
      <c r="L191" s="865"/>
      <c r="M191" s="865"/>
      <c r="N191" s="865"/>
      <c r="O191" s="865"/>
      <c r="P191" s="865"/>
      <c r="Q191" s="865"/>
      <c r="R191" s="865"/>
      <c r="S191" s="865"/>
      <c r="T191" s="865"/>
      <c r="U191" s="865"/>
      <c r="V191" s="865"/>
      <c r="W191" s="865"/>
      <c r="X191" s="865"/>
      <c r="Y191" s="865"/>
      <c r="Z191" s="865"/>
      <c r="AA191" s="865"/>
      <c r="AB191" s="865"/>
      <c r="AC191" s="865"/>
      <c r="AD191" s="510"/>
      <c r="AE191" s="865"/>
      <c r="AF191" s="865"/>
      <c r="AG191" s="865"/>
      <c r="AH191" s="865"/>
      <c r="AI191" s="865"/>
      <c r="AJ191" s="510"/>
      <c r="AK191" s="865"/>
      <c r="AL191" s="865"/>
      <c r="AM191" s="865"/>
      <c r="AN191" s="865"/>
      <c r="AO191" s="865"/>
      <c r="AP191" s="510"/>
      <c r="AQ191" s="865"/>
      <c r="AR191" s="865"/>
      <c r="AS191" s="865"/>
      <c r="AT191" s="865"/>
      <c r="AU191" s="865"/>
      <c r="AV191" s="510"/>
      <c r="AW191" s="865"/>
      <c r="AX191" s="865"/>
      <c r="AY191" s="865"/>
      <c r="AZ191" s="865"/>
      <c r="BA191" s="865"/>
      <c r="BB191" s="510"/>
      <c r="BC191" s="865"/>
      <c r="BD191" s="865"/>
      <c r="BE191" s="865"/>
      <c r="BF191" s="865"/>
      <c r="BG191" s="865"/>
      <c r="BH191" s="865"/>
      <c r="BI191" s="865"/>
      <c r="BJ191" s="865"/>
      <c r="BK191" s="865"/>
      <c r="BL191" s="865"/>
      <c r="BM191" s="865"/>
      <c r="BN191" s="865"/>
      <c r="BO191" s="865"/>
      <c r="BP191" s="865"/>
      <c r="BQ191" s="865"/>
      <c r="BR191" s="865"/>
      <c r="BS191" s="865"/>
      <c r="BT191" s="865"/>
      <c r="BU191" s="865"/>
      <c r="BV191" s="865"/>
      <c r="BW191" s="865"/>
      <c r="BX191" s="865"/>
      <c r="BY191" s="874"/>
      <c r="BZ191" s="874"/>
      <c r="CA191" s="874"/>
      <c r="CB191" s="874"/>
      <c r="CC191" s="874"/>
      <c r="CD191" s="874"/>
      <c r="CE191" s="874"/>
      <c r="CF191" s="874"/>
      <c r="CG191" s="874"/>
      <c r="CH191" s="874"/>
      <c r="CI191" s="874"/>
      <c r="CJ191" s="874"/>
      <c r="CK191" s="874"/>
      <c r="CL191" s="874"/>
      <c r="CM191" s="874"/>
      <c r="CN191" s="874"/>
      <c r="CO191" s="874"/>
      <c r="CP191" s="874"/>
      <c r="CQ191" s="874"/>
      <c r="CR191" s="874"/>
      <c r="CS191" s="874"/>
      <c r="CT191" s="874"/>
      <c r="CU191" s="874"/>
      <c r="CV191" s="874"/>
      <c r="CW191" s="874"/>
      <c r="CX191" s="874"/>
      <c r="CY191" s="874"/>
      <c r="CZ191" s="874"/>
      <c r="DA191" s="874"/>
      <c r="DB191" s="874"/>
      <c r="DC191" s="874"/>
      <c r="DD191" s="874"/>
      <c r="DE191" s="874"/>
      <c r="DF191" s="874"/>
      <c r="DG191" s="874"/>
      <c r="DH191" s="874"/>
      <c r="DI191" s="874"/>
      <c r="DJ191" s="874"/>
      <c r="DK191" s="874"/>
      <c r="DL191" s="874"/>
      <c r="DM191" s="874"/>
      <c r="DN191" s="874"/>
      <c r="DO191" s="874"/>
      <c r="DP191" s="874"/>
      <c r="DQ191" s="874"/>
      <c r="DR191" s="874"/>
      <c r="DS191" s="874"/>
      <c r="DT191" s="874"/>
      <c r="DU191" s="874"/>
      <c r="DV191" s="874"/>
      <c r="DW191" s="874"/>
      <c r="DX191" s="874"/>
      <c r="DY191" s="874"/>
      <c r="DZ191" s="874"/>
      <c r="EA191" s="874"/>
      <c r="EB191" s="874"/>
      <c r="EC191" s="874"/>
      <c r="ED191" s="874"/>
      <c r="EE191" s="874"/>
      <c r="EF191" s="874"/>
      <c r="EG191" s="874"/>
      <c r="EH191" s="874"/>
      <c r="EI191" s="874"/>
      <c r="EJ191" s="874"/>
      <c r="EK191" s="874"/>
      <c r="EL191" s="874"/>
      <c r="EM191" s="874"/>
      <c r="EN191" s="874"/>
      <c r="EO191" s="874"/>
      <c r="EP191" s="874"/>
      <c r="EQ191" s="874"/>
      <c r="ER191" s="874"/>
      <c r="ES191" s="874"/>
      <c r="ET191" s="874"/>
      <c r="EU191" s="874"/>
      <c r="EV191" s="874"/>
      <c r="EW191" s="874"/>
      <c r="EX191" s="874"/>
      <c r="EY191" s="874"/>
      <c r="EZ191" s="874"/>
      <c r="FA191" s="874"/>
      <c r="FB191" s="874"/>
      <c r="FC191" s="874"/>
      <c r="FD191" s="874"/>
      <c r="FE191" s="874"/>
      <c r="FF191" s="874"/>
      <c r="FG191" s="874"/>
      <c r="FH191" s="874"/>
      <c r="FI191" s="874"/>
      <c r="FJ191" s="874"/>
      <c r="FK191" s="874"/>
      <c r="FL191" s="874"/>
      <c r="FM191" s="874"/>
      <c r="FN191" s="874"/>
      <c r="FO191" s="874"/>
      <c r="FP191" s="874"/>
      <c r="FQ191" s="874"/>
      <c r="FR191" s="874"/>
      <c r="FS191" s="874"/>
      <c r="FT191" s="874"/>
      <c r="FU191" s="874"/>
      <c r="FV191" s="874"/>
      <c r="FW191" s="874"/>
      <c r="FX191" s="874"/>
      <c r="FY191" s="874"/>
      <c r="FZ191" s="874"/>
      <c r="GA191" s="874"/>
      <c r="GB191" s="874"/>
      <c r="GC191" s="874"/>
      <c r="GD191" s="874"/>
      <c r="GE191" s="874"/>
      <c r="GF191" s="874"/>
      <c r="GG191" s="874"/>
      <c r="GH191" s="874"/>
      <c r="GI191" s="874"/>
      <c r="GJ191" s="874"/>
      <c r="GK191" s="874"/>
      <c r="GL191" s="874"/>
      <c r="GM191" s="874"/>
      <c r="GN191" s="874"/>
      <c r="GO191" s="874"/>
      <c r="GP191" s="874"/>
      <c r="GQ191" s="874"/>
      <c r="GR191" s="874"/>
      <c r="GS191" s="874"/>
      <c r="GT191" s="874"/>
      <c r="GU191" s="874"/>
      <c r="GV191" s="874"/>
      <c r="GW191" s="874"/>
      <c r="GX191" s="874"/>
      <c r="GY191" s="874"/>
      <c r="GZ191" s="874"/>
      <c r="HA191" s="874"/>
      <c r="HB191" s="874"/>
      <c r="HC191" s="874"/>
      <c r="HD191" s="874"/>
      <c r="HE191" s="874"/>
      <c r="HF191" s="874"/>
      <c r="HG191" s="874"/>
      <c r="HH191" s="874"/>
      <c r="HI191" s="874"/>
      <c r="HJ191" s="874"/>
      <c r="HK191" s="874"/>
      <c r="HL191" s="874"/>
      <c r="HM191" s="874"/>
      <c r="HN191" s="874"/>
      <c r="HO191" s="874"/>
      <c r="HP191" s="874"/>
      <c r="HQ191" s="874"/>
      <c r="HR191" s="874"/>
      <c r="HS191" s="874"/>
      <c r="HT191" s="874"/>
      <c r="HU191" s="874"/>
      <c r="HV191" s="874"/>
      <c r="HW191" s="874"/>
      <c r="HX191" s="874"/>
      <c r="HY191" s="874"/>
      <c r="HZ191" s="874"/>
      <c r="IA191" s="874"/>
      <c r="IB191" s="874"/>
      <c r="IC191" s="874"/>
      <c r="ID191" s="874"/>
      <c r="IE191" s="874"/>
      <c r="IF191" s="874"/>
      <c r="IG191" s="874"/>
      <c r="IH191" s="874"/>
      <c r="II191" s="874"/>
      <c r="IJ191" s="874"/>
      <c r="IK191" s="874"/>
      <c r="IL191" s="874"/>
      <c r="IM191" s="874"/>
      <c r="IN191" s="874"/>
      <c r="IO191" s="874"/>
      <c r="IP191" s="874"/>
      <c r="IQ191" s="874"/>
      <c r="IR191" s="874"/>
      <c r="IS191" s="874"/>
      <c r="IT191" s="874"/>
      <c r="IU191" s="874"/>
      <c r="IV191" s="874"/>
      <c r="IW191" s="874"/>
      <c r="IX191" s="874"/>
      <c r="IY191" s="874"/>
      <c r="IZ191" s="874"/>
      <c r="JA191" s="874"/>
      <c r="JB191" s="874"/>
      <c r="JC191" s="874"/>
      <c r="JD191" s="874"/>
      <c r="JE191" s="874"/>
      <c r="JF191" s="874"/>
      <c r="JG191" s="874"/>
      <c r="JH191" s="874"/>
      <c r="JI191" s="874"/>
      <c r="JJ191" s="874"/>
      <c r="JK191" s="874"/>
      <c r="JL191" s="874"/>
      <c r="JM191" s="874"/>
      <c r="JN191" s="874"/>
      <c r="JO191" s="874"/>
      <c r="JP191" s="874"/>
      <c r="JQ191" s="874"/>
      <c r="JR191" s="874"/>
      <c r="JS191" s="874"/>
      <c r="JT191" s="874"/>
      <c r="JU191" s="874"/>
      <c r="JV191" s="874"/>
      <c r="JW191" s="874"/>
      <c r="JX191" s="874"/>
      <c r="JY191" s="874"/>
      <c r="JZ191" s="874"/>
      <c r="KA191" s="874"/>
      <c r="KB191" s="874"/>
      <c r="KC191" s="874"/>
      <c r="KD191" s="874"/>
      <c r="KE191" s="874"/>
      <c r="KF191" s="874"/>
      <c r="KG191" s="874"/>
      <c r="KH191" s="865"/>
      <c r="KI191" s="865"/>
      <c r="KJ191" s="865"/>
      <c r="KK191" s="865"/>
      <c r="KL191" s="865"/>
      <c r="KM191" s="865"/>
      <c r="KN191" s="865"/>
      <c r="KO191" s="865"/>
      <c r="KP191" s="865"/>
      <c r="KQ191" s="865"/>
      <c r="KR191" s="865"/>
      <c r="KS191" s="865"/>
      <c r="KT191" s="865"/>
      <c r="KU191" s="865"/>
      <c r="KV191" s="865"/>
      <c r="KW191" s="865"/>
      <c r="KX191" s="865"/>
      <c r="KY191" s="865"/>
      <c r="KZ191" s="865"/>
      <c r="LA191" s="865"/>
      <c r="LB191" s="865"/>
      <c r="LC191" s="865"/>
      <c r="LD191" s="865"/>
      <c r="LE191" s="865"/>
      <c r="LF191" s="865"/>
    </row>
    <row r="192" spans="1:318">
      <c r="A192" s="865"/>
      <c r="B192" s="865"/>
      <c r="C192" s="865"/>
      <c r="D192" s="865"/>
      <c r="E192" s="865"/>
      <c r="F192" s="865"/>
      <c r="G192" s="865"/>
      <c r="H192" s="865"/>
      <c r="I192" s="865"/>
      <c r="J192" s="865"/>
      <c r="K192" s="865"/>
      <c r="L192" s="865"/>
      <c r="M192" s="865"/>
      <c r="N192" s="865"/>
      <c r="O192" s="865"/>
      <c r="P192" s="865"/>
      <c r="Q192" s="865"/>
      <c r="R192" s="865"/>
      <c r="S192" s="865"/>
      <c r="T192" s="865"/>
      <c r="U192" s="865"/>
      <c r="V192" s="865"/>
      <c r="W192" s="865"/>
      <c r="X192" s="865"/>
      <c r="Y192" s="865"/>
      <c r="Z192" s="865"/>
      <c r="AA192" s="865"/>
      <c r="AB192" s="865"/>
      <c r="AC192" s="865"/>
      <c r="AD192" s="510"/>
      <c r="AE192" s="865"/>
      <c r="AF192" s="865"/>
      <c r="AG192" s="865"/>
      <c r="AH192" s="865"/>
      <c r="AI192" s="865"/>
      <c r="AJ192" s="510"/>
      <c r="AK192" s="865"/>
      <c r="AL192" s="865"/>
      <c r="AM192" s="865"/>
      <c r="AN192" s="865"/>
      <c r="AO192" s="865"/>
      <c r="AP192" s="510"/>
      <c r="AQ192" s="865"/>
      <c r="AR192" s="865"/>
      <c r="AS192" s="865"/>
      <c r="AT192" s="865"/>
      <c r="AU192" s="865"/>
      <c r="AV192" s="510"/>
      <c r="AW192" s="865"/>
      <c r="AX192" s="865"/>
      <c r="AY192" s="865"/>
      <c r="AZ192" s="865"/>
      <c r="BA192" s="865"/>
      <c r="BB192" s="510"/>
      <c r="BC192" s="865"/>
      <c r="BD192" s="865"/>
      <c r="BE192" s="865"/>
      <c r="BF192" s="865"/>
      <c r="BG192" s="865"/>
      <c r="BH192" s="865"/>
      <c r="BI192" s="865"/>
      <c r="BJ192" s="865"/>
      <c r="BK192" s="865"/>
      <c r="BL192" s="865"/>
      <c r="BM192" s="865"/>
      <c r="BN192" s="865"/>
      <c r="BO192" s="865"/>
      <c r="BP192" s="865"/>
      <c r="BQ192" s="865"/>
      <c r="BR192" s="865"/>
      <c r="BS192" s="865"/>
      <c r="BT192" s="865"/>
      <c r="BU192" s="865"/>
      <c r="BV192" s="865"/>
      <c r="BW192" s="865"/>
      <c r="BX192" s="865"/>
      <c r="BY192" s="874"/>
      <c r="BZ192" s="874"/>
      <c r="CA192" s="874"/>
      <c r="CB192" s="874"/>
      <c r="CC192" s="874"/>
      <c r="CD192" s="874"/>
      <c r="CE192" s="874"/>
      <c r="CF192" s="874"/>
      <c r="CG192" s="874"/>
      <c r="CH192" s="874"/>
      <c r="CI192" s="874"/>
      <c r="CJ192" s="874"/>
      <c r="CK192" s="874"/>
      <c r="CL192" s="874"/>
      <c r="CM192" s="874"/>
      <c r="CN192" s="874"/>
      <c r="CO192" s="874"/>
      <c r="CP192" s="874"/>
      <c r="CQ192" s="874"/>
      <c r="CR192" s="874"/>
      <c r="CS192" s="874"/>
      <c r="CT192" s="874"/>
      <c r="CU192" s="874"/>
      <c r="CV192" s="874"/>
      <c r="CW192" s="874"/>
      <c r="CX192" s="874"/>
      <c r="CY192" s="874"/>
      <c r="CZ192" s="874"/>
      <c r="DA192" s="874"/>
      <c r="DB192" s="874"/>
      <c r="DC192" s="874"/>
      <c r="DD192" s="874"/>
      <c r="DE192" s="874"/>
      <c r="DF192" s="874"/>
      <c r="DG192" s="874"/>
      <c r="DH192" s="874"/>
      <c r="DI192" s="874"/>
      <c r="DJ192" s="874"/>
      <c r="DK192" s="874"/>
      <c r="DL192" s="874"/>
      <c r="DM192" s="874"/>
      <c r="DN192" s="874"/>
      <c r="DO192" s="874"/>
      <c r="DP192" s="874"/>
      <c r="DQ192" s="874"/>
      <c r="DR192" s="874"/>
      <c r="DS192" s="874"/>
      <c r="DT192" s="874"/>
      <c r="DU192" s="874"/>
      <c r="DV192" s="874"/>
      <c r="DW192" s="874"/>
      <c r="DX192" s="874"/>
      <c r="DY192" s="874"/>
      <c r="DZ192" s="874"/>
      <c r="EA192" s="874"/>
      <c r="EB192" s="874"/>
      <c r="EC192" s="874"/>
      <c r="ED192" s="874"/>
      <c r="EE192" s="874"/>
      <c r="EF192" s="874"/>
      <c r="EG192" s="874"/>
      <c r="EH192" s="874"/>
      <c r="EI192" s="874"/>
      <c r="EJ192" s="874"/>
      <c r="EK192" s="874"/>
      <c r="EL192" s="874"/>
      <c r="EM192" s="874"/>
      <c r="EN192" s="874"/>
      <c r="EO192" s="874"/>
      <c r="EP192" s="874"/>
      <c r="EQ192" s="874"/>
      <c r="ER192" s="874"/>
      <c r="ES192" s="874"/>
      <c r="ET192" s="874"/>
      <c r="EU192" s="874"/>
      <c r="EV192" s="874"/>
      <c r="EW192" s="874"/>
      <c r="EX192" s="874"/>
      <c r="EY192" s="874"/>
      <c r="EZ192" s="874"/>
      <c r="FA192" s="874"/>
      <c r="FB192" s="874"/>
      <c r="FC192" s="874"/>
      <c r="FD192" s="874"/>
      <c r="FE192" s="874"/>
      <c r="FF192" s="874"/>
      <c r="FG192" s="874"/>
      <c r="FH192" s="874"/>
      <c r="FI192" s="874"/>
      <c r="FJ192" s="874"/>
      <c r="FK192" s="874"/>
      <c r="FL192" s="874"/>
      <c r="FM192" s="874"/>
      <c r="FN192" s="874"/>
      <c r="FO192" s="874"/>
      <c r="FP192" s="874"/>
      <c r="FQ192" s="874"/>
      <c r="FR192" s="874"/>
      <c r="FS192" s="874"/>
      <c r="FT192" s="874"/>
      <c r="FU192" s="874"/>
      <c r="FV192" s="874"/>
      <c r="FW192" s="874"/>
      <c r="FX192" s="874"/>
      <c r="FY192" s="874"/>
      <c r="FZ192" s="874"/>
      <c r="GA192" s="874"/>
      <c r="GB192" s="874"/>
      <c r="GC192" s="874"/>
      <c r="GD192" s="874"/>
      <c r="GE192" s="874"/>
      <c r="GF192" s="874"/>
      <c r="GG192" s="874"/>
      <c r="GH192" s="874"/>
      <c r="GI192" s="874"/>
      <c r="GJ192" s="874"/>
      <c r="GK192" s="874"/>
      <c r="GL192" s="874"/>
      <c r="GM192" s="874"/>
      <c r="GN192" s="874"/>
      <c r="GO192" s="874"/>
      <c r="GP192" s="874"/>
      <c r="GQ192" s="874"/>
      <c r="GR192" s="874"/>
      <c r="GS192" s="874"/>
      <c r="GT192" s="874"/>
      <c r="GU192" s="874"/>
      <c r="GV192" s="874"/>
      <c r="GW192" s="874"/>
      <c r="GX192" s="874"/>
      <c r="GY192" s="874"/>
      <c r="GZ192" s="874"/>
      <c r="HA192" s="874"/>
      <c r="HB192" s="874"/>
      <c r="HC192" s="874"/>
      <c r="HD192" s="874"/>
      <c r="HE192" s="874"/>
      <c r="HF192" s="874"/>
      <c r="HG192" s="874"/>
      <c r="HH192" s="874"/>
      <c r="HI192" s="874"/>
      <c r="HJ192" s="874"/>
      <c r="HK192" s="874"/>
      <c r="HL192" s="874"/>
      <c r="HM192" s="874"/>
      <c r="HN192" s="874"/>
      <c r="HO192" s="874"/>
      <c r="HP192" s="874"/>
      <c r="HQ192" s="874"/>
      <c r="HR192" s="874"/>
      <c r="HS192" s="874"/>
      <c r="HT192" s="874"/>
      <c r="HU192" s="874"/>
      <c r="HV192" s="874"/>
      <c r="HW192" s="874"/>
      <c r="HX192" s="874"/>
      <c r="HY192" s="874"/>
      <c r="HZ192" s="874"/>
      <c r="IA192" s="874"/>
      <c r="IB192" s="874"/>
      <c r="IC192" s="874"/>
      <c r="ID192" s="874"/>
      <c r="IE192" s="874"/>
      <c r="IF192" s="874"/>
      <c r="IG192" s="874"/>
      <c r="IH192" s="874"/>
      <c r="II192" s="874"/>
      <c r="IJ192" s="874"/>
      <c r="IK192" s="874"/>
      <c r="IL192" s="874"/>
      <c r="IM192" s="874"/>
      <c r="IN192" s="874"/>
      <c r="IO192" s="874"/>
      <c r="IP192" s="874"/>
      <c r="IQ192" s="874"/>
      <c r="IR192" s="874"/>
      <c r="IS192" s="874"/>
      <c r="IT192" s="874"/>
      <c r="IU192" s="874"/>
      <c r="IV192" s="874"/>
      <c r="IW192" s="874"/>
      <c r="IX192" s="874"/>
      <c r="IY192" s="874"/>
      <c r="IZ192" s="874"/>
      <c r="JA192" s="874"/>
      <c r="JB192" s="874"/>
      <c r="JC192" s="874"/>
      <c r="JD192" s="874"/>
      <c r="JE192" s="874"/>
      <c r="JF192" s="874"/>
      <c r="JG192" s="874"/>
      <c r="JH192" s="874"/>
      <c r="JI192" s="874"/>
      <c r="JJ192" s="874"/>
      <c r="JK192" s="874"/>
      <c r="JL192" s="874"/>
      <c r="JM192" s="874"/>
      <c r="JN192" s="874"/>
      <c r="JO192" s="874"/>
      <c r="JP192" s="874"/>
      <c r="JQ192" s="874"/>
      <c r="JR192" s="874"/>
      <c r="JS192" s="874"/>
      <c r="JT192" s="874"/>
      <c r="JU192" s="874"/>
      <c r="JV192" s="874"/>
      <c r="JW192" s="874"/>
      <c r="JX192" s="874"/>
      <c r="JY192" s="874"/>
      <c r="JZ192" s="874"/>
      <c r="KA192" s="874"/>
      <c r="KB192" s="874"/>
      <c r="KC192" s="874"/>
      <c r="KD192" s="874"/>
      <c r="KE192" s="874"/>
      <c r="KF192" s="874"/>
      <c r="KG192" s="874"/>
      <c r="KH192" s="865"/>
      <c r="KI192" s="865"/>
      <c r="KJ192" s="865"/>
      <c r="KK192" s="865"/>
      <c r="KL192" s="865"/>
      <c r="KM192" s="865"/>
      <c r="KN192" s="865"/>
      <c r="KO192" s="865"/>
      <c r="KP192" s="865"/>
      <c r="KQ192" s="865"/>
      <c r="KR192" s="865"/>
      <c r="KS192" s="865"/>
      <c r="KT192" s="865"/>
      <c r="KU192" s="865"/>
      <c r="KV192" s="865"/>
      <c r="KW192" s="865"/>
      <c r="KX192" s="865"/>
      <c r="KY192" s="865"/>
      <c r="KZ192" s="865"/>
      <c r="LA192" s="865"/>
      <c r="LB192" s="865"/>
      <c r="LC192" s="865"/>
      <c r="LD192" s="865"/>
      <c r="LE192" s="865"/>
      <c r="LF192" s="865"/>
    </row>
    <row r="193" spans="1:318">
      <c r="A193" s="865"/>
      <c r="B193" s="865"/>
      <c r="C193" s="865"/>
      <c r="D193" s="865"/>
      <c r="E193" s="865"/>
      <c r="F193" s="865"/>
      <c r="G193" s="865"/>
      <c r="H193" s="865"/>
      <c r="I193" s="865"/>
      <c r="J193" s="865"/>
      <c r="K193" s="865"/>
      <c r="L193" s="865"/>
      <c r="M193" s="865"/>
      <c r="N193" s="865"/>
      <c r="O193" s="865"/>
      <c r="P193" s="865"/>
      <c r="Q193" s="865"/>
      <c r="R193" s="865"/>
      <c r="S193" s="865"/>
      <c r="T193" s="865"/>
      <c r="U193" s="865"/>
      <c r="V193" s="865"/>
      <c r="W193" s="865"/>
      <c r="X193" s="865"/>
      <c r="Y193" s="865"/>
      <c r="Z193" s="865"/>
      <c r="AA193" s="865"/>
      <c r="AB193" s="865"/>
      <c r="AC193" s="865"/>
      <c r="AD193" s="510"/>
      <c r="AE193" s="865"/>
      <c r="AF193" s="865"/>
      <c r="AG193" s="865"/>
      <c r="AH193" s="865"/>
      <c r="AI193" s="865"/>
      <c r="AJ193" s="510"/>
      <c r="AK193" s="865"/>
      <c r="AL193" s="865"/>
      <c r="AM193" s="865"/>
      <c r="AN193" s="865"/>
      <c r="AO193" s="865"/>
      <c r="AP193" s="510"/>
      <c r="AQ193" s="865"/>
      <c r="AR193" s="865"/>
      <c r="AS193" s="865"/>
      <c r="AT193" s="865"/>
      <c r="AU193" s="865"/>
      <c r="AV193" s="510"/>
      <c r="AW193" s="865"/>
      <c r="AX193" s="865"/>
      <c r="AY193" s="865"/>
      <c r="AZ193" s="865"/>
      <c r="BA193" s="865"/>
      <c r="BB193" s="510"/>
      <c r="BC193" s="865"/>
      <c r="BD193" s="865"/>
      <c r="BE193" s="865"/>
      <c r="BF193" s="865"/>
      <c r="BG193" s="865"/>
      <c r="BH193" s="865"/>
      <c r="BI193" s="865"/>
      <c r="BJ193" s="865"/>
      <c r="BK193" s="865"/>
      <c r="BL193" s="865"/>
      <c r="BM193" s="865"/>
      <c r="BN193" s="865"/>
      <c r="BO193" s="865"/>
      <c r="BP193" s="865"/>
      <c r="BQ193" s="865"/>
      <c r="BR193" s="865"/>
      <c r="BS193" s="865"/>
      <c r="BT193" s="865"/>
      <c r="BU193" s="865"/>
      <c r="BV193" s="865"/>
      <c r="BW193" s="865"/>
      <c r="BX193" s="865"/>
      <c r="BY193" s="874"/>
      <c r="BZ193" s="874"/>
      <c r="CA193" s="874"/>
      <c r="CB193" s="874"/>
      <c r="CC193" s="874"/>
      <c r="CD193" s="874"/>
      <c r="CE193" s="874"/>
      <c r="CF193" s="874"/>
      <c r="CG193" s="874"/>
      <c r="CH193" s="874"/>
      <c r="CI193" s="874"/>
      <c r="CJ193" s="874"/>
      <c r="CK193" s="874"/>
      <c r="CL193" s="874"/>
      <c r="CM193" s="874"/>
      <c r="CN193" s="874"/>
      <c r="CO193" s="874"/>
      <c r="CP193" s="874"/>
      <c r="CQ193" s="874"/>
      <c r="CR193" s="874"/>
      <c r="CS193" s="874"/>
      <c r="CT193" s="874"/>
      <c r="CU193" s="874"/>
      <c r="CV193" s="874"/>
      <c r="CW193" s="874"/>
      <c r="CX193" s="874"/>
      <c r="CY193" s="874"/>
      <c r="CZ193" s="874"/>
      <c r="DA193" s="874"/>
      <c r="DB193" s="874"/>
      <c r="DC193" s="874"/>
      <c r="DD193" s="874"/>
      <c r="DE193" s="874"/>
      <c r="DF193" s="874"/>
      <c r="DG193" s="874"/>
      <c r="DH193" s="874"/>
      <c r="DI193" s="874"/>
      <c r="DJ193" s="874"/>
      <c r="DK193" s="874"/>
      <c r="DL193" s="874"/>
      <c r="DM193" s="874"/>
      <c r="DN193" s="874"/>
      <c r="DO193" s="874"/>
      <c r="DP193" s="874"/>
      <c r="DQ193" s="874"/>
      <c r="DR193" s="874"/>
      <c r="DS193" s="874"/>
      <c r="DT193" s="874"/>
      <c r="DU193" s="874"/>
      <c r="DV193" s="874"/>
      <c r="DW193" s="874"/>
      <c r="DX193" s="874"/>
      <c r="DY193" s="874"/>
      <c r="DZ193" s="874"/>
      <c r="EA193" s="874"/>
      <c r="EB193" s="874"/>
      <c r="EC193" s="874"/>
      <c r="ED193" s="874"/>
      <c r="EE193" s="874"/>
      <c r="EF193" s="874"/>
      <c r="EG193" s="874"/>
      <c r="EH193" s="874"/>
      <c r="EI193" s="874"/>
      <c r="EJ193" s="874"/>
      <c r="EK193" s="874"/>
      <c r="EL193" s="874"/>
      <c r="EM193" s="874"/>
      <c r="EN193" s="874"/>
      <c r="EO193" s="874"/>
      <c r="EP193" s="874"/>
      <c r="EQ193" s="874"/>
      <c r="ER193" s="874"/>
      <c r="ES193" s="874"/>
      <c r="ET193" s="874"/>
      <c r="EU193" s="874"/>
      <c r="EV193" s="874"/>
      <c r="EW193" s="874"/>
      <c r="EX193" s="874"/>
      <c r="EY193" s="874"/>
      <c r="EZ193" s="874"/>
      <c r="FA193" s="874"/>
      <c r="FB193" s="874"/>
      <c r="FC193" s="874"/>
      <c r="FD193" s="874"/>
      <c r="FE193" s="874"/>
      <c r="FF193" s="874"/>
      <c r="FG193" s="874"/>
      <c r="FH193" s="874"/>
      <c r="FI193" s="874"/>
      <c r="FJ193" s="874"/>
      <c r="FK193" s="874"/>
      <c r="FL193" s="874"/>
      <c r="FM193" s="874"/>
      <c r="FN193" s="874"/>
      <c r="FO193" s="874"/>
      <c r="FP193" s="874"/>
      <c r="FQ193" s="874"/>
      <c r="FR193" s="874"/>
      <c r="FS193" s="874"/>
      <c r="FT193" s="874"/>
      <c r="FU193" s="874"/>
      <c r="FV193" s="874"/>
      <c r="FW193" s="874"/>
      <c r="FX193" s="874"/>
      <c r="FY193" s="874"/>
      <c r="FZ193" s="874"/>
      <c r="GA193" s="874"/>
      <c r="GB193" s="874"/>
      <c r="GC193" s="874"/>
      <c r="GD193" s="874"/>
      <c r="GE193" s="874"/>
      <c r="GF193" s="874"/>
      <c r="GG193" s="874"/>
      <c r="GH193" s="874"/>
      <c r="GI193" s="874"/>
      <c r="GJ193" s="874"/>
      <c r="GK193" s="874"/>
      <c r="GL193" s="874"/>
      <c r="GM193" s="874"/>
      <c r="GN193" s="874"/>
      <c r="GO193" s="874"/>
      <c r="GP193" s="874"/>
      <c r="GQ193" s="874"/>
      <c r="GR193" s="874"/>
      <c r="GS193" s="874"/>
      <c r="GT193" s="874"/>
      <c r="GU193" s="874"/>
      <c r="GV193" s="874"/>
      <c r="GW193" s="874"/>
      <c r="GX193" s="874"/>
      <c r="GY193" s="874"/>
      <c r="GZ193" s="874"/>
      <c r="HA193" s="874"/>
      <c r="HB193" s="874"/>
      <c r="HC193" s="874"/>
      <c r="HD193" s="874"/>
      <c r="HE193" s="874"/>
      <c r="HF193" s="874"/>
      <c r="HG193" s="874"/>
      <c r="HH193" s="874"/>
      <c r="HI193" s="874"/>
      <c r="HJ193" s="874"/>
      <c r="HK193" s="874"/>
      <c r="HL193" s="874"/>
      <c r="HM193" s="874"/>
      <c r="HN193" s="874"/>
      <c r="HO193" s="874"/>
      <c r="HP193" s="874"/>
      <c r="HQ193" s="874"/>
      <c r="HR193" s="874"/>
      <c r="HS193" s="874"/>
      <c r="HT193" s="874"/>
      <c r="HU193" s="874"/>
      <c r="HV193" s="874"/>
      <c r="HW193" s="874"/>
      <c r="HX193" s="874"/>
      <c r="HY193" s="874"/>
      <c r="HZ193" s="874"/>
      <c r="IA193" s="874"/>
      <c r="IB193" s="874"/>
      <c r="IC193" s="874"/>
      <c r="ID193" s="874"/>
      <c r="IE193" s="874"/>
      <c r="IF193" s="874"/>
      <c r="IG193" s="874"/>
      <c r="IH193" s="874"/>
      <c r="II193" s="874"/>
      <c r="IJ193" s="874"/>
      <c r="IK193" s="874"/>
      <c r="IL193" s="874"/>
      <c r="IM193" s="874"/>
      <c r="IN193" s="874"/>
      <c r="IO193" s="874"/>
      <c r="IP193" s="874"/>
      <c r="IQ193" s="874"/>
      <c r="IR193" s="874"/>
      <c r="IS193" s="874"/>
      <c r="IT193" s="874"/>
      <c r="IU193" s="874"/>
      <c r="IV193" s="874"/>
      <c r="IW193" s="874"/>
      <c r="IX193" s="874"/>
      <c r="IY193" s="874"/>
      <c r="IZ193" s="874"/>
      <c r="JA193" s="874"/>
      <c r="JB193" s="874"/>
      <c r="JC193" s="874"/>
      <c r="JD193" s="874"/>
      <c r="JE193" s="874"/>
      <c r="JF193" s="874"/>
      <c r="JG193" s="874"/>
      <c r="JH193" s="874"/>
      <c r="JI193" s="874"/>
      <c r="JJ193" s="874"/>
      <c r="JK193" s="874"/>
      <c r="JL193" s="874"/>
      <c r="JM193" s="874"/>
      <c r="JN193" s="874"/>
      <c r="JO193" s="874"/>
      <c r="JP193" s="874"/>
      <c r="JQ193" s="874"/>
      <c r="JR193" s="874"/>
      <c r="JS193" s="874"/>
      <c r="JT193" s="874"/>
      <c r="JU193" s="874"/>
      <c r="JV193" s="874"/>
      <c r="JW193" s="874"/>
      <c r="JX193" s="874"/>
      <c r="JY193" s="874"/>
      <c r="JZ193" s="874"/>
      <c r="KA193" s="874"/>
      <c r="KB193" s="874"/>
      <c r="KC193" s="874"/>
      <c r="KD193" s="874"/>
      <c r="KE193" s="874"/>
      <c r="KF193" s="874"/>
      <c r="KG193" s="874"/>
      <c r="KH193" s="865"/>
      <c r="KI193" s="865"/>
      <c r="KJ193" s="865"/>
      <c r="KK193" s="865"/>
      <c r="KL193" s="865"/>
      <c r="KM193" s="865"/>
      <c r="KN193" s="865"/>
      <c r="KO193" s="865"/>
      <c r="KP193" s="865"/>
      <c r="KQ193" s="865"/>
      <c r="KR193" s="865"/>
      <c r="KS193" s="865"/>
      <c r="KT193" s="865"/>
      <c r="KU193" s="865"/>
      <c r="KV193" s="865"/>
      <c r="KW193" s="865"/>
      <c r="KX193" s="865"/>
      <c r="KY193" s="865"/>
      <c r="KZ193" s="865"/>
      <c r="LA193" s="865"/>
      <c r="LB193" s="865"/>
      <c r="LC193" s="865"/>
      <c r="LD193" s="865"/>
      <c r="LE193" s="865"/>
      <c r="LF193" s="865"/>
    </row>
    <row r="194" spans="1:318">
      <c r="A194" s="865"/>
      <c r="B194" s="865"/>
      <c r="C194" s="865"/>
      <c r="D194" s="865"/>
      <c r="E194" s="865"/>
      <c r="F194" s="865"/>
      <c r="G194" s="865"/>
      <c r="H194" s="865"/>
      <c r="I194" s="865"/>
      <c r="J194" s="865"/>
      <c r="K194" s="865"/>
      <c r="L194" s="865"/>
      <c r="M194" s="865"/>
      <c r="N194" s="865"/>
      <c r="O194" s="865"/>
      <c r="P194" s="865"/>
      <c r="Q194" s="865"/>
      <c r="R194" s="865"/>
      <c r="S194" s="865"/>
      <c r="T194" s="865"/>
      <c r="U194" s="865"/>
      <c r="V194" s="865"/>
      <c r="W194" s="865"/>
      <c r="X194" s="865"/>
      <c r="Y194" s="865"/>
      <c r="Z194" s="865"/>
      <c r="AA194" s="865"/>
      <c r="AB194" s="865"/>
      <c r="AC194" s="865"/>
      <c r="AD194" s="510"/>
      <c r="AE194" s="865"/>
      <c r="AF194" s="865"/>
      <c r="AG194" s="865"/>
      <c r="AH194" s="865"/>
      <c r="AI194" s="865"/>
      <c r="AJ194" s="510"/>
      <c r="AK194" s="865"/>
      <c r="AL194" s="865"/>
      <c r="AM194" s="865"/>
      <c r="AN194" s="865"/>
      <c r="AO194" s="865"/>
      <c r="AP194" s="510"/>
      <c r="AQ194" s="865"/>
      <c r="AR194" s="865"/>
      <c r="AS194" s="865"/>
      <c r="AT194" s="865"/>
      <c r="AU194" s="865"/>
      <c r="AV194" s="510"/>
      <c r="AW194" s="865"/>
      <c r="AX194" s="865"/>
      <c r="AY194" s="865"/>
      <c r="AZ194" s="865"/>
      <c r="BA194" s="865"/>
      <c r="BB194" s="510"/>
      <c r="BC194" s="865"/>
      <c r="BD194" s="865"/>
      <c r="BE194" s="865"/>
      <c r="BF194" s="865"/>
      <c r="BG194" s="865"/>
      <c r="BH194" s="865"/>
      <c r="BI194" s="865"/>
      <c r="BJ194" s="865"/>
      <c r="BK194" s="865"/>
      <c r="BL194" s="865"/>
      <c r="BM194" s="865"/>
      <c r="BN194" s="865"/>
      <c r="BO194" s="865"/>
      <c r="BP194" s="865"/>
      <c r="BQ194" s="865"/>
      <c r="BR194" s="865"/>
      <c r="BS194" s="865"/>
      <c r="BT194" s="865"/>
      <c r="BU194" s="865"/>
      <c r="BV194" s="865"/>
      <c r="BW194" s="865"/>
      <c r="BX194" s="865"/>
      <c r="BY194" s="874"/>
      <c r="BZ194" s="874"/>
      <c r="CA194" s="874"/>
      <c r="CB194" s="874"/>
      <c r="CC194" s="874"/>
      <c r="CD194" s="874"/>
      <c r="CE194" s="874"/>
      <c r="CF194" s="874"/>
      <c r="CG194" s="874"/>
      <c r="CH194" s="874"/>
      <c r="CI194" s="874"/>
      <c r="CJ194" s="874"/>
      <c r="CK194" s="874"/>
      <c r="CL194" s="874"/>
      <c r="CM194" s="874"/>
      <c r="CN194" s="874"/>
      <c r="CO194" s="874"/>
      <c r="CP194" s="874"/>
      <c r="CQ194" s="874"/>
      <c r="CR194" s="874"/>
      <c r="CS194" s="874"/>
      <c r="CT194" s="874"/>
      <c r="CU194" s="874"/>
      <c r="CV194" s="874"/>
      <c r="CW194" s="874"/>
      <c r="CX194" s="874"/>
      <c r="CY194" s="874"/>
      <c r="CZ194" s="874"/>
      <c r="DA194" s="874"/>
      <c r="DB194" s="874"/>
      <c r="DC194" s="874"/>
      <c r="DD194" s="874"/>
      <c r="DE194" s="874"/>
      <c r="DF194" s="874"/>
      <c r="DG194" s="874"/>
      <c r="DH194" s="874"/>
      <c r="DI194" s="874"/>
      <c r="DJ194" s="874"/>
      <c r="DK194" s="874"/>
      <c r="DL194" s="874"/>
      <c r="DM194" s="874"/>
      <c r="DN194" s="874"/>
      <c r="DO194" s="874"/>
      <c r="DP194" s="874"/>
      <c r="DQ194" s="874"/>
      <c r="DR194" s="874"/>
      <c r="DS194" s="874"/>
      <c r="DT194" s="874"/>
      <c r="DU194" s="874"/>
      <c r="DV194" s="874"/>
      <c r="DW194" s="874"/>
      <c r="DX194" s="874"/>
      <c r="DY194" s="874"/>
      <c r="DZ194" s="874"/>
      <c r="EA194" s="874"/>
      <c r="EB194" s="874"/>
      <c r="EC194" s="874"/>
      <c r="ED194" s="874"/>
      <c r="EE194" s="874"/>
      <c r="EF194" s="874"/>
      <c r="EG194" s="874"/>
      <c r="EH194" s="874"/>
      <c r="EI194" s="874"/>
      <c r="EJ194" s="874"/>
      <c r="EK194" s="874"/>
      <c r="EL194" s="874"/>
      <c r="EM194" s="874"/>
      <c r="EN194" s="874"/>
      <c r="EO194" s="874"/>
      <c r="EP194" s="874"/>
      <c r="EQ194" s="874"/>
      <c r="ER194" s="874"/>
      <c r="ES194" s="874"/>
      <c r="ET194" s="874"/>
      <c r="EU194" s="874"/>
      <c r="EV194" s="874"/>
      <c r="EW194" s="874"/>
      <c r="EX194" s="874"/>
      <c r="EY194" s="874"/>
      <c r="EZ194" s="874"/>
      <c r="FA194" s="874"/>
      <c r="FB194" s="874"/>
      <c r="FC194" s="874"/>
      <c r="FD194" s="874"/>
      <c r="FE194" s="874"/>
      <c r="FF194" s="874"/>
      <c r="FG194" s="874"/>
      <c r="FH194" s="874"/>
      <c r="FI194" s="874"/>
      <c r="FJ194" s="874"/>
      <c r="FK194" s="874"/>
      <c r="FL194" s="874"/>
      <c r="FM194" s="874"/>
      <c r="FN194" s="874"/>
      <c r="FO194" s="874"/>
      <c r="FP194" s="874"/>
      <c r="FQ194" s="874"/>
      <c r="FR194" s="874"/>
      <c r="FS194" s="874"/>
      <c r="FT194" s="874"/>
      <c r="FU194" s="874"/>
      <c r="FV194" s="874"/>
      <c r="FW194" s="874"/>
      <c r="FX194" s="874"/>
      <c r="FY194" s="874"/>
      <c r="FZ194" s="874"/>
      <c r="GA194" s="874"/>
      <c r="GB194" s="874"/>
      <c r="GC194" s="874"/>
      <c r="GD194" s="874"/>
      <c r="GE194" s="874"/>
      <c r="GF194" s="874"/>
      <c r="GG194" s="874"/>
      <c r="GH194" s="874"/>
      <c r="GI194" s="874"/>
      <c r="GJ194" s="874"/>
      <c r="GK194" s="874"/>
      <c r="GL194" s="874"/>
      <c r="GM194" s="874"/>
      <c r="GN194" s="874"/>
      <c r="GO194" s="874"/>
      <c r="GP194" s="874"/>
      <c r="GQ194" s="874"/>
      <c r="GR194" s="874"/>
      <c r="GS194" s="874"/>
      <c r="GT194" s="874"/>
      <c r="GU194" s="874"/>
      <c r="GV194" s="874"/>
      <c r="GW194" s="874"/>
      <c r="GX194" s="874"/>
      <c r="GY194" s="874"/>
      <c r="GZ194" s="874"/>
      <c r="HA194" s="874"/>
      <c r="HB194" s="874"/>
      <c r="HC194" s="874"/>
      <c r="HD194" s="874"/>
      <c r="HE194" s="874"/>
      <c r="HF194" s="874"/>
      <c r="HG194" s="874"/>
      <c r="HH194" s="874"/>
      <c r="HI194" s="874"/>
      <c r="HJ194" s="874"/>
      <c r="HK194" s="874"/>
      <c r="HL194" s="874"/>
      <c r="HM194" s="874"/>
      <c r="HN194" s="874"/>
      <c r="HO194" s="874"/>
      <c r="HP194" s="874"/>
      <c r="HQ194" s="874"/>
      <c r="HR194" s="874"/>
      <c r="HS194" s="874"/>
      <c r="HT194" s="874"/>
      <c r="HU194" s="874"/>
      <c r="HV194" s="874"/>
      <c r="HW194" s="874"/>
      <c r="HX194" s="874"/>
      <c r="HY194" s="874"/>
      <c r="HZ194" s="874"/>
      <c r="IA194" s="874"/>
      <c r="IB194" s="874"/>
      <c r="IC194" s="874"/>
      <c r="ID194" s="874"/>
      <c r="IE194" s="874"/>
      <c r="IF194" s="874"/>
      <c r="IG194" s="874"/>
      <c r="IH194" s="874"/>
      <c r="II194" s="874"/>
      <c r="IJ194" s="874"/>
      <c r="IK194" s="874"/>
      <c r="IL194" s="874"/>
      <c r="IM194" s="874"/>
      <c r="IN194" s="874"/>
      <c r="IO194" s="874"/>
      <c r="IP194" s="874"/>
      <c r="IQ194" s="874"/>
      <c r="IR194" s="874"/>
      <c r="IS194" s="874"/>
      <c r="IT194" s="874"/>
      <c r="IU194" s="874"/>
      <c r="IV194" s="874"/>
      <c r="IW194" s="874"/>
      <c r="IX194" s="874"/>
      <c r="IY194" s="874"/>
      <c r="IZ194" s="874"/>
      <c r="JA194" s="874"/>
      <c r="JB194" s="874"/>
      <c r="JC194" s="874"/>
      <c r="JD194" s="874"/>
      <c r="JE194" s="874"/>
      <c r="JF194" s="874"/>
      <c r="JG194" s="874"/>
      <c r="JH194" s="874"/>
      <c r="JI194" s="874"/>
      <c r="JJ194" s="874"/>
      <c r="JK194" s="874"/>
      <c r="JL194" s="874"/>
      <c r="JM194" s="874"/>
      <c r="JN194" s="874"/>
      <c r="JO194" s="874"/>
      <c r="JP194" s="874"/>
      <c r="JQ194" s="874"/>
      <c r="JR194" s="874"/>
      <c r="JS194" s="874"/>
      <c r="JT194" s="874"/>
      <c r="JU194" s="874"/>
      <c r="JV194" s="874"/>
      <c r="JW194" s="874"/>
      <c r="JX194" s="874"/>
      <c r="JY194" s="874"/>
      <c r="JZ194" s="874"/>
      <c r="KA194" s="874"/>
      <c r="KB194" s="874"/>
      <c r="KC194" s="874"/>
      <c r="KD194" s="874"/>
      <c r="KE194" s="874"/>
      <c r="KF194" s="874"/>
      <c r="KG194" s="874"/>
      <c r="KH194" s="865"/>
      <c r="KI194" s="865"/>
      <c r="KJ194" s="865"/>
      <c r="KK194" s="865"/>
      <c r="KL194" s="865"/>
      <c r="KM194" s="865"/>
      <c r="KN194" s="865"/>
      <c r="KO194" s="865"/>
      <c r="KP194" s="865"/>
      <c r="KQ194" s="865"/>
      <c r="KR194" s="865"/>
      <c r="KS194" s="865"/>
      <c r="KT194" s="865"/>
      <c r="KU194" s="865"/>
      <c r="KV194" s="865"/>
      <c r="KW194" s="865"/>
      <c r="KX194" s="865"/>
      <c r="KY194" s="865"/>
      <c r="KZ194" s="865"/>
      <c r="LA194" s="865"/>
      <c r="LB194" s="865"/>
      <c r="LC194" s="865"/>
      <c r="LD194" s="865"/>
      <c r="LE194" s="865"/>
      <c r="LF194" s="865"/>
    </row>
    <row r="195" spans="1:318">
      <c r="A195" s="865"/>
      <c r="B195" s="865"/>
      <c r="C195" s="865"/>
      <c r="D195" s="865"/>
      <c r="E195" s="865"/>
      <c r="F195" s="865"/>
      <c r="G195" s="865"/>
      <c r="H195" s="865"/>
      <c r="I195" s="865"/>
      <c r="J195" s="865"/>
      <c r="K195" s="865"/>
      <c r="L195" s="865"/>
      <c r="M195" s="865"/>
      <c r="N195" s="865"/>
      <c r="O195" s="865"/>
      <c r="P195" s="865"/>
      <c r="Q195" s="865"/>
      <c r="R195" s="865"/>
      <c r="S195" s="865"/>
      <c r="T195" s="865"/>
      <c r="U195" s="865"/>
      <c r="V195" s="865"/>
      <c r="W195" s="865"/>
      <c r="X195" s="865"/>
      <c r="Y195" s="865"/>
      <c r="Z195" s="865"/>
      <c r="AA195" s="865"/>
      <c r="AB195" s="865"/>
      <c r="AC195" s="865"/>
      <c r="AD195" s="510"/>
      <c r="AE195" s="865"/>
      <c r="AF195" s="865"/>
      <c r="AG195" s="865"/>
      <c r="AH195" s="865"/>
      <c r="AI195" s="865"/>
      <c r="AJ195" s="510"/>
      <c r="AK195" s="865"/>
      <c r="AL195" s="865"/>
      <c r="AM195" s="865"/>
      <c r="AN195" s="865"/>
      <c r="AO195" s="865"/>
      <c r="AP195" s="510"/>
      <c r="AQ195" s="865"/>
      <c r="AR195" s="865"/>
      <c r="AS195" s="865"/>
      <c r="AT195" s="865"/>
      <c r="AU195" s="865"/>
      <c r="AV195" s="510"/>
      <c r="AW195" s="865"/>
      <c r="AX195" s="865"/>
      <c r="AY195" s="865"/>
      <c r="AZ195" s="865"/>
      <c r="BA195" s="865"/>
      <c r="BB195" s="510"/>
      <c r="BC195" s="865"/>
      <c r="BD195" s="865"/>
      <c r="BE195" s="865"/>
      <c r="BF195" s="865"/>
      <c r="BG195" s="865"/>
      <c r="BH195" s="865"/>
      <c r="BI195" s="865"/>
      <c r="BJ195" s="865"/>
      <c r="BK195" s="865"/>
      <c r="BL195" s="865"/>
      <c r="BM195" s="865"/>
      <c r="BN195" s="865"/>
      <c r="BO195" s="865"/>
      <c r="BP195" s="865"/>
      <c r="BQ195" s="865"/>
      <c r="BR195" s="865"/>
      <c r="BS195" s="865"/>
      <c r="BT195" s="865"/>
      <c r="BU195" s="865"/>
      <c r="BV195" s="865"/>
      <c r="BW195" s="865"/>
      <c r="BX195" s="865"/>
      <c r="BY195" s="874"/>
      <c r="BZ195" s="874"/>
      <c r="CA195" s="874"/>
      <c r="CB195" s="874"/>
      <c r="CC195" s="874"/>
      <c r="CD195" s="874"/>
      <c r="CE195" s="874"/>
      <c r="CF195" s="874"/>
      <c r="CG195" s="874"/>
      <c r="CH195" s="874"/>
      <c r="CI195" s="874"/>
      <c r="CJ195" s="874"/>
      <c r="CK195" s="874"/>
      <c r="CL195" s="874"/>
      <c r="CM195" s="874"/>
      <c r="CN195" s="874"/>
      <c r="CO195" s="874"/>
      <c r="CP195" s="874"/>
      <c r="CQ195" s="874"/>
      <c r="CR195" s="874"/>
      <c r="CS195" s="874"/>
      <c r="CT195" s="874"/>
      <c r="CU195" s="874"/>
      <c r="CV195" s="874"/>
      <c r="CW195" s="874"/>
      <c r="CX195" s="874"/>
      <c r="CY195" s="874"/>
      <c r="CZ195" s="874"/>
      <c r="DA195" s="874"/>
      <c r="DB195" s="874"/>
      <c r="DC195" s="874"/>
      <c r="DD195" s="874"/>
      <c r="DE195" s="874"/>
      <c r="DF195" s="874"/>
      <c r="DG195" s="874"/>
      <c r="DH195" s="874"/>
      <c r="DI195" s="874"/>
      <c r="DJ195" s="874"/>
      <c r="DK195" s="874"/>
      <c r="DL195" s="874"/>
      <c r="DM195" s="874"/>
      <c r="DN195" s="874"/>
      <c r="DO195" s="874"/>
      <c r="DP195" s="874"/>
      <c r="DQ195" s="874"/>
      <c r="DR195" s="874"/>
      <c r="DS195" s="874"/>
      <c r="DT195" s="874"/>
      <c r="DU195" s="874"/>
      <c r="DV195" s="874"/>
      <c r="DW195" s="874"/>
      <c r="DX195" s="874"/>
      <c r="DY195" s="874"/>
      <c r="DZ195" s="874"/>
      <c r="EA195" s="874"/>
      <c r="EB195" s="874"/>
      <c r="EC195" s="874"/>
      <c r="ED195" s="874"/>
      <c r="EE195" s="874"/>
      <c r="EF195" s="874"/>
      <c r="EG195" s="874"/>
      <c r="EH195" s="874"/>
      <c r="EI195" s="874"/>
      <c r="EJ195" s="874"/>
      <c r="EK195" s="874"/>
      <c r="EL195" s="874"/>
      <c r="EM195" s="874"/>
      <c r="EN195" s="874"/>
      <c r="EO195" s="874"/>
      <c r="EP195" s="874"/>
      <c r="EQ195" s="874"/>
      <c r="ER195" s="874"/>
      <c r="ES195" s="874"/>
      <c r="ET195" s="874"/>
      <c r="EU195" s="874"/>
      <c r="EV195" s="874"/>
      <c r="EW195" s="874"/>
      <c r="EX195" s="874"/>
      <c r="EY195" s="874"/>
      <c r="EZ195" s="874"/>
      <c r="FA195" s="874"/>
      <c r="FB195" s="874"/>
      <c r="FC195" s="874"/>
      <c r="FD195" s="874"/>
      <c r="FE195" s="874"/>
      <c r="FF195" s="874"/>
      <c r="FG195" s="874"/>
      <c r="FH195" s="874"/>
      <c r="FI195" s="874"/>
      <c r="FJ195" s="874"/>
      <c r="FK195" s="874"/>
      <c r="FL195" s="874"/>
      <c r="FM195" s="874"/>
      <c r="FN195" s="874"/>
      <c r="FO195" s="874"/>
      <c r="FP195" s="874"/>
      <c r="FQ195" s="874"/>
      <c r="FR195" s="874"/>
      <c r="FS195" s="874"/>
      <c r="FT195" s="874"/>
      <c r="FU195" s="874"/>
      <c r="FV195" s="874"/>
      <c r="FW195" s="874"/>
      <c r="FX195" s="874"/>
      <c r="FY195" s="874"/>
      <c r="FZ195" s="874"/>
      <c r="GA195" s="874"/>
      <c r="GB195" s="874"/>
      <c r="GC195" s="874"/>
      <c r="GD195" s="874"/>
      <c r="GE195" s="874"/>
      <c r="GF195" s="874"/>
      <c r="GG195" s="874"/>
      <c r="GH195" s="874"/>
      <c r="GI195" s="874"/>
      <c r="GJ195" s="874"/>
      <c r="GK195" s="874"/>
      <c r="GL195" s="874"/>
      <c r="GM195" s="874"/>
      <c r="GN195" s="874"/>
      <c r="GO195" s="874"/>
      <c r="GP195" s="874"/>
      <c r="GQ195" s="874"/>
      <c r="GR195" s="874"/>
      <c r="GS195" s="874"/>
      <c r="GT195" s="874"/>
      <c r="GU195" s="874"/>
      <c r="GV195" s="874"/>
      <c r="GW195" s="874"/>
      <c r="GX195" s="874"/>
      <c r="GY195" s="874"/>
      <c r="GZ195" s="874"/>
      <c r="HA195" s="874"/>
      <c r="HB195" s="874"/>
      <c r="HC195" s="874"/>
      <c r="HD195" s="874"/>
      <c r="HE195" s="874"/>
      <c r="HF195" s="874"/>
      <c r="HG195" s="874"/>
      <c r="HH195" s="874"/>
      <c r="HI195" s="874"/>
      <c r="HJ195" s="874"/>
      <c r="HK195" s="874"/>
      <c r="HL195" s="874"/>
      <c r="HM195" s="874"/>
      <c r="HN195" s="874"/>
      <c r="HO195" s="874"/>
      <c r="HP195" s="874"/>
      <c r="HQ195" s="874"/>
      <c r="HR195" s="874"/>
      <c r="HS195" s="874"/>
      <c r="HT195" s="874"/>
      <c r="HU195" s="874"/>
      <c r="HV195" s="874"/>
      <c r="HW195" s="874"/>
      <c r="HX195" s="874"/>
      <c r="HY195" s="874"/>
      <c r="HZ195" s="874"/>
      <c r="IA195" s="874"/>
      <c r="IB195" s="874"/>
      <c r="IC195" s="874"/>
      <c r="ID195" s="874"/>
      <c r="IE195" s="874"/>
      <c r="IF195" s="874"/>
      <c r="IG195" s="874"/>
      <c r="IH195" s="874"/>
      <c r="II195" s="874"/>
      <c r="IJ195" s="874"/>
      <c r="IK195" s="874"/>
      <c r="IL195" s="874"/>
      <c r="IM195" s="874"/>
      <c r="IN195" s="874"/>
      <c r="IO195" s="874"/>
      <c r="IP195" s="874"/>
      <c r="IQ195" s="874"/>
      <c r="IR195" s="874"/>
      <c r="IS195" s="874"/>
      <c r="IT195" s="874"/>
      <c r="IU195" s="874"/>
      <c r="IV195" s="874"/>
      <c r="IW195" s="874"/>
      <c r="IX195" s="874"/>
      <c r="IY195" s="874"/>
      <c r="IZ195" s="874"/>
      <c r="JA195" s="874"/>
      <c r="JB195" s="874"/>
      <c r="JC195" s="874"/>
      <c r="JD195" s="874"/>
      <c r="JE195" s="874"/>
      <c r="JF195" s="874"/>
      <c r="JG195" s="874"/>
      <c r="JH195" s="874"/>
      <c r="JI195" s="874"/>
      <c r="JJ195" s="874"/>
      <c r="JK195" s="874"/>
      <c r="JL195" s="874"/>
      <c r="JM195" s="874"/>
      <c r="JN195" s="874"/>
      <c r="JO195" s="874"/>
      <c r="JP195" s="874"/>
      <c r="JQ195" s="874"/>
      <c r="JR195" s="874"/>
      <c r="JS195" s="874"/>
      <c r="JT195" s="874"/>
      <c r="JU195" s="874"/>
      <c r="JV195" s="874"/>
      <c r="JW195" s="874"/>
      <c r="JX195" s="874"/>
      <c r="JY195" s="874"/>
      <c r="JZ195" s="874"/>
      <c r="KA195" s="874"/>
      <c r="KB195" s="874"/>
      <c r="KC195" s="874"/>
      <c r="KD195" s="874"/>
      <c r="KE195" s="874"/>
      <c r="KF195" s="874"/>
      <c r="KG195" s="874"/>
      <c r="KH195" s="865"/>
      <c r="KI195" s="865"/>
      <c r="KJ195" s="865"/>
      <c r="KK195" s="865"/>
      <c r="KL195" s="865"/>
      <c r="KM195" s="865"/>
      <c r="KN195" s="865"/>
      <c r="KO195" s="865"/>
      <c r="KP195" s="865"/>
      <c r="KQ195" s="865"/>
      <c r="KR195" s="865"/>
      <c r="KS195" s="865"/>
      <c r="KT195" s="865"/>
      <c r="KU195" s="865"/>
      <c r="KV195" s="865"/>
      <c r="KW195" s="865"/>
      <c r="KX195" s="865"/>
      <c r="KY195" s="865"/>
      <c r="KZ195" s="865"/>
      <c r="LA195" s="865"/>
      <c r="LB195" s="865"/>
      <c r="LC195" s="865"/>
      <c r="LD195" s="865"/>
      <c r="LE195" s="865"/>
      <c r="LF195" s="865"/>
    </row>
    <row r="196" spans="1:318">
      <c r="A196" s="865"/>
      <c r="B196" s="865"/>
      <c r="C196" s="865"/>
      <c r="D196" s="865"/>
      <c r="E196" s="865"/>
      <c r="F196" s="865"/>
      <c r="G196" s="865"/>
      <c r="H196" s="865"/>
      <c r="I196" s="865"/>
      <c r="J196" s="865"/>
      <c r="K196" s="865"/>
      <c r="L196" s="865"/>
      <c r="M196" s="865"/>
      <c r="N196" s="865"/>
      <c r="O196" s="865"/>
      <c r="P196" s="865"/>
      <c r="Q196" s="865"/>
      <c r="R196" s="865"/>
      <c r="S196" s="865"/>
      <c r="T196" s="865"/>
      <c r="U196" s="865"/>
      <c r="V196" s="865"/>
      <c r="W196" s="865"/>
      <c r="X196" s="865"/>
      <c r="Y196" s="865"/>
      <c r="Z196" s="865"/>
      <c r="AA196" s="865"/>
      <c r="AB196" s="865"/>
      <c r="AC196" s="865"/>
      <c r="AD196" s="510"/>
      <c r="AE196" s="865"/>
      <c r="AF196" s="865"/>
      <c r="AG196" s="865"/>
      <c r="AH196" s="865"/>
      <c r="AI196" s="865"/>
      <c r="AJ196" s="510"/>
      <c r="AK196" s="865"/>
      <c r="AL196" s="865"/>
      <c r="AM196" s="865"/>
      <c r="AN196" s="865"/>
      <c r="AO196" s="865"/>
      <c r="AP196" s="510"/>
      <c r="AQ196" s="865"/>
      <c r="AR196" s="865"/>
      <c r="AS196" s="865"/>
      <c r="AT196" s="865"/>
      <c r="AU196" s="865"/>
      <c r="AV196" s="510"/>
      <c r="AW196" s="865"/>
      <c r="AX196" s="865"/>
      <c r="AY196" s="865"/>
      <c r="AZ196" s="865"/>
      <c r="BA196" s="865"/>
      <c r="BB196" s="510"/>
      <c r="BC196" s="865"/>
      <c r="BD196" s="865"/>
      <c r="BE196" s="865"/>
      <c r="BF196" s="865"/>
      <c r="BG196" s="865"/>
      <c r="BH196" s="865"/>
      <c r="BI196" s="865"/>
      <c r="BJ196" s="865"/>
      <c r="BK196" s="865"/>
      <c r="BL196" s="865"/>
      <c r="BM196" s="865"/>
      <c r="BN196" s="865"/>
      <c r="BO196" s="865"/>
      <c r="BP196" s="865"/>
      <c r="BQ196" s="865"/>
      <c r="BR196" s="865"/>
      <c r="BS196" s="865"/>
      <c r="BT196" s="865"/>
      <c r="BU196" s="865"/>
      <c r="BV196" s="865"/>
      <c r="BW196" s="865"/>
      <c r="BX196" s="865"/>
      <c r="BY196" s="874"/>
      <c r="BZ196" s="874"/>
      <c r="CA196" s="874"/>
      <c r="CB196" s="874"/>
      <c r="CC196" s="874"/>
      <c r="CD196" s="874"/>
      <c r="CE196" s="874"/>
      <c r="CF196" s="874"/>
      <c r="CG196" s="874"/>
      <c r="CH196" s="874"/>
      <c r="CI196" s="874"/>
      <c r="CJ196" s="874"/>
      <c r="CK196" s="874"/>
      <c r="CL196" s="874"/>
      <c r="CM196" s="874"/>
      <c r="CN196" s="874"/>
      <c r="CO196" s="874"/>
      <c r="CP196" s="874"/>
      <c r="CQ196" s="874"/>
      <c r="CR196" s="874"/>
      <c r="CS196" s="874"/>
      <c r="CT196" s="874"/>
      <c r="CU196" s="874"/>
      <c r="CV196" s="874"/>
      <c r="CW196" s="874"/>
      <c r="CX196" s="874"/>
      <c r="CY196" s="874"/>
      <c r="CZ196" s="874"/>
      <c r="DA196" s="874"/>
      <c r="DB196" s="874"/>
      <c r="DC196" s="874"/>
      <c r="DD196" s="874"/>
      <c r="DE196" s="874"/>
      <c r="DF196" s="874"/>
      <c r="DG196" s="874"/>
      <c r="DH196" s="874"/>
      <c r="DI196" s="874"/>
      <c r="DJ196" s="874"/>
      <c r="DK196" s="874"/>
      <c r="DL196" s="874"/>
      <c r="DM196" s="874"/>
      <c r="DN196" s="874"/>
      <c r="DO196" s="874"/>
      <c r="DP196" s="874"/>
      <c r="DQ196" s="874"/>
      <c r="DR196" s="874"/>
      <c r="DS196" s="874"/>
      <c r="DT196" s="874"/>
      <c r="DU196" s="874"/>
      <c r="DV196" s="874"/>
      <c r="DW196" s="874"/>
      <c r="DX196" s="874"/>
      <c r="DY196" s="874"/>
      <c r="DZ196" s="874"/>
      <c r="EA196" s="874"/>
      <c r="EB196" s="874"/>
      <c r="EC196" s="874"/>
      <c r="ED196" s="874"/>
      <c r="EE196" s="874"/>
      <c r="EF196" s="874"/>
      <c r="EG196" s="874"/>
      <c r="EH196" s="874"/>
      <c r="EI196" s="874"/>
      <c r="EJ196" s="874"/>
      <c r="EK196" s="874"/>
      <c r="EL196" s="874"/>
      <c r="EM196" s="874"/>
      <c r="EN196" s="874"/>
      <c r="EO196" s="874"/>
      <c r="EP196" s="874"/>
      <c r="EQ196" s="874"/>
      <c r="ER196" s="874"/>
      <c r="ES196" s="874"/>
      <c r="ET196" s="874"/>
      <c r="EU196" s="874"/>
      <c r="EV196" s="874"/>
      <c r="EW196" s="874"/>
      <c r="EX196" s="874"/>
      <c r="EY196" s="874"/>
      <c r="EZ196" s="874"/>
      <c r="FA196" s="874"/>
      <c r="FB196" s="874"/>
      <c r="FC196" s="874"/>
      <c r="FD196" s="874"/>
      <c r="FE196" s="874"/>
      <c r="FF196" s="874"/>
      <c r="FG196" s="874"/>
      <c r="FH196" s="874"/>
      <c r="FI196" s="874"/>
      <c r="FJ196" s="874"/>
      <c r="FK196" s="874"/>
      <c r="FL196" s="874"/>
      <c r="FM196" s="874"/>
      <c r="FN196" s="874"/>
      <c r="FO196" s="874"/>
      <c r="FP196" s="874"/>
      <c r="FQ196" s="874"/>
      <c r="FR196" s="874"/>
      <c r="FS196" s="874"/>
      <c r="FT196" s="874"/>
      <c r="FU196" s="874"/>
      <c r="FV196" s="874"/>
      <c r="FW196" s="874"/>
      <c r="FX196" s="874"/>
      <c r="FY196" s="874"/>
      <c r="FZ196" s="874"/>
      <c r="GA196" s="874"/>
      <c r="GB196" s="874"/>
      <c r="GC196" s="874"/>
      <c r="GD196" s="874"/>
      <c r="GE196" s="874"/>
      <c r="GF196" s="874"/>
      <c r="GG196" s="874"/>
      <c r="GH196" s="874"/>
      <c r="GI196" s="874"/>
      <c r="GJ196" s="874"/>
      <c r="GK196" s="874"/>
      <c r="GL196" s="874"/>
      <c r="GM196" s="874"/>
      <c r="GN196" s="874"/>
      <c r="GO196" s="874"/>
      <c r="GP196" s="874"/>
      <c r="GQ196" s="874"/>
      <c r="GR196" s="874"/>
      <c r="GS196" s="874"/>
      <c r="GT196" s="874"/>
      <c r="GU196" s="874"/>
      <c r="GV196" s="874"/>
      <c r="GW196" s="874"/>
      <c r="GX196" s="874"/>
      <c r="GY196" s="874"/>
      <c r="GZ196" s="874"/>
      <c r="HA196" s="874"/>
      <c r="HB196" s="874"/>
      <c r="HC196" s="874"/>
      <c r="HD196" s="874"/>
      <c r="HE196" s="874"/>
      <c r="HF196" s="874"/>
      <c r="HG196" s="874"/>
      <c r="HH196" s="874"/>
      <c r="HI196" s="874"/>
      <c r="HJ196" s="874"/>
      <c r="HK196" s="874"/>
      <c r="HL196" s="874"/>
      <c r="HM196" s="874"/>
      <c r="HN196" s="874"/>
      <c r="HO196" s="874"/>
      <c r="HP196" s="874"/>
      <c r="HQ196" s="874"/>
      <c r="HR196" s="874"/>
      <c r="HS196" s="874"/>
      <c r="HT196" s="874"/>
      <c r="HU196" s="874"/>
      <c r="HV196" s="874"/>
      <c r="HW196" s="874"/>
      <c r="HX196" s="874"/>
      <c r="HY196" s="874"/>
      <c r="HZ196" s="874"/>
      <c r="IA196" s="874"/>
      <c r="IB196" s="874"/>
      <c r="IC196" s="874"/>
      <c r="ID196" s="874"/>
      <c r="IE196" s="874"/>
      <c r="IF196" s="874"/>
      <c r="IG196" s="874"/>
      <c r="IH196" s="874"/>
      <c r="II196" s="874"/>
      <c r="IJ196" s="874"/>
      <c r="IK196" s="874"/>
      <c r="IL196" s="874"/>
      <c r="IM196" s="874"/>
      <c r="IN196" s="874"/>
      <c r="IO196" s="874"/>
      <c r="IP196" s="874"/>
      <c r="IQ196" s="874"/>
      <c r="IR196" s="874"/>
      <c r="IS196" s="874"/>
      <c r="IT196" s="874"/>
      <c r="IU196" s="874"/>
      <c r="IV196" s="874"/>
      <c r="IW196" s="874"/>
      <c r="IX196" s="874"/>
      <c r="IY196" s="874"/>
      <c r="IZ196" s="874"/>
      <c r="JA196" s="874"/>
      <c r="JB196" s="874"/>
      <c r="JC196" s="874"/>
      <c r="JD196" s="874"/>
      <c r="JE196" s="874"/>
      <c r="JF196" s="874"/>
      <c r="JG196" s="874"/>
      <c r="JH196" s="874"/>
      <c r="JI196" s="874"/>
      <c r="JJ196" s="874"/>
      <c r="JK196" s="874"/>
      <c r="JL196" s="874"/>
      <c r="JM196" s="874"/>
      <c r="JN196" s="874"/>
      <c r="JO196" s="874"/>
      <c r="JP196" s="874"/>
      <c r="JQ196" s="874"/>
      <c r="JR196" s="874"/>
      <c r="JS196" s="874"/>
      <c r="JT196" s="874"/>
      <c r="JU196" s="874"/>
      <c r="JV196" s="874"/>
      <c r="JW196" s="874"/>
      <c r="JX196" s="874"/>
      <c r="JY196" s="874"/>
      <c r="JZ196" s="874"/>
      <c r="KA196" s="874"/>
      <c r="KB196" s="874"/>
      <c r="KC196" s="874"/>
      <c r="KD196" s="874"/>
      <c r="KE196" s="874"/>
      <c r="KF196" s="874"/>
      <c r="KG196" s="874"/>
      <c r="KH196" s="865"/>
      <c r="KI196" s="865"/>
      <c r="KJ196" s="865"/>
      <c r="KK196" s="865"/>
      <c r="KL196" s="865"/>
      <c r="KM196" s="865"/>
      <c r="KN196" s="865"/>
      <c r="KO196" s="865"/>
      <c r="KP196" s="865"/>
      <c r="KQ196" s="865"/>
      <c r="KR196" s="865"/>
      <c r="KS196" s="865"/>
      <c r="KT196" s="865"/>
      <c r="KU196" s="865"/>
      <c r="KV196" s="865"/>
      <c r="KW196" s="865"/>
      <c r="KX196" s="865"/>
      <c r="KY196" s="865"/>
      <c r="KZ196" s="865"/>
      <c r="LA196" s="865"/>
      <c r="LB196" s="865"/>
      <c r="LC196" s="865"/>
      <c r="LD196" s="865"/>
      <c r="LE196" s="865"/>
      <c r="LF196" s="865"/>
    </row>
    <row r="197" spans="1:318">
      <c r="A197" s="865"/>
      <c r="B197" s="865"/>
      <c r="C197" s="865"/>
      <c r="D197" s="865"/>
      <c r="E197" s="865"/>
      <c r="F197" s="865"/>
      <c r="G197" s="865"/>
      <c r="H197" s="865"/>
      <c r="I197" s="865"/>
      <c r="J197" s="865"/>
      <c r="K197" s="865"/>
      <c r="L197" s="865"/>
      <c r="M197" s="865"/>
      <c r="N197" s="865"/>
      <c r="O197" s="865"/>
      <c r="P197" s="865"/>
      <c r="Q197" s="865"/>
      <c r="R197" s="865"/>
      <c r="S197" s="865"/>
      <c r="T197" s="865"/>
      <c r="U197" s="865"/>
      <c r="V197" s="865"/>
      <c r="W197" s="865"/>
      <c r="X197" s="865"/>
      <c r="Y197" s="865"/>
      <c r="Z197" s="865"/>
      <c r="AA197" s="865"/>
      <c r="AB197" s="865"/>
      <c r="AC197" s="865"/>
      <c r="AD197" s="510"/>
      <c r="AE197" s="865"/>
      <c r="AF197" s="865"/>
      <c r="AG197" s="865"/>
      <c r="AH197" s="865"/>
      <c r="AI197" s="865"/>
      <c r="AJ197" s="510"/>
      <c r="AK197" s="865"/>
      <c r="AL197" s="865"/>
      <c r="AM197" s="865"/>
      <c r="AN197" s="865"/>
      <c r="AO197" s="865"/>
      <c r="AP197" s="510"/>
      <c r="AQ197" s="865"/>
      <c r="AR197" s="865"/>
      <c r="AS197" s="865"/>
      <c r="AT197" s="865"/>
      <c r="AU197" s="865"/>
      <c r="AV197" s="510"/>
      <c r="AW197" s="865"/>
      <c r="AX197" s="865"/>
      <c r="AY197" s="865"/>
      <c r="AZ197" s="865"/>
      <c r="BA197" s="865"/>
      <c r="BB197" s="510"/>
      <c r="BC197" s="865"/>
      <c r="BD197" s="865"/>
      <c r="BE197" s="865"/>
      <c r="BF197" s="865"/>
      <c r="BG197" s="865"/>
      <c r="BH197" s="865"/>
      <c r="BI197" s="865"/>
      <c r="BJ197" s="865"/>
      <c r="BK197" s="865"/>
      <c r="BL197" s="865"/>
      <c r="BM197" s="865"/>
      <c r="BN197" s="865"/>
      <c r="BO197" s="865"/>
      <c r="BP197" s="865"/>
      <c r="BQ197" s="865"/>
      <c r="BR197" s="865"/>
      <c r="BS197" s="865"/>
      <c r="BT197" s="865"/>
      <c r="BU197" s="865"/>
      <c r="BV197" s="865"/>
      <c r="BW197" s="865"/>
      <c r="BX197" s="865"/>
      <c r="BY197" s="874"/>
      <c r="BZ197" s="874"/>
      <c r="CA197" s="874"/>
      <c r="CB197" s="874"/>
      <c r="CC197" s="874"/>
      <c r="CD197" s="874"/>
      <c r="CE197" s="874"/>
      <c r="CF197" s="874"/>
      <c r="CG197" s="874"/>
      <c r="CH197" s="874"/>
      <c r="CI197" s="874"/>
      <c r="CJ197" s="874"/>
      <c r="CK197" s="874"/>
      <c r="CL197" s="874"/>
      <c r="CM197" s="874"/>
      <c r="CN197" s="874"/>
      <c r="CO197" s="874"/>
      <c r="CP197" s="874"/>
      <c r="CQ197" s="874"/>
      <c r="CR197" s="874"/>
      <c r="CS197" s="874"/>
      <c r="CT197" s="874"/>
      <c r="CU197" s="874"/>
      <c r="CV197" s="874"/>
      <c r="CW197" s="874"/>
      <c r="CX197" s="874"/>
      <c r="CY197" s="874"/>
      <c r="CZ197" s="874"/>
      <c r="DA197" s="874"/>
      <c r="DB197" s="874"/>
      <c r="DC197" s="874"/>
      <c r="DD197" s="874"/>
      <c r="DE197" s="874"/>
      <c r="DF197" s="874"/>
      <c r="DG197" s="874"/>
      <c r="DH197" s="874"/>
      <c r="DI197" s="874"/>
      <c r="DJ197" s="874"/>
      <c r="DK197" s="874"/>
      <c r="DL197" s="874"/>
      <c r="DM197" s="874"/>
      <c r="DN197" s="874"/>
      <c r="DO197" s="874"/>
      <c r="DP197" s="874"/>
      <c r="DQ197" s="874"/>
      <c r="DR197" s="874"/>
      <c r="DS197" s="874"/>
      <c r="DT197" s="874"/>
      <c r="DU197" s="874"/>
      <c r="DV197" s="874"/>
      <c r="DW197" s="874"/>
      <c r="DX197" s="874"/>
      <c r="DY197" s="874"/>
      <c r="DZ197" s="874"/>
      <c r="EA197" s="874"/>
      <c r="EB197" s="874"/>
      <c r="EC197" s="874"/>
      <c r="ED197" s="874"/>
      <c r="EE197" s="874"/>
      <c r="EF197" s="874"/>
      <c r="EG197" s="874"/>
      <c r="EH197" s="874"/>
      <c r="EI197" s="874"/>
      <c r="EJ197" s="874"/>
      <c r="EK197" s="874"/>
      <c r="EL197" s="874"/>
      <c r="EM197" s="874"/>
      <c r="EN197" s="874"/>
      <c r="EO197" s="874"/>
      <c r="EP197" s="874"/>
      <c r="EQ197" s="874"/>
      <c r="ER197" s="874"/>
      <c r="ES197" s="874"/>
      <c r="ET197" s="874"/>
      <c r="EU197" s="874"/>
      <c r="EV197" s="874"/>
      <c r="EW197" s="874"/>
      <c r="EX197" s="874"/>
      <c r="EY197" s="874"/>
      <c r="EZ197" s="874"/>
      <c r="FA197" s="874"/>
      <c r="FB197" s="874"/>
      <c r="FC197" s="874"/>
      <c r="FD197" s="874"/>
      <c r="FE197" s="874"/>
      <c r="FF197" s="874"/>
      <c r="FG197" s="874"/>
      <c r="FH197" s="874"/>
      <c r="FI197" s="874"/>
      <c r="FJ197" s="874"/>
      <c r="FK197" s="874"/>
      <c r="FL197" s="874"/>
      <c r="FM197" s="874"/>
      <c r="FN197" s="874"/>
      <c r="FO197" s="874"/>
      <c r="FP197" s="874"/>
      <c r="FQ197" s="874"/>
      <c r="FR197" s="874"/>
      <c r="FS197" s="874"/>
      <c r="FT197" s="874"/>
      <c r="FU197" s="874"/>
      <c r="FV197" s="874"/>
      <c r="FW197" s="874"/>
      <c r="FX197" s="874"/>
      <c r="FY197" s="874"/>
      <c r="FZ197" s="874"/>
      <c r="GA197" s="874"/>
      <c r="GB197" s="874"/>
      <c r="GC197" s="874"/>
      <c r="GD197" s="874"/>
      <c r="GE197" s="874"/>
      <c r="GF197" s="874"/>
      <c r="GG197" s="874"/>
      <c r="GH197" s="874"/>
      <c r="GI197" s="874"/>
      <c r="GJ197" s="874"/>
      <c r="GK197" s="874"/>
      <c r="GL197" s="874"/>
      <c r="GM197" s="874"/>
      <c r="GN197" s="874"/>
      <c r="GO197" s="874"/>
      <c r="GP197" s="874"/>
      <c r="GQ197" s="874"/>
      <c r="GR197" s="874"/>
      <c r="GS197" s="874"/>
      <c r="GT197" s="874"/>
      <c r="GU197" s="874"/>
      <c r="GV197" s="874"/>
      <c r="GW197" s="874"/>
      <c r="GX197" s="874"/>
      <c r="GY197" s="874"/>
      <c r="GZ197" s="874"/>
      <c r="HA197" s="874"/>
      <c r="HB197" s="874"/>
      <c r="HC197" s="874"/>
      <c r="HD197" s="874"/>
      <c r="HE197" s="874"/>
      <c r="HF197" s="874"/>
      <c r="HG197" s="874"/>
      <c r="HH197" s="874"/>
      <c r="HI197" s="874"/>
      <c r="HJ197" s="874"/>
      <c r="HK197" s="874"/>
      <c r="HL197" s="874"/>
      <c r="HM197" s="874"/>
      <c r="HN197" s="874"/>
      <c r="HO197" s="874"/>
      <c r="HP197" s="874"/>
      <c r="HQ197" s="874"/>
      <c r="HR197" s="874"/>
      <c r="HS197" s="874"/>
      <c r="HT197" s="874"/>
      <c r="HU197" s="874"/>
      <c r="HV197" s="874"/>
      <c r="HW197" s="874"/>
      <c r="HX197" s="874"/>
      <c r="HY197" s="874"/>
      <c r="HZ197" s="874"/>
      <c r="IA197" s="874"/>
      <c r="IB197" s="874"/>
      <c r="IC197" s="874"/>
      <c r="ID197" s="874"/>
      <c r="IE197" s="874"/>
      <c r="IF197" s="874"/>
      <c r="IG197" s="874"/>
      <c r="IH197" s="874"/>
      <c r="II197" s="874"/>
      <c r="IJ197" s="874"/>
      <c r="IK197" s="874"/>
      <c r="IL197" s="874"/>
      <c r="IM197" s="874"/>
      <c r="IN197" s="874"/>
      <c r="IO197" s="874"/>
      <c r="IP197" s="874"/>
      <c r="IQ197" s="874"/>
      <c r="IR197" s="874"/>
      <c r="IS197" s="874"/>
      <c r="IT197" s="874"/>
      <c r="IU197" s="874"/>
      <c r="IV197" s="874"/>
      <c r="IW197" s="874"/>
      <c r="IX197" s="874"/>
      <c r="IY197" s="874"/>
      <c r="IZ197" s="874"/>
      <c r="JA197" s="874"/>
      <c r="JB197" s="874"/>
      <c r="JC197" s="874"/>
      <c r="JD197" s="874"/>
      <c r="JE197" s="874"/>
      <c r="JF197" s="874"/>
      <c r="JG197" s="874"/>
      <c r="JH197" s="874"/>
      <c r="JI197" s="874"/>
      <c r="JJ197" s="874"/>
      <c r="JK197" s="874"/>
      <c r="JL197" s="874"/>
      <c r="JM197" s="874"/>
      <c r="JN197" s="874"/>
      <c r="JO197" s="874"/>
      <c r="JP197" s="874"/>
      <c r="JQ197" s="874"/>
      <c r="JR197" s="874"/>
      <c r="JS197" s="874"/>
      <c r="JT197" s="874"/>
      <c r="JU197" s="874"/>
      <c r="JV197" s="874"/>
      <c r="JW197" s="874"/>
      <c r="JX197" s="874"/>
      <c r="JY197" s="874"/>
      <c r="JZ197" s="874"/>
      <c r="KA197" s="874"/>
      <c r="KB197" s="874"/>
      <c r="KC197" s="874"/>
      <c r="KD197" s="874"/>
      <c r="KE197" s="874"/>
      <c r="KF197" s="874"/>
      <c r="KG197" s="874"/>
      <c r="KH197" s="865"/>
      <c r="KI197" s="865"/>
      <c r="KJ197" s="865"/>
      <c r="KK197" s="865"/>
      <c r="KL197" s="865"/>
      <c r="KM197" s="865"/>
      <c r="KN197" s="865"/>
      <c r="KO197" s="865"/>
      <c r="KP197" s="865"/>
      <c r="KQ197" s="865"/>
      <c r="KR197" s="865"/>
      <c r="KS197" s="865"/>
      <c r="KT197" s="865"/>
      <c r="KU197" s="865"/>
      <c r="KV197" s="865"/>
      <c r="KW197" s="865"/>
      <c r="KX197" s="865"/>
      <c r="KY197" s="865"/>
      <c r="KZ197" s="865"/>
      <c r="LA197" s="865"/>
      <c r="LB197" s="865"/>
      <c r="LC197" s="865"/>
      <c r="LD197" s="865"/>
      <c r="LE197" s="865"/>
      <c r="LF197" s="865"/>
    </row>
    <row r="198" spans="1:318">
      <c r="A198" s="865"/>
      <c r="B198" s="865"/>
      <c r="C198" s="865"/>
      <c r="D198" s="865"/>
      <c r="E198" s="865"/>
      <c r="F198" s="865"/>
      <c r="G198" s="865"/>
      <c r="H198" s="865"/>
      <c r="I198" s="865"/>
      <c r="J198" s="865"/>
      <c r="K198" s="865"/>
      <c r="L198" s="865"/>
      <c r="M198" s="865"/>
      <c r="N198" s="865"/>
      <c r="O198" s="865"/>
      <c r="P198" s="865"/>
      <c r="Q198" s="865"/>
      <c r="R198" s="865"/>
      <c r="S198" s="865"/>
      <c r="T198" s="865"/>
      <c r="U198" s="865"/>
      <c r="V198" s="865"/>
      <c r="W198" s="865"/>
      <c r="X198" s="865"/>
      <c r="Y198" s="865"/>
      <c r="Z198" s="865"/>
      <c r="AA198" s="865"/>
      <c r="AB198" s="865"/>
      <c r="AC198" s="865"/>
      <c r="AD198" s="510"/>
      <c r="AE198" s="865"/>
      <c r="AF198" s="865"/>
      <c r="AG198" s="865"/>
      <c r="AH198" s="865"/>
      <c r="AI198" s="865"/>
      <c r="AJ198" s="510"/>
      <c r="AK198" s="865"/>
      <c r="AL198" s="865"/>
      <c r="AM198" s="865"/>
      <c r="AN198" s="865"/>
      <c r="AO198" s="865"/>
      <c r="AP198" s="510"/>
      <c r="AQ198" s="865"/>
      <c r="AR198" s="865"/>
      <c r="AS198" s="865"/>
      <c r="AT198" s="865"/>
      <c r="AU198" s="865"/>
      <c r="AV198" s="510"/>
      <c r="AW198" s="865"/>
      <c r="AX198" s="865"/>
      <c r="AY198" s="865"/>
      <c r="AZ198" s="865"/>
      <c r="BA198" s="865"/>
      <c r="BB198" s="510"/>
      <c r="BC198" s="865"/>
      <c r="BD198" s="865"/>
      <c r="BE198" s="865"/>
      <c r="BF198" s="865"/>
      <c r="BG198" s="865"/>
      <c r="BH198" s="865"/>
      <c r="BI198" s="865"/>
      <c r="BJ198" s="865"/>
      <c r="BK198" s="865"/>
      <c r="BL198" s="865"/>
      <c r="BM198" s="865"/>
      <c r="BN198" s="865"/>
      <c r="BO198" s="865"/>
      <c r="BP198" s="865"/>
      <c r="BQ198" s="865"/>
      <c r="BR198" s="865"/>
      <c r="BS198" s="865"/>
      <c r="BT198" s="865"/>
      <c r="BU198" s="865"/>
      <c r="BV198" s="865"/>
      <c r="BW198" s="865"/>
      <c r="BX198" s="865"/>
      <c r="BY198" s="874"/>
      <c r="BZ198" s="874"/>
      <c r="CA198" s="874"/>
      <c r="CB198" s="874"/>
      <c r="CC198" s="874"/>
      <c r="CD198" s="874"/>
      <c r="CE198" s="874"/>
      <c r="CF198" s="874"/>
      <c r="CG198" s="874"/>
      <c r="CH198" s="874"/>
      <c r="CI198" s="874"/>
      <c r="CJ198" s="874"/>
      <c r="CK198" s="874"/>
      <c r="CL198" s="874"/>
      <c r="CM198" s="874"/>
      <c r="CN198" s="874"/>
      <c r="CO198" s="874"/>
      <c r="CP198" s="874"/>
      <c r="CQ198" s="874"/>
      <c r="CR198" s="874"/>
      <c r="CS198" s="874"/>
      <c r="CT198" s="874"/>
      <c r="CU198" s="874"/>
      <c r="CV198" s="874"/>
      <c r="CW198" s="874"/>
      <c r="CX198" s="874"/>
      <c r="CY198" s="874"/>
      <c r="CZ198" s="874"/>
      <c r="DA198" s="874"/>
      <c r="DB198" s="874"/>
      <c r="DC198" s="874"/>
      <c r="DD198" s="874"/>
      <c r="DE198" s="874"/>
      <c r="DF198" s="874"/>
      <c r="DG198" s="874"/>
      <c r="DH198" s="874"/>
      <c r="DI198" s="874"/>
      <c r="DJ198" s="874"/>
      <c r="DK198" s="874"/>
      <c r="DL198" s="874"/>
      <c r="DM198" s="874"/>
      <c r="DN198" s="874"/>
      <c r="DO198" s="874"/>
      <c r="DP198" s="874"/>
      <c r="DQ198" s="874"/>
      <c r="DR198" s="874"/>
      <c r="DS198" s="874"/>
      <c r="DT198" s="874"/>
      <c r="DU198" s="874"/>
      <c r="DV198" s="874"/>
      <c r="DW198" s="874"/>
      <c r="DX198" s="874"/>
      <c r="DY198" s="874"/>
      <c r="DZ198" s="874"/>
      <c r="EA198" s="874"/>
      <c r="EB198" s="874"/>
      <c r="EC198" s="874"/>
      <c r="ED198" s="874"/>
      <c r="EE198" s="874"/>
      <c r="EF198" s="874"/>
      <c r="EG198" s="874"/>
      <c r="EH198" s="874"/>
      <c r="EI198" s="874"/>
      <c r="EJ198" s="874"/>
      <c r="EK198" s="874"/>
      <c r="EL198" s="874"/>
      <c r="EM198" s="874"/>
      <c r="EN198" s="874"/>
      <c r="EO198" s="874"/>
      <c r="EP198" s="874"/>
      <c r="EQ198" s="874"/>
      <c r="ER198" s="874"/>
      <c r="ES198" s="874"/>
      <c r="ET198" s="874"/>
      <c r="EU198" s="874"/>
      <c r="EV198" s="874"/>
      <c r="EW198" s="874"/>
      <c r="EX198" s="874"/>
      <c r="EY198" s="874"/>
      <c r="EZ198" s="874"/>
      <c r="FA198" s="874"/>
      <c r="FB198" s="874"/>
      <c r="FC198" s="874"/>
      <c r="FD198" s="874"/>
      <c r="FE198" s="874"/>
      <c r="FF198" s="874"/>
      <c r="FG198" s="874"/>
      <c r="FH198" s="874"/>
      <c r="FI198" s="874"/>
      <c r="FJ198" s="874"/>
      <c r="FK198" s="874"/>
      <c r="FL198" s="874"/>
      <c r="FM198" s="874"/>
      <c r="FN198" s="874"/>
      <c r="FO198" s="874"/>
      <c r="FP198" s="874"/>
      <c r="FQ198" s="874"/>
      <c r="FR198" s="874"/>
      <c r="FS198" s="874"/>
      <c r="FT198" s="874"/>
      <c r="FU198" s="874"/>
      <c r="FV198" s="874"/>
      <c r="FW198" s="874"/>
      <c r="FX198" s="874"/>
      <c r="FY198" s="874"/>
      <c r="FZ198" s="874"/>
      <c r="GA198" s="874"/>
      <c r="GB198" s="874"/>
      <c r="GC198" s="874"/>
      <c r="GD198" s="874"/>
      <c r="GE198" s="874"/>
      <c r="GF198" s="874"/>
      <c r="GG198" s="874"/>
      <c r="GH198" s="874"/>
      <c r="GI198" s="874"/>
      <c r="GJ198" s="874"/>
      <c r="GK198" s="874"/>
      <c r="GL198" s="874"/>
      <c r="GM198" s="874"/>
      <c r="GN198" s="874"/>
      <c r="GO198" s="874"/>
      <c r="GP198" s="874"/>
      <c r="GQ198" s="874"/>
      <c r="GR198" s="874"/>
      <c r="GS198" s="874"/>
      <c r="GT198" s="874"/>
      <c r="GU198" s="874"/>
      <c r="GV198" s="874"/>
      <c r="GW198" s="874"/>
      <c r="GX198" s="874"/>
      <c r="GY198" s="874"/>
      <c r="GZ198" s="874"/>
      <c r="HA198" s="874"/>
      <c r="HB198" s="874"/>
      <c r="HC198" s="874"/>
      <c r="HD198" s="874"/>
      <c r="HE198" s="874"/>
      <c r="HF198" s="874"/>
      <c r="HG198" s="874"/>
      <c r="HH198" s="874"/>
      <c r="HI198" s="874"/>
      <c r="HJ198" s="874"/>
      <c r="HK198" s="874"/>
      <c r="HL198" s="874"/>
      <c r="HM198" s="874"/>
      <c r="HN198" s="874"/>
      <c r="HO198" s="874"/>
      <c r="HP198" s="874"/>
      <c r="HQ198" s="874"/>
      <c r="HR198" s="874"/>
      <c r="HS198" s="874"/>
      <c r="HT198" s="874"/>
      <c r="HU198" s="874"/>
      <c r="HV198" s="874"/>
      <c r="HW198" s="874"/>
      <c r="HX198" s="874"/>
      <c r="HY198" s="874"/>
      <c r="HZ198" s="874"/>
      <c r="IA198" s="874"/>
      <c r="IB198" s="874"/>
      <c r="IC198" s="874"/>
      <c r="ID198" s="874"/>
      <c r="IE198" s="874"/>
      <c r="IF198" s="874"/>
      <c r="IG198" s="874"/>
      <c r="IH198" s="874"/>
      <c r="II198" s="874"/>
      <c r="IJ198" s="874"/>
      <c r="IK198" s="874"/>
      <c r="IL198" s="874"/>
      <c r="IM198" s="874"/>
      <c r="IN198" s="874"/>
      <c r="IO198" s="874"/>
      <c r="IP198" s="874"/>
      <c r="IQ198" s="874"/>
      <c r="IR198" s="874"/>
      <c r="IS198" s="874"/>
      <c r="IT198" s="874"/>
      <c r="IU198" s="874"/>
      <c r="IV198" s="874"/>
      <c r="IW198" s="874"/>
      <c r="IX198" s="874"/>
      <c r="IY198" s="874"/>
      <c r="IZ198" s="874"/>
      <c r="JA198" s="874"/>
      <c r="JB198" s="874"/>
      <c r="JC198" s="874"/>
      <c r="JD198" s="874"/>
      <c r="JE198" s="874"/>
      <c r="JF198" s="874"/>
      <c r="JG198" s="874"/>
      <c r="JH198" s="874"/>
      <c r="JI198" s="874"/>
      <c r="JJ198" s="874"/>
      <c r="JK198" s="874"/>
      <c r="JL198" s="874"/>
      <c r="JM198" s="874"/>
      <c r="JN198" s="874"/>
      <c r="JO198" s="874"/>
      <c r="JP198" s="874"/>
      <c r="JQ198" s="874"/>
      <c r="JR198" s="874"/>
      <c r="JS198" s="874"/>
      <c r="JT198" s="874"/>
      <c r="JU198" s="874"/>
      <c r="JV198" s="874"/>
      <c r="JW198" s="874"/>
      <c r="JX198" s="874"/>
      <c r="JY198" s="874"/>
      <c r="JZ198" s="874"/>
      <c r="KA198" s="874"/>
      <c r="KB198" s="874"/>
      <c r="KC198" s="874"/>
      <c r="KD198" s="874"/>
      <c r="KE198" s="874"/>
      <c r="KF198" s="874"/>
      <c r="KG198" s="874"/>
      <c r="KH198" s="865"/>
      <c r="KI198" s="865"/>
      <c r="KJ198" s="865"/>
      <c r="KK198" s="865"/>
      <c r="KL198" s="865"/>
      <c r="KM198" s="865"/>
      <c r="KN198" s="865"/>
      <c r="KO198" s="865"/>
      <c r="KP198" s="865"/>
      <c r="KQ198" s="865"/>
      <c r="KR198" s="865"/>
      <c r="KS198" s="865"/>
      <c r="KT198" s="865"/>
      <c r="KU198" s="865"/>
      <c r="KV198" s="865"/>
      <c r="KW198" s="865"/>
      <c r="KX198" s="865"/>
      <c r="KY198" s="865"/>
      <c r="KZ198" s="865"/>
      <c r="LA198" s="865"/>
      <c r="LB198" s="865"/>
      <c r="LC198" s="865"/>
      <c r="LD198" s="865"/>
      <c r="LE198" s="865"/>
      <c r="LF198" s="865"/>
    </row>
    <row r="199" spans="1:318">
      <c r="A199" s="865"/>
      <c r="B199" s="865"/>
      <c r="C199" s="865"/>
      <c r="D199" s="865"/>
      <c r="E199" s="865"/>
      <c r="F199" s="865"/>
      <c r="G199" s="865"/>
      <c r="H199" s="865"/>
      <c r="I199" s="865"/>
      <c r="J199" s="865"/>
      <c r="K199" s="865"/>
      <c r="L199" s="865"/>
      <c r="M199" s="865"/>
      <c r="N199" s="865"/>
      <c r="O199" s="865"/>
      <c r="P199" s="865"/>
      <c r="Q199" s="865"/>
      <c r="R199" s="865"/>
      <c r="S199" s="865"/>
      <c r="T199" s="865"/>
      <c r="U199" s="865"/>
      <c r="V199" s="865"/>
      <c r="W199" s="865"/>
      <c r="X199" s="865"/>
      <c r="Y199" s="865"/>
      <c r="Z199" s="865"/>
      <c r="AA199" s="865"/>
      <c r="AB199" s="865"/>
      <c r="AC199" s="865"/>
      <c r="AD199" s="510"/>
      <c r="AE199" s="865"/>
      <c r="AF199" s="865"/>
      <c r="AG199" s="865"/>
      <c r="AH199" s="865"/>
      <c r="AI199" s="865"/>
      <c r="AJ199" s="510"/>
      <c r="AK199" s="865"/>
      <c r="AL199" s="865"/>
      <c r="AM199" s="865"/>
      <c r="AN199" s="865"/>
      <c r="AO199" s="865"/>
      <c r="AP199" s="510"/>
      <c r="AQ199" s="865"/>
      <c r="AR199" s="865"/>
      <c r="AS199" s="865"/>
      <c r="AT199" s="865"/>
      <c r="AU199" s="865"/>
      <c r="AV199" s="510"/>
      <c r="AW199" s="865"/>
      <c r="AX199" s="865"/>
      <c r="AY199" s="865"/>
      <c r="AZ199" s="865"/>
      <c r="BA199" s="865"/>
      <c r="BB199" s="510"/>
      <c r="BC199" s="865"/>
      <c r="BD199" s="865"/>
      <c r="BE199" s="865"/>
      <c r="BF199" s="865"/>
      <c r="BG199" s="865"/>
      <c r="BH199" s="865"/>
      <c r="BI199" s="865"/>
      <c r="BJ199" s="865"/>
      <c r="BK199" s="865"/>
      <c r="BL199" s="865"/>
      <c r="BM199" s="865"/>
      <c r="BN199" s="865"/>
      <c r="BO199" s="865"/>
      <c r="BP199" s="865"/>
      <c r="BQ199" s="865"/>
      <c r="BR199" s="865"/>
      <c r="BS199" s="865"/>
      <c r="BT199" s="865"/>
      <c r="BU199" s="865"/>
      <c r="BV199" s="865"/>
      <c r="BW199" s="865"/>
      <c r="BX199" s="865"/>
      <c r="BY199" s="874"/>
      <c r="BZ199" s="874"/>
      <c r="CA199" s="874"/>
      <c r="CB199" s="874"/>
      <c r="CC199" s="874"/>
      <c r="CD199" s="874"/>
      <c r="CE199" s="874"/>
      <c r="CF199" s="874"/>
      <c r="CG199" s="874"/>
      <c r="CH199" s="874"/>
      <c r="CI199" s="874"/>
      <c r="CJ199" s="874"/>
      <c r="CK199" s="874"/>
      <c r="CL199" s="874"/>
      <c r="CM199" s="874"/>
      <c r="CN199" s="874"/>
      <c r="CO199" s="874"/>
      <c r="CP199" s="874"/>
      <c r="CQ199" s="874"/>
      <c r="CR199" s="874"/>
      <c r="CS199" s="874"/>
      <c r="CT199" s="874"/>
      <c r="CU199" s="874"/>
      <c r="CV199" s="874"/>
      <c r="CW199" s="874"/>
      <c r="CX199" s="874"/>
      <c r="CY199" s="874"/>
      <c r="CZ199" s="874"/>
      <c r="DA199" s="874"/>
      <c r="DB199" s="874"/>
      <c r="DC199" s="874"/>
      <c r="DD199" s="874"/>
      <c r="DE199" s="874"/>
      <c r="DF199" s="874"/>
      <c r="DG199" s="874"/>
      <c r="DH199" s="874"/>
      <c r="DI199" s="874"/>
      <c r="DJ199" s="874"/>
      <c r="DK199" s="874"/>
      <c r="DL199" s="874"/>
      <c r="DM199" s="874"/>
      <c r="DN199" s="874"/>
      <c r="DO199" s="874"/>
      <c r="DP199" s="874"/>
      <c r="DQ199" s="874"/>
      <c r="DR199" s="874"/>
      <c r="DS199" s="874"/>
      <c r="DT199" s="874"/>
      <c r="DU199" s="874"/>
      <c r="DV199" s="874"/>
      <c r="DW199" s="874"/>
      <c r="DX199" s="874"/>
      <c r="DY199" s="874"/>
      <c r="DZ199" s="874"/>
      <c r="EA199" s="874"/>
      <c r="EB199" s="874"/>
      <c r="EC199" s="874"/>
      <c r="ED199" s="874"/>
      <c r="EE199" s="874"/>
      <c r="EF199" s="874"/>
      <c r="EG199" s="874"/>
      <c r="EH199" s="874"/>
      <c r="EI199" s="874"/>
      <c r="EJ199" s="874"/>
      <c r="EK199" s="874"/>
      <c r="EL199" s="874"/>
      <c r="EM199" s="874"/>
      <c r="EN199" s="874"/>
      <c r="EO199" s="874"/>
      <c r="EP199" s="874"/>
      <c r="EQ199" s="874"/>
      <c r="ER199" s="874"/>
      <c r="ES199" s="874"/>
      <c r="ET199" s="874"/>
      <c r="EU199" s="874"/>
      <c r="EV199" s="874"/>
      <c r="EW199" s="874"/>
      <c r="EX199" s="874"/>
      <c r="EY199" s="874"/>
      <c r="EZ199" s="874"/>
      <c r="FA199" s="874"/>
      <c r="FB199" s="874"/>
      <c r="FC199" s="874"/>
      <c r="FD199" s="874"/>
      <c r="FE199" s="874"/>
      <c r="FF199" s="874"/>
      <c r="FG199" s="874"/>
      <c r="FH199" s="874"/>
      <c r="FI199" s="874"/>
      <c r="FJ199" s="874"/>
      <c r="FK199" s="874"/>
      <c r="FL199" s="874"/>
      <c r="FM199" s="874"/>
      <c r="FN199" s="874"/>
      <c r="FO199" s="874"/>
      <c r="FP199" s="874"/>
      <c r="FQ199" s="874"/>
      <c r="FR199" s="874"/>
      <c r="FS199" s="874"/>
      <c r="FT199" s="874"/>
      <c r="FU199" s="874"/>
      <c r="FV199" s="874"/>
      <c r="FW199" s="874"/>
      <c r="FX199" s="874"/>
      <c r="FY199" s="874"/>
      <c r="FZ199" s="874"/>
      <c r="GA199" s="874"/>
      <c r="GB199" s="874"/>
      <c r="GC199" s="874"/>
      <c r="GD199" s="874"/>
      <c r="GE199" s="874"/>
      <c r="GF199" s="874"/>
      <c r="GG199" s="874"/>
      <c r="GH199" s="874"/>
      <c r="GI199" s="874"/>
      <c r="GJ199" s="874"/>
      <c r="GK199" s="874"/>
      <c r="GL199" s="874"/>
      <c r="GM199" s="874"/>
      <c r="GN199" s="874"/>
      <c r="GO199" s="874"/>
      <c r="GP199" s="874"/>
      <c r="GQ199" s="874"/>
      <c r="GR199" s="874"/>
      <c r="GS199" s="874"/>
      <c r="GT199" s="874"/>
      <c r="GU199" s="874"/>
      <c r="GV199" s="874"/>
      <c r="GW199" s="874"/>
      <c r="GX199" s="874"/>
      <c r="GY199" s="874"/>
      <c r="GZ199" s="874"/>
      <c r="HA199" s="874"/>
      <c r="HB199" s="874"/>
      <c r="HC199" s="874"/>
      <c r="HD199" s="874"/>
      <c r="HE199" s="874"/>
      <c r="HF199" s="874"/>
      <c r="HG199" s="874"/>
      <c r="HH199" s="874"/>
      <c r="HI199" s="874"/>
      <c r="HJ199" s="874"/>
      <c r="HK199" s="874"/>
      <c r="HL199" s="874"/>
      <c r="HM199" s="874"/>
      <c r="HN199" s="874"/>
      <c r="HO199" s="874"/>
      <c r="HP199" s="874"/>
      <c r="HQ199" s="874"/>
      <c r="HR199" s="874"/>
      <c r="HS199" s="874"/>
      <c r="HT199" s="874"/>
      <c r="HU199" s="874"/>
      <c r="HV199" s="874"/>
      <c r="HW199" s="874"/>
      <c r="HX199" s="874"/>
      <c r="HY199" s="874"/>
      <c r="HZ199" s="874"/>
      <c r="IA199" s="874"/>
      <c r="IB199" s="874"/>
      <c r="IC199" s="874"/>
      <c r="ID199" s="874"/>
      <c r="IE199" s="874"/>
      <c r="IF199" s="874"/>
      <c r="IG199" s="874"/>
      <c r="IH199" s="874"/>
      <c r="II199" s="874"/>
      <c r="IJ199" s="874"/>
      <c r="IK199" s="874"/>
      <c r="IL199" s="874"/>
      <c r="IM199" s="874"/>
      <c r="IN199" s="874"/>
      <c r="IO199" s="874"/>
      <c r="IP199" s="874"/>
      <c r="IQ199" s="874"/>
      <c r="IR199" s="874"/>
      <c r="IS199" s="874"/>
      <c r="IT199" s="874"/>
      <c r="IU199" s="874"/>
      <c r="IV199" s="874"/>
      <c r="IW199" s="874"/>
      <c r="IX199" s="874"/>
      <c r="IY199" s="874"/>
      <c r="IZ199" s="874"/>
      <c r="JA199" s="874"/>
      <c r="JB199" s="874"/>
      <c r="JC199" s="874"/>
      <c r="JD199" s="874"/>
      <c r="JE199" s="874"/>
      <c r="JF199" s="874"/>
      <c r="JG199" s="874"/>
      <c r="JH199" s="874"/>
      <c r="JI199" s="874"/>
      <c r="JJ199" s="874"/>
      <c r="JK199" s="874"/>
      <c r="JL199" s="874"/>
      <c r="JM199" s="874"/>
      <c r="JN199" s="874"/>
      <c r="JO199" s="874"/>
      <c r="JP199" s="874"/>
      <c r="JQ199" s="874"/>
      <c r="JR199" s="874"/>
      <c r="JS199" s="874"/>
      <c r="JT199" s="874"/>
      <c r="JU199" s="874"/>
      <c r="JV199" s="874"/>
      <c r="JW199" s="874"/>
      <c r="JX199" s="874"/>
      <c r="JY199" s="874"/>
      <c r="JZ199" s="874"/>
      <c r="KA199" s="874"/>
      <c r="KB199" s="874"/>
      <c r="KC199" s="874"/>
      <c r="KD199" s="874"/>
      <c r="KE199" s="874"/>
      <c r="KF199" s="874"/>
      <c r="KG199" s="874"/>
      <c r="KH199" s="865"/>
      <c r="KI199" s="865"/>
      <c r="KJ199" s="865"/>
      <c r="KK199" s="865"/>
      <c r="KL199" s="865"/>
      <c r="KM199" s="865"/>
      <c r="KN199" s="865"/>
      <c r="KO199" s="865"/>
      <c r="KP199" s="865"/>
      <c r="KQ199" s="865"/>
      <c r="KR199" s="865"/>
      <c r="KS199" s="865"/>
      <c r="KT199" s="865"/>
      <c r="KU199" s="865"/>
      <c r="KV199" s="865"/>
      <c r="KW199" s="865"/>
      <c r="KX199" s="865"/>
      <c r="KY199" s="865"/>
      <c r="KZ199" s="865"/>
      <c r="LA199" s="865"/>
      <c r="LB199" s="865"/>
      <c r="LC199" s="865"/>
      <c r="LD199" s="865"/>
      <c r="LE199" s="865"/>
      <c r="LF199" s="865"/>
    </row>
    <row r="200" spans="1:318">
      <c r="A200" s="865"/>
      <c r="B200" s="865"/>
      <c r="C200" s="865"/>
      <c r="D200" s="865"/>
      <c r="E200" s="865"/>
      <c r="F200" s="865"/>
      <c r="G200" s="865"/>
      <c r="H200" s="865"/>
      <c r="I200" s="865"/>
      <c r="J200" s="865"/>
      <c r="K200" s="865"/>
      <c r="L200" s="865"/>
      <c r="M200" s="865"/>
      <c r="N200" s="865"/>
      <c r="O200" s="865"/>
      <c r="P200" s="865"/>
      <c r="Q200" s="865"/>
      <c r="R200" s="865"/>
      <c r="S200" s="865"/>
      <c r="T200" s="865"/>
      <c r="U200" s="865"/>
      <c r="V200" s="865"/>
      <c r="W200" s="865"/>
      <c r="X200" s="865"/>
      <c r="Y200" s="865"/>
      <c r="Z200" s="865"/>
      <c r="AA200" s="865"/>
      <c r="AB200" s="865"/>
      <c r="AC200" s="865"/>
      <c r="AD200" s="510"/>
      <c r="AE200" s="865"/>
      <c r="AF200" s="865"/>
      <c r="AG200" s="865"/>
      <c r="AH200" s="865"/>
      <c r="AI200" s="865"/>
      <c r="AJ200" s="510"/>
      <c r="AK200" s="865"/>
      <c r="AL200" s="865"/>
      <c r="AM200" s="865"/>
      <c r="AN200" s="865"/>
      <c r="AO200" s="865"/>
      <c r="AP200" s="510"/>
      <c r="AQ200" s="865"/>
      <c r="AR200" s="865"/>
      <c r="AS200" s="865"/>
      <c r="AT200" s="865"/>
      <c r="AU200" s="865"/>
      <c r="AV200" s="510"/>
      <c r="AW200" s="865"/>
      <c r="AX200" s="865"/>
      <c r="AY200" s="865"/>
      <c r="AZ200" s="865"/>
      <c r="BA200" s="865"/>
      <c r="BB200" s="510"/>
      <c r="BC200" s="865"/>
      <c r="BD200" s="865"/>
      <c r="BE200" s="865"/>
      <c r="BF200" s="865"/>
      <c r="BG200" s="865"/>
      <c r="BH200" s="865"/>
      <c r="BI200" s="865"/>
      <c r="BJ200" s="865"/>
      <c r="BK200" s="865"/>
      <c r="BL200" s="865"/>
      <c r="BM200" s="865"/>
      <c r="BN200" s="865"/>
      <c r="BO200" s="865"/>
      <c r="BP200" s="865"/>
      <c r="BQ200" s="865"/>
      <c r="BR200" s="865"/>
      <c r="BS200" s="865"/>
      <c r="BT200" s="865"/>
      <c r="BU200" s="865"/>
      <c r="BV200" s="865"/>
      <c r="BW200" s="865"/>
      <c r="BX200" s="865"/>
      <c r="BY200" s="874"/>
      <c r="BZ200" s="874"/>
      <c r="CA200" s="874"/>
      <c r="CB200" s="874"/>
      <c r="CC200" s="874"/>
      <c r="CD200" s="874"/>
      <c r="CE200" s="874"/>
      <c r="CF200" s="874"/>
      <c r="CG200" s="874"/>
      <c r="CH200" s="874"/>
      <c r="CI200" s="874"/>
      <c r="CJ200" s="874"/>
      <c r="CK200" s="874"/>
      <c r="CL200" s="874"/>
      <c r="CM200" s="874"/>
      <c r="CN200" s="874"/>
      <c r="CO200" s="874"/>
      <c r="CP200" s="874"/>
      <c r="CQ200" s="874"/>
      <c r="CR200" s="874"/>
      <c r="CS200" s="874"/>
      <c r="CT200" s="874"/>
      <c r="CU200" s="874"/>
      <c r="CV200" s="874"/>
      <c r="CW200" s="874"/>
      <c r="CX200" s="874"/>
      <c r="CY200" s="874"/>
      <c r="CZ200" s="874"/>
      <c r="DA200" s="874"/>
      <c r="DB200" s="874"/>
      <c r="DC200" s="874"/>
      <c r="DD200" s="874"/>
      <c r="DE200" s="874"/>
      <c r="DF200" s="874"/>
      <c r="DG200" s="874"/>
      <c r="DH200" s="874"/>
      <c r="DI200" s="874"/>
      <c r="DJ200" s="874"/>
      <c r="DK200" s="874"/>
      <c r="DL200" s="874"/>
      <c r="DM200" s="874"/>
      <c r="DN200" s="874"/>
      <c r="DO200" s="874"/>
      <c r="DP200" s="874"/>
      <c r="DQ200" s="874"/>
      <c r="DR200" s="874"/>
      <c r="DS200" s="874"/>
      <c r="DT200" s="874"/>
      <c r="DU200" s="874"/>
      <c r="DV200" s="874"/>
      <c r="DW200" s="874"/>
      <c r="DX200" s="874"/>
      <c r="DY200" s="874"/>
      <c r="DZ200" s="874"/>
      <c r="EA200" s="874"/>
      <c r="EB200" s="874"/>
      <c r="EC200" s="874"/>
      <c r="ED200" s="874"/>
      <c r="EE200" s="874"/>
      <c r="EF200" s="874"/>
      <c r="EG200" s="874"/>
      <c r="EH200" s="874"/>
      <c r="EI200" s="874"/>
      <c r="EJ200" s="874"/>
      <c r="EK200" s="874"/>
      <c r="EL200" s="874"/>
      <c r="EM200" s="874"/>
      <c r="EN200" s="874"/>
      <c r="EO200" s="874"/>
      <c r="EP200" s="874"/>
      <c r="EQ200" s="874"/>
      <c r="ER200" s="874"/>
      <c r="ES200" s="874"/>
      <c r="ET200" s="874"/>
      <c r="EU200" s="874"/>
      <c r="EV200" s="874"/>
      <c r="EW200" s="874"/>
      <c r="EX200" s="874"/>
      <c r="EY200" s="874"/>
      <c r="EZ200" s="874"/>
      <c r="FA200" s="874"/>
      <c r="FB200" s="874"/>
      <c r="FC200" s="874"/>
      <c r="FD200" s="874"/>
      <c r="FE200" s="874"/>
      <c r="FF200" s="874"/>
      <c r="FG200" s="874"/>
      <c r="FH200" s="874"/>
      <c r="FI200" s="874"/>
      <c r="FJ200" s="874"/>
      <c r="FK200" s="874"/>
      <c r="FL200" s="874"/>
      <c r="FM200" s="874"/>
      <c r="FN200" s="874"/>
      <c r="FO200" s="874"/>
      <c r="FP200" s="874"/>
      <c r="FQ200" s="874"/>
      <c r="FR200" s="874"/>
      <c r="FS200" s="874"/>
      <c r="FT200" s="874"/>
      <c r="FU200" s="874"/>
      <c r="FV200" s="874"/>
      <c r="FW200" s="874"/>
      <c r="FX200" s="874"/>
      <c r="FY200" s="874"/>
      <c r="FZ200" s="874"/>
      <c r="GA200" s="874"/>
      <c r="GB200" s="874"/>
      <c r="GC200" s="874"/>
      <c r="GD200" s="874"/>
      <c r="GE200" s="874"/>
      <c r="GF200" s="874"/>
      <c r="GG200" s="874"/>
      <c r="GH200" s="874"/>
      <c r="GI200" s="874"/>
      <c r="GJ200" s="874"/>
      <c r="GK200" s="874"/>
      <c r="GL200" s="874"/>
      <c r="GM200" s="874"/>
      <c r="GN200" s="874"/>
      <c r="GO200" s="874"/>
      <c r="GP200" s="874"/>
      <c r="GQ200" s="874"/>
      <c r="GR200" s="874"/>
      <c r="GS200" s="874"/>
      <c r="GT200" s="874"/>
      <c r="GU200" s="874"/>
      <c r="GV200" s="874"/>
      <c r="GW200" s="874"/>
      <c r="GX200" s="874"/>
      <c r="GY200" s="874"/>
      <c r="GZ200" s="874"/>
      <c r="HA200" s="874"/>
      <c r="HB200" s="874"/>
      <c r="HC200" s="874"/>
      <c r="HD200" s="874"/>
      <c r="HE200" s="874"/>
      <c r="HF200" s="874"/>
      <c r="HG200" s="874"/>
      <c r="HH200" s="874"/>
      <c r="HI200" s="874"/>
      <c r="HJ200" s="874"/>
      <c r="HK200" s="874"/>
      <c r="HL200" s="874"/>
      <c r="HM200" s="874"/>
      <c r="HN200" s="874"/>
      <c r="HO200" s="874"/>
      <c r="HP200" s="874"/>
      <c r="HQ200" s="874"/>
      <c r="HR200" s="874"/>
      <c r="HS200" s="874"/>
      <c r="HT200" s="874"/>
      <c r="HU200" s="874"/>
      <c r="HV200" s="874"/>
      <c r="HW200" s="874"/>
      <c r="HX200" s="874"/>
      <c r="HY200" s="874"/>
      <c r="HZ200" s="874"/>
      <c r="IA200" s="874"/>
      <c r="IB200" s="874"/>
      <c r="IC200" s="874"/>
      <c r="ID200" s="874"/>
      <c r="IE200" s="874"/>
      <c r="IF200" s="874"/>
      <c r="IG200" s="874"/>
      <c r="IH200" s="874"/>
      <c r="II200" s="874"/>
      <c r="IJ200" s="874"/>
      <c r="IK200" s="874"/>
      <c r="IL200" s="874"/>
      <c r="IM200" s="874"/>
      <c r="IN200" s="874"/>
      <c r="IO200" s="874"/>
      <c r="IP200" s="874"/>
      <c r="IQ200" s="874"/>
      <c r="IR200" s="874"/>
      <c r="IS200" s="874"/>
      <c r="IT200" s="874"/>
      <c r="IU200" s="874"/>
      <c r="IV200" s="874"/>
      <c r="IW200" s="874"/>
      <c r="IX200" s="874"/>
      <c r="IY200" s="874"/>
      <c r="IZ200" s="874"/>
      <c r="JA200" s="874"/>
      <c r="JB200" s="874"/>
      <c r="JC200" s="874"/>
      <c r="JD200" s="874"/>
      <c r="JE200" s="874"/>
      <c r="JF200" s="874"/>
      <c r="JG200" s="874"/>
      <c r="JH200" s="874"/>
      <c r="JI200" s="874"/>
      <c r="JJ200" s="874"/>
      <c r="JK200" s="874"/>
      <c r="JL200" s="874"/>
      <c r="JM200" s="874"/>
      <c r="JN200" s="874"/>
      <c r="JO200" s="874"/>
      <c r="JP200" s="874"/>
      <c r="JQ200" s="874"/>
      <c r="JR200" s="874"/>
      <c r="JS200" s="874"/>
      <c r="JT200" s="874"/>
      <c r="JU200" s="874"/>
      <c r="JV200" s="874"/>
      <c r="JW200" s="874"/>
      <c r="JX200" s="874"/>
      <c r="JY200" s="874"/>
      <c r="JZ200" s="874"/>
      <c r="KA200" s="874"/>
      <c r="KB200" s="874"/>
      <c r="KC200" s="874"/>
      <c r="KD200" s="874"/>
      <c r="KE200" s="874"/>
      <c r="KF200" s="874"/>
      <c r="KG200" s="874"/>
      <c r="KH200" s="865"/>
      <c r="KI200" s="865"/>
      <c r="KJ200" s="865"/>
      <c r="KK200" s="865"/>
      <c r="KL200" s="865"/>
      <c r="KM200" s="865"/>
      <c r="KN200" s="865"/>
      <c r="KO200" s="865"/>
      <c r="KP200" s="865"/>
      <c r="KQ200" s="865"/>
      <c r="KR200" s="865"/>
      <c r="KS200" s="865"/>
      <c r="KT200" s="865"/>
      <c r="KU200" s="865"/>
      <c r="KV200" s="865"/>
      <c r="KW200" s="865"/>
      <c r="KX200" s="865"/>
      <c r="KY200" s="865"/>
      <c r="KZ200" s="865"/>
      <c r="LA200" s="865"/>
      <c r="LB200" s="865"/>
      <c r="LC200" s="865"/>
      <c r="LD200" s="865"/>
      <c r="LE200" s="865"/>
      <c r="LF200" s="865"/>
    </row>
    <row r="201" spans="1:318">
      <c r="A201" s="865"/>
      <c r="B201" s="865"/>
      <c r="C201" s="865"/>
      <c r="D201" s="865"/>
      <c r="E201" s="865"/>
      <c r="F201" s="865"/>
      <c r="G201" s="865"/>
      <c r="H201" s="865"/>
      <c r="I201" s="865"/>
      <c r="J201" s="865"/>
      <c r="K201" s="865"/>
      <c r="L201" s="865"/>
      <c r="M201" s="865"/>
      <c r="N201" s="865"/>
      <c r="O201" s="865"/>
      <c r="P201" s="865"/>
      <c r="Q201" s="865"/>
      <c r="R201" s="865"/>
      <c r="S201" s="865"/>
      <c r="T201" s="865"/>
      <c r="U201" s="865"/>
      <c r="V201" s="865"/>
      <c r="W201" s="865"/>
      <c r="X201" s="865"/>
      <c r="Y201" s="865"/>
      <c r="Z201" s="865"/>
      <c r="AA201" s="865"/>
      <c r="AB201" s="865"/>
      <c r="AC201" s="865"/>
      <c r="AD201" s="510"/>
      <c r="AE201" s="865"/>
      <c r="AF201" s="865"/>
      <c r="AG201" s="865"/>
      <c r="AH201" s="865"/>
      <c r="AI201" s="865"/>
      <c r="AJ201" s="510"/>
      <c r="AK201" s="865"/>
      <c r="AL201" s="865"/>
      <c r="AM201" s="865"/>
      <c r="AN201" s="865"/>
      <c r="AO201" s="865"/>
      <c r="AP201" s="510"/>
      <c r="AQ201" s="865"/>
      <c r="AR201" s="865"/>
      <c r="AS201" s="865"/>
      <c r="AT201" s="865"/>
      <c r="AU201" s="865"/>
      <c r="AV201" s="510"/>
      <c r="AW201" s="865"/>
      <c r="AX201" s="865"/>
      <c r="AY201" s="865"/>
      <c r="AZ201" s="865"/>
      <c r="BA201" s="865"/>
      <c r="BB201" s="510"/>
      <c r="BC201" s="865"/>
      <c r="BD201" s="865"/>
      <c r="BE201" s="865"/>
      <c r="BF201" s="865"/>
      <c r="BG201" s="865"/>
      <c r="BH201" s="865"/>
      <c r="BI201" s="865"/>
      <c r="BJ201" s="865"/>
      <c r="BK201" s="865"/>
      <c r="BL201" s="865"/>
      <c r="BM201" s="865"/>
      <c r="BN201" s="865"/>
      <c r="BO201" s="865"/>
      <c r="BP201" s="865"/>
      <c r="BQ201" s="865"/>
      <c r="BR201" s="865"/>
      <c r="BS201" s="865"/>
      <c r="BT201" s="865"/>
      <c r="BU201" s="865"/>
      <c r="BV201" s="865"/>
      <c r="BW201" s="865"/>
      <c r="BX201" s="865"/>
      <c r="BY201" s="874"/>
      <c r="BZ201" s="874"/>
      <c r="CA201" s="874"/>
      <c r="CB201" s="874"/>
      <c r="CC201" s="874"/>
      <c r="CD201" s="874"/>
      <c r="CE201" s="874"/>
      <c r="CF201" s="874"/>
      <c r="CG201" s="874"/>
      <c r="CH201" s="874"/>
      <c r="CI201" s="874"/>
      <c r="CJ201" s="874"/>
      <c r="CK201" s="874"/>
      <c r="CL201" s="874"/>
      <c r="CM201" s="874"/>
      <c r="CN201" s="874"/>
      <c r="CO201" s="874"/>
      <c r="CP201" s="874"/>
      <c r="CQ201" s="874"/>
      <c r="CR201" s="874"/>
      <c r="CS201" s="874"/>
      <c r="CT201" s="874"/>
      <c r="CU201" s="874"/>
      <c r="CV201" s="874"/>
      <c r="CW201" s="874"/>
      <c r="CX201" s="874"/>
      <c r="CY201" s="874"/>
      <c r="CZ201" s="874"/>
      <c r="DA201" s="874"/>
      <c r="DB201" s="874"/>
      <c r="DC201" s="874"/>
      <c r="DD201" s="874"/>
      <c r="DE201" s="874"/>
      <c r="DF201" s="874"/>
      <c r="DG201" s="874"/>
      <c r="DH201" s="874"/>
      <c r="DI201" s="874"/>
      <c r="DJ201" s="874"/>
      <c r="DK201" s="874"/>
      <c r="DL201" s="874"/>
      <c r="DM201" s="874"/>
      <c r="DN201" s="874"/>
      <c r="DO201" s="874"/>
      <c r="DP201" s="874"/>
      <c r="DQ201" s="874"/>
      <c r="DR201" s="874"/>
      <c r="DS201" s="874"/>
      <c r="DT201" s="874"/>
      <c r="DU201" s="874"/>
      <c r="DV201" s="874"/>
      <c r="DW201" s="874"/>
      <c r="DX201" s="874"/>
      <c r="DY201" s="874"/>
      <c r="DZ201" s="874"/>
      <c r="EA201" s="874"/>
      <c r="EB201" s="874"/>
      <c r="EC201" s="874"/>
      <c r="ED201" s="874"/>
      <c r="EE201" s="874"/>
      <c r="EF201" s="874"/>
      <c r="EG201" s="874"/>
      <c r="EH201" s="874"/>
      <c r="EI201" s="874"/>
      <c r="EJ201" s="874"/>
      <c r="EK201" s="874"/>
      <c r="EL201" s="874"/>
      <c r="EM201" s="874"/>
      <c r="EN201" s="874"/>
      <c r="EO201" s="874"/>
      <c r="EP201" s="874"/>
      <c r="EQ201" s="874"/>
      <c r="ER201" s="874"/>
      <c r="ES201" s="874"/>
      <c r="ET201" s="874"/>
      <c r="EU201" s="874"/>
      <c r="EV201" s="874"/>
      <c r="EW201" s="874"/>
      <c r="EX201" s="874"/>
      <c r="EY201" s="874"/>
      <c r="EZ201" s="874"/>
      <c r="FA201" s="874"/>
      <c r="FB201" s="874"/>
      <c r="FC201" s="874"/>
      <c r="FD201" s="874"/>
      <c r="FE201" s="874"/>
      <c r="FF201" s="874"/>
      <c r="FG201" s="874"/>
      <c r="FH201" s="874"/>
      <c r="FI201" s="874"/>
      <c r="FJ201" s="874"/>
      <c r="FK201" s="874"/>
      <c r="FL201" s="874"/>
      <c r="FM201" s="874"/>
      <c r="FN201" s="874"/>
      <c r="FO201" s="874"/>
      <c r="FP201" s="874"/>
      <c r="FQ201" s="874"/>
      <c r="FR201" s="874"/>
      <c r="FS201" s="874"/>
      <c r="FT201" s="874"/>
      <c r="FU201" s="874"/>
      <c r="FV201" s="874"/>
      <c r="FW201" s="874"/>
      <c r="FX201" s="874"/>
      <c r="FY201" s="874"/>
      <c r="FZ201" s="874"/>
      <c r="GA201" s="874"/>
      <c r="GB201" s="874"/>
      <c r="GC201" s="874"/>
      <c r="GD201" s="874"/>
      <c r="GE201" s="874"/>
      <c r="GF201" s="874"/>
      <c r="GG201" s="874"/>
      <c r="GH201" s="874"/>
      <c r="GI201" s="874"/>
      <c r="GJ201" s="874"/>
      <c r="GK201" s="874"/>
      <c r="GL201" s="874"/>
      <c r="GM201" s="874"/>
      <c r="GN201" s="874"/>
      <c r="GO201" s="874"/>
      <c r="GP201" s="874"/>
      <c r="GQ201" s="874"/>
      <c r="GR201" s="874"/>
      <c r="GS201" s="874"/>
      <c r="GT201" s="874"/>
      <c r="GU201" s="874"/>
      <c r="GV201" s="874"/>
      <c r="GW201" s="874"/>
      <c r="GX201" s="874"/>
      <c r="GY201" s="874"/>
      <c r="GZ201" s="874"/>
      <c r="HA201" s="874"/>
      <c r="HB201" s="874"/>
      <c r="HC201" s="874"/>
      <c r="HD201" s="874"/>
      <c r="HE201" s="874"/>
      <c r="HF201" s="874"/>
      <c r="HG201" s="874"/>
      <c r="HH201" s="874"/>
      <c r="HI201" s="874"/>
      <c r="HJ201" s="874"/>
      <c r="HK201" s="874"/>
      <c r="HL201" s="874"/>
      <c r="HM201" s="874"/>
      <c r="HN201" s="874"/>
      <c r="HO201" s="874"/>
      <c r="HP201" s="874"/>
      <c r="HQ201" s="874"/>
      <c r="HR201" s="874"/>
      <c r="HS201" s="874"/>
      <c r="HT201" s="874"/>
      <c r="HU201" s="874"/>
      <c r="HV201" s="874"/>
      <c r="HW201" s="874"/>
      <c r="HX201" s="874"/>
      <c r="HY201" s="874"/>
      <c r="HZ201" s="874"/>
      <c r="IA201" s="874"/>
      <c r="IB201" s="874"/>
      <c r="IC201" s="874"/>
      <c r="ID201" s="874"/>
      <c r="IE201" s="874"/>
      <c r="IF201" s="874"/>
      <c r="IG201" s="874"/>
      <c r="IH201" s="874"/>
      <c r="II201" s="874"/>
      <c r="IJ201" s="874"/>
      <c r="IK201" s="874"/>
      <c r="IL201" s="874"/>
      <c r="IM201" s="874"/>
      <c r="IN201" s="874"/>
      <c r="IO201" s="874"/>
      <c r="IP201" s="874"/>
      <c r="IQ201" s="874"/>
      <c r="IR201" s="874"/>
      <c r="IS201" s="874"/>
      <c r="IT201" s="874"/>
      <c r="IU201" s="874"/>
      <c r="IV201" s="874"/>
      <c r="IW201" s="874"/>
      <c r="IX201" s="874"/>
      <c r="IY201" s="874"/>
      <c r="IZ201" s="874"/>
      <c r="JA201" s="874"/>
      <c r="JB201" s="874"/>
      <c r="JC201" s="874"/>
      <c r="JD201" s="874"/>
      <c r="JE201" s="874"/>
      <c r="JF201" s="874"/>
      <c r="JG201" s="874"/>
      <c r="JH201" s="874"/>
      <c r="JI201" s="874"/>
      <c r="JJ201" s="874"/>
      <c r="JK201" s="874"/>
      <c r="JL201" s="874"/>
      <c r="JM201" s="874"/>
      <c r="JN201" s="874"/>
      <c r="JO201" s="874"/>
      <c r="JP201" s="874"/>
      <c r="JQ201" s="874"/>
      <c r="JR201" s="874"/>
      <c r="JS201" s="874"/>
      <c r="JT201" s="874"/>
      <c r="JU201" s="874"/>
      <c r="JV201" s="874"/>
      <c r="JW201" s="874"/>
      <c r="JX201" s="874"/>
      <c r="JY201" s="874"/>
      <c r="JZ201" s="874"/>
      <c r="KA201" s="874"/>
      <c r="KB201" s="874"/>
      <c r="KC201" s="874"/>
      <c r="KD201" s="874"/>
      <c r="KE201" s="874"/>
      <c r="KF201" s="874"/>
      <c r="KG201" s="874"/>
      <c r="KH201" s="865"/>
      <c r="KI201" s="865"/>
      <c r="KJ201" s="865"/>
      <c r="KK201" s="865"/>
      <c r="KL201" s="865"/>
      <c r="KM201" s="865"/>
      <c r="KN201" s="865"/>
      <c r="KO201" s="865"/>
      <c r="KP201" s="865"/>
      <c r="KQ201" s="865"/>
      <c r="KR201" s="865"/>
      <c r="KS201" s="865"/>
      <c r="KT201" s="865"/>
      <c r="KU201" s="865"/>
      <c r="KV201" s="865"/>
      <c r="KW201" s="865"/>
      <c r="KX201" s="865"/>
      <c r="KY201" s="865"/>
      <c r="KZ201" s="865"/>
      <c r="LA201" s="865"/>
      <c r="LB201" s="865"/>
      <c r="LC201" s="865"/>
      <c r="LD201" s="865"/>
      <c r="LE201" s="865"/>
      <c r="LF201" s="865"/>
    </row>
    <row r="202" spans="1:318">
      <c r="A202" s="865"/>
      <c r="B202" s="865"/>
      <c r="C202" s="865"/>
      <c r="D202" s="865"/>
      <c r="E202" s="865"/>
      <c r="F202" s="865"/>
      <c r="G202" s="865"/>
      <c r="H202" s="865"/>
      <c r="I202" s="865"/>
      <c r="J202" s="865"/>
      <c r="K202" s="865"/>
      <c r="L202" s="865"/>
      <c r="M202" s="865"/>
      <c r="N202" s="865"/>
      <c r="O202" s="865"/>
      <c r="P202" s="865"/>
      <c r="Q202" s="865"/>
      <c r="R202" s="865"/>
      <c r="S202" s="865"/>
      <c r="T202" s="865"/>
      <c r="U202" s="865"/>
      <c r="V202" s="865"/>
      <c r="W202" s="865"/>
      <c r="X202" s="865"/>
      <c r="Y202" s="865"/>
      <c r="Z202" s="865"/>
      <c r="AA202" s="865"/>
      <c r="AB202" s="865"/>
      <c r="AC202" s="865"/>
      <c r="AD202" s="510"/>
      <c r="AE202" s="865"/>
      <c r="AF202" s="865"/>
      <c r="AG202" s="865"/>
      <c r="AH202" s="865"/>
      <c r="AI202" s="865"/>
      <c r="AJ202" s="510"/>
      <c r="AK202" s="865"/>
      <c r="AL202" s="865"/>
      <c r="AM202" s="865"/>
      <c r="AN202" s="865"/>
      <c r="AO202" s="865"/>
      <c r="AP202" s="510"/>
      <c r="AQ202" s="865"/>
      <c r="AR202" s="865"/>
      <c r="AS202" s="865"/>
      <c r="AT202" s="865"/>
      <c r="AU202" s="865"/>
      <c r="AV202" s="510"/>
      <c r="AW202" s="865"/>
      <c r="AX202" s="865"/>
      <c r="AY202" s="865"/>
      <c r="AZ202" s="865"/>
      <c r="BA202" s="865"/>
      <c r="BB202" s="510"/>
      <c r="BC202" s="865"/>
      <c r="BD202" s="865"/>
      <c r="BE202" s="865"/>
      <c r="BF202" s="865"/>
      <c r="BG202" s="865"/>
      <c r="BH202" s="865"/>
      <c r="BI202" s="865"/>
      <c r="BJ202" s="865"/>
      <c r="BK202" s="865"/>
      <c r="BL202" s="865"/>
      <c r="BM202" s="865"/>
      <c r="BN202" s="865"/>
      <c r="BO202" s="865"/>
      <c r="BP202" s="865"/>
      <c r="BQ202" s="865"/>
      <c r="BR202" s="865"/>
      <c r="BS202" s="865"/>
      <c r="BT202" s="865"/>
      <c r="BU202" s="865"/>
      <c r="BV202" s="865"/>
      <c r="BW202" s="865"/>
      <c r="BX202" s="865"/>
      <c r="BY202" s="874"/>
      <c r="BZ202" s="874"/>
      <c r="CA202" s="874"/>
      <c r="CB202" s="874"/>
      <c r="CC202" s="874"/>
      <c r="CD202" s="874"/>
      <c r="CE202" s="874"/>
      <c r="CF202" s="874"/>
      <c r="CG202" s="874"/>
      <c r="CH202" s="874"/>
      <c r="CI202" s="874"/>
      <c r="CJ202" s="874"/>
      <c r="CK202" s="874"/>
      <c r="CL202" s="874"/>
      <c r="CM202" s="874"/>
      <c r="CN202" s="874"/>
      <c r="CO202" s="874"/>
      <c r="CP202" s="874"/>
      <c r="CQ202" s="874"/>
      <c r="CR202" s="874"/>
      <c r="CS202" s="874"/>
      <c r="CT202" s="874"/>
      <c r="CU202" s="874"/>
      <c r="CV202" s="874"/>
      <c r="CW202" s="874"/>
      <c r="CX202" s="874"/>
      <c r="CY202" s="874"/>
      <c r="CZ202" s="874"/>
      <c r="DA202" s="874"/>
      <c r="DB202" s="874"/>
      <c r="DC202" s="874"/>
      <c r="DD202" s="874"/>
      <c r="DE202" s="874"/>
      <c r="DF202" s="874"/>
      <c r="DG202" s="874"/>
      <c r="DH202" s="874"/>
      <c r="DI202" s="874"/>
      <c r="DJ202" s="874"/>
      <c r="DK202" s="874"/>
      <c r="DL202" s="874"/>
      <c r="DM202" s="874"/>
      <c r="DN202" s="874"/>
      <c r="DO202" s="874"/>
      <c r="DP202" s="874"/>
      <c r="DQ202" s="874"/>
      <c r="DR202" s="874"/>
      <c r="DS202" s="874"/>
      <c r="DT202" s="874"/>
      <c r="DU202" s="874"/>
      <c r="DV202" s="874"/>
      <c r="DW202" s="874"/>
      <c r="DX202" s="874"/>
      <c r="DY202" s="874"/>
      <c r="DZ202" s="874"/>
      <c r="EA202" s="874"/>
      <c r="EB202" s="874"/>
      <c r="EC202" s="874"/>
      <c r="ED202" s="874"/>
      <c r="EE202" s="874"/>
      <c r="EF202" s="874"/>
      <c r="EG202" s="874"/>
      <c r="EH202" s="874"/>
      <c r="EI202" s="874"/>
      <c r="EJ202" s="874"/>
      <c r="EK202" s="874"/>
      <c r="EL202" s="874"/>
      <c r="EM202" s="874"/>
      <c r="EN202" s="874"/>
      <c r="EO202" s="874"/>
      <c r="EP202" s="874"/>
      <c r="EQ202" s="874"/>
      <c r="ER202" s="874"/>
      <c r="ES202" s="874"/>
      <c r="ET202" s="874"/>
      <c r="EU202" s="874"/>
      <c r="EV202" s="874"/>
      <c r="EW202" s="874"/>
      <c r="EX202" s="874"/>
      <c r="EY202" s="874"/>
      <c r="EZ202" s="874"/>
      <c r="FA202" s="874"/>
      <c r="FB202" s="874"/>
      <c r="FC202" s="874"/>
      <c r="FD202" s="874"/>
      <c r="FE202" s="874"/>
      <c r="FF202" s="874"/>
      <c r="FG202" s="874"/>
      <c r="FH202" s="874"/>
      <c r="FI202" s="874"/>
      <c r="FJ202" s="874"/>
      <c r="FK202" s="874"/>
      <c r="FL202" s="874"/>
      <c r="FM202" s="874"/>
      <c r="FN202" s="874"/>
      <c r="FO202" s="874"/>
      <c r="FP202" s="874"/>
      <c r="FQ202" s="874"/>
      <c r="FR202" s="874"/>
      <c r="FS202" s="874"/>
      <c r="FT202" s="874"/>
      <c r="FU202" s="874"/>
      <c r="FV202" s="874"/>
      <c r="FW202" s="874"/>
      <c r="FX202" s="874"/>
      <c r="FY202" s="874"/>
      <c r="FZ202" s="874"/>
      <c r="GA202" s="874"/>
      <c r="GB202" s="874"/>
      <c r="GC202" s="874"/>
      <c r="GD202" s="874"/>
      <c r="GE202" s="874"/>
      <c r="GF202" s="874"/>
      <c r="GG202" s="874"/>
      <c r="GH202" s="874"/>
      <c r="GI202" s="874"/>
      <c r="GJ202" s="874"/>
      <c r="GK202" s="874"/>
      <c r="GL202" s="874"/>
      <c r="GM202" s="874"/>
      <c r="GN202" s="874"/>
      <c r="GO202" s="874"/>
      <c r="GP202" s="874"/>
      <c r="GQ202" s="874"/>
      <c r="GR202" s="874"/>
      <c r="GS202" s="874"/>
      <c r="GT202" s="874"/>
      <c r="GU202" s="874"/>
      <c r="GV202" s="874"/>
      <c r="GW202" s="874"/>
      <c r="GX202" s="874"/>
      <c r="GY202" s="874"/>
      <c r="GZ202" s="874"/>
      <c r="HA202" s="874"/>
      <c r="HB202" s="874"/>
      <c r="HC202" s="874"/>
      <c r="HD202" s="874"/>
      <c r="HE202" s="874"/>
      <c r="HF202" s="874"/>
      <c r="HG202" s="874"/>
      <c r="HH202" s="874"/>
      <c r="HI202" s="874"/>
      <c r="HJ202" s="874"/>
      <c r="HK202" s="874"/>
      <c r="HL202" s="874"/>
      <c r="HM202" s="874"/>
      <c r="HN202" s="874"/>
      <c r="HO202" s="874"/>
      <c r="HP202" s="874"/>
      <c r="HQ202" s="874"/>
      <c r="HR202" s="874"/>
      <c r="HS202" s="874"/>
      <c r="HT202" s="874"/>
      <c r="HU202" s="874"/>
      <c r="HV202" s="874"/>
      <c r="HW202" s="874"/>
      <c r="HX202" s="874"/>
      <c r="HY202" s="874"/>
      <c r="HZ202" s="874"/>
      <c r="IA202" s="874"/>
      <c r="IB202" s="874"/>
      <c r="IC202" s="874"/>
      <c r="ID202" s="874"/>
      <c r="IE202" s="874"/>
      <c r="IF202" s="874"/>
      <c r="IG202" s="874"/>
      <c r="IH202" s="874"/>
      <c r="II202" s="874"/>
      <c r="IJ202" s="874"/>
      <c r="IK202" s="874"/>
      <c r="IL202" s="874"/>
      <c r="IM202" s="874"/>
      <c r="IN202" s="874"/>
      <c r="IO202" s="874"/>
      <c r="IP202" s="874"/>
      <c r="IQ202" s="874"/>
      <c r="IR202" s="874"/>
      <c r="IS202" s="874"/>
      <c r="IT202" s="874"/>
      <c r="IU202" s="874"/>
      <c r="IV202" s="874"/>
      <c r="IW202" s="874"/>
      <c r="IX202" s="874"/>
      <c r="IY202" s="874"/>
      <c r="IZ202" s="874"/>
      <c r="JA202" s="874"/>
      <c r="JB202" s="874"/>
      <c r="JC202" s="874"/>
      <c r="JD202" s="874"/>
      <c r="JE202" s="874"/>
      <c r="JF202" s="874"/>
      <c r="JG202" s="874"/>
      <c r="JH202" s="874"/>
      <c r="JI202" s="874"/>
      <c r="JJ202" s="874"/>
      <c r="JK202" s="874"/>
      <c r="JL202" s="874"/>
      <c r="JM202" s="874"/>
      <c r="JN202" s="874"/>
      <c r="JO202" s="874"/>
      <c r="JP202" s="874"/>
      <c r="JQ202" s="874"/>
      <c r="JR202" s="874"/>
      <c r="JS202" s="874"/>
      <c r="JT202" s="874"/>
      <c r="JU202" s="874"/>
      <c r="JV202" s="874"/>
      <c r="JW202" s="874"/>
      <c r="JX202" s="874"/>
      <c r="JY202" s="874"/>
      <c r="JZ202" s="874"/>
      <c r="KA202" s="874"/>
      <c r="KB202" s="874"/>
      <c r="KC202" s="874"/>
      <c r="KD202" s="874"/>
      <c r="KE202" s="874"/>
      <c r="KF202" s="874"/>
      <c r="KG202" s="874"/>
      <c r="KH202" s="865"/>
      <c r="KI202" s="865"/>
      <c r="KJ202" s="865"/>
      <c r="KK202" s="865"/>
      <c r="KL202" s="865"/>
      <c r="KM202" s="865"/>
      <c r="KN202" s="865"/>
      <c r="KO202" s="865"/>
      <c r="KP202" s="865"/>
      <c r="KQ202" s="865"/>
      <c r="KR202" s="865"/>
      <c r="KS202" s="865"/>
      <c r="KT202" s="865"/>
      <c r="KU202" s="865"/>
      <c r="KV202" s="865"/>
      <c r="KW202" s="865"/>
      <c r="KX202" s="865"/>
      <c r="KY202" s="865"/>
      <c r="KZ202" s="865"/>
      <c r="LA202" s="865"/>
      <c r="LB202" s="865"/>
      <c r="LC202" s="865"/>
      <c r="LD202" s="865"/>
      <c r="LE202" s="865"/>
      <c r="LF202" s="865"/>
    </row>
    <row r="203" spans="1:318">
      <c r="A203" s="865"/>
      <c r="B203" s="865"/>
      <c r="C203" s="865"/>
      <c r="D203" s="865"/>
      <c r="E203" s="865"/>
      <c r="F203" s="865"/>
      <c r="G203" s="865"/>
      <c r="H203" s="865"/>
      <c r="I203" s="865"/>
      <c r="J203" s="865"/>
      <c r="K203" s="865"/>
      <c r="L203" s="865"/>
      <c r="M203" s="865"/>
      <c r="N203" s="865"/>
      <c r="O203" s="865"/>
      <c r="P203" s="865"/>
      <c r="Q203" s="865"/>
      <c r="R203" s="865"/>
      <c r="S203" s="865"/>
      <c r="T203" s="865"/>
      <c r="U203" s="865"/>
      <c r="V203" s="865"/>
      <c r="W203" s="865"/>
      <c r="X203" s="865"/>
      <c r="Y203" s="865"/>
      <c r="Z203" s="865"/>
      <c r="AA203" s="865"/>
      <c r="AB203" s="865"/>
      <c r="AC203" s="865"/>
      <c r="AD203" s="510"/>
      <c r="AE203" s="865"/>
      <c r="AF203" s="865"/>
      <c r="AG203" s="865"/>
      <c r="AH203" s="865"/>
      <c r="AI203" s="865"/>
      <c r="AJ203" s="510"/>
      <c r="AK203" s="865"/>
      <c r="AL203" s="865"/>
      <c r="AM203" s="865"/>
      <c r="AN203" s="865"/>
      <c r="AO203" s="865"/>
      <c r="AP203" s="510"/>
      <c r="AQ203" s="865"/>
      <c r="AR203" s="865"/>
      <c r="AS203" s="865"/>
      <c r="AT203" s="865"/>
      <c r="AU203" s="865"/>
      <c r="AV203" s="510"/>
      <c r="AW203" s="865"/>
      <c r="AX203" s="865"/>
      <c r="AY203" s="865"/>
      <c r="AZ203" s="865"/>
      <c r="BA203" s="865"/>
      <c r="BB203" s="510"/>
      <c r="BC203" s="865"/>
      <c r="BD203" s="865"/>
      <c r="BE203" s="865"/>
      <c r="BF203" s="865"/>
      <c r="BG203" s="865"/>
      <c r="BH203" s="865"/>
      <c r="BI203" s="865"/>
      <c r="BJ203" s="865"/>
      <c r="BK203" s="865"/>
      <c r="BL203" s="865"/>
      <c r="BM203" s="865"/>
      <c r="BN203" s="865"/>
      <c r="BO203" s="865"/>
      <c r="BP203" s="865"/>
      <c r="BQ203" s="865"/>
      <c r="BR203" s="865"/>
      <c r="BS203" s="865"/>
      <c r="BT203" s="865"/>
      <c r="BU203" s="865"/>
      <c r="BV203" s="865"/>
      <c r="BW203" s="865"/>
      <c r="BX203" s="865"/>
      <c r="BY203" s="874"/>
      <c r="BZ203" s="874"/>
      <c r="CA203" s="874"/>
      <c r="CB203" s="874"/>
      <c r="CC203" s="874"/>
      <c r="CD203" s="874"/>
      <c r="CE203" s="874"/>
      <c r="CF203" s="874"/>
      <c r="CG203" s="874"/>
      <c r="CH203" s="874"/>
      <c r="CI203" s="874"/>
      <c r="CJ203" s="874"/>
      <c r="CK203" s="874"/>
      <c r="CL203" s="874"/>
      <c r="CM203" s="874"/>
      <c r="CN203" s="874"/>
      <c r="CO203" s="874"/>
      <c r="CP203" s="874"/>
      <c r="CQ203" s="874"/>
      <c r="CR203" s="874"/>
      <c r="CS203" s="874"/>
      <c r="CT203" s="874"/>
      <c r="CU203" s="874"/>
      <c r="CV203" s="874"/>
      <c r="CW203" s="874"/>
      <c r="CX203" s="874"/>
      <c r="CY203" s="874"/>
      <c r="CZ203" s="874"/>
      <c r="DA203" s="874"/>
      <c r="DB203" s="874"/>
      <c r="DC203" s="874"/>
      <c r="DD203" s="874"/>
      <c r="DE203" s="874"/>
      <c r="DF203" s="874"/>
      <c r="DG203" s="874"/>
      <c r="DH203" s="874"/>
      <c r="DI203" s="874"/>
      <c r="DJ203" s="874"/>
      <c r="DK203" s="874"/>
      <c r="DL203" s="874"/>
      <c r="DM203" s="874"/>
      <c r="DN203" s="874"/>
      <c r="DO203" s="874"/>
      <c r="DP203" s="874"/>
      <c r="DQ203" s="874"/>
      <c r="DR203" s="874"/>
      <c r="DS203" s="874"/>
      <c r="DT203" s="874"/>
      <c r="DU203" s="874"/>
      <c r="DV203" s="874"/>
      <c r="DW203" s="874"/>
      <c r="DX203" s="874"/>
      <c r="DY203" s="874"/>
      <c r="DZ203" s="874"/>
      <c r="EA203" s="874"/>
      <c r="EB203" s="874"/>
      <c r="EC203" s="874"/>
      <c r="ED203" s="874"/>
      <c r="EE203" s="874"/>
      <c r="EF203" s="874"/>
      <c r="EG203" s="874"/>
      <c r="EH203" s="874"/>
      <c r="EI203" s="874"/>
      <c r="EJ203" s="874"/>
      <c r="EK203" s="874"/>
      <c r="EL203" s="874"/>
      <c r="EM203" s="874"/>
      <c r="EN203" s="874"/>
      <c r="EO203" s="874"/>
      <c r="EP203" s="874"/>
      <c r="EQ203" s="874"/>
      <c r="ER203" s="874"/>
      <c r="ES203" s="874"/>
      <c r="ET203" s="874"/>
      <c r="EU203" s="874"/>
      <c r="EV203" s="874"/>
      <c r="EW203" s="874"/>
      <c r="EX203" s="874"/>
      <c r="EY203" s="874"/>
      <c r="EZ203" s="874"/>
      <c r="FA203" s="874"/>
      <c r="FB203" s="874"/>
      <c r="FC203" s="874"/>
      <c r="FD203" s="874"/>
      <c r="FE203" s="874"/>
      <c r="FF203" s="874"/>
      <c r="FG203" s="874"/>
      <c r="FH203" s="874"/>
      <c r="FI203" s="874"/>
      <c r="FJ203" s="874"/>
      <c r="FK203" s="874"/>
      <c r="FL203" s="874"/>
      <c r="FM203" s="874"/>
      <c r="FN203" s="874"/>
      <c r="FO203" s="874"/>
      <c r="FP203" s="874"/>
      <c r="FQ203" s="874"/>
      <c r="FR203" s="874"/>
      <c r="FS203" s="874"/>
      <c r="FT203" s="874"/>
      <c r="FU203" s="874"/>
      <c r="FV203" s="874"/>
      <c r="FW203" s="874"/>
      <c r="FX203" s="874"/>
      <c r="FY203" s="874"/>
      <c r="FZ203" s="874"/>
      <c r="GA203" s="874"/>
      <c r="GB203" s="874"/>
      <c r="GC203" s="874"/>
      <c r="GD203" s="874"/>
      <c r="GE203" s="874"/>
      <c r="GF203" s="874"/>
      <c r="GG203" s="874"/>
      <c r="GH203" s="874"/>
      <c r="GI203" s="874"/>
      <c r="GJ203" s="874"/>
      <c r="GK203" s="874"/>
      <c r="GL203" s="874"/>
      <c r="GM203" s="874"/>
      <c r="GN203" s="874"/>
      <c r="GO203" s="874"/>
      <c r="GP203" s="874"/>
      <c r="GQ203" s="874"/>
      <c r="GR203" s="874"/>
      <c r="GS203" s="874"/>
      <c r="GT203" s="874"/>
      <c r="GU203" s="874"/>
      <c r="GV203" s="874"/>
      <c r="GW203" s="874"/>
      <c r="GX203" s="874"/>
      <c r="GY203" s="874"/>
      <c r="GZ203" s="874"/>
      <c r="HA203" s="874"/>
      <c r="HB203" s="874"/>
      <c r="HC203" s="874"/>
      <c r="HD203" s="874"/>
      <c r="HE203" s="874"/>
      <c r="HF203" s="874"/>
      <c r="HG203" s="874"/>
      <c r="HH203" s="874"/>
      <c r="HI203" s="874"/>
      <c r="HJ203" s="874"/>
      <c r="HK203" s="874"/>
      <c r="HL203" s="874"/>
      <c r="HM203" s="874"/>
      <c r="HN203" s="874"/>
      <c r="HO203" s="874"/>
      <c r="HP203" s="874"/>
      <c r="HQ203" s="874"/>
      <c r="HR203" s="874"/>
      <c r="HS203" s="874"/>
      <c r="HT203" s="874"/>
      <c r="HU203" s="874"/>
      <c r="HV203" s="874"/>
      <c r="HW203" s="874"/>
      <c r="HX203" s="874"/>
      <c r="HY203" s="874"/>
      <c r="HZ203" s="874"/>
      <c r="IA203" s="874"/>
      <c r="IB203" s="874"/>
      <c r="IC203" s="874"/>
      <c r="ID203" s="874"/>
      <c r="IE203" s="874"/>
      <c r="IF203" s="874"/>
      <c r="IG203" s="874"/>
      <c r="IH203" s="874"/>
      <c r="II203" s="874"/>
      <c r="IJ203" s="874"/>
      <c r="IK203" s="874"/>
      <c r="IL203" s="874"/>
      <c r="IM203" s="874"/>
      <c r="IN203" s="874"/>
      <c r="IO203" s="874"/>
      <c r="IP203" s="874"/>
      <c r="IQ203" s="874"/>
      <c r="IR203" s="874"/>
      <c r="IS203" s="874"/>
      <c r="IT203" s="874"/>
      <c r="IU203" s="874"/>
      <c r="IV203" s="874"/>
      <c r="IW203" s="874"/>
      <c r="IX203" s="874"/>
      <c r="IY203" s="874"/>
      <c r="IZ203" s="874"/>
      <c r="JA203" s="874"/>
      <c r="JB203" s="874"/>
      <c r="JC203" s="874"/>
      <c r="JD203" s="874"/>
      <c r="JE203" s="874"/>
      <c r="JF203" s="874"/>
      <c r="JG203" s="874"/>
      <c r="JH203" s="874"/>
      <c r="JI203" s="874"/>
      <c r="JJ203" s="874"/>
      <c r="JK203" s="874"/>
      <c r="JL203" s="874"/>
      <c r="JM203" s="874"/>
      <c r="JN203" s="874"/>
      <c r="JO203" s="874"/>
      <c r="JP203" s="874"/>
      <c r="JQ203" s="874"/>
      <c r="JR203" s="874"/>
      <c r="JS203" s="874"/>
      <c r="JT203" s="874"/>
      <c r="JU203" s="874"/>
      <c r="JV203" s="874"/>
      <c r="JW203" s="874"/>
      <c r="JX203" s="874"/>
      <c r="JY203" s="874"/>
      <c r="JZ203" s="874"/>
      <c r="KA203" s="874"/>
      <c r="KB203" s="874"/>
      <c r="KC203" s="874"/>
      <c r="KD203" s="874"/>
      <c r="KE203" s="874"/>
      <c r="KF203" s="874"/>
      <c r="KG203" s="874"/>
      <c r="KH203" s="865"/>
      <c r="KI203" s="865"/>
      <c r="KJ203" s="865"/>
      <c r="KK203" s="865"/>
      <c r="KL203" s="865"/>
      <c r="KM203" s="865"/>
      <c r="KN203" s="865"/>
      <c r="KO203" s="865"/>
      <c r="KP203" s="865"/>
      <c r="KQ203" s="865"/>
      <c r="KR203" s="865"/>
      <c r="KS203" s="865"/>
      <c r="KT203" s="865"/>
      <c r="KU203" s="865"/>
      <c r="KV203" s="865"/>
      <c r="KW203" s="865"/>
      <c r="KX203" s="865"/>
      <c r="KY203" s="865"/>
      <c r="KZ203" s="865"/>
      <c r="LA203" s="865"/>
      <c r="LB203" s="865"/>
      <c r="LC203" s="865"/>
      <c r="LD203" s="865"/>
      <c r="LE203" s="865"/>
      <c r="LF203" s="865"/>
    </row>
    <row r="204" spans="1:318">
      <c r="A204" s="865"/>
      <c r="B204" s="865"/>
      <c r="C204" s="865"/>
      <c r="D204" s="865"/>
      <c r="E204" s="865"/>
      <c r="F204" s="865"/>
      <c r="G204" s="865"/>
      <c r="H204" s="865"/>
      <c r="I204" s="865"/>
      <c r="J204" s="865"/>
      <c r="K204" s="865"/>
      <c r="L204" s="865"/>
      <c r="M204" s="865"/>
      <c r="N204" s="865"/>
      <c r="O204" s="865"/>
      <c r="P204" s="865"/>
      <c r="Q204" s="865"/>
      <c r="R204" s="865"/>
      <c r="S204" s="865"/>
      <c r="T204" s="865"/>
      <c r="U204" s="865"/>
      <c r="V204" s="865"/>
      <c r="W204" s="865"/>
      <c r="X204" s="865"/>
      <c r="Y204" s="865"/>
      <c r="Z204" s="865"/>
      <c r="AA204" s="865"/>
      <c r="AB204" s="865"/>
      <c r="AC204" s="865"/>
      <c r="AD204" s="510"/>
      <c r="AE204" s="865"/>
      <c r="AF204" s="865"/>
      <c r="AG204" s="865"/>
      <c r="AH204" s="865"/>
      <c r="AI204" s="865"/>
      <c r="AJ204" s="510"/>
      <c r="AK204" s="865"/>
      <c r="AL204" s="865"/>
      <c r="AM204" s="865"/>
      <c r="AN204" s="865"/>
      <c r="AO204" s="865"/>
      <c r="AP204" s="510"/>
      <c r="AQ204" s="865"/>
      <c r="AR204" s="865"/>
      <c r="AS204" s="865"/>
      <c r="AT204" s="865"/>
      <c r="AU204" s="865"/>
      <c r="AV204" s="510"/>
      <c r="AW204" s="865"/>
      <c r="AX204" s="865"/>
      <c r="AY204" s="865"/>
      <c r="AZ204" s="865"/>
      <c r="BA204" s="865"/>
      <c r="BB204" s="510"/>
      <c r="BC204" s="865"/>
      <c r="BD204" s="865"/>
      <c r="BE204" s="865"/>
      <c r="BF204" s="865"/>
      <c r="BG204" s="865"/>
      <c r="BH204" s="865"/>
      <c r="BI204" s="865"/>
      <c r="BJ204" s="865"/>
      <c r="BK204" s="865"/>
      <c r="BL204" s="865"/>
      <c r="BM204" s="865"/>
      <c r="BN204" s="865"/>
      <c r="BO204" s="865"/>
      <c r="BP204" s="865"/>
      <c r="BQ204" s="865"/>
      <c r="BR204" s="865"/>
      <c r="BS204" s="865"/>
      <c r="BT204" s="865"/>
      <c r="BU204" s="865"/>
      <c r="BV204" s="865"/>
      <c r="BW204" s="865"/>
      <c r="BX204" s="865"/>
      <c r="BY204" s="874"/>
      <c r="BZ204" s="874"/>
      <c r="CA204" s="874"/>
      <c r="CB204" s="874"/>
      <c r="CC204" s="874"/>
      <c r="CD204" s="874"/>
      <c r="CE204" s="874"/>
      <c r="CF204" s="874"/>
      <c r="CG204" s="874"/>
      <c r="CH204" s="874"/>
      <c r="CI204" s="874"/>
      <c r="CJ204" s="874"/>
      <c r="CK204" s="874"/>
      <c r="CL204" s="874"/>
      <c r="CM204" s="874"/>
      <c r="CN204" s="874"/>
      <c r="CO204" s="874"/>
      <c r="CP204" s="874"/>
      <c r="CQ204" s="874"/>
      <c r="CR204" s="874"/>
      <c r="CS204" s="874"/>
      <c r="CT204" s="874"/>
      <c r="CU204" s="874"/>
      <c r="CV204" s="874"/>
      <c r="CW204" s="874"/>
      <c r="CX204" s="874"/>
      <c r="CY204" s="874"/>
      <c r="CZ204" s="874"/>
      <c r="DA204" s="874"/>
      <c r="DB204" s="874"/>
      <c r="DC204" s="874"/>
      <c r="DD204" s="874"/>
      <c r="DE204" s="874"/>
      <c r="DF204" s="874"/>
      <c r="DG204" s="874"/>
      <c r="DH204" s="874"/>
      <c r="DI204" s="874"/>
      <c r="DJ204" s="874"/>
      <c r="DK204" s="874"/>
      <c r="DL204" s="874"/>
      <c r="DM204" s="874"/>
      <c r="DN204" s="874"/>
      <c r="DO204" s="874"/>
      <c r="DP204" s="874"/>
      <c r="DQ204" s="874"/>
      <c r="DR204" s="874"/>
      <c r="DS204" s="874"/>
      <c r="DT204" s="874"/>
      <c r="DU204" s="874"/>
      <c r="DV204" s="874"/>
      <c r="DW204" s="874"/>
      <c r="DX204" s="874"/>
      <c r="DY204" s="874"/>
      <c r="DZ204" s="874"/>
      <c r="EA204" s="874"/>
      <c r="EB204" s="874"/>
      <c r="EC204" s="874"/>
      <c r="ED204" s="874"/>
      <c r="EE204" s="874"/>
      <c r="EF204" s="874"/>
      <c r="EG204" s="874"/>
      <c r="EH204" s="874"/>
      <c r="EI204" s="874"/>
      <c r="EJ204" s="874"/>
      <c r="EK204" s="874"/>
      <c r="EL204" s="874"/>
      <c r="EM204" s="874"/>
      <c r="EN204" s="874"/>
      <c r="EO204" s="874"/>
      <c r="EP204" s="874"/>
      <c r="EQ204" s="874"/>
      <c r="ER204" s="874"/>
      <c r="ES204" s="874"/>
      <c r="ET204" s="874"/>
      <c r="EU204" s="874"/>
      <c r="EV204" s="874"/>
      <c r="EW204" s="874"/>
      <c r="EX204" s="874"/>
      <c r="EY204" s="874"/>
      <c r="EZ204" s="874"/>
      <c r="FA204" s="874"/>
      <c r="FB204" s="874"/>
      <c r="FC204" s="874"/>
      <c r="FD204" s="874"/>
      <c r="FE204" s="874"/>
      <c r="FF204" s="874"/>
      <c r="FG204" s="874"/>
      <c r="FH204" s="874"/>
      <c r="FI204" s="874"/>
      <c r="FJ204" s="874"/>
      <c r="FK204" s="874"/>
      <c r="FL204" s="874"/>
      <c r="FM204" s="874"/>
      <c r="FN204" s="874"/>
      <c r="FO204" s="874"/>
      <c r="FP204" s="874"/>
      <c r="FQ204" s="874"/>
      <c r="FR204" s="874"/>
      <c r="FS204" s="874"/>
      <c r="FT204" s="874"/>
      <c r="FU204" s="874"/>
      <c r="FV204" s="874"/>
      <c r="FW204" s="874"/>
      <c r="FX204" s="874"/>
      <c r="FY204" s="874"/>
      <c r="FZ204" s="874"/>
      <c r="GA204" s="874"/>
      <c r="GB204" s="874"/>
      <c r="GC204" s="874"/>
      <c r="GD204" s="874"/>
      <c r="GE204" s="874"/>
      <c r="GF204" s="874"/>
      <c r="GG204" s="874"/>
      <c r="GH204" s="874"/>
      <c r="GI204" s="874"/>
      <c r="GJ204" s="874"/>
      <c r="GK204" s="874"/>
      <c r="GL204" s="874"/>
      <c r="GM204" s="874"/>
      <c r="GN204" s="874"/>
      <c r="GO204" s="874"/>
      <c r="GP204" s="874"/>
      <c r="GQ204" s="874"/>
      <c r="GR204" s="874"/>
      <c r="GS204" s="874"/>
      <c r="GT204" s="874"/>
      <c r="GU204" s="874"/>
      <c r="GV204" s="874"/>
      <c r="GW204" s="874"/>
      <c r="GX204" s="874"/>
      <c r="GY204" s="874"/>
      <c r="GZ204" s="874"/>
      <c r="HA204" s="874"/>
      <c r="HB204" s="874"/>
      <c r="HC204" s="874"/>
      <c r="HD204" s="874"/>
      <c r="HE204" s="874"/>
      <c r="HF204" s="874"/>
      <c r="HG204" s="874"/>
      <c r="HH204" s="874"/>
      <c r="HI204" s="874"/>
      <c r="HJ204" s="874"/>
      <c r="HK204" s="874"/>
      <c r="HL204" s="874"/>
      <c r="HM204" s="874"/>
      <c r="HN204" s="874"/>
      <c r="HO204" s="874"/>
      <c r="HP204" s="874"/>
      <c r="HQ204" s="874"/>
      <c r="HR204" s="874"/>
      <c r="HS204" s="874"/>
      <c r="HT204" s="874"/>
      <c r="HU204" s="874"/>
      <c r="HV204" s="874"/>
      <c r="HW204" s="874"/>
      <c r="HX204" s="874"/>
      <c r="HY204" s="874"/>
      <c r="HZ204" s="874"/>
      <c r="IA204" s="874"/>
      <c r="IB204" s="874"/>
      <c r="IC204" s="874"/>
      <c r="ID204" s="874"/>
      <c r="IE204" s="874"/>
      <c r="IF204" s="874"/>
      <c r="IG204" s="874"/>
      <c r="IH204" s="874"/>
      <c r="II204" s="874"/>
      <c r="IJ204" s="874"/>
      <c r="IK204" s="874"/>
      <c r="IL204" s="874"/>
      <c r="IM204" s="874"/>
      <c r="IN204" s="874"/>
      <c r="IO204" s="874"/>
      <c r="IP204" s="874"/>
      <c r="IQ204" s="874"/>
      <c r="IR204" s="874"/>
      <c r="IS204" s="874"/>
      <c r="IT204" s="874"/>
      <c r="IU204" s="874"/>
      <c r="IV204" s="874"/>
      <c r="IW204" s="874"/>
      <c r="IX204" s="874"/>
      <c r="IY204" s="874"/>
      <c r="IZ204" s="874"/>
      <c r="JA204" s="874"/>
      <c r="JB204" s="874"/>
      <c r="JC204" s="874"/>
      <c r="JD204" s="874"/>
      <c r="JE204" s="874"/>
      <c r="JF204" s="874"/>
      <c r="JG204" s="874"/>
      <c r="JH204" s="874"/>
      <c r="JI204" s="874"/>
      <c r="JJ204" s="874"/>
      <c r="JK204" s="874"/>
      <c r="JL204" s="874"/>
      <c r="JM204" s="874"/>
      <c r="JN204" s="874"/>
      <c r="JO204" s="874"/>
      <c r="JP204" s="874"/>
      <c r="JQ204" s="874"/>
      <c r="JR204" s="874"/>
      <c r="JS204" s="874"/>
      <c r="JT204" s="874"/>
      <c r="JU204" s="874"/>
      <c r="JV204" s="874"/>
      <c r="JW204" s="874"/>
      <c r="JX204" s="874"/>
      <c r="JY204" s="874"/>
      <c r="JZ204" s="874"/>
      <c r="KA204" s="874"/>
      <c r="KB204" s="874"/>
      <c r="KC204" s="874"/>
      <c r="KD204" s="874"/>
      <c r="KE204" s="874"/>
      <c r="KF204" s="874"/>
      <c r="KG204" s="874"/>
      <c r="KH204" s="865"/>
      <c r="KI204" s="865"/>
      <c r="KJ204" s="865"/>
      <c r="KK204" s="865"/>
      <c r="KL204" s="865"/>
      <c r="KM204" s="865"/>
      <c r="KN204" s="865"/>
      <c r="KO204" s="865"/>
      <c r="KP204" s="865"/>
      <c r="KQ204" s="865"/>
      <c r="KR204" s="865"/>
      <c r="KS204" s="865"/>
      <c r="KT204" s="865"/>
      <c r="KU204" s="865"/>
      <c r="KV204" s="865"/>
      <c r="KW204" s="865"/>
      <c r="KX204" s="865"/>
      <c r="KY204" s="865"/>
      <c r="KZ204" s="865"/>
      <c r="LA204" s="865"/>
      <c r="LB204" s="865"/>
      <c r="LC204" s="865"/>
      <c r="LD204" s="865"/>
      <c r="LE204" s="865"/>
      <c r="LF204" s="865"/>
    </row>
    <row r="205" spans="1:318">
      <c r="A205" s="865"/>
      <c r="B205" s="865"/>
      <c r="C205" s="865"/>
      <c r="D205" s="865"/>
      <c r="E205" s="865"/>
      <c r="F205" s="865"/>
      <c r="G205" s="865"/>
      <c r="H205" s="865"/>
      <c r="I205" s="865"/>
      <c r="J205" s="865"/>
      <c r="K205" s="865"/>
      <c r="L205" s="865"/>
      <c r="M205" s="865"/>
      <c r="N205" s="865"/>
      <c r="O205" s="865"/>
      <c r="P205" s="865"/>
      <c r="Q205" s="865"/>
      <c r="R205" s="865"/>
      <c r="S205" s="865"/>
      <c r="T205" s="865"/>
      <c r="U205" s="865"/>
      <c r="V205" s="865"/>
      <c r="W205" s="865"/>
      <c r="X205" s="865"/>
      <c r="Y205" s="865"/>
      <c r="Z205" s="865"/>
      <c r="AA205" s="865"/>
      <c r="AB205" s="865"/>
      <c r="AC205" s="865"/>
      <c r="AD205" s="510"/>
      <c r="AE205" s="865"/>
      <c r="AF205" s="865"/>
      <c r="AG205" s="865"/>
      <c r="AH205" s="865"/>
      <c r="AI205" s="865"/>
      <c r="AJ205" s="510"/>
      <c r="AK205" s="865"/>
      <c r="AL205" s="865"/>
      <c r="AM205" s="865"/>
      <c r="AN205" s="865"/>
      <c r="AO205" s="865"/>
      <c r="AP205" s="510"/>
      <c r="AQ205" s="865"/>
      <c r="AR205" s="865"/>
      <c r="AS205" s="865"/>
      <c r="AT205" s="865"/>
      <c r="AU205" s="865"/>
      <c r="AV205" s="510"/>
      <c r="AW205" s="865"/>
      <c r="AX205" s="865"/>
      <c r="AY205" s="865"/>
      <c r="AZ205" s="865"/>
      <c r="BA205" s="865"/>
      <c r="BB205" s="510"/>
      <c r="BC205" s="865"/>
      <c r="BD205" s="865"/>
      <c r="BE205" s="865"/>
      <c r="BF205" s="865"/>
      <c r="BG205" s="865"/>
      <c r="BH205" s="865"/>
      <c r="BI205" s="865"/>
      <c r="BJ205" s="865"/>
      <c r="BK205" s="865"/>
      <c r="BL205" s="865"/>
      <c r="BM205" s="865"/>
      <c r="BN205" s="865"/>
      <c r="BO205" s="865"/>
      <c r="BP205" s="865"/>
      <c r="BQ205" s="865"/>
      <c r="BR205" s="865"/>
      <c r="BS205" s="865"/>
      <c r="BT205" s="865"/>
      <c r="BU205" s="865"/>
      <c r="BV205" s="865"/>
      <c r="BW205" s="865"/>
      <c r="BX205" s="865"/>
      <c r="BY205" s="874"/>
      <c r="BZ205" s="874"/>
      <c r="CA205" s="874"/>
      <c r="CB205" s="874"/>
      <c r="CC205" s="874"/>
      <c r="CD205" s="874"/>
      <c r="CE205" s="874"/>
      <c r="CF205" s="874"/>
      <c r="CG205" s="874"/>
      <c r="CH205" s="874"/>
      <c r="CI205" s="874"/>
      <c r="CJ205" s="874"/>
      <c r="CK205" s="874"/>
      <c r="CL205" s="874"/>
      <c r="CM205" s="874"/>
      <c r="CN205" s="874"/>
      <c r="CO205" s="874"/>
      <c r="CP205" s="874"/>
      <c r="CQ205" s="874"/>
      <c r="CR205" s="874"/>
      <c r="CS205" s="874"/>
      <c r="CT205" s="874"/>
      <c r="CU205" s="874"/>
      <c r="CV205" s="874"/>
      <c r="CW205" s="874"/>
      <c r="CX205" s="874"/>
      <c r="CY205" s="874"/>
      <c r="CZ205" s="874"/>
      <c r="DA205" s="874"/>
      <c r="DB205" s="874"/>
      <c r="DC205" s="874"/>
      <c r="DD205" s="874"/>
      <c r="DE205" s="874"/>
      <c r="DF205" s="874"/>
      <c r="DG205" s="874"/>
      <c r="DH205" s="874"/>
      <c r="DI205" s="874"/>
      <c r="DJ205" s="874"/>
      <c r="DK205" s="874"/>
      <c r="DL205" s="874"/>
      <c r="DM205" s="874"/>
      <c r="DN205" s="874"/>
      <c r="DO205" s="874"/>
      <c r="DP205" s="874"/>
      <c r="DQ205" s="874"/>
      <c r="DR205" s="874"/>
      <c r="DS205" s="874"/>
      <c r="DT205" s="874"/>
      <c r="DU205" s="874"/>
      <c r="DV205" s="874"/>
      <c r="DW205" s="874"/>
      <c r="DX205" s="874"/>
      <c r="DY205" s="874"/>
      <c r="DZ205" s="874"/>
      <c r="EA205" s="874"/>
      <c r="EB205" s="874"/>
      <c r="EC205" s="874"/>
      <c r="ED205" s="874"/>
      <c r="EE205" s="874"/>
      <c r="EF205" s="874"/>
      <c r="EG205" s="874"/>
      <c r="EH205" s="874"/>
      <c r="EI205" s="874"/>
      <c r="EJ205" s="874"/>
      <c r="EK205" s="874"/>
      <c r="EL205" s="874"/>
      <c r="EM205" s="874"/>
      <c r="EN205" s="874"/>
      <c r="EO205" s="874"/>
      <c r="EP205" s="874"/>
      <c r="EQ205" s="874"/>
      <c r="ER205" s="874"/>
      <c r="ES205" s="874"/>
      <c r="ET205" s="874"/>
      <c r="EU205" s="874"/>
      <c r="EV205" s="874"/>
      <c r="EW205" s="874"/>
      <c r="EX205" s="874"/>
      <c r="EY205" s="874"/>
      <c r="EZ205" s="874"/>
      <c r="FA205" s="874"/>
      <c r="FB205" s="874"/>
      <c r="FC205" s="874"/>
      <c r="FD205" s="874"/>
      <c r="FE205" s="874"/>
      <c r="FF205" s="874"/>
      <c r="FG205" s="874"/>
      <c r="FH205" s="874"/>
      <c r="FI205" s="874"/>
      <c r="FJ205" s="874"/>
      <c r="FK205" s="874"/>
      <c r="FL205" s="874"/>
      <c r="FM205" s="874"/>
      <c r="FN205" s="874"/>
      <c r="FO205" s="874"/>
      <c r="FP205" s="874"/>
      <c r="FQ205" s="874"/>
      <c r="FR205" s="874"/>
      <c r="FS205" s="874"/>
      <c r="FT205" s="874"/>
      <c r="FU205" s="874"/>
      <c r="FV205" s="874"/>
      <c r="FW205" s="874"/>
      <c r="FX205" s="874"/>
      <c r="FY205" s="874"/>
      <c r="FZ205" s="874"/>
      <c r="GA205" s="874"/>
      <c r="GB205" s="874"/>
      <c r="GC205" s="874"/>
      <c r="GD205" s="874"/>
      <c r="GE205" s="874"/>
      <c r="GF205" s="874"/>
      <c r="GG205" s="874"/>
      <c r="GH205" s="874"/>
      <c r="GI205" s="874"/>
      <c r="GJ205" s="874"/>
      <c r="GK205" s="874"/>
      <c r="GL205" s="874"/>
      <c r="GM205" s="874"/>
      <c r="GN205" s="874"/>
      <c r="GO205" s="874"/>
      <c r="GP205" s="874"/>
      <c r="GQ205" s="874"/>
      <c r="GR205" s="874"/>
      <c r="GS205" s="874"/>
      <c r="GT205" s="874"/>
      <c r="GU205" s="874"/>
      <c r="GV205" s="874"/>
      <c r="GW205" s="874"/>
      <c r="GX205" s="874"/>
      <c r="GY205" s="874"/>
      <c r="GZ205" s="874"/>
      <c r="HA205" s="874"/>
      <c r="HB205" s="874"/>
      <c r="HC205" s="874"/>
      <c r="HD205" s="874"/>
      <c r="HE205" s="874"/>
      <c r="HF205" s="874"/>
      <c r="HG205" s="874"/>
      <c r="HH205" s="874"/>
      <c r="HI205" s="874"/>
      <c r="HJ205" s="874"/>
      <c r="HK205" s="874"/>
      <c r="HL205" s="874"/>
      <c r="HM205" s="874"/>
      <c r="HN205" s="874"/>
      <c r="HO205" s="874"/>
      <c r="HP205" s="874"/>
      <c r="HQ205" s="874"/>
      <c r="HR205" s="874"/>
      <c r="HS205" s="874"/>
      <c r="HT205" s="874"/>
      <c r="HU205" s="874"/>
      <c r="HV205" s="874"/>
      <c r="HW205" s="874"/>
      <c r="HX205" s="874"/>
      <c r="HY205" s="874"/>
      <c r="HZ205" s="874"/>
      <c r="IA205" s="874"/>
      <c r="IB205" s="874"/>
      <c r="IC205" s="874"/>
      <c r="ID205" s="874"/>
      <c r="IE205" s="874"/>
      <c r="IF205" s="874"/>
      <c r="IG205" s="874"/>
      <c r="IH205" s="874"/>
      <c r="II205" s="874"/>
      <c r="IJ205" s="874"/>
      <c r="IK205" s="874"/>
      <c r="IL205" s="874"/>
      <c r="IM205" s="874"/>
      <c r="IN205" s="874"/>
      <c r="IO205" s="874"/>
      <c r="IP205" s="874"/>
      <c r="IQ205" s="874"/>
      <c r="IR205" s="874"/>
      <c r="IS205" s="874"/>
      <c r="IT205" s="874"/>
      <c r="IU205" s="874"/>
      <c r="IV205" s="874"/>
      <c r="IW205" s="874"/>
      <c r="IX205" s="874"/>
      <c r="IY205" s="874"/>
      <c r="IZ205" s="874"/>
      <c r="JA205" s="874"/>
      <c r="JB205" s="874"/>
      <c r="JC205" s="874"/>
      <c r="JD205" s="874"/>
      <c r="JE205" s="874"/>
      <c r="JF205" s="874"/>
      <c r="JG205" s="874"/>
      <c r="JH205" s="874"/>
      <c r="JI205" s="874"/>
      <c r="JJ205" s="874"/>
      <c r="JK205" s="874"/>
      <c r="JL205" s="874"/>
      <c r="JM205" s="874"/>
      <c r="JN205" s="874"/>
      <c r="JO205" s="874"/>
      <c r="JP205" s="874"/>
      <c r="JQ205" s="874"/>
      <c r="JR205" s="874"/>
      <c r="JS205" s="874"/>
      <c r="JT205" s="874"/>
      <c r="JU205" s="874"/>
      <c r="JV205" s="874"/>
      <c r="JW205" s="874"/>
      <c r="JX205" s="874"/>
      <c r="JY205" s="874"/>
      <c r="JZ205" s="874"/>
      <c r="KA205" s="874"/>
      <c r="KB205" s="874"/>
      <c r="KC205" s="874"/>
      <c r="KD205" s="874"/>
      <c r="KE205" s="874"/>
      <c r="KF205" s="874"/>
      <c r="KG205" s="874"/>
      <c r="KH205" s="865"/>
      <c r="KI205" s="865"/>
      <c r="KJ205" s="865"/>
      <c r="KK205" s="865"/>
      <c r="KL205" s="865"/>
      <c r="KM205" s="865"/>
      <c r="KN205" s="865"/>
      <c r="KO205" s="865"/>
      <c r="KP205" s="865"/>
      <c r="KQ205" s="865"/>
      <c r="KR205" s="865"/>
      <c r="KS205" s="865"/>
      <c r="KT205" s="865"/>
      <c r="KU205" s="865"/>
      <c r="KV205" s="865"/>
      <c r="KW205" s="865"/>
      <c r="KX205" s="865"/>
      <c r="KY205" s="865"/>
      <c r="KZ205" s="865"/>
      <c r="LA205" s="865"/>
      <c r="LB205" s="865"/>
      <c r="LC205" s="865"/>
      <c r="LD205" s="865"/>
      <c r="LE205" s="865"/>
      <c r="LF205" s="865"/>
    </row>
    <row r="206" spans="1:318">
      <c r="A206" s="865"/>
      <c r="B206" s="865"/>
      <c r="C206" s="865"/>
      <c r="D206" s="865"/>
      <c r="E206" s="865"/>
      <c r="F206" s="865"/>
      <c r="G206" s="865"/>
      <c r="H206" s="865"/>
      <c r="I206" s="865"/>
      <c r="J206" s="865"/>
      <c r="K206" s="865"/>
      <c r="L206" s="865"/>
      <c r="M206" s="865"/>
      <c r="N206" s="865"/>
      <c r="O206" s="865"/>
      <c r="P206" s="865"/>
      <c r="Q206" s="865"/>
      <c r="R206" s="865"/>
      <c r="S206" s="865"/>
      <c r="T206" s="865"/>
      <c r="U206" s="865"/>
      <c r="V206" s="865"/>
      <c r="W206" s="865"/>
      <c r="X206" s="865"/>
      <c r="Y206" s="865"/>
      <c r="Z206" s="865"/>
      <c r="AA206" s="865"/>
      <c r="AB206" s="865"/>
      <c r="AC206" s="865"/>
      <c r="AD206" s="510"/>
      <c r="AE206" s="865"/>
      <c r="AF206" s="865"/>
      <c r="AG206" s="865"/>
      <c r="AH206" s="865"/>
      <c r="AI206" s="865"/>
      <c r="AJ206" s="510"/>
      <c r="AK206" s="865"/>
      <c r="AL206" s="865"/>
      <c r="AM206" s="865"/>
      <c r="AN206" s="865"/>
      <c r="AO206" s="865"/>
      <c r="AP206" s="510"/>
      <c r="AQ206" s="865"/>
      <c r="AR206" s="865"/>
      <c r="AS206" s="865"/>
      <c r="AT206" s="865"/>
      <c r="AU206" s="865"/>
      <c r="AV206" s="510"/>
      <c r="AW206" s="865"/>
      <c r="AX206" s="865"/>
      <c r="AY206" s="865"/>
      <c r="AZ206" s="865"/>
      <c r="BA206" s="865"/>
      <c r="BB206" s="510"/>
      <c r="BC206" s="865"/>
      <c r="BD206" s="865"/>
      <c r="BE206" s="865"/>
      <c r="BF206" s="865"/>
      <c r="BG206" s="865"/>
      <c r="BH206" s="865"/>
      <c r="BI206" s="865"/>
      <c r="BJ206" s="865"/>
      <c r="BK206" s="865"/>
      <c r="BL206" s="865"/>
      <c r="BM206" s="865"/>
      <c r="BN206" s="865"/>
      <c r="BO206" s="865"/>
      <c r="BP206" s="865"/>
      <c r="BQ206" s="865"/>
      <c r="BR206" s="865"/>
      <c r="BS206" s="865"/>
      <c r="BT206" s="865"/>
      <c r="BU206" s="865"/>
      <c r="BV206" s="865"/>
      <c r="BW206" s="865"/>
      <c r="BX206" s="865"/>
      <c r="BY206" s="874"/>
      <c r="BZ206" s="874"/>
      <c r="CA206" s="874"/>
      <c r="CB206" s="874"/>
      <c r="CC206" s="874"/>
      <c r="CD206" s="874"/>
      <c r="CE206" s="874"/>
      <c r="CF206" s="874"/>
      <c r="CG206" s="874"/>
      <c r="CH206" s="874"/>
      <c r="CI206" s="874"/>
      <c r="CJ206" s="874"/>
      <c r="CK206" s="874"/>
      <c r="CL206" s="874"/>
      <c r="CM206" s="874"/>
      <c r="CN206" s="874"/>
      <c r="CO206" s="874"/>
      <c r="CP206" s="874"/>
      <c r="CQ206" s="874"/>
      <c r="CR206" s="874"/>
      <c r="CS206" s="874"/>
      <c r="CT206" s="874"/>
      <c r="CU206" s="874"/>
      <c r="CV206" s="874"/>
      <c r="CW206" s="874"/>
      <c r="CX206" s="874"/>
      <c r="CY206" s="874"/>
      <c r="CZ206" s="874"/>
      <c r="DA206" s="874"/>
      <c r="DB206" s="874"/>
      <c r="DC206" s="874"/>
      <c r="DD206" s="874"/>
      <c r="DE206" s="874"/>
      <c r="DF206" s="874"/>
      <c r="DG206" s="874"/>
      <c r="DH206" s="874"/>
      <c r="DI206" s="874"/>
      <c r="DJ206" s="874"/>
      <c r="DK206" s="874"/>
      <c r="DL206" s="874"/>
      <c r="DM206" s="874"/>
      <c r="DN206" s="874"/>
      <c r="DO206" s="874"/>
      <c r="DP206" s="874"/>
      <c r="DQ206" s="874"/>
      <c r="DR206" s="874"/>
      <c r="DS206" s="874"/>
      <c r="DT206" s="874"/>
      <c r="DU206" s="874"/>
      <c r="DV206" s="874"/>
      <c r="DW206" s="874"/>
      <c r="DX206" s="874"/>
      <c r="DY206" s="874"/>
      <c r="DZ206" s="874"/>
      <c r="EA206" s="874"/>
      <c r="EB206" s="874"/>
      <c r="EC206" s="874"/>
      <c r="ED206" s="874"/>
      <c r="EE206" s="874"/>
      <c r="EF206" s="874"/>
      <c r="EG206" s="874"/>
      <c r="EH206" s="874"/>
      <c r="EI206" s="874"/>
      <c r="EJ206" s="874"/>
      <c r="EK206" s="874"/>
      <c r="EL206" s="874"/>
      <c r="EM206" s="874"/>
      <c r="EN206" s="874"/>
      <c r="EO206" s="874"/>
      <c r="EP206" s="874"/>
      <c r="EQ206" s="874"/>
      <c r="ER206" s="874"/>
      <c r="ES206" s="874"/>
      <c r="ET206" s="874"/>
      <c r="EU206" s="874"/>
      <c r="EV206" s="874"/>
      <c r="EW206" s="874"/>
      <c r="EX206" s="874"/>
      <c r="EY206" s="874"/>
      <c r="EZ206" s="874"/>
      <c r="FA206" s="874"/>
      <c r="FB206" s="874"/>
      <c r="FC206" s="874"/>
      <c r="FD206" s="874"/>
      <c r="FE206" s="874"/>
      <c r="FF206" s="874"/>
      <c r="FG206" s="874"/>
      <c r="FH206" s="874"/>
      <c r="FI206" s="874"/>
      <c r="FJ206" s="874"/>
      <c r="FK206" s="874"/>
      <c r="FL206" s="874"/>
      <c r="FM206" s="874"/>
      <c r="FN206" s="874"/>
      <c r="FO206" s="874"/>
      <c r="FP206" s="874"/>
      <c r="FQ206" s="874"/>
      <c r="FR206" s="874"/>
      <c r="FS206" s="874"/>
      <c r="FT206" s="874"/>
      <c r="FU206" s="874"/>
      <c r="FV206" s="874"/>
      <c r="FW206" s="874"/>
      <c r="FX206" s="874"/>
      <c r="FY206" s="874"/>
      <c r="FZ206" s="874"/>
      <c r="GA206" s="874"/>
      <c r="GB206" s="874"/>
      <c r="GC206" s="874"/>
      <c r="GD206" s="874"/>
      <c r="GE206" s="874"/>
      <c r="GF206" s="874"/>
      <c r="GG206" s="874"/>
      <c r="GH206" s="874"/>
      <c r="GI206" s="874"/>
      <c r="GJ206" s="874"/>
      <c r="GK206" s="874"/>
      <c r="GL206" s="874"/>
      <c r="GM206" s="874"/>
      <c r="GN206" s="874"/>
      <c r="GO206" s="874"/>
      <c r="GP206" s="874"/>
      <c r="GQ206" s="874"/>
      <c r="GR206" s="874"/>
      <c r="GS206" s="874"/>
      <c r="GT206" s="874"/>
      <c r="GU206" s="874"/>
      <c r="GV206" s="874"/>
      <c r="GW206" s="874"/>
      <c r="GX206" s="874"/>
      <c r="GY206" s="874"/>
      <c r="GZ206" s="874"/>
      <c r="HA206" s="874"/>
      <c r="HB206" s="874"/>
      <c r="HC206" s="874"/>
      <c r="HD206" s="874"/>
      <c r="HE206" s="874"/>
      <c r="HF206" s="874"/>
      <c r="HG206" s="874"/>
      <c r="HH206" s="874"/>
      <c r="HI206" s="874"/>
      <c r="HJ206" s="874"/>
      <c r="HK206" s="874"/>
      <c r="HL206" s="874"/>
      <c r="HM206" s="874"/>
      <c r="HN206" s="874"/>
      <c r="HO206" s="874"/>
      <c r="HP206" s="874"/>
      <c r="HQ206" s="874"/>
      <c r="HR206" s="874"/>
      <c r="HS206" s="874"/>
      <c r="HT206" s="874"/>
      <c r="HU206" s="874"/>
      <c r="HV206" s="874"/>
      <c r="HW206" s="874"/>
      <c r="HX206" s="874"/>
      <c r="HY206" s="874"/>
      <c r="HZ206" s="874"/>
      <c r="IA206" s="874"/>
      <c r="IB206" s="874"/>
      <c r="IC206" s="874"/>
      <c r="ID206" s="874"/>
      <c r="IE206" s="874"/>
      <c r="IF206" s="874"/>
      <c r="IG206" s="874"/>
      <c r="IH206" s="874"/>
      <c r="II206" s="874"/>
      <c r="IJ206" s="874"/>
      <c r="IK206" s="874"/>
      <c r="IL206" s="874"/>
      <c r="IM206" s="874"/>
      <c r="IN206" s="874"/>
      <c r="IO206" s="874"/>
      <c r="IP206" s="874"/>
      <c r="IQ206" s="874"/>
      <c r="IR206" s="874"/>
      <c r="IS206" s="874"/>
      <c r="IT206" s="874"/>
      <c r="IU206" s="874"/>
      <c r="IV206" s="874"/>
      <c r="IW206" s="874"/>
      <c r="IX206" s="874"/>
      <c r="IY206" s="874"/>
      <c r="IZ206" s="874"/>
      <c r="JA206" s="874"/>
      <c r="JB206" s="874"/>
      <c r="JC206" s="874"/>
      <c r="JD206" s="874"/>
      <c r="JE206" s="874"/>
      <c r="JF206" s="874"/>
      <c r="JG206" s="874"/>
      <c r="JH206" s="874"/>
      <c r="JI206" s="874"/>
      <c r="JJ206" s="874"/>
      <c r="JK206" s="874"/>
      <c r="JL206" s="874"/>
      <c r="JM206" s="874"/>
      <c r="JN206" s="874"/>
      <c r="JO206" s="874"/>
      <c r="JP206" s="874"/>
      <c r="JQ206" s="874"/>
      <c r="JR206" s="874"/>
      <c r="JS206" s="874"/>
      <c r="JT206" s="874"/>
      <c r="JU206" s="874"/>
      <c r="JV206" s="874"/>
      <c r="JW206" s="874"/>
      <c r="JX206" s="874"/>
      <c r="JY206" s="874"/>
      <c r="JZ206" s="874"/>
      <c r="KA206" s="874"/>
      <c r="KB206" s="874"/>
      <c r="KC206" s="874"/>
      <c r="KD206" s="874"/>
      <c r="KE206" s="874"/>
      <c r="KF206" s="874"/>
      <c r="KG206" s="874"/>
      <c r="KH206" s="865"/>
      <c r="KI206" s="865"/>
      <c r="KJ206" s="865"/>
      <c r="KK206" s="865"/>
      <c r="KL206" s="865"/>
      <c r="KM206" s="865"/>
      <c r="KN206" s="865"/>
      <c r="KO206" s="865"/>
      <c r="KP206" s="865"/>
      <c r="KQ206" s="865"/>
      <c r="KR206" s="865"/>
      <c r="KS206" s="865"/>
      <c r="KT206" s="865"/>
      <c r="KU206" s="865"/>
      <c r="KV206" s="865"/>
      <c r="KW206" s="865"/>
      <c r="KX206" s="865"/>
      <c r="KY206" s="865"/>
      <c r="KZ206" s="865"/>
      <c r="LA206" s="865"/>
      <c r="LB206" s="865"/>
      <c r="LC206" s="865"/>
      <c r="LD206" s="865"/>
      <c r="LE206" s="865"/>
      <c r="LF206" s="865"/>
    </row>
    <row r="207" spans="1:318">
      <c r="A207" s="865"/>
      <c r="B207" s="865"/>
      <c r="C207" s="865"/>
      <c r="D207" s="865"/>
      <c r="E207" s="865"/>
      <c r="F207" s="865"/>
      <c r="G207" s="865"/>
      <c r="H207" s="865"/>
      <c r="I207" s="865"/>
      <c r="J207" s="865"/>
      <c r="K207" s="865"/>
      <c r="L207" s="865"/>
      <c r="M207" s="865"/>
      <c r="N207" s="865"/>
      <c r="O207" s="865"/>
      <c r="P207" s="865"/>
      <c r="Q207" s="865"/>
      <c r="R207" s="865"/>
      <c r="S207" s="865"/>
      <c r="T207" s="865"/>
      <c r="U207" s="865"/>
      <c r="V207" s="865"/>
      <c r="W207" s="865"/>
      <c r="X207" s="865"/>
      <c r="Y207" s="865"/>
      <c r="Z207" s="865"/>
      <c r="AA207" s="865"/>
      <c r="AB207" s="865"/>
      <c r="AC207" s="865"/>
      <c r="AD207" s="510"/>
      <c r="AE207" s="865"/>
      <c r="AF207" s="865"/>
      <c r="AG207" s="865"/>
      <c r="AH207" s="865"/>
      <c r="AI207" s="865"/>
      <c r="AJ207" s="510"/>
      <c r="AK207" s="865"/>
      <c r="AL207" s="865"/>
      <c r="AM207" s="865"/>
      <c r="AN207" s="865"/>
      <c r="AO207" s="865"/>
      <c r="AP207" s="510"/>
      <c r="AQ207" s="865"/>
      <c r="AR207" s="865"/>
      <c r="AS207" s="865"/>
      <c r="AT207" s="865"/>
      <c r="AU207" s="865"/>
      <c r="AV207" s="510"/>
      <c r="AW207" s="865"/>
      <c r="AX207" s="865"/>
      <c r="AY207" s="865"/>
      <c r="AZ207" s="865"/>
      <c r="BA207" s="865"/>
      <c r="BB207" s="510"/>
      <c r="BC207" s="865"/>
      <c r="BD207" s="865"/>
      <c r="BE207" s="865"/>
      <c r="BF207" s="865"/>
      <c r="BG207" s="865"/>
      <c r="BH207" s="865"/>
      <c r="BI207" s="865"/>
      <c r="BJ207" s="865"/>
      <c r="BK207" s="865"/>
      <c r="BL207" s="865"/>
      <c r="BM207" s="865"/>
      <c r="BN207" s="865"/>
      <c r="BO207" s="865"/>
      <c r="BP207" s="865"/>
      <c r="BQ207" s="865"/>
      <c r="BR207" s="865"/>
      <c r="BS207" s="865"/>
      <c r="BT207" s="865"/>
      <c r="BU207" s="865"/>
      <c r="BV207" s="865"/>
      <c r="BW207" s="865"/>
      <c r="BX207" s="865"/>
      <c r="BY207" s="874"/>
      <c r="BZ207" s="874"/>
      <c r="CA207" s="874"/>
      <c r="CB207" s="874"/>
      <c r="CC207" s="874"/>
      <c r="CD207" s="874"/>
      <c r="CE207" s="874"/>
      <c r="CF207" s="874"/>
      <c r="CG207" s="874"/>
      <c r="CH207" s="874"/>
      <c r="CI207" s="874"/>
      <c r="CJ207" s="874"/>
      <c r="CK207" s="874"/>
      <c r="CL207" s="874"/>
      <c r="CM207" s="874"/>
      <c r="CN207" s="874"/>
      <c r="CO207" s="874"/>
      <c r="CP207" s="874"/>
      <c r="CQ207" s="874"/>
      <c r="CR207" s="874"/>
      <c r="CS207" s="874"/>
      <c r="CT207" s="874"/>
      <c r="CU207" s="874"/>
      <c r="CV207" s="874"/>
      <c r="CW207" s="874"/>
      <c r="CX207" s="874"/>
      <c r="CY207" s="874"/>
      <c r="CZ207" s="874"/>
      <c r="DA207" s="874"/>
      <c r="DB207" s="874"/>
      <c r="DC207" s="874"/>
      <c r="DD207" s="874"/>
      <c r="DE207" s="874"/>
      <c r="DF207" s="874"/>
      <c r="DG207" s="874"/>
      <c r="DH207" s="874"/>
      <c r="DI207" s="874"/>
      <c r="DJ207" s="874"/>
      <c r="DK207" s="874"/>
      <c r="DL207" s="874"/>
      <c r="DM207" s="874"/>
      <c r="DN207" s="874"/>
      <c r="DO207" s="874"/>
      <c r="DP207" s="874"/>
      <c r="DQ207" s="874"/>
      <c r="DR207" s="874"/>
      <c r="DS207" s="874"/>
      <c r="DT207" s="874"/>
      <c r="DU207" s="874"/>
      <c r="DV207" s="874"/>
      <c r="DW207" s="874"/>
      <c r="DX207" s="874"/>
      <c r="DY207" s="874"/>
      <c r="DZ207" s="874"/>
      <c r="EA207" s="874"/>
      <c r="EB207" s="874"/>
      <c r="EC207" s="874"/>
      <c r="ED207" s="874"/>
      <c r="EE207" s="874"/>
      <c r="EF207" s="874"/>
      <c r="EG207" s="874"/>
      <c r="EH207" s="874"/>
      <c r="EI207" s="874"/>
      <c r="EJ207" s="874"/>
      <c r="EK207" s="874"/>
      <c r="EL207" s="874"/>
      <c r="EM207" s="874"/>
      <c r="EN207" s="874"/>
      <c r="EO207" s="874"/>
      <c r="EP207" s="874"/>
      <c r="EQ207" s="874"/>
      <c r="ER207" s="874"/>
      <c r="ES207" s="874"/>
      <c r="ET207" s="874"/>
      <c r="EU207" s="874"/>
      <c r="EV207" s="874"/>
      <c r="EW207" s="874"/>
      <c r="EX207" s="874"/>
      <c r="EY207" s="874"/>
      <c r="EZ207" s="874"/>
      <c r="FA207" s="874"/>
      <c r="FB207" s="874"/>
      <c r="FC207" s="874"/>
      <c r="FD207" s="874"/>
      <c r="FE207" s="874"/>
      <c r="FF207" s="874"/>
      <c r="FG207" s="874"/>
      <c r="FH207" s="874"/>
      <c r="FI207" s="874"/>
      <c r="FJ207" s="874"/>
      <c r="FK207" s="874"/>
      <c r="FL207" s="874"/>
      <c r="FM207" s="874"/>
      <c r="FN207" s="874"/>
      <c r="FO207" s="874"/>
      <c r="FP207" s="874"/>
      <c r="FQ207" s="874"/>
      <c r="FR207" s="874"/>
      <c r="FS207" s="874"/>
      <c r="FT207" s="874"/>
      <c r="FU207" s="874"/>
      <c r="FV207" s="874"/>
      <c r="FW207" s="874"/>
      <c r="FX207" s="874"/>
      <c r="FY207" s="874"/>
      <c r="FZ207" s="874"/>
      <c r="GA207" s="874"/>
      <c r="GB207" s="874"/>
      <c r="GC207" s="874"/>
      <c r="GD207" s="874"/>
      <c r="GE207" s="874"/>
      <c r="GF207" s="874"/>
      <c r="GG207" s="874"/>
      <c r="GH207" s="874"/>
      <c r="GI207" s="874"/>
      <c r="GJ207" s="874"/>
      <c r="GK207" s="874"/>
      <c r="GL207" s="874"/>
      <c r="GM207" s="874"/>
      <c r="GN207" s="874"/>
      <c r="GO207" s="874"/>
      <c r="GP207" s="874"/>
      <c r="GQ207" s="874"/>
      <c r="GR207" s="874"/>
      <c r="GS207" s="874"/>
      <c r="GT207" s="874"/>
      <c r="GU207" s="874"/>
      <c r="GV207" s="874"/>
      <c r="GW207" s="874"/>
      <c r="GX207" s="874"/>
      <c r="GY207" s="874"/>
      <c r="GZ207" s="874"/>
      <c r="HA207" s="874"/>
      <c r="HB207" s="874"/>
      <c r="HC207" s="874"/>
      <c r="HD207" s="874"/>
      <c r="HE207" s="874"/>
      <c r="HF207" s="874"/>
      <c r="HG207" s="874"/>
      <c r="HH207" s="874"/>
      <c r="HI207" s="874"/>
      <c r="HJ207" s="874"/>
      <c r="HK207" s="874"/>
      <c r="HL207" s="874"/>
      <c r="HM207" s="874"/>
      <c r="HN207" s="874"/>
      <c r="HO207" s="874"/>
      <c r="HP207" s="874"/>
      <c r="HQ207" s="874"/>
      <c r="HR207" s="874"/>
      <c r="HS207" s="874"/>
      <c r="HT207" s="874"/>
      <c r="HU207" s="874"/>
      <c r="HV207" s="874"/>
      <c r="HW207" s="874"/>
      <c r="HX207" s="874"/>
      <c r="HY207" s="874"/>
      <c r="HZ207" s="874"/>
      <c r="IA207" s="874"/>
      <c r="IB207" s="874"/>
      <c r="IC207" s="874"/>
      <c r="ID207" s="874"/>
      <c r="IE207" s="874"/>
      <c r="IF207" s="874"/>
      <c r="IG207" s="874"/>
      <c r="IH207" s="874"/>
      <c r="II207" s="874"/>
      <c r="IJ207" s="874"/>
      <c r="IK207" s="874"/>
      <c r="IL207" s="874"/>
      <c r="IM207" s="874"/>
      <c r="IN207" s="874"/>
      <c r="IO207" s="874"/>
      <c r="IP207" s="874"/>
      <c r="IQ207" s="874"/>
      <c r="IR207" s="874"/>
      <c r="IS207" s="874"/>
      <c r="IT207" s="874"/>
      <c r="IU207" s="874"/>
      <c r="IV207" s="874"/>
      <c r="IW207" s="874"/>
      <c r="IX207" s="874"/>
      <c r="IY207" s="874"/>
      <c r="IZ207" s="874"/>
      <c r="JA207" s="874"/>
      <c r="JB207" s="874"/>
      <c r="JC207" s="874"/>
      <c r="JD207" s="874"/>
      <c r="JE207" s="874"/>
      <c r="JF207" s="874"/>
      <c r="JG207" s="874"/>
      <c r="JH207" s="874"/>
      <c r="JI207" s="874"/>
      <c r="JJ207" s="874"/>
      <c r="JK207" s="874"/>
      <c r="JL207" s="874"/>
      <c r="JM207" s="874"/>
      <c r="JN207" s="874"/>
      <c r="JO207" s="874"/>
      <c r="JP207" s="874"/>
      <c r="JQ207" s="874"/>
      <c r="JR207" s="874"/>
      <c r="JS207" s="874"/>
      <c r="JT207" s="874"/>
      <c r="JU207" s="874"/>
      <c r="JV207" s="874"/>
      <c r="JW207" s="874"/>
      <c r="JX207" s="874"/>
      <c r="JY207" s="874"/>
      <c r="JZ207" s="874"/>
      <c r="KA207" s="874"/>
      <c r="KB207" s="874"/>
      <c r="KC207" s="874"/>
      <c r="KD207" s="874"/>
      <c r="KE207" s="874"/>
      <c r="KF207" s="874"/>
      <c r="KG207" s="874"/>
      <c r="KH207" s="865"/>
      <c r="KI207" s="865"/>
      <c r="KJ207" s="865"/>
      <c r="KK207" s="865"/>
      <c r="KL207" s="865"/>
      <c r="KM207" s="865"/>
      <c r="KN207" s="865"/>
      <c r="KO207" s="865"/>
      <c r="KP207" s="865"/>
      <c r="KQ207" s="865"/>
      <c r="KR207" s="865"/>
      <c r="KS207" s="865"/>
      <c r="KT207" s="865"/>
      <c r="KU207" s="865"/>
      <c r="KV207" s="865"/>
      <c r="KW207" s="865"/>
      <c r="KX207" s="865"/>
      <c r="KY207" s="865"/>
      <c r="KZ207" s="865"/>
      <c r="LA207" s="865"/>
      <c r="LB207" s="865"/>
      <c r="LC207" s="865"/>
      <c r="LD207" s="865"/>
      <c r="LE207" s="865"/>
      <c r="LF207" s="865"/>
    </row>
    <row r="208" spans="1:318">
      <c r="A208" s="865"/>
      <c r="B208" s="865"/>
      <c r="C208" s="865"/>
      <c r="D208" s="865"/>
      <c r="E208" s="865"/>
      <c r="F208" s="865"/>
      <c r="G208" s="865"/>
      <c r="H208" s="865"/>
      <c r="I208" s="865"/>
      <c r="J208" s="865"/>
      <c r="K208" s="865"/>
      <c r="L208" s="865"/>
      <c r="M208" s="865"/>
      <c r="N208" s="865"/>
      <c r="O208" s="865"/>
      <c r="P208" s="865"/>
      <c r="Q208" s="865"/>
      <c r="R208" s="865"/>
      <c r="S208" s="865"/>
      <c r="T208" s="865"/>
      <c r="U208" s="865"/>
      <c r="V208" s="865"/>
      <c r="W208" s="865"/>
      <c r="X208" s="865"/>
      <c r="Y208" s="865"/>
      <c r="Z208" s="865"/>
      <c r="AA208" s="865"/>
      <c r="AB208" s="865"/>
      <c r="AC208" s="865"/>
      <c r="AD208" s="510"/>
      <c r="AE208" s="865"/>
      <c r="AF208" s="865"/>
      <c r="AG208" s="865"/>
      <c r="AH208" s="865"/>
      <c r="AI208" s="865"/>
      <c r="AJ208" s="510"/>
      <c r="AK208" s="865"/>
      <c r="AL208" s="865"/>
      <c r="AM208" s="865"/>
      <c r="AN208" s="865"/>
      <c r="AO208" s="865"/>
      <c r="AP208" s="510"/>
      <c r="AQ208" s="865"/>
      <c r="AR208" s="865"/>
      <c r="AS208" s="865"/>
      <c r="AT208" s="865"/>
      <c r="AU208" s="865"/>
      <c r="AV208" s="510"/>
      <c r="AW208" s="865"/>
      <c r="AX208" s="865"/>
      <c r="AY208" s="865"/>
      <c r="AZ208" s="865"/>
      <c r="BA208" s="865"/>
      <c r="BB208" s="510"/>
      <c r="BC208" s="865"/>
      <c r="BD208" s="865"/>
      <c r="BE208" s="865"/>
      <c r="BF208" s="865"/>
      <c r="BG208" s="865"/>
      <c r="BH208" s="865"/>
      <c r="BI208" s="865"/>
      <c r="BJ208" s="865"/>
      <c r="BK208" s="865"/>
      <c r="BL208" s="865"/>
      <c r="BM208" s="865"/>
      <c r="BN208" s="865"/>
      <c r="BO208" s="865"/>
      <c r="BP208" s="865"/>
      <c r="BQ208" s="865"/>
      <c r="BR208" s="865"/>
      <c r="BS208" s="865"/>
      <c r="BT208" s="865"/>
      <c r="BU208" s="865"/>
      <c r="BV208" s="865"/>
      <c r="BW208" s="865"/>
      <c r="BX208" s="865"/>
      <c r="BY208" s="874"/>
      <c r="BZ208" s="874"/>
      <c r="CA208" s="874"/>
      <c r="CB208" s="874"/>
      <c r="CC208" s="874"/>
      <c r="CD208" s="874"/>
      <c r="CE208" s="874"/>
      <c r="CF208" s="874"/>
      <c r="CG208" s="874"/>
      <c r="CH208" s="874"/>
      <c r="CI208" s="874"/>
      <c r="CJ208" s="874"/>
      <c r="CK208" s="874"/>
      <c r="CL208" s="874"/>
      <c r="CM208" s="874"/>
      <c r="CN208" s="874"/>
      <c r="CO208" s="874"/>
      <c r="CP208" s="874"/>
      <c r="CQ208" s="874"/>
      <c r="CR208" s="874"/>
      <c r="CS208" s="874"/>
      <c r="CT208" s="874"/>
      <c r="CU208" s="874"/>
      <c r="CV208" s="874"/>
      <c r="CW208" s="874"/>
      <c r="CX208" s="874"/>
      <c r="CY208" s="874"/>
      <c r="CZ208" s="874"/>
      <c r="DA208" s="874"/>
      <c r="DB208" s="874"/>
      <c r="DC208" s="874"/>
      <c r="DD208" s="874"/>
      <c r="DE208" s="874"/>
      <c r="DF208" s="874"/>
      <c r="DG208" s="874"/>
      <c r="DH208" s="874"/>
      <c r="DI208" s="874"/>
      <c r="DJ208" s="874"/>
      <c r="DK208" s="874"/>
      <c r="DL208" s="874"/>
      <c r="DM208" s="874"/>
      <c r="DN208" s="874"/>
      <c r="DO208" s="874"/>
      <c r="DP208" s="874"/>
      <c r="DQ208" s="874"/>
      <c r="DR208" s="874"/>
      <c r="DS208" s="874"/>
      <c r="DT208" s="874"/>
      <c r="DU208" s="874"/>
      <c r="DV208" s="874"/>
      <c r="DW208" s="874"/>
      <c r="DX208" s="874"/>
      <c r="DY208" s="874"/>
      <c r="DZ208" s="874"/>
      <c r="EA208" s="874"/>
      <c r="EB208" s="874"/>
      <c r="EC208" s="874"/>
      <c r="ED208" s="874"/>
      <c r="EE208" s="874"/>
      <c r="EF208" s="874"/>
      <c r="EG208" s="874"/>
      <c r="EH208" s="874"/>
      <c r="EI208" s="874"/>
      <c r="EJ208" s="874"/>
      <c r="EK208" s="874"/>
      <c r="EL208" s="874"/>
      <c r="EM208" s="874"/>
      <c r="EN208" s="874"/>
      <c r="EO208" s="874"/>
      <c r="EP208" s="874"/>
      <c r="EQ208" s="874"/>
      <c r="ER208" s="874"/>
      <c r="ES208" s="874"/>
      <c r="ET208" s="874"/>
      <c r="EU208" s="874"/>
      <c r="EV208" s="874"/>
      <c r="EW208" s="874"/>
      <c r="EX208" s="874"/>
      <c r="EY208" s="874"/>
      <c r="EZ208" s="874"/>
      <c r="FA208" s="874"/>
      <c r="FB208" s="874"/>
      <c r="FC208" s="874"/>
      <c r="FD208" s="874"/>
      <c r="FE208" s="874"/>
      <c r="FF208" s="874"/>
      <c r="FG208" s="874"/>
      <c r="FH208" s="874"/>
      <c r="FI208" s="874"/>
      <c r="FJ208" s="874"/>
      <c r="FK208" s="874"/>
      <c r="FL208" s="874"/>
      <c r="FM208" s="874"/>
      <c r="FN208" s="874"/>
      <c r="FO208" s="874"/>
      <c r="FP208" s="874"/>
      <c r="FQ208" s="874"/>
      <c r="FR208" s="874"/>
      <c r="FS208" s="874"/>
      <c r="FT208" s="874"/>
      <c r="FU208" s="874"/>
      <c r="FV208" s="874"/>
      <c r="FW208" s="874"/>
      <c r="FX208" s="874"/>
      <c r="FY208" s="874"/>
      <c r="FZ208" s="874"/>
      <c r="GA208" s="874"/>
      <c r="GB208" s="874"/>
      <c r="GC208" s="874"/>
      <c r="GD208" s="874"/>
      <c r="GE208" s="874"/>
      <c r="GF208" s="874"/>
      <c r="GG208" s="874"/>
      <c r="GH208" s="874"/>
      <c r="GI208" s="874"/>
      <c r="GJ208" s="874"/>
      <c r="GK208" s="874"/>
      <c r="GL208" s="874"/>
      <c r="GM208" s="874"/>
      <c r="GN208" s="874"/>
      <c r="GO208" s="874"/>
      <c r="GP208" s="874"/>
      <c r="GQ208" s="874"/>
      <c r="GR208" s="874"/>
      <c r="GS208" s="874"/>
      <c r="GT208" s="874"/>
      <c r="GU208" s="874"/>
      <c r="GV208" s="874"/>
      <c r="GW208" s="874"/>
      <c r="GX208" s="874"/>
      <c r="GY208" s="874"/>
      <c r="GZ208" s="874"/>
      <c r="HA208" s="874"/>
      <c r="HB208" s="874"/>
      <c r="HC208" s="874"/>
      <c r="HD208" s="874"/>
      <c r="HE208" s="874"/>
      <c r="HF208" s="874"/>
      <c r="HG208" s="874"/>
      <c r="HH208" s="874"/>
      <c r="HI208" s="874"/>
      <c r="HJ208" s="874"/>
      <c r="HK208" s="874"/>
      <c r="HL208" s="874"/>
      <c r="HM208" s="874"/>
      <c r="HN208" s="874"/>
      <c r="HO208" s="874"/>
      <c r="HP208" s="874"/>
      <c r="HQ208" s="874"/>
      <c r="HR208" s="874"/>
      <c r="HS208" s="874"/>
      <c r="HT208" s="874"/>
      <c r="HU208" s="874"/>
      <c r="HV208" s="874"/>
      <c r="HW208" s="874"/>
      <c r="HX208" s="874"/>
      <c r="HY208" s="874"/>
      <c r="HZ208" s="874"/>
      <c r="IA208" s="874"/>
      <c r="IB208" s="874"/>
      <c r="IC208" s="874"/>
      <c r="ID208" s="874"/>
      <c r="IE208" s="874"/>
      <c r="IF208" s="874"/>
      <c r="IG208" s="874"/>
      <c r="IH208" s="874"/>
      <c r="II208" s="874"/>
      <c r="IJ208" s="874"/>
      <c r="IK208" s="874"/>
      <c r="IL208" s="874"/>
      <c r="IM208" s="874"/>
      <c r="IN208" s="874"/>
      <c r="IO208" s="874"/>
      <c r="IP208" s="874"/>
      <c r="IQ208" s="874"/>
      <c r="IR208" s="874"/>
      <c r="IS208" s="874"/>
      <c r="IT208" s="874"/>
      <c r="IU208" s="874"/>
      <c r="IV208" s="874"/>
      <c r="IW208" s="874"/>
      <c r="IX208" s="874"/>
      <c r="IY208" s="874"/>
      <c r="IZ208" s="874"/>
      <c r="JA208" s="874"/>
      <c r="JB208" s="874"/>
      <c r="JC208" s="874"/>
      <c r="JD208" s="874"/>
      <c r="JE208" s="874"/>
      <c r="JF208" s="874"/>
      <c r="JG208" s="874"/>
      <c r="JH208" s="874"/>
      <c r="JI208" s="874"/>
      <c r="JJ208" s="874"/>
      <c r="JK208" s="874"/>
      <c r="JL208" s="874"/>
      <c r="JM208" s="874"/>
      <c r="JN208" s="874"/>
      <c r="JO208" s="874"/>
      <c r="JP208" s="874"/>
      <c r="JQ208" s="874"/>
      <c r="JR208" s="874"/>
      <c r="JS208" s="874"/>
      <c r="JT208" s="874"/>
      <c r="JU208" s="874"/>
      <c r="JV208" s="874"/>
      <c r="JW208" s="874"/>
      <c r="JX208" s="874"/>
      <c r="JY208" s="874"/>
      <c r="JZ208" s="874"/>
      <c r="KA208" s="874"/>
      <c r="KB208" s="874"/>
      <c r="KC208" s="874"/>
      <c r="KD208" s="874"/>
      <c r="KE208" s="874"/>
      <c r="KF208" s="874"/>
      <c r="KG208" s="874"/>
      <c r="KH208" s="865"/>
      <c r="KI208" s="865"/>
      <c r="KJ208" s="865"/>
      <c r="KK208" s="865"/>
      <c r="KL208" s="865"/>
      <c r="KM208" s="865"/>
      <c r="KN208" s="865"/>
      <c r="KO208" s="865"/>
      <c r="KP208" s="865"/>
      <c r="KQ208" s="865"/>
      <c r="KR208" s="865"/>
      <c r="KS208" s="865"/>
      <c r="KT208" s="865"/>
      <c r="KU208" s="865"/>
      <c r="KV208" s="865"/>
      <c r="KW208" s="865"/>
      <c r="KX208" s="865"/>
      <c r="KY208" s="865"/>
      <c r="KZ208" s="865"/>
      <c r="LA208" s="865"/>
      <c r="LB208" s="865"/>
      <c r="LC208" s="865"/>
      <c r="LD208" s="865"/>
      <c r="LE208" s="865"/>
      <c r="LF208" s="865"/>
    </row>
    <row r="209" spans="1:318">
      <c r="A209" s="865"/>
      <c r="B209" s="865"/>
      <c r="C209" s="865"/>
      <c r="D209" s="865"/>
      <c r="E209" s="865"/>
      <c r="F209" s="865"/>
      <c r="G209" s="865"/>
      <c r="H209" s="865"/>
      <c r="I209" s="865"/>
      <c r="J209" s="865"/>
      <c r="K209" s="865"/>
      <c r="L209" s="865"/>
      <c r="M209" s="865"/>
      <c r="N209" s="865"/>
      <c r="O209" s="865"/>
      <c r="P209" s="865"/>
      <c r="Q209" s="865"/>
      <c r="R209" s="865"/>
      <c r="S209" s="865"/>
      <c r="T209" s="865"/>
      <c r="U209" s="865"/>
      <c r="V209" s="865"/>
      <c r="W209" s="865"/>
      <c r="X209" s="865"/>
      <c r="Y209" s="865"/>
      <c r="Z209" s="865"/>
      <c r="AA209" s="865"/>
      <c r="AB209" s="865"/>
      <c r="AC209" s="865"/>
      <c r="AD209" s="510"/>
      <c r="AE209" s="865"/>
      <c r="AF209" s="865"/>
      <c r="AG209" s="865"/>
      <c r="AH209" s="865"/>
      <c r="AI209" s="865"/>
      <c r="AJ209" s="510"/>
      <c r="AK209" s="865"/>
      <c r="AL209" s="865"/>
      <c r="AM209" s="865"/>
      <c r="AN209" s="865"/>
      <c r="AO209" s="865"/>
      <c r="AP209" s="510"/>
      <c r="AQ209" s="865"/>
      <c r="AR209" s="865"/>
      <c r="AS209" s="865"/>
      <c r="AT209" s="865"/>
      <c r="AU209" s="865"/>
      <c r="AV209" s="510"/>
      <c r="AW209" s="865"/>
      <c r="AX209" s="865"/>
      <c r="AY209" s="865"/>
      <c r="AZ209" s="865"/>
      <c r="BA209" s="865"/>
      <c r="BB209" s="510"/>
      <c r="BC209" s="865"/>
      <c r="BD209" s="865"/>
      <c r="BE209" s="865"/>
      <c r="BF209" s="865"/>
      <c r="BG209" s="865"/>
      <c r="BH209" s="865"/>
      <c r="BI209" s="865"/>
      <c r="BJ209" s="865"/>
      <c r="BK209" s="865"/>
      <c r="BL209" s="865"/>
      <c r="BM209" s="865"/>
      <c r="BN209" s="865"/>
      <c r="BO209" s="865"/>
      <c r="BP209" s="865"/>
      <c r="BQ209" s="865"/>
      <c r="BR209" s="865"/>
      <c r="BS209" s="865"/>
      <c r="BT209" s="865"/>
      <c r="BU209" s="865"/>
      <c r="BV209" s="865"/>
      <c r="BW209" s="865"/>
      <c r="BX209" s="865"/>
      <c r="BY209" s="874"/>
      <c r="BZ209" s="874"/>
      <c r="CA209" s="874"/>
      <c r="CB209" s="874"/>
      <c r="CC209" s="874"/>
      <c r="CD209" s="874"/>
      <c r="CE209" s="874"/>
      <c r="CF209" s="874"/>
      <c r="CG209" s="874"/>
      <c r="CH209" s="874"/>
      <c r="CI209" s="874"/>
      <c r="CJ209" s="874"/>
      <c r="CK209" s="874"/>
      <c r="CL209" s="874"/>
      <c r="CM209" s="874"/>
      <c r="CN209" s="874"/>
      <c r="CO209" s="874"/>
      <c r="CP209" s="874"/>
      <c r="CQ209" s="874"/>
      <c r="CR209" s="874"/>
      <c r="CS209" s="874"/>
      <c r="CT209" s="874"/>
      <c r="CU209" s="874"/>
      <c r="CV209" s="874"/>
      <c r="CW209" s="874"/>
      <c r="CX209" s="874"/>
      <c r="CY209" s="874"/>
      <c r="CZ209" s="874"/>
      <c r="DA209" s="874"/>
      <c r="DB209" s="874"/>
      <c r="DC209" s="874"/>
      <c r="DD209" s="874"/>
      <c r="DE209" s="874"/>
      <c r="DF209" s="874"/>
      <c r="DG209" s="874"/>
      <c r="DH209" s="874"/>
      <c r="DI209" s="874"/>
      <c r="DJ209" s="874"/>
      <c r="DK209" s="874"/>
      <c r="DL209" s="874"/>
      <c r="DM209" s="874"/>
      <c r="DN209" s="874"/>
      <c r="DO209" s="874"/>
      <c r="DP209" s="874"/>
      <c r="DQ209" s="874"/>
      <c r="DR209" s="874"/>
      <c r="DS209" s="874"/>
      <c r="DT209" s="874"/>
      <c r="DU209" s="874"/>
      <c r="DV209" s="874"/>
      <c r="DW209" s="874"/>
      <c r="DX209" s="874"/>
      <c r="DY209" s="874"/>
      <c r="DZ209" s="874"/>
      <c r="EA209" s="874"/>
      <c r="EB209" s="874"/>
      <c r="EC209" s="874"/>
      <c r="ED209" s="874"/>
      <c r="EE209" s="874"/>
      <c r="EF209" s="874"/>
      <c r="EG209" s="874"/>
      <c r="EH209" s="874"/>
      <c r="EI209" s="874"/>
      <c r="EJ209" s="874"/>
      <c r="EK209" s="874"/>
      <c r="EL209" s="874"/>
      <c r="EM209" s="874"/>
      <c r="EN209" s="874"/>
      <c r="EO209" s="874"/>
      <c r="EP209" s="874"/>
      <c r="EQ209" s="874"/>
      <c r="ER209" s="874"/>
      <c r="ES209" s="874"/>
      <c r="ET209" s="874"/>
      <c r="EU209" s="874"/>
      <c r="EV209" s="874"/>
      <c r="EW209" s="874"/>
      <c r="EX209" s="874"/>
      <c r="EY209" s="874"/>
      <c r="EZ209" s="874"/>
      <c r="FA209" s="874"/>
      <c r="FB209" s="874"/>
      <c r="FC209" s="874"/>
      <c r="FD209" s="874"/>
      <c r="FE209" s="874"/>
      <c r="FF209" s="874"/>
      <c r="FG209" s="874"/>
      <c r="FH209" s="874"/>
      <c r="FI209" s="874"/>
      <c r="FJ209" s="874"/>
      <c r="FK209" s="874"/>
      <c r="FL209" s="874"/>
      <c r="FM209" s="874"/>
      <c r="FN209" s="874"/>
      <c r="FO209" s="874"/>
      <c r="FP209" s="874"/>
      <c r="FQ209" s="874"/>
      <c r="FR209" s="874"/>
      <c r="FS209" s="874"/>
      <c r="FT209" s="874"/>
      <c r="FU209" s="874"/>
      <c r="FV209" s="874"/>
      <c r="FW209" s="874"/>
      <c r="FX209" s="874"/>
      <c r="FY209" s="874"/>
      <c r="FZ209" s="874"/>
      <c r="GA209" s="874"/>
      <c r="GB209" s="874"/>
      <c r="GC209" s="874"/>
      <c r="GD209" s="874"/>
      <c r="GE209" s="874"/>
      <c r="GF209" s="874"/>
      <c r="GG209" s="874"/>
      <c r="GH209" s="874"/>
      <c r="GI209" s="874"/>
      <c r="GJ209" s="874"/>
      <c r="GK209" s="874"/>
      <c r="GL209" s="874"/>
      <c r="GM209" s="874"/>
      <c r="GN209" s="874"/>
      <c r="GO209" s="874"/>
      <c r="GP209" s="874"/>
      <c r="GQ209" s="874"/>
      <c r="GR209" s="874"/>
      <c r="GS209" s="874"/>
      <c r="GT209" s="874"/>
      <c r="GU209" s="874"/>
      <c r="GV209" s="874"/>
      <c r="GW209" s="874"/>
      <c r="GX209" s="874"/>
      <c r="GY209" s="874"/>
      <c r="GZ209" s="874"/>
      <c r="HA209" s="874"/>
      <c r="HB209" s="874"/>
      <c r="HC209" s="874"/>
      <c r="HD209" s="874"/>
      <c r="HE209" s="874"/>
      <c r="HF209" s="874"/>
      <c r="HG209" s="874"/>
      <c r="HH209" s="874"/>
      <c r="HI209" s="874"/>
      <c r="HJ209" s="874"/>
      <c r="HK209" s="874"/>
      <c r="HL209" s="874"/>
      <c r="HM209" s="874"/>
      <c r="HN209" s="874"/>
      <c r="HO209" s="874"/>
      <c r="HP209" s="874"/>
      <c r="HQ209" s="874"/>
      <c r="HR209" s="874"/>
      <c r="HS209" s="874"/>
      <c r="HT209" s="874"/>
      <c r="HU209" s="874"/>
      <c r="HV209" s="874"/>
      <c r="HW209" s="874"/>
      <c r="HX209" s="874"/>
      <c r="HY209" s="874"/>
      <c r="HZ209" s="874"/>
      <c r="IA209" s="874"/>
      <c r="IB209" s="874"/>
      <c r="IC209" s="874"/>
      <c r="ID209" s="874"/>
      <c r="IE209" s="874"/>
      <c r="IF209" s="874"/>
      <c r="IG209" s="874"/>
      <c r="IH209" s="874"/>
      <c r="II209" s="874"/>
      <c r="IJ209" s="874"/>
      <c r="IK209" s="874"/>
      <c r="IL209" s="874"/>
      <c r="IM209" s="874"/>
      <c r="IN209" s="874"/>
      <c r="IO209" s="874"/>
      <c r="IP209" s="874"/>
      <c r="IQ209" s="874"/>
      <c r="IR209" s="874"/>
      <c r="IS209" s="874"/>
      <c r="IT209" s="874"/>
      <c r="IU209" s="874"/>
      <c r="IV209" s="874"/>
      <c r="IW209" s="874"/>
      <c r="IX209" s="874"/>
      <c r="IY209" s="874"/>
      <c r="IZ209" s="874"/>
      <c r="JA209" s="874"/>
      <c r="JB209" s="874"/>
      <c r="JC209" s="874"/>
      <c r="JD209" s="874"/>
      <c r="JE209" s="874"/>
      <c r="JF209" s="874"/>
      <c r="JG209" s="874"/>
      <c r="JH209" s="874"/>
      <c r="JI209" s="874"/>
      <c r="JJ209" s="874"/>
      <c r="JK209" s="874"/>
      <c r="JL209" s="874"/>
      <c r="JM209" s="874"/>
      <c r="JN209" s="874"/>
      <c r="JO209" s="874"/>
      <c r="JP209" s="874"/>
      <c r="JQ209" s="874"/>
      <c r="JR209" s="874"/>
      <c r="JS209" s="874"/>
      <c r="JT209" s="874"/>
      <c r="JU209" s="874"/>
      <c r="JV209" s="874"/>
      <c r="JW209" s="874"/>
      <c r="JX209" s="874"/>
      <c r="JY209" s="874"/>
      <c r="JZ209" s="874"/>
      <c r="KA209" s="874"/>
      <c r="KB209" s="874"/>
      <c r="KC209" s="874"/>
      <c r="KD209" s="874"/>
      <c r="KE209" s="874"/>
      <c r="KF209" s="874"/>
      <c r="KG209" s="874"/>
      <c r="KH209" s="865"/>
      <c r="KI209" s="865"/>
      <c r="KJ209" s="865"/>
      <c r="KK209" s="865"/>
      <c r="KL209" s="865"/>
      <c r="KM209" s="865"/>
      <c r="KN209" s="865"/>
      <c r="KO209" s="865"/>
      <c r="KP209" s="865"/>
      <c r="KQ209" s="865"/>
      <c r="KR209" s="865"/>
      <c r="KS209" s="865"/>
      <c r="KT209" s="865"/>
      <c r="KU209" s="865"/>
      <c r="KV209" s="865"/>
      <c r="KW209" s="865"/>
      <c r="KX209" s="865"/>
      <c r="KY209" s="865"/>
      <c r="KZ209" s="865"/>
      <c r="LA209" s="865"/>
      <c r="LB209" s="865"/>
      <c r="LC209" s="865"/>
      <c r="LD209" s="865"/>
      <c r="LE209" s="865"/>
      <c r="LF209" s="865"/>
    </row>
    <row r="210" spans="1:318">
      <c r="A210" s="865"/>
      <c r="B210" s="865"/>
      <c r="C210" s="865"/>
      <c r="D210" s="865"/>
      <c r="E210" s="865"/>
      <c r="F210" s="865"/>
      <c r="G210" s="865"/>
      <c r="H210" s="865"/>
      <c r="I210" s="865"/>
      <c r="J210" s="865"/>
      <c r="K210" s="865"/>
      <c r="L210" s="865"/>
      <c r="M210" s="865"/>
      <c r="N210" s="865"/>
      <c r="O210" s="865"/>
      <c r="P210" s="865"/>
      <c r="Q210" s="865"/>
      <c r="R210" s="865"/>
      <c r="S210" s="865"/>
      <c r="T210" s="865"/>
      <c r="U210" s="865"/>
      <c r="V210" s="865"/>
      <c r="W210" s="865"/>
      <c r="X210" s="865"/>
      <c r="Y210" s="865"/>
      <c r="Z210" s="865"/>
      <c r="AA210" s="865"/>
      <c r="AB210" s="865"/>
      <c r="AC210" s="865"/>
      <c r="AD210" s="510"/>
      <c r="AE210" s="865"/>
      <c r="AF210" s="865"/>
      <c r="AG210" s="865"/>
      <c r="AH210" s="865"/>
      <c r="AI210" s="865"/>
      <c r="AJ210" s="510"/>
      <c r="AK210" s="865"/>
      <c r="AL210" s="865"/>
      <c r="AM210" s="865"/>
      <c r="AN210" s="865"/>
      <c r="AO210" s="865"/>
      <c r="AP210" s="510"/>
      <c r="AQ210" s="865"/>
      <c r="AR210" s="865"/>
      <c r="AS210" s="865"/>
      <c r="AT210" s="865"/>
      <c r="AU210" s="865"/>
      <c r="AV210" s="510"/>
      <c r="AW210" s="865"/>
      <c r="AX210" s="865"/>
      <c r="AY210" s="865"/>
      <c r="AZ210" s="865"/>
      <c r="BA210" s="865"/>
      <c r="BB210" s="510"/>
      <c r="BC210" s="865"/>
      <c r="BD210" s="865"/>
      <c r="BE210" s="865"/>
      <c r="BF210" s="865"/>
      <c r="BG210" s="865"/>
      <c r="BH210" s="865"/>
      <c r="BI210" s="865"/>
      <c r="BJ210" s="865"/>
      <c r="BK210" s="865"/>
      <c r="BL210" s="865"/>
      <c r="BM210" s="865"/>
      <c r="BN210" s="865"/>
      <c r="BO210" s="865"/>
      <c r="BP210" s="865"/>
      <c r="BQ210" s="865"/>
      <c r="BR210" s="865"/>
      <c r="BS210" s="865"/>
      <c r="BT210" s="865"/>
      <c r="BU210" s="865"/>
      <c r="BV210" s="865"/>
      <c r="BW210" s="865"/>
      <c r="BX210" s="865"/>
      <c r="BY210" s="874"/>
      <c r="BZ210" s="874"/>
      <c r="CA210" s="874"/>
      <c r="CB210" s="874"/>
      <c r="CC210" s="874"/>
      <c r="CD210" s="874"/>
      <c r="CE210" s="874"/>
      <c r="CF210" s="874"/>
      <c r="CG210" s="874"/>
      <c r="CH210" s="874"/>
      <c r="CI210" s="874"/>
      <c r="CJ210" s="874"/>
      <c r="CK210" s="874"/>
      <c r="CL210" s="874"/>
      <c r="CM210" s="874"/>
      <c r="CN210" s="874"/>
      <c r="CO210" s="874"/>
      <c r="CP210" s="874"/>
      <c r="CQ210" s="874"/>
      <c r="CR210" s="874"/>
      <c r="CS210" s="874"/>
      <c r="CT210" s="874"/>
      <c r="CU210" s="874"/>
      <c r="CV210" s="874"/>
      <c r="CW210" s="874"/>
      <c r="CX210" s="874"/>
      <c r="CY210" s="874"/>
      <c r="CZ210" s="874"/>
      <c r="DA210" s="874"/>
      <c r="DB210" s="874"/>
      <c r="DC210" s="874"/>
      <c r="DD210" s="874"/>
      <c r="DE210" s="874"/>
      <c r="DF210" s="874"/>
      <c r="DG210" s="874"/>
      <c r="DH210" s="874"/>
      <c r="DI210" s="874"/>
      <c r="DJ210" s="874"/>
      <c r="DK210" s="874"/>
      <c r="DL210" s="874"/>
      <c r="DM210" s="874"/>
      <c r="DN210" s="874"/>
      <c r="DO210" s="874"/>
      <c r="DP210" s="874"/>
      <c r="DQ210" s="874"/>
      <c r="DR210" s="874"/>
      <c r="DS210" s="874"/>
      <c r="DT210" s="874"/>
      <c r="DU210" s="874"/>
      <c r="DV210" s="874"/>
      <c r="DW210" s="874"/>
      <c r="DX210" s="874"/>
      <c r="DY210" s="874"/>
      <c r="DZ210" s="874"/>
      <c r="EA210" s="874"/>
      <c r="EB210" s="874"/>
      <c r="EC210" s="874"/>
      <c r="ED210" s="874"/>
      <c r="EE210" s="874"/>
      <c r="EF210" s="874"/>
      <c r="EG210" s="874"/>
      <c r="EH210" s="874"/>
      <c r="EI210" s="874"/>
      <c r="EJ210" s="874"/>
      <c r="EK210" s="874"/>
      <c r="EL210" s="874"/>
      <c r="EM210" s="874"/>
      <c r="EN210" s="874"/>
      <c r="EO210" s="874"/>
      <c r="EP210" s="874"/>
      <c r="EQ210" s="874"/>
      <c r="ER210" s="874"/>
      <c r="ES210" s="874"/>
      <c r="ET210" s="874"/>
      <c r="EU210" s="874"/>
      <c r="EV210" s="874"/>
      <c r="EW210" s="874"/>
      <c r="EX210" s="874"/>
      <c r="EY210" s="874"/>
      <c r="EZ210" s="874"/>
      <c r="FA210" s="874"/>
      <c r="FB210" s="874"/>
      <c r="FC210" s="874"/>
      <c r="FD210" s="874"/>
      <c r="FE210" s="874"/>
      <c r="FF210" s="874"/>
      <c r="FG210" s="874"/>
      <c r="FH210" s="874"/>
      <c r="FI210" s="874"/>
      <c r="FJ210" s="874"/>
      <c r="FK210" s="874"/>
      <c r="FL210" s="874"/>
      <c r="FM210" s="874"/>
      <c r="FN210" s="874"/>
      <c r="FO210" s="874"/>
      <c r="FP210" s="874"/>
      <c r="FQ210" s="874"/>
      <c r="FR210" s="874"/>
      <c r="FS210" s="874"/>
      <c r="FT210" s="874"/>
      <c r="FU210" s="874"/>
      <c r="FV210" s="874"/>
      <c r="FW210" s="874"/>
      <c r="FX210" s="874"/>
      <c r="FY210" s="874"/>
      <c r="FZ210" s="874"/>
      <c r="GA210" s="874"/>
      <c r="GB210" s="874"/>
      <c r="GC210" s="874"/>
      <c r="GD210" s="874"/>
      <c r="GE210" s="874"/>
      <c r="GF210" s="874"/>
      <c r="GG210" s="874"/>
      <c r="GH210" s="874"/>
      <c r="GI210" s="874"/>
      <c r="GJ210" s="874"/>
      <c r="GK210" s="874"/>
      <c r="GL210" s="874"/>
      <c r="GM210" s="874"/>
      <c r="GN210" s="874"/>
      <c r="GO210" s="874"/>
      <c r="GP210" s="874"/>
      <c r="GQ210" s="874"/>
      <c r="GR210" s="874"/>
      <c r="GS210" s="874"/>
      <c r="GT210" s="874"/>
      <c r="GU210" s="874"/>
      <c r="GV210" s="874"/>
      <c r="GW210" s="874"/>
      <c r="GX210" s="874"/>
      <c r="GY210" s="874"/>
      <c r="GZ210" s="874"/>
      <c r="HA210" s="874"/>
      <c r="HB210" s="874"/>
      <c r="HC210" s="874"/>
      <c r="HD210" s="874"/>
      <c r="HE210" s="874"/>
      <c r="HF210" s="874"/>
      <c r="HG210" s="874"/>
      <c r="HH210" s="874"/>
      <c r="HI210" s="874"/>
      <c r="HJ210" s="874"/>
      <c r="HK210" s="874"/>
      <c r="HL210" s="874"/>
      <c r="HM210" s="874"/>
      <c r="HN210" s="874"/>
      <c r="HO210" s="874"/>
      <c r="HP210" s="874"/>
      <c r="HQ210" s="874"/>
      <c r="HR210" s="874"/>
      <c r="HS210" s="874"/>
      <c r="HT210" s="874"/>
      <c r="HU210" s="874"/>
      <c r="HV210" s="874"/>
      <c r="HW210" s="874"/>
      <c r="HX210" s="874"/>
      <c r="HY210" s="874"/>
      <c r="HZ210" s="874"/>
      <c r="IA210" s="874"/>
      <c r="IB210" s="874"/>
      <c r="IC210" s="874"/>
      <c r="ID210" s="874"/>
      <c r="IE210" s="874"/>
      <c r="IF210" s="874"/>
      <c r="IG210" s="874"/>
      <c r="IH210" s="874"/>
      <c r="II210" s="874"/>
      <c r="IJ210" s="874"/>
      <c r="IK210" s="874"/>
      <c r="IL210" s="874"/>
      <c r="IM210" s="874"/>
      <c r="IN210" s="874"/>
      <c r="IO210" s="874"/>
      <c r="IP210" s="874"/>
      <c r="IQ210" s="874"/>
      <c r="IR210" s="874"/>
      <c r="IS210" s="874"/>
      <c r="IT210" s="874"/>
      <c r="IU210" s="874"/>
      <c r="IV210" s="874"/>
      <c r="IW210" s="874"/>
      <c r="IX210" s="874"/>
      <c r="IY210" s="874"/>
      <c r="IZ210" s="874"/>
      <c r="JA210" s="874"/>
      <c r="JB210" s="874"/>
      <c r="JC210" s="874"/>
      <c r="JD210" s="874"/>
      <c r="JE210" s="874"/>
      <c r="JF210" s="874"/>
      <c r="JG210" s="874"/>
      <c r="JH210" s="874"/>
      <c r="JI210" s="874"/>
      <c r="JJ210" s="874"/>
      <c r="JK210" s="874"/>
      <c r="JL210" s="874"/>
      <c r="JM210" s="874"/>
      <c r="JN210" s="874"/>
      <c r="JO210" s="874"/>
      <c r="JP210" s="874"/>
      <c r="JQ210" s="874"/>
      <c r="JR210" s="874"/>
      <c r="JS210" s="874"/>
      <c r="JT210" s="874"/>
      <c r="JU210" s="874"/>
      <c r="JV210" s="874"/>
      <c r="JW210" s="874"/>
      <c r="JX210" s="874"/>
      <c r="JY210" s="874"/>
      <c r="JZ210" s="874"/>
      <c r="KA210" s="874"/>
      <c r="KB210" s="874"/>
      <c r="KC210" s="874"/>
      <c r="KD210" s="874"/>
      <c r="KE210" s="874"/>
      <c r="KF210" s="874"/>
      <c r="KG210" s="874"/>
      <c r="KH210" s="865"/>
      <c r="KI210" s="865"/>
      <c r="KJ210" s="865"/>
      <c r="KK210" s="865"/>
      <c r="KL210" s="865"/>
      <c r="KM210" s="865"/>
      <c r="KN210" s="865"/>
      <c r="KO210" s="865"/>
      <c r="KP210" s="865"/>
      <c r="KQ210" s="865"/>
      <c r="KR210" s="865"/>
      <c r="KS210" s="865"/>
      <c r="KT210" s="865"/>
      <c r="KU210" s="865"/>
      <c r="KV210" s="865"/>
      <c r="KW210" s="865"/>
      <c r="KX210" s="865"/>
      <c r="KY210" s="865"/>
      <c r="KZ210" s="865"/>
      <c r="LA210" s="865"/>
      <c r="LB210" s="865"/>
      <c r="LC210" s="865"/>
      <c r="LD210" s="865"/>
      <c r="LE210" s="865"/>
      <c r="LF210" s="865"/>
    </row>
    <row r="211" spans="1:318">
      <c r="A211" s="865"/>
      <c r="B211" s="865"/>
      <c r="C211" s="865"/>
      <c r="D211" s="865"/>
      <c r="E211" s="865"/>
      <c r="F211" s="865"/>
      <c r="G211" s="865"/>
      <c r="H211" s="865"/>
      <c r="I211" s="865"/>
      <c r="J211" s="865"/>
      <c r="K211" s="865"/>
      <c r="L211" s="865"/>
      <c r="M211" s="865"/>
      <c r="N211" s="865"/>
      <c r="O211" s="865"/>
      <c r="P211" s="865"/>
      <c r="Q211" s="865"/>
      <c r="R211" s="865"/>
      <c r="S211" s="865"/>
      <c r="T211" s="865"/>
      <c r="U211" s="865"/>
      <c r="V211" s="865"/>
      <c r="W211" s="865"/>
      <c r="X211" s="865"/>
      <c r="Y211" s="865"/>
      <c r="Z211" s="865"/>
      <c r="AA211" s="865"/>
      <c r="AB211" s="865"/>
      <c r="AC211" s="865"/>
      <c r="AD211" s="510"/>
      <c r="AE211" s="865"/>
      <c r="AF211" s="865"/>
      <c r="AG211" s="865"/>
      <c r="AH211" s="865"/>
      <c r="AI211" s="865"/>
      <c r="AJ211" s="510"/>
      <c r="AK211" s="865"/>
      <c r="AL211" s="865"/>
      <c r="AM211" s="865"/>
      <c r="AN211" s="865"/>
      <c r="AO211" s="865"/>
      <c r="AP211" s="510"/>
      <c r="AQ211" s="865"/>
      <c r="AR211" s="865"/>
      <c r="AS211" s="865"/>
      <c r="AT211" s="865"/>
      <c r="AU211" s="865"/>
      <c r="AV211" s="510"/>
      <c r="AW211" s="865"/>
      <c r="AX211" s="865"/>
      <c r="AY211" s="865"/>
      <c r="AZ211" s="865"/>
      <c r="BA211" s="865"/>
      <c r="BB211" s="510"/>
      <c r="BC211" s="865"/>
      <c r="BD211" s="865"/>
      <c r="BE211" s="865"/>
      <c r="BF211" s="865"/>
      <c r="BG211" s="865"/>
      <c r="BH211" s="865"/>
      <c r="BI211" s="865"/>
      <c r="BJ211" s="865"/>
      <c r="BK211" s="865"/>
      <c r="BL211" s="865"/>
      <c r="BM211" s="865"/>
      <c r="BN211" s="865"/>
      <c r="BO211" s="865"/>
      <c r="BP211" s="865"/>
      <c r="BQ211" s="865"/>
      <c r="BR211" s="865"/>
      <c r="BS211" s="865"/>
      <c r="BT211" s="865"/>
      <c r="BU211" s="865"/>
      <c r="BV211" s="865"/>
      <c r="BW211" s="865"/>
      <c r="BX211" s="865"/>
      <c r="BY211" s="874"/>
      <c r="BZ211" s="874"/>
      <c r="CA211" s="874"/>
      <c r="CB211" s="874"/>
      <c r="CC211" s="874"/>
      <c r="CD211" s="874"/>
      <c r="CE211" s="874"/>
      <c r="CF211" s="874"/>
      <c r="CG211" s="874"/>
      <c r="CH211" s="874"/>
      <c r="CI211" s="874"/>
      <c r="CJ211" s="874"/>
      <c r="CK211" s="874"/>
      <c r="CL211" s="874"/>
      <c r="CM211" s="874"/>
      <c r="CN211" s="874"/>
      <c r="CO211" s="874"/>
      <c r="CP211" s="874"/>
      <c r="CQ211" s="874"/>
      <c r="CR211" s="874"/>
      <c r="CS211" s="874"/>
      <c r="CT211" s="874"/>
      <c r="CU211" s="874"/>
      <c r="CV211" s="874"/>
      <c r="CW211" s="874"/>
      <c r="CX211" s="874"/>
      <c r="CY211" s="874"/>
      <c r="CZ211" s="874"/>
      <c r="DA211" s="874"/>
      <c r="DB211" s="874"/>
      <c r="DC211" s="874"/>
      <c r="DD211" s="874"/>
      <c r="DE211" s="874"/>
      <c r="DF211" s="874"/>
      <c r="DG211" s="874"/>
      <c r="DH211" s="874"/>
      <c r="DI211" s="874"/>
      <c r="DJ211" s="874"/>
      <c r="DK211" s="874"/>
      <c r="DL211" s="874"/>
      <c r="DM211" s="874"/>
      <c r="DN211" s="874"/>
      <c r="DO211" s="874"/>
      <c r="DP211" s="874"/>
      <c r="DQ211" s="874"/>
      <c r="DR211" s="874"/>
      <c r="DS211" s="874"/>
      <c r="DT211" s="874"/>
      <c r="DU211" s="874"/>
      <c r="DV211" s="874"/>
      <c r="DW211" s="874"/>
      <c r="DX211" s="874"/>
      <c r="DY211" s="874"/>
      <c r="DZ211" s="874"/>
      <c r="EA211" s="874"/>
      <c r="EB211" s="874"/>
      <c r="EC211" s="874"/>
      <c r="ED211" s="874"/>
      <c r="EE211" s="874"/>
      <c r="EF211" s="874"/>
      <c r="EG211" s="874"/>
      <c r="EH211" s="874"/>
      <c r="EI211" s="874"/>
      <c r="EJ211" s="874"/>
      <c r="EK211" s="874"/>
      <c r="EL211" s="874"/>
      <c r="EM211" s="874"/>
      <c r="EN211" s="874"/>
      <c r="EO211" s="874"/>
      <c r="EP211" s="874"/>
      <c r="EQ211" s="874"/>
      <c r="ER211" s="874"/>
      <c r="ES211" s="874"/>
      <c r="ET211" s="874"/>
      <c r="EU211" s="874"/>
      <c r="EV211" s="874"/>
      <c r="EW211" s="874"/>
      <c r="EX211" s="874"/>
      <c r="EY211" s="874"/>
      <c r="EZ211" s="874"/>
      <c r="FA211" s="874"/>
      <c r="FB211" s="874"/>
      <c r="FC211" s="874"/>
      <c r="FD211" s="874"/>
      <c r="FE211" s="874"/>
      <c r="FF211" s="874"/>
      <c r="FG211" s="874"/>
      <c r="FH211" s="874"/>
      <c r="FI211" s="874"/>
      <c r="FJ211" s="874"/>
      <c r="FK211" s="874"/>
      <c r="FL211" s="874"/>
      <c r="FM211" s="874"/>
      <c r="FN211" s="874"/>
      <c r="FO211" s="874"/>
      <c r="FP211" s="874"/>
      <c r="FQ211" s="874"/>
      <c r="FR211" s="874"/>
      <c r="FS211" s="874"/>
      <c r="FT211" s="874"/>
      <c r="FU211" s="874"/>
      <c r="FV211" s="874"/>
      <c r="FW211" s="874"/>
      <c r="FX211" s="874"/>
      <c r="FY211" s="874"/>
      <c r="FZ211" s="874"/>
      <c r="GA211" s="874"/>
      <c r="GB211" s="874"/>
      <c r="GC211" s="874"/>
      <c r="GD211" s="874"/>
      <c r="GE211" s="874"/>
      <c r="GF211" s="874"/>
      <c r="GG211" s="874"/>
      <c r="GH211" s="874"/>
      <c r="GI211" s="874"/>
      <c r="GJ211" s="874"/>
      <c r="GK211" s="874"/>
      <c r="GL211" s="874"/>
      <c r="GM211" s="874"/>
      <c r="GN211" s="874"/>
      <c r="GO211" s="874"/>
      <c r="GP211" s="874"/>
      <c r="GQ211" s="874"/>
      <c r="GR211" s="874"/>
      <c r="GS211" s="874"/>
      <c r="GT211" s="874"/>
      <c r="GU211" s="874"/>
      <c r="GV211" s="874"/>
      <c r="GW211" s="874"/>
      <c r="GX211" s="874"/>
      <c r="GY211" s="874"/>
      <c r="GZ211" s="874"/>
      <c r="HA211" s="874"/>
      <c r="HB211" s="874"/>
      <c r="HC211" s="874"/>
      <c r="HD211" s="874"/>
      <c r="HE211" s="874"/>
      <c r="HF211" s="874"/>
      <c r="HG211" s="874"/>
      <c r="HH211" s="874"/>
      <c r="HI211" s="874"/>
      <c r="HJ211" s="874"/>
      <c r="HK211" s="874"/>
      <c r="HL211" s="874"/>
      <c r="HM211" s="874"/>
      <c r="HN211" s="874"/>
      <c r="HO211" s="874"/>
      <c r="HP211" s="874"/>
      <c r="HQ211" s="874"/>
      <c r="HR211" s="874"/>
      <c r="HS211" s="874"/>
      <c r="HT211" s="874"/>
      <c r="HU211" s="874"/>
      <c r="HV211" s="874"/>
      <c r="HW211" s="874"/>
      <c r="HX211" s="874"/>
      <c r="HY211" s="874"/>
      <c r="HZ211" s="874"/>
      <c r="IA211" s="874"/>
      <c r="IB211" s="874"/>
      <c r="IC211" s="874"/>
      <c r="ID211" s="874"/>
      <c r="IE211" s="874"/>
      <c r="IF211" s="874"/>
      <c r="IG211" s="874"/>
      <c r="IH211" s="874"/>
      <c r="II211" s="874"/>
      <c r="IJ211" s="874"/>
      <c r="IK211" s="874"/>
      <c r="IL211" s="874"/>
      <c r="IM211" s="874"/>
      <c r="IN211" s="874"/>
      <c r="IO211" s="874"/>
      <c r="IP211" s="874"/>
      <c r="IQ211" s="874"/>
      <c r="IR211" s="874"/>
      <c r="IS211" s="874"/>
      <c r="IT211" s="874"/>
      <c r="IU211" s="874"/>
      <c r="IV211" s="874"/>
      <c r="IW211" s="874"/>
      <c r="IX211" s="874"/>
      <c r="IY211" s="874"/>
      <c r="IZ211" s="874"/>
      <c r="JA211" s="874"/>
      <c r="JB211" s="874"/>
      <c r="JC211" s="874"/>
      <c r="JD211" s="874"/>
      <c r="JE211" s="874"/>
      <c r="JF211" s="874"/>
      <c r="JG211" s="874"/>
      <c r="JH211" s="874"/>
      <c r="JI211" s="874"/>
      <c r="JJ211" s="874"/>
      <c r="JK211" s="874"/>
      <c r="JL211" s="874"/>
      <c r="JM211" s="874"/>
      <c r="JN211" s="874"/>
      <c r="JO211" s="874"/>
      <c r="JP211" s="874"/>
      <c r="JQ211" s="874"/>
      <c r="JR211" s="874"/>
      <c r="JS211" s="874"/>
      <c r="JT211" s="874"/>
      <c r="JU211" s="874"/>
      <c r="JV211" s="874"/>
      <c r="JW211" s="874"/>
      <c r="JX211" s="874"/>
      <c r="JY211" s="874"/>
      <c r="JZ211" s="874"/>
      <c r="KA211" s="874"/>
      <c r="KB211" s="874"/>
      <c r="KC211" s="874"/>
      <c r="KD211" s="874"/>
      <c r="KE211" s="874"/>
      <c r="KF211" s="874"/>
      <c r="KG211" s="874"/>
      <c r="KH211" s="865"/>
      <c r="KI211" s="865"/>
      <c r="KJ211" s="865"/>
      <c r="KK211" s="865"/>
      <c r="KL211" s="865"/>
      <c r="KM211" s="865"/>
      <c r="KN211" s="865"/>
      <c r="KO211" s="865"/>
      <c r="KP211" s="865"/>
      <c r="KQ211" s="865"/>
      <c r="KR211" s="865"/>
      <c r="KS211" s="865"/>
      <c r="KT211" s="865"/>
      <c r="KU211" s="865"/>
      <c r="KV211" s="865"/>
      <c r="KW211" s="865"/>
      <c r="KX211" s="865"/>
      <c r="KY211" s="865"/>
      <c r="KZ211" s="865"/>
      <c r="LA211" s="865"/>
      <c r="LB211" s="865"/>
      <c r="LC211" s="865"/>
      <c r="LD211" s="865"/>
      <c r="LE211" s="865"/>
      <c r="LF211" s="865"/>
    </row>
    <row r="212" spans="1:318">
      <c r="A212" s="865"/>
      <c r="B212" s="865"/>
      <c r="C212" s="865"/>
      <c r="D212" s="865"/>
      <c r="E212" s="865"/>
      <c r="F212" s="865"/>
      <c r="G212" s="865"/>
      <c r="H212" s="865"/>
      <c r="I212" s="865"/>
      <c r="J212" s="865"/>
      <c r="K212" s="865"/>
      <c r="L212" s="865"/>
      <c r="M212" s="865"/>
      <c r="N212" s="865"/>
      <c r="O212" s="865"/>
      <c r="P212" s="865"/>
      <c r="Q212" s="865"/>
      <c r="R212" s="865"/>
      <c r="S212" s="865"/>
      <c r="T212" s="865"/>
      <c r="U212" s="865"/>
      <c r="V212" s="865"/>
      <c r="W212" s="865"/>
      <c r="X212" s="865"/>
      <c r="Y212" s="865"/>
      <c r="Z212" s="865"/>
      <c r="AA212" s="865"/>
      <c r="AB212" s="865"/>
      <c r="AC212" s="865"/>
      <c r="AD212" s="510"/>
      <c r="AE212" s="865"/>
      <c r="AF212" s="865"/>
      <c r="AG212" s="865"/>
      <c r="AH212" s="865"/>
      <c r="AI212" s="865"/>
      <c r="AJ212" s="510"/>
      <c r="AK212" s="865"/>
      <c r="AL212" s="865"/>
      <c r="AM212" s="865"/>
      <c r="AN212" s="865"/>
      <c r="AO212" s="865"/>
      <c r="AP212" s="510"/>
      <c r="AQ212" s="865"/>
      <c r="AR212" s="865"/>
      <c r="AS212" s="865"/>
      <c r="AT212" s="865"/>
      <c r="AU212" s="865"/>
      <c r="AV212" s="510"/>
      <c r="AW212" s="865"/>
      <c r="AX212" s="865"/>
      <c r="AY212" s="865"/>
      <c r="AZ212" s="865"/>
      <c r="BA212" s="865"/>
      <c r="BB212" s="510"/>
      <c r="BC212" s="865"/>
      <c r="BD212" s="865"/>
      <c r="BE212" s="865"/>
      <c r="BF212" s="865"/>
      <c r="BG212" s="865"/>
      <c r="BH212" s="865"/>
      <c r="BI212" s="865"/>
      <c r="BJ212" s="865"/>
      <c r="BK212" s="865"/>
      <c r="BL212" s="865"/>
      <c r="BM212" s="865"/>
      <c r="BN212" s="865"/>
      <c r="BO212" s="865"/>
      <c r="BP212" s="865"/>
      <c r="BQ212" s="865"/>
      <c r="BR212" s="865"/>
      <c r="BS212" s="865"/>
      <c r="BT212" s="865"/>
      <c r="BU212" s="865"/>
      <c r="BV212" s="865"/>
      <c r="BW212" s="865"/>
      <c r="BX212" s="865"/>
      <c r="BY212" s="874"/>
      <c r="BZ212" s="874"/>
      <c r="CA212" s="874"/>
      <c r="CB212" s="874"/>
      <c r="CC212" s="874"/>
      <c r="CD212" s="874"/>
      <c r="CE212" s="874"/>
      <c r="CF212" s="874"/>
      <c r="CG212" s="874"/>
      <c r="CH212" s="874"/>
      <c r="CI212" s="874"/>
      <c r="CJ212" s="874"/>
      <c r="CK212" s="874"/>
      <c r="CL212" s="874"/>
      <c r="CM212" s="874"/>
      <c r="CN212" s="874"/>
      <c r="CO212" s="874"/>
      <c r="CP212" s="874"/>
      <c r="CQ212" s="874"/>
      <c r="CR212" s="874"/>
      <c r="CS212" s="874"/>
      <c r="CT212" s="874"/>
      <c r="CU212" s="874"/>
      <c r="CV212" s="874"/>
      <c r="CW212" s="874"/>
      <c r="CX212" s="874"/>
      <c r="CY212" s="874"/>
      <c r="CZ212" s="874"/>
      <c r="DA212" s="874"/>
      <c r="DB212" s="874"/>
      <c r="DC212" s="874"/>
      <c r="DD212" s="874"/>
      <c r="DE212" s="874"/>
      <c r="DF212" s="874"/>
      <c r="DG212" s="874"/>
      <c r="DH212" s="874"/>
      <c r="DI212" s="874"/>
      <c r="DJ212" s="874"/>
      <c r="DK212" s="874"/>
      <c r="DL212" s="874"/>
      <c r="DM212" s="874"/>
      <c r="DN212" s="874"/>
      <c r="DO212" s="874"/>
      <c r="DP212" s="874"/>
      <c r="DQ212" s="874"/>
      <c r="DR212" s="874"/>
      <c r="DS212" s="874"/>
      <c r="DT212" s="874"/>
      <c r="DU212" s="874"/>
      <c r="DV212" s="874"/>
      <c r="DW212" s="874"/>
      <c r="DX212" s="874"/>
      <c r="DY212" s="874"/>
      <c r="DZ212" s="874"/>
      <c r="EA212" s="874"/>
      <c r="EB212" s="874"/>
      <c r="EC212" s="874"/>
      <c r="ED212" s="874"/>
      <c r="EE212" s="874"/>
      <c r="EF212" s="874"/>
      <c r="EG212" s="874"/>
      <c r="EH212" s="874"/>
      <c r="EI212" s="874"/>
      <c r="EJ212" s="874"/>
      <c r="EK212" s="874"/>
      <c r="EL212" s="874"/>
      <c r="EM212" s="874"/>
      <c r="EN212" s="874"/>
      <c r="EO212" s="874"/>
      <c r="EP212" s="874"/>
      <c r="EQ212" s="874"/>
      <c r="ER212" s="874"/>
      <c r="ES212" s="874"/>
      <c r="ET212" s="874"/>
      <c r="EU212" s="874"/>
      <c r="EV212" s="874"/>
      <c r="EW212" s="874"/>
      <c r="EX212" s="874"/>
      <c r="EY212" s="874"/>
      <c r="EZ212" s="874"/>
      <c r="FA212" s="874"/>
      <c r="FB212" s="874"/>
      <c r="FC212" s="874"/>
      <c r="FD212" s="874"/>
      <c r="FE212" s="874"/>
      <c r="FF212" s="874"/>
      <c r="FG212" s="874"/>
      <c r="FH212" s="874"/>
      <c r="FI212" s="874"/>
      <c r="FJ212" s="874"/>
      <c r="FK212" s="874"/>
      <c r="FL212" s="874"/>
      <c r="FM212" s="874"/>
      <c r="FN212" s="874"/>
      <c r="FO212" s="874"/>
      <c r="FP212" s="874"/>
      <c r="FQ212" s="874"/>
      <c r="FR212" s="874"/>
      <c r="FS212" s="874"/>
      <c r="FT212" s="874"/>
      <c r="FU212" s="874"/>
      <c r="FV212" s="874"/>
      <c r="FW212" s="874"/>
      <c r="FX212" s="874"/>
      <c r="FY212" s="874"/>
      <c r="FZ212" s="874"/>
      <c r="GA212" s="874"/>
      <c r="GB212" s="874"/>
      <c r="GC212" s="874"/>
      <c r="GD212" s="874"/>
      <c r="GE212" s="874"/>
      <c r="GF212" s="874"/>
      <c r="GG212" s="874"/>
      <c r="GH212" s="874"/>
      <c r="GI212" s="874"/>
      <c r="GJ212" s="874"/>
      <c r="GK212" s="874"/>
      <c r="GL212" s="874"/>
      <c r="GM212" s="874"/>
      <c r="GN212" s="874"/>
      <c r="GO212" s="874"/>
      <c r="GP212" s="874"/>
      <c r="GQ212" s="874"/>
      <c r="GR212" s="874"/>
      <c r="GS212" s="874"/>
      <c r="GT212" s="874"/>
      <c r="GU212" s="874"/>
      <c r="GV212" s="874"/>
      <c r="GW212" s="874"/>
      <c r="GX212" s="874"/>
      <c r="GY212" s="874"/>
      <c r="GZ212" s="874"/>
      <c r="HA212" s="874"/>
      <c r="HB212" s="874"/>
      <c r="HC212" s="874"/>
      <c r="HD212" s="874"/>
      <c r="HE212" s="874"/>
      <c r="HF212" s="874"/>
      <c r="HG212" s="874"/>
      <c r="HH212" s="874"/>
      <c r="HI212" s="874"/>
      <c r="HJ212" s="874"/>
      <c r="HK212" s="874"/>
      <c r="HL212" s="874"/>
      <c r="HM212" s="874"/>
      <c r="HN212" s="874"/>
      <c r="HO212" s="874"/>
      <c r="HP212" s="874"/>
      <c r="HQ212" s="874"/>
      <c r="HR212" s="874"/>
      <c r="HS212" s="874"/>
      <c r="HT212" s="874"/>
      <c r="HU212" s="874"/>
      <c r="HV212" s="874"/>
      <c r="HW212" s="874"/>
      <c r="HX212" s="874"/>
      <c r="HY212" s="874"/>
      <c r="HZ212" s="874"/>
      <c r="IA212" s="874"/>
      <c r="IB212" s="874"/>
      <c r="IC212" s="874"/>
      <c r="ID212" s="874"/>
      <c r="IE212" s="874"/>
      <c r="IF212" s="874"/>
      <c r="IG212" s="874"/>
      <c r="IH212" s="874"/>
      <c r="II212" s="874"/>
      <c r="IJ212" s="874"/>
      <c r="IK212" s="874"/>
      <c r="IL212" s="874"/>
      <c r="IM212" s="874"/>
      <c r="IN212" s="874"/>
      <c r="IO212" s="874"/>
      <c r="IP212" s="874"/>
      <c r="IQ212" s="874"/>
      <c r="IR212" s="874"/>
      <c r="IS212" s="874"/>
      <c r="IT212" s="874"/>
      <c r="IU212" s="874"/>
      <c r="IV212" s="874"/>
      <c r="IW212" s="874"/>
      <c r="IX212" s="874"/>
      <c r="IY212" s="874"/>
      <c r="IZ212" s="874"/>
      <c r="JA212" s="874"/>
      <c r="JB212" s="874"/>
      <c r="JC212" s="874"/>
      <c r="JD212" s="874"/>
      <c r="JE212" s="874"/>
      <c r="JF212" s="874"/>
      <c r="JG212" s="874"/>
      <c r="JH212" s="874"/>
      <c r="JI212" s="874"/>
      <c r="JJ212" s="874"/>
      <c r="JK212" s="874"/>
      <c r="JL212" s="874"/>
      <c r="JM212" s="874"/>
      <c r="JN212" s="874"/>
      <c r="JO212" s="874"/>
      <c r="JP212" s="874"/>
      <c r="JQ212" s="874"/>
      <c r="JR212" s="874"/>
      <c r="JS212" s="874"/>
      <c r="JT212" s="874"/>
      <c r="JU212" s="874"/>
      <c r="JV212" s="874"/>
      <c r="JW212" s="874"/>
      <c r="JX212" s="874"/>
      <c r="JY212" s="874"/>
      <c r="JZ212" s="874"/>
      <c r="KA212" s="874"/>
      <c r="KB212" s="874"/>
      <c r="KC212" s="874"/>
      <c r="KD212" s="874"/>
      <c r="KE212" s="874"/>
      <c r="KF212" s="874"/>
      <c r="KG212" s="874"/>
      <c r="KH212" s="865"/>
      <c r="KI212" s="865"/>
      <c r="KJ212" s="865"/>
      <c r="KK212" s="865"/>
      <c r="KL212" s="865"/>
      <c r="KM212" s="865"/>
      <c r="KN212" s="865"/>
      <c r="KO212" s="865"/>
      <c r="KP212" s="865"/>
      <c r="KQ212" s="865"/>
      <c r="KR212" s="865"/>
      <c r="KS212" s="865"/>
      <c r="KT212" s="865"/>
      <c r="KU212" s="865"/>
      <c r="KV212" s="865"/>
      <c r="KW212" s="865"/>
      <c r="KX212" s="865"/>
      <c r="KY212" s="865"/>
      <c r="KZ212" s="865"/>
      <c r="LA212" s="865"/>
      <c r="LB212" s="865"/>
      <c r="LC212" s="865"/>
      <c r="LD212" s="865"/>
      <c r="LE212" s="865"/>
      <c r="LF212" s="865"/>
    </row>
    <row r="213" spans="1:318">
      <c r="A213" s="865"/>
      <c r="B213" s="865"/>
      <c r="C213" s="865"/>
      <c r="D213" s="865"/>
      <c r="E213" s="865"/>
      <c r="F213" s="865"/>
      <c r="G213" s="865"/>
      <c r="H213" s="865"/>
      <c r="I213" s="865"/>
      <c r="J213" s="865"/>
      <c r="K213" s="865"/>
      <c r="L213" s="865"/>
      <c r="M213" s="865"/>
      <c r="N213" s="865"/>
      <c r="O213" s="865"/>
      <c r="P213" s="865"/>
      <c r="Q213" s="865"/>
      <c r="R213" s="865"/>
      <c r="S213" s="865"/>
      <c r="T213" s="865"/>
      <c r="U213" s="865"/>
      <c r="V213" s="865"/>
      <c r="W213" s="865"/>
      <c r="X213" s="865"/>
      <c r="Y213" s="865"/>
      <c r="Z213" s="865"/>
      <c r="AA213" s="865"/>
      <c r="AB213" s="865"/>
      <c r="AC213" s="865"/>
      <c r="AD213" s="510"/>
      <c r="AE213" s="865"/>
      <c r="AF213" s="865"/>
      <c r="AG213" s="865"/>
      <c r="AH213" s="865"/>
      <c r="AI213" s="865"/>
      <c r="AJ213" s="510"/>
      <c r="AK213" s="865"/>
      <c r="AL213" s="865"/>
      <c r="AM213" s="865"/>
      <c r="AN213" s="865"/>
      <c r="AO213" s="865"/>
      <c r="AP213" s="510"/>
      <c r="AQ213" s="865"/>
      <c r="AR213" s="865"/>
      <c r="AS213" s="865"/>
      <c r="AT213" s="865"/>
      <c r="AU213" s="865"/>
      <c r="AV213" s="510"/>
      <c r="AW213" s="865"/>
      <c r="AX213" s="865"/>
      <c r="AY213" s="865"/>
      <c r="AZ213" s="865"/>
      <c r="BA213" s="865"/>
      <c r="BB213" s="510"/>
      <c r="BC213" s="865"/>
      <c r="BD213" s="865"/>
      <c r="BE213" s="865"/>
      <c r="BF213" s="865"/>
      <c r="BG213" s="865"/>
      <c r="BH213" s="865"/>
      <c r="BI213" s="865"/>
      <c r="BJ213" s="865"/>
      <c r="BK213" s="865"/>
      <c r="BL213" s="865"/>
      <c r="BM213" s="865"/>
      <c r="BN213" s="865"/>
      <c r="BO213" s="865"/>
      <c r="BP213" s="865"/>
      <c r="BQ213" s="865"/>
      <c r="BR213" s="865"/>
      <c r="BS213" s="865"/>
      <c r="BT213" s="865"/>
      <c r="BU213" s="865"/>
      <c r="BV213" s="865"/>
      <c r="BW213" s="865"/>
      <c r="BX213" s="865"/>
      <c r="BY213" s="874"/>
      <c r="BZ213" s="874"/>
      <c r="CA213" s="874"/>
      <c r="CB213" s="874"/>
      <c r="CC213" s="874"/>
      <c r="CD213" s="874"/>
      <c r="CE213" s="874"/>
      <c r="CF213" s="874"/>
      <c r="CG213" s="874"/>
      <c r="CH213" s="874"/>
      <c r="CI213" s="874"/>
      <c r="CJ213" s="874"/>
      <c r="CK213" s="874"/>
      <c r="CL213" s="874"/>
      <c r="CM213" s="874"/>
      <c r="CN213" s="874"/>
      <c r="CO213" s="874"/>
      <c r="CP213" s="874"/>
      <c r="CQ213" s="874"/>
      <c r="CR213" s="874"/>
      <c r="CS213" s="874"/>
      <c r="CT213" s="874"/>
      <c r="CU213" s="874"/>
      <c r="CV213" s="874"/>
      <c r="CW213" s="874"/>
      <c r="CX213" s="874"/>
      <c r="CY213" s="874"/>
      <c r="CZ213" s="874"/>
      <c r="DA213" s="874"/>
      <c r="DB213" s="874"/>
      <c r="DC213" s="874"/>
      <c r="DD213" s="874"/>
      <c r="DE213" s="874"/>
      <c r="DF213" s="874"/>
      <c r="DG213" s="874"/>
      <c r="DH213" s="874"/>
      <c r="DI213" s="874"/>
      <c r="DJ213" s="874"/>
      <c r="DK213" s="874"/>
      <c r="DL213" s="874"/>
      <c r="DM213" s="874"/>
      <c r="DN213" s="874"/>
      <c r="DO213" s="874"/>
      <c r="DP213" s="874"/>
      <c r="DQ213" s="874"/>
      <c r="DR213" s="874"/>
      <c r="DS213" s="874"/>
      <c r="DT213" s="874"/>
      <c r="DU213" s="874"/>
      <c r="DV213" s="874"/>
      <c r="DW213" s="874"/>
      <c r="DX213" s="874"/>
      <c r="DY213" s="874"/>
      <c r="DZ213" s="874"/>
      <c r="EA213" s="874"/>
      <c r="EB213" s="874"/>
      <c r="EC213" s="874"/>
      <c r="ED213" s="874"/>
      <c r="EE213" s="874"/>
      <c r="EF213" s="874"/>
      <c r="EG213" s="874"/>
      <c r="EH213" s="874"/>
      <c r="EI213" s="874"/>
      <c r="EJ213" s="874"/>
      <c r="EK213" s="874"/>
      <c r="EL213" s="874"/>
      <c r="EM213" s="874"/>
      <c r="EN213" s="874"/>
      <c r="EO213" s="874"/>
      <c r="EP213" s="874"/>
      <c r="EQ213" s="874"/>
      <c r="ER213" s="874"/>
      <c r="ES213" s="874"/>
      <c r="ET213" s="874"/>
      <c r="EU213" s="874"/>
      <c r="EV213" s="874"/>
      <c r="EW213" s="874"/>
      <c r="EX213" s="874"/>
      <c r="EY213" s="874"/>
      <c r="EZ213" s="874"/>
      <c r="FA213" s="874"/>
      <c r="FB213" s="874"/>
      <c r="FC213" s="874"/>
      <c r="FD213" s="874"/>
      <c r="FE213" s="874"/>
      <c r="FF213" s="874"/>
      <c r="FG213" s="874"/>
      <c r="FH213" s="874"/>
      <c r="FI213" s="874"/>
      <c r="FJ213" s="874"/>
      <c r="FK213" s="874"/>
      <c r="FL213" s="874"/>
      <c r="FM213" s="874"/>
      <c r="FN213" s="874"/>
      <c r="FO213" s="874"/>
      <c r="FP213" s="874"/>
      <c r="FQ213" s="874"/>
      <c r="FR213" s="874"/>
      <c r="FS213" s="874"/>
      <c r="FT213" s="874"/>
      <c r="FU213" s="874"/>
      <c r="FV213" s="874"/>
      <c r="FW213" s="874"/>
      <c r="FX213" s="874"/>
      <c r="FY213" s="874"/>
      <c r="FZ213" s="874"/>
      <c r="GA213" s="874"/>
      <c r="GB213" s="874"/>
      <c r="GC213" s="874"/>
      <c r="GD213" s="874"/>
      <c r="GE213" s="874"/>
      <c r="GF213" s="874"/>
      <c r="GG213" s="874"/>
      <c r="GH213" s="874"/>
      <c r="GI213" s="874"/>
      <c r="GJ213" s="874"/>
      <c r="GK213" s="874"/>
      <c r="GL213" s="874"/>
      <c r="GM213" s="874"/>
      <c r="GN213" s="874"/>
      <c r="GO213" s="874"/>
      <c r="GP213" s="874"/>
      <c r="GQ213" s="874"/>
      <c r="GR213" s="874"/>
      <c r="GS213" s="874"/>
      <c r="GT213" s="874"/>
      <c r="GU213" s="874"/>
      <c r="GV213" s="874"/>
      <c r="GW213" s="874"/>
      <c r="GX213" s="874"/>
      <c r="GY213" s="874"/>
      <c r="GZ213" s="874"/>
      <c r="HA213" s="874"/>
      <c r="HB213" s="874"/>
      <c r="HC213" s="874"/>
      <c r="HD213" s="874"/>
      <c r="HE213" s="874"/>
      <c r="HF213" s="874"/>
      <c r="HG213" s="874"/>
      <c r="HH213" s="874"/>
      <c r="HI213" s="874"/>
      <c r="HJ213" s="874"/>
      <c r="HK213" s="874"/>
      <c r="HL213" s="874"/>
      <c r="HM213" s="874"/>
      <c r="HN213" s="874"/>
      <c r="HO213" s="874"/>
      <c r="HP213" s="874"/>
      <c r="HQ213" s="874"/>
      <c r="HR213" s="874"/>
      <c r="HS213" s="874"/>
      <c r="HT213" s="874"/>
      <c r="HU213" s="874"/>
      <c r="HV213" s="874"/>
      <c r="HW213" s="874"/>
      <c r="HX213" s="874"/>
      <c r="HY213" s="874"/>
      <c r="HZ213" s="874"/>
      <c r="IA213" s="874"/>
      <c r="IB213" s="874"/>
      <c r="IC213" s="874"/>
      <c r="ID213" s="874"/>
      <c r="IE213" s="874"/>
      <c r="IF213" s="874"/>
      <c r="IG213" s="874"/>
      <c r="IH213" s="874"/>
      <c r="II213" s="874"/>
      <c r="IJ213" s="874"/>
      <c r="IK213" s="874"/>
      <c r="IL213" s="874"/>
      <c r="IM213" s="874"/>
      <c r="IN213" s="874"/>
      <c r="IO213" s="874"/>
      <c r="IP213" s="874"/>
      <c r="IQ213" s="874"/>
      <c r="IR213" s="874"/>
      <c r="IS213" s="874"/>
      <c r="IT213" s="874"/>
      <c r="IU213" s="874"/>
      <c r="IV213" s="874"/>
      <c r="IW213" s="874"/>
      <c r="IX213" s="874"/>
      <c r="IY213" s="874"/>
      <c r="IZ213" s="874"/>
      <c r="JA213" s="874"/>
      <c r="JB213" s="874"/>
      <c r="JC213" s="874"/>
      <c r="JD213" s="874"/>
      <c r="JE213" s="874"/>
      <c r="JF213" s="874"/>
      <c r="JG213" s="874"/>
      <c r="JH213" s="874"/>
      <c r="JI213" s="874"/>
      <c r="JJ213" s="874"/>
      <c r="JK213" s="874"/>
      <c r="JL213" s="874"/>
      <c r="JM213" s="874"/>
      <c r="JN213" s="874"/>
      <c r="JO213" s="874"/>
      <c r="JP213" s="874"/>
      <c r="JQ213" s="874"/>
      <c r="JR213" s="874"/>
      <c r="JS213" s="874"/>
      <c r="JT213" s="874"/>
      <c r="JU213" s="874"/>
      <c r="JV213" s="874"/>
      <c r="JW213" s="874"/>
      <c r="JX213" s="874"/>
      <c r="JY213" s="874"/>
      <c r="JZ213" s="874"/>
      <c r="KA213" s="874"/>
      <c r="KB213" s="874"/>
      <c r="KC213" s="874"/>
      <c r="KD213" s="874"/>
      <c r="KE213" s="874"/>
      <c r="KF213" s="874"/>
      <c r="KG213" s="874"/>
      <c r="KH213" s="865"/>
      <c r="KI213" s="865"/>
      <c r="KJ213" s="865"/>
      <c r="KK213" s="865"/>
      <c r="KL213" s="865"/>
      <c r="KM213" s="865"/>
      <c r="KN213" s="865"/>
      <c r="KO213" s="865"/>
      <c r="KP213" s="865"/>
      <c r="KQ213" s="865"/>
      <c r="KR213" s="865"/>
      <c r="KS213" s="865"/>
      <c r="KT213" s="865"/>
      <c r="KU213" s="865"/>
      <c r="KV213" s="865"/>
      <c r="KW213" s="865"/>
      <c r="KX213" s="865"/>
      <c r="KY213" s="865"/>
      <c r="KZ213" s="865"/>
      <c r="LA213" s="865"/>
      <c r="LB213" s="865"/>
      <c r="LC213" s="865"/>
      <c r="LD213" s="865"/>
      <c r="LE213" s="865"/>
      <c r="LF213" s="865"/>
    </row>
    <row r="214" spans="1:318">
      <c r="A214" s="865"/>
      <c r="B214" s="865"/>
      <c r="C214" s="865"/>
      <c r="D214" s="865"/>
      <c r="E214" s="865"/>
      <c r="F214" s="865"/>
      <c r="G214" s="865"/>
      <c r="H214" s="865"/>
      <c r="I214" s="865"/>
      <c r="J214" s="865"/>
      <c r="K214" s="865"/>
      <c r="L214" s="865"/>
      <c r="M214" s="865"/>
      <c r="N214" s="865"/>
      <c r="O214" s="865"/>
      <c r="P214" s="865"/>
      <c r="Q214" s="865"/>
      <c r="R214" s="865"/>
      <c r="S214" s="865"/>
      <c r="T214" s="865"/>
      <c r="U214" s="865"/>
      <c r="V214" s="865"/>
      <c r="W214" s="865"/>
      <c r="X214" s="865"/>
      <c r="Y214" s="865"/>
      <c r="Z214" s="865"/>
      <c r="AA214" s="865"/>
      <c r="AB214" s="865"/>
      <c r="AC214" s="865"/>
      <c r="AD214" s="510"/>
      <c r="AE214" s="865"/>
      <c r="AF214" s="865"/>
      <c r="AG214" s="865"/>
      <c r="AH214" s="865"/>
      <c r="AI214" s="865"/>
      <c r="AJ214" s="510"/>
      <c r="AK214" s="865"/>
      <c r="AL214" s="865"/>
      <c r="AM214" s="865"/>
      <c r="AN214" s="865"/>
      <c r="AO214" s="865"/>
      <c r="AP214" s="510"/>
      <c r="AQ214" s="865"/>
      <c r="AR214" s="865"/>
      <c r="AS214" s="865"/>
      <c r="AT214" s="865"/>
      <c r="AU214" s="865"/>
      <c r="AV214" s="510"/>
      <c r="AW214" s="865"/>
      <c r="AX214" s="865"/>
      <c r="AY214" s="865"/>
      <c r="AZ214" s="865"/>
      <c r="BA214" s="865"/>
      <c r="BB214" s="510"/>
      <c r="BC214" s="865"/>
      <c r="BD214" s="865"/>
      <c r="BE214" s="865"/>
      <c r="BF214" s="865"/>
      <c r="BG214" s="865"/>
      <c r="BH214" s="865"/>
      <c r="BI214" s="865"/>
      <c r="BJ214" s="865"/>
      <c r="BK214" s="865"/>
      <c r="BL214" s="865"/>
      <c r="BM214" s="865"/>
      <c r="BN214" s="865"/>
      <c r="BO214" s="865"/>
      <c r="BP214" s="865"/>
      <c r="BQ214" s="865"/>
      <c r="BR214" s="865"/>
      <c r="BS214" s="865"/>
      <c r="BT214" s="865"/>
      <c r="BU214" s="865"/>
      <c r="BV214" s="865"/>
      <c r="BW214" s="865"/>
      <c r="BX214" s="865"/>
      <c r="BY214" s="874"/>
      <c r="BZ214" s="874"/>
      <c r="CA214" s="874"/>
      <c r="CB214" s="874"/>
      <c r="CC214" s="874"/>
      <c r="CD214" s="874"/>
      <c r="CE214" s="874"/>
      <c r="CF214" s="874"/>
      <c r="CG214" s="874"/>
      <c r="CH214" s="874"/>
      <c r="CI214" s="874"/>
      <c r="CJ214" s="874"/>
      <c r="CK214" s="874"/>
      <c r="CL214" s="874"/>
      <c r="CM214" s="874"/>
      <c r="CN214" s="874"/>
      <c r="CO214" s="874"/>
      <c r="CP214" s="874"/>
      <c r="CQ214" s="874"/>
      <c r="CR214" s="874"/>
      <c r="CS214" s="874"/>
      <c r="CT214" s="874"/>
      <c r="CU214" s="874"/>
      <c r="CV214" s="874"/>
      <c r="CW214" s="874"/>
      <c r="CX214" s="874"/>
      <c r="CY214" s="874"/>
      <c r="CZ214" s="874"/>
      <c r="DA214" s="874"/>
      <c r="DB214" s="874"/>
      <c r="DC214" s="874"/>
      <c r="DD214" s="874"/>
      <c r="DE214" s="874"/>
      <c r="DF214" s="874"/>
      <c r="DG214" s="874"/>
      <c r="DH214" s="874"/>
      <c r="DI214" s="874"/>
      <c r="DJ214" s="874"/>
      <c r="DK214" s="874"/>
      <c r="DL214" s="874"/>
      <c r="DM214" s="874"/>
      <c r="DN214" s="874"/>
      <c r="DO214" s="874"/>
      <c r="DP214" s="874"/>
      <c r="DQ214" s="874"/>
      <c r="DR214" s="874"/>
      <c r="DS214" s="874"/>
      <c r="DT214" s="874"/>
      <c r="DU214" s="874"/>
      <c r="DV214" s="874"/>
      <c r="DW214" s="874"/>
      <c r="DX214" s="874"/>
      <c r="DY214" s="874"/>
      <c r="DZ214" s="874"/>
      <c r="EA214" s="874"/>
      <c r="EB214" s="874"/>
      <c r="EC214" s="874"/>
      <c r="ED214" s="874"/>
      <c r="EE214" s="874"/>
      <c r="EF214" s="874"/>
      <c r="EG214" s="874"/>
      <c r="EH214" s="874"/>
      <c r="EI214" s="874"/>
      <c r="EJ214" s="874"/>
      <c r="EK214" s="874"/>
      <c r="EL214" s="874"/>
      <c r="EM214" s="874"/>
      <c r="EN214" s="874"/>
      <c r="EO214" s="874"/>
      <c r="EP214" s="874"/>
      <c r="EQ214" s="874"/>
      <c r="ER214" s="874"/>
      <c r="ES214" s="874"/>
      <c r="ET214" s="874"/>
      <c r="EU214" s="874"/>
      <c r="EV214" s="874"/>
      <c r="EW214" s="874"/>
      <c r="EX214" s="874"/>
      <c r="EY214" s="874"/>
      <c r="EZ214" s="874"/>
      <c r="FA214" s="874"/>
      <c r="FB214" s="874"/>
      <c r="FC214" s="874"/>
      <c r="FD214" s="874"/>
      <c r="FE214" s="874"/>
      <c r="FF214" s="874"/>
      <c r="FG214" s="874"/>
      <c r="FH214" s="874"/>
      <c r="FI214" s="874"/>
      <c r="FJ214" s="874"/>
      <c r="FK214" s="874"/>
      <c r="FL214" s="874"/>
      <c r="FM214" s="874"/>
      <c r="FN214" s="874"/>
      <c r="FO214" s="874"/>
      <c r="FP214" s="874"/>
      <c r="FQ214" s="874"/>
      <c r="FR214" s="874"/>
      <c r="FS214" s="874"/>
      <c r="FT214" s="874"/>
      <c r="FU214" s="874"/>
      <c r="FV214" s="874"/>
      <c r="FW214" s="874"/>
      <c r="FX214" s="874"/>
      <c r="FY214" s="874"/>
      <c r="FZ214" s="874"/>
      <c r="GA214" s="874"/>
      <c r="GB214" s="874"/>
      <c r="GC214" s="874"/>
      <c r="GD214" s="874"/>
      <c r="GE214" s="874"/>
      <c r="GF214" s="874"/>
      <c r="GG214" s="874"/>
      <c r="GH214" s="874"/>
      <c r="GI214" s="874"/>
      <c r="GJ214" s="874"/>
      <c r="GK214" s="874"/>
      <c r="GL214" s="874"/>
      <c r="GM214" s="874"/>
      <c r="GN214" s="874"/>
      <c r="GO214" s="874"/>
      <c r="GP214" s="874"/>
      <c r="GQ214" s="874"/>
      <c r="GR214" s="874"/>
      <c r="GS214" s="874"/>
      <c r="GT214" s="874"/>
      <c r="GU214" s="874"/>
      <c r="GV214" s="874"/>
      <c r="GW214" s="874"/>
      <c r="GX214" s="874"/>
      <c r="GY214" s="874"/>
      <c r="GZ214" s="874"/>
      <c r="HA214" s="874"/>
      <c r="HB214" s="874"/>
      <c r="HC214" s="874"/>
      <c r="HD214" s="874"/>
      <c r="HE214" s="874"/>
      <c r="HF214" s="874"/>
      <c r="HG214" s="874"/>
      <c r="HH214" s="874"/>
      <c r="HI214" s="874"/>
      <c r="HJ214" s="874"/>
      <c r="HK214" s="874"/>
      <c r="HL214" s="874"/>
      <c r="HM214" s="874"/>
      <c r="HN214" s="874"/>
      <c r="HO214" s="874"/>
      <c r="HP214" s="874"/>
      <c r="HQ214" s="874"/>
      <c r="HR214" s="874"/>
      <c r="HS214" s="874"/>
      <c r="HT214" s="874"/>
      <c r="HU214" s="874"/>
      <c r="HV214" s="874"/>
      <c r="HW214" s="874"/>
      <c r="HX214" s="874"/>
      <c r="HY214" s="874"/>
      <c r="HZ214" s="874"/>
      <c r="IA214" s="874"/>
      <c r="IB214" s="874"/>
      <c r="IC214" s="874"/>
      <c r="ID214" s="874"/>
      <c r="IE214" s="874"/>
      <c r="IF214" s="874"/>
      <c r="IG214" s="874"/>
      <c r="IH214" s="874"/>
      <c r="II214" s="874"/>
      <c r="IJ214" s="874"/>
      <c r="IK214" s="874"/>
      <c r="IL214" s="874"/>
      <c r="IM214" s="874"/>
      <c r="IN214" s="874"/>
      <c r="IO214" s="874"/>
      <c r="IP214" s="874"/>
      <c r="IQ214" s="874"/>
      <c r="IR214" s="874"/>
      <c r="IS214" s="874"/>
      <c r="IT214" s="874"/>
      <c r="IU214" s="874"/>
      <c r="IV214" s="874"/>
      <c r="IW214" s="874"/>
      <c r="IX214" s="874"/>
      <c r="IY214" s="874"/>
      <c r="IZ214" s="874"/>
      <c r="JA214" s="874"/>
      <c r="JB214" s="874"/>
      <c r="JC214" s="874"/>
      <c r="JD214" s="874"/>
      <c r="JE214" s="874"/>
      <c r="JF214" s="874"/>
      <c r="JG214" s="874"/>
      <c r="JH214" s="874"/>
      <c r="JI214" s="874"/>
      <c r="JJ214" s="874"/>
      <c r="JK214" s="874"/>
      <c r="JL214" s="874"/>
      <c r="JM214" s="874"/>
      <c r="JN214" s="874"/>
      <c r="JO214" s="874"/>
      <c r="JP214" s="874"/>
      <c r="JQ214" s="874"/>
      <c r="JR214" s="874"/>
      <c r="JS214" s="874"/>
      <c r="JT214" s="874"/>
      <c r="JU214" s="874"/>
      <c r="JV214" s="874"/>
      <c r="JW214" s="874"/>
      <c r="JX214" s="874"/>
      <c r="JY214" s="874"/>
      <c r="JZ214" s="874"/>
      <c r="KA214" s="874"/>
      <c r="KB214" s="874"/>
      <c r="KC214" s="874"/>
      <c r="KD214" s="874"/>
      <c r="KE214" s="874"/>
      <c r="KF214" s="874"/>
      <c r="KG214" s="874"/>
      <c r="KH214" s="865"/>
      <c r="KI214" s="865"/>
      <c r="KJ214" s="865"/>
      <c r="KK214" s="865"/>
      <c r="KL214" s="865"/>
      <c r="KM214" s="865"/>
      <c r="KN214" s="865"/>
      <c r="KO214" s="865"/>
      <c r="KP214" s="865"/>
      <c r="KQ214" s="865"/>
      <c r="KR214" s="865"/>
      <c r="KS214" s="865"/>
      <c r="KT214" s="865"/>
      <c r="KU214" s="865"/>
      <c r="KV214" s="865"/>
      <c r="KW214" s="865"/>
      <c r="KX214" s="865"/>
      <c r="KY214" s="865"/>
      <c r="KZ214" s="865"/>
      <c r="LA214" s="865"/>
      <c r="LB214" s="865"/>
      <c r="LC214" s="865"/>
      <c r="LD214" s="865"/>
      <c r="LE214" s="865"/>
      <c r="LF214" s="865"/>
    </row>
    <row r="215" spans="1:318">
      <c r="A215" s="865"/>
      <c r="B215" s="865"/>
      <c r="C215" s="865"/>
      <c r="D215" s="865"/>
      <c r="E215" s="865"/>
      <c r="F215" s="865"/>
      <c r="G215" s="865"/>
      <c r="H215" s="865"/>
      <c r="I215" s="865"/>
      <c r="J215" s="865"/>
      <c r="K215" s="865"/>
      <c r="L215" s="865"/>
      <c r="M215" s="865"/>
      <c r="N215" s="865"/>
      <c r="O215" s="865"/>
      <c r="P215" s="865"/>
      <c r="Q215" s="865"/>
      <c r="R215" s="865"/>
      <c r="S215" s="865"/>
      <c r="T215" s="865"/>
      <c r="U215" s="865"/>
      <c r="V215" s="865"/>
      <c r="W215" s="865"/>
      <c r="X215" s="865"/>
      <c r="Y215" s="865"/>
      <c r="Z215" s="865"/>
      <c r="AA215" s="865"/>
      <c r="AB215" s="865"/>
      <c r="AC215" s="865"/>
      <c r="AD215" s="510"/>
      <c r="AE215" s="865"/>
      <c r="AF215" s="865"/>
      <c r="AG215" s="865"/>
      <c r="AH215" s="865"/>
      <c r="AI215" s="865"/>
      <c r="AJ215" s="510"/>
      <c r="AK215" s="865"/>
      <c r="AL215" s="865"/>
      <c r="AM215" s="865"/>
      <c r="AN215" s="865"/>
      <c r="AO215" s="865"/>
      <c r="AP215" s="510"/>
      <c r="AQ215" s="865"/>
      <c r="AR215" s="865"/>
      <c r="AS215" s="865"/>
      <c r="AT215" s="865"/>
      <c r="AU215" s="865"/>
      <c r="AV215" s="510"/>
      <c r="AW215" s="865"/>
      <c r="AX215" s="865"/>
      <c r="AY215" s="865"/>
      <c r="AZ215" s="865"/>
      <c r="BA215" s="865"/>
      <c r="BB215" s="510"/>
      <c r="BC215" s="865"/>
      <c r="BD215" s="865"/>
      <c r="BE215" s="865"/>
      <c r="BF215" s="865"/>
      <c r="BG215" s="865"/>
      <c r="BH215" s="865"/>
      <c r="BI215" s="865"/>
      <c r="BJ215" s="865"/>
      <c r="BK215" s="865"/>
      <c r="BL215" s="865"/>
      <c r="BM215" s="865"/>
      <c r="BN215" s="865"/>
      <c r="BO215" s="865"/>
      <c r="BP215" s="865"/>
      <c r="BQ215" s="865"/>
      <c r="BR215" s="865"/>
      <c r="BS215" s="865"/>
      <c r="BT215" s="865"/>
      <c r="BU215" s="865"/>
      <c r="BV215" s="865"/>
      <c r="BW215" s="865"/>
      <c r="BX215" s="865"/>
      <c r="BY215" s="874"/>
      <c r="BZ215" s="874"/>
      <c r="CA215" s="874"/>
      <c r="CB215" s="874"/>
      <c r="CC215" s="874"/>
      <c r="CD215" s="874"/>
      <c r="CE215" s="874"/>
      <c r="CF215" s="874"/>
      <c r="CG215" s="874"/>
      <c r="CH215" s="874"/>
      <c r="CI215" s="874"/>
      <c r="CJ215" s="874"/>
      <c r="CK215" s="874"/>
      <c r="CL215" s="874"/>
      <c r="CM215" s="874"/>
      <c r="CN215" s="874"/>
      <c r="CO215" s="874"/>
      <c r="CP215" s="874"/>
      <c r="CQ215" s="874"/>
      <c r="CR215" s="874"/>
      <c r="CS215" s="874"/>
      <c r="CT215" s="874"/>
      <c r="CU215" s="874"/>
      <c r="CV215" s="874"/>
      <c r="CW215" s="874"/>
      <c r="CX215" s="874"/>
      <c r="CY215" s="874"/>
      <c r="CZ215" s="874"/>
      <c r="DA215" s="874"/>
      <c r="DB215" s="874"/>
      <c r="DC215" s="874"/>
      <c r="DD215" s="874"/>
      <c r="DE215" s="874"/>
      <c r="DF215" s="874"/>
      <c r="DG215" s="874"/>
      <c r="DH215" s="874"/>
      <c r="DI215" s="874"/>
      <c r="DJ215" s="874"/>
      <c r="DK215" s="874"/>
      <c r="DL215" s="874"/>
      <c r="DM215" s="874"/>
      <c r="DN215" s="874"/>
      <c r="DO215" s="874"/>
      <c r="DP215" s="874"/>
      <c r="DQ215" s="874"/>
      <c r="DR215" s="874"/>
      <c r="DS215" s="874"/>
      <c r="DT215" s="874"/>
      <c r="DU215" s="874"/>
      <c r="DV215" s="874"/>
      <c r="DW215" s="874"/>
      <c r="DX215" s="874"/>
      <c r="DY215" s="874"/>
      <c r="DZ215" s="874"/>
      <c r="EA215" s="874"/>
      <c r="EB215" s="874"/>
      <c r="EC215" s="874"/>
      <c r="ED215" s="874"/>
      <c r="EE215" s="874"/>
      <c r="EF215" s="874"/>
      <c r="EG215" s="874"/>
      <c r="EH215" s="874"/>
      <c r="EI215" s="874"/>
      <c r="EJ215" s="874"/>
      <c r="EK215" s="874"/>
      <c r="EL215" s="874"/>
      <c r="EM215" s="874"/>
      <c r="EN215" s="874"/>
      <c r="EO215" s="874"/>
      <c r="EP215" s="874"/>
      <c r="EQ215" s="874"/>
      <c r="ER215" s="874"/>
      <c r="ES215" s="874"/>
      <c r="ET215" s="874"/>
      <c r="EU215" s="874"/>
      <c r="EV215" s="874"/>
      <c r="EW215" s="874"/>
      <c r="EX215" s="874"/>
      <c r="EY215" s="874"/>
      <c r="EZ215" s="874"/>
      <c r="FA215" s="874"/>
      <c r="FB215" s="874"/>
      <c r="FC215" s="874"/>
      <c r="FD215" s="874"/>
      <c r="FE215" s="874"/>
      <c r="FF215" s="874"/>
      <c r="FG215" s="874"/>
      <c r="FH215" s="874"/>
      <c r="FI215" s="874"/>
      <c r="FJ215" s="874"/>
      <c r="FK215" s="874"/>
      <c r="FL215" s="874"/>
      <c r="FM215" s="874"/>
      <c r="FN215" s="874"/>
      <c r="FO215" s="874"/>
      <c r="FP215" s="874"/>
      <c r="FQ215" s="874"/>
      <c r="FR215" s="874"/>
      <c r="FS215" s="874"/>
      <c r="FT215" s="874"/>
      <c r="FU215" s="874"/>
      <c r="FV215" s="874"/>
      <c r="FW215" s="874"/>
      <c r="FX215" s="874"/>
      <c r="FY215" s="874"/>
      <c r="FZ215" s="874"/>
      <c r="GA215" s="874"/>
      <c r="GB215" s="874"/>
      <c r="GC215" s="874"/>
      <c r="GD215" s="874"/>
      <c r="GE215" s="874"/>
      <c r="GF215" s="874"/>
      <c r="GG215" s="874"/>
      <c r="GH215" s="874"/>
      <c r="GI215" s="874"/>
      <c r="GJ215" s="874"/>
      <c r="GK215" s="874"/>
      <c r="GL215" s="874"/>
      <c r="GM215" s="874"/>
      <c r="GN215" s="874"/>
      <c r="GO215" s="874"/>
      <c r="GP215" s="874"/>
      <c r="GQ215" s="874"/>
      <c r="GR215" s="874"/>
      <c r="GS215" s="874"/>
      <c r="GT215" s="874"/>
      <c r="GU215" s="874"/>
      <c r="GV215" s="874"/>
      <c r="GW215" s="874"/>
      <c r="GX215" s="874"/>
      <c r="GY215" s="874"/>
      <c r="GZ215" s="874"/>
      <c r="HA215" s="874"/>
      <c r="HB215" s="874"/>
      <c r="HC215" s="874"/>
      <c r="HD215" s="874"/>
      <c r="HE215" s="874"/>
      <c r="HF215" s="874"/>
      <c r="HG215" s="874"/>
      <c r="HH215" s="874"/>
      <c r="HI215" s="874"/>
      <c r="HJ215" s="874"/>
      <c r="HK215" s="874"/>
      <c r="HL215" s="874"/>
      <c r="HM215" s="874"/>
      <c r="HN215" s="874"/>
      <c r="HO215" s="874"/>
      <c r="HP215" s="874"/>
      <c r="HQ215" s="874"/>
      <c r="HR215" s="874"/>
      <c r="HS215" s="874"/>
      <c r="HT215" s="874"/>
      <c r="HU215" s="874"/>
      <c r="HV215" s="874"/>
      <c r="HW215" s="874"/>
      <c r="HX215" s="874"/>
      <c r="HY215" s="874"/>
      <c r="HZ215" s="874"/>
      <c r="IA215" s="874"/>
      <c r="IB215" s="874"/>
      <c r="IC215" s="874"/>
      <c r="ID215" s="874"/>
      <c r="IE215" s="874"/>
      <c r="IF215" s="874"/>
      <c r="IG215" s="874"/>
      <c r="IH215" s="874"/>
      <c r="II215" s="874"/>
      <c r="IJ215" s="874"/>
      <c r="IK215" s="874"/>
      <c r="IL215" s="874"/>
      <c r="IM215" s="874"/>
      <c r="IN215" s="874"/>
      <c r="IO215" s="874"/>
      <c r="IP215" s="874"/>
      <c r="IQ215" s="874"/>
      <c r="IR215" s="874"/>
      <c r="IS215" s="874"/>
      <c r="IT215" s="874"/>
      <c r="IU215" s="874"/>
      <c r="IV215" s="874"/>
      <c r="IW215" s="874"/>
      <c r="IX215" s="874"/>
      <c r="IY215" s="874"/>
      <c r="IZ215" s="874"/>
      <c r="JA215" s="874"/>
      <c r="JB215" s="874"/>
      <c r="JC215" s="874"/>
      <c r="JD215" s="874"/>
      <c r="JE215" s="874"/>
      <c r="JF215" s="874"/>
      <c r="JG215" s="874"/>
      <c r="JH215" s="874"/>
      <c r="JI215" s="874"/>
      <c r="JJ215" s="874"/>
      <c r="JK215" s="874"/>
      <c r="JL215" s="874"/>
      <c r="JM215" s="874"/>
      <c r="JN215" s="874"/>
      <c r="JO215" s="874"/>
      <c r="JP215" s="874"/>
      <c r="JQ215" s="874"/>
      <c r="JR215" s="874"/>
      <c r="JS215" s="874"/>
      <c r="JT215" s="874"/>
      <c r="JU215" s="874"/>
      <c r="JV215" s="874"/>
      <c r="JW215" s="874"/>
      <c r="JX215" s="874"/>
      <c r="JY215" s="874"/>
      <c r="JZ215" s="874"/>
      <c r="KA215" s="874"/>
      <c r="KB215" s="874"/>
      <c r="KC215" s="874"/>
      <c r="KD215" s="874"/>
      <c r="KE215" s="874"/>
      <c r="KF215" s="874"/>
      <c r="KG215" s="874"/>
      <c r="KH215" s="865"/>
      <c r="KI215" s="865"/>
      <c r="KJ215" s="865"/>
      <c r="KK215" s="865"/>
      <c r="KL215" s="865"/>
      <c r="KM215" s="865"/>
      <c r="KN215" s="865"/>
      <c r="KO215" s="865"/>
      <c r="KP215" s="865"/>
      <c r="KQ215" s="865"/>
      <c r="KR215" s="865"/>
      <c r="KS215" s="865"/>
      <c r="KT215" s="865"/>
      <c r="KU215" s="865"/>
      <c r="KV215" s="865"/>
      <c r="KW215" s="865"/>
      <c r="KX215" s="865"/>
      <c r="KY215" s="865"/>
      <c r="KZ215" s="865"/>
      <c r="LA215" s="865"/>
      <c r="LB215" s="865"/>
      <c r="LC215" s="865"/>
      <c r="LD215" s="865"/>
      <c r="LE215" s="865"/>
      <c r="LF215" s="865"/>
    </row>
    <row r="216" spans="1:318">
      <c r="A216" s="865"/>
      <c r="B216" s="865"/>
      <c r="C216" s="865"/>
      <c r="D216" s="865"/>
      <c r="E216" s="865"/>
      <c r="F216" s="865"/>
      <c r="G216" s="865"/>
      <c r="H216" s="865"/>
      <c r="I216" s="865"/>
      <c r="J216" s="865"/>
      <c r="K216" s="865"/>
      <c r="L216" s="865"/>
      <c r="M216" s="865"/>
      <c r="N216" s="865"/>
      <c r="O216" s="865"/>
      <c r="P216" s="865"/>
      <c r="Q216" s="865"/>
      <c r="R216" s="865"/>
      <c r="S216" s="865"/>
      <c r="T216" s="865"/>
      <c r="U216" s="865"/>
      <c r="V216" s="865"/>
      <c r="W216" s="865"/>
      <c r="X216" s="865"/>
      <c r="Y216" s="865"/>
      <c r="Z216" s="865"/>
      <c r="AA216" s="865"/>
      <c r="AB216" s="865"/>
      <c r="AC216" s="865"/>
      <c r="AD216" s="510"/>
      <c r="AE216" s="865"/>
      <c r="AF216" s="865"/>
      <c r="AG216" s="865"/>
      <c r="AH216" s="865"/>
      <c r="AI216" s="865"/>
      <c r="AJ216" s="510"/>
      <c r="AK216" s="865"/>
      <c r="AL216" s="865"/>
      <c r="AM216" s="865"/>
      <c r="AN216" s="865"/>
      <c r="AO216" s="865"/>
      <c r="AP216" s="510"/>
      <c r="AQ216" s="865"/>
      <c r="AR216" s="865"/>
      <c r="AS216" s="865"/>
      <c r="AT216" s="865"/>
      <c r="AU216" s="865"/>
      <c r="AV216" s="510"/>
      <c r="AW216" s="865"/>
      <c r="AX216" s="865"/>
      <c r="AY216" s="865"/>
      <c r="AZ216" s="865"/>
      <c r="BA216" s="865"/>
      <c r="BB216" s="510"/>
      <c r="BC216" s="865"/>
      <c r="BD216" s="865"/>
      <c r="BE216" s="865"/>
      <c r="BF216" s="865"/>
      <c r="BG216" s="865"/>
      <c r="BH216" s="865"/>
      <c r="BI216" s="865"/>
      <c r="BJ216" s="865"/>
      <c r="BK216" s="865"/>
      <c r="BL216" s="865"/>
      <c r="BM216" s="865"/>
      <c r="BN216" s="865"/>
      <c r="BO216" s="865"/>
      <c r="BP216" s="865"/>
      <c r="BQ216" s="865"/>
      <c r="BR216" s="865"/>
      <c r="BS216" s="865"/>
      <c r="BT216" s="865"/>
      <c r="BU216" s="865"/>
      <c r="BV216" s="865"/>
      <c r="BW216" s="865"/>
      <c r="BX216" s="865"/>
      <c r="BY216" s="874"/>
      <c r="BZ216" s="874"/>
      <c r="CA216" s="874"/>
      <c r="CB216" s="874"/>
      <c r="CC216" s="874"/>
      <c r="CD216" s="874"/>
      <c r="CE216" s="874"/>
      <c r="CF216" s="874"/>
      <c r="CG216" s="874"/>
      <c r="CH216" s="874"/>
      <c r="CI216" s="874"/>
      <c r="CJ216" s="874"/>
      <c r="CK216" s="874"/>
      <c r="CL216" s="874"/>
      <c r="CM216" s="874"/>
      <c r="CN216" s="874"/>
      <c r="CO216" s="874"/>
      <c r="CP216" s="874"/>
      <c r="CQ216" s="874"/>
      <c r="CR216" s="874"/>
      <c r="CS216" s="874"/>
      <c r="CT216" s="874"/>
      <c r="CU216" s="874"/>
      <c r="CV216" s="874"/>
      <c r="CW216" s="874"/>
      <c r="CX216" s="874"/>
      <c r="CY216" s="874"/>
      <c r="CZ216" s="874"/>
      <c r="DA216" s="874"/>
      <c r="DB216" s="874"/>
      <c r="DC216" s="874"/>
      <c r="DD216" s="874"/>
      <c r="DE216" s="874"/>
      <c r="DF216" s="874"/>
      <c r="DG216" s="874"/>
      <c r="DH216" s="874"/>
      <c r="DI216" s="874"/>
      <c r="DJ216" s="874"/>
      <c r="DK216" s="874"/>
      <c r="DL216" s="874"/>
      <c r="DM216" s="874"/>
      <c r="DN216" s="874"/>
      <c r="DO216" s="874"/>
      <c r="DP216" s="874"/>
      <c r="DQ216" s="874"/>
      <c r="DR216" s="874"/>
      <c r="DS216" s="874"/>
      <c r="DT216" s="874"/>
      <c r="DU216" s="874"/>
      <c r="DV216" s="874"/>
      <c r="DW216" s="874"/>
      <c r="DX216" s="874"/>
      <c r="DY216" s="874"/>
      <c r="DZ216" s="874"/>
      <c r="EA216" s="874"/>
      <c r="EB216" s="874"/>
      <c r="EC216" s="874"/>
      <c r="ED216" s="874"/>
      <c r="EE216" s="874"/>
      <c r="EF216" s="874"/>
      <c r="EG216" s="874"/>
      <c r="EH216" s="874"/>
      <c r="EI216" s="874"/>
      <c r="EJ216" s="874"/>
      <c r="EK216" s="874"/>
      <c r="EL216" s="874"/>
      <c r="EM216" s="874"/>
      <c r="EN216" s="874"/>
      <c r="EO216" s="874"/>
      <c r="EP216" s="874"/>
      <c r="EQ216" s="874"/>
      <c r="ER216" s="874"/>
      <c r="ES216" s="874"/>
      <c r="ET216" s="874"/>
      <c r="EU216" s="874"/>
      <c r="EV216" s="874"/>
      <c r="EW216" s="874"/>
      <c r="EX216" s="874"/>
      <c r="EY216" s="874"/>
      <c r="EZ216" s="874"/>
      <c r="FA216" s="874"/>
      <c r="FB216" s="874"/>
      <c r="FC216" s="874"/>
      <c r="FD216" s="874"/>
      <c r="FE216" s="874"/>
      <c r="FF216" s="874"/>
      <c r="FG216" s="874"/>
      <c r="FH216" s="874"/>
      <c r="FI216" s="874"/>
      <c r="FJ216" s="874"/>
      <c r="FK216" s="874"/>
      <c r="FL216" s="874"/>
      <c r="FM216" s="874"/>
      <c r="FN216" s="874"/>
      <c r="FO216" s="874"/>
      <c r="FP216" s="874"/>
      <c r="FQ216" s="874"/>
      <c r="FR216" s="874"/>
      <c r="FS216" s="874"/>
      <c r="FT216" s="874"/>
      <c r="FU216" s="874"/>
      <c r="FV216" s="874"/>
      <c r="FW216" s="874"/>
      <c r="FX216" s="874"/>
      <c r="FY216" s="874"/>
      <c r="FZ216" s="874"/>
      <c r="GA216" s="874"/>
      <c r="GB216" s="874"/>
      <c r="GC216" s="874"/>
      <c r="GD216" s="874"/>
      <c r="GE216" s="874"/>
      <c r="GF216" s="874"/>
      <c r="GG216" s="874"/>
      <c r="GH216" s="874"/>
      <c r="GI216" s="874"/>
      <c r="GJ216" s="874"/>
      <c r="GK216" s="874"/>
      <c r="GL216" s="874"/>
      <c r="GM216" s="874"/>
      <c r="GN216" s="874"/>
      <c r="GO216" s="874"/>
      <c r="GP216" s="874"/>
      <c r="GQ216" s="874"/>
      <c r="GR216" s="874"/>
      <c r="GS216" s="874"/>
      <c r="GT216" s="874"/>
      <c r="GU216" s="874"/>
      <c r="GV216" s="874"/>
      <c r="GW216" s="874"/>
      <c r="GX216" s="874"/>
      <c r="GY216" s="874"/>
      <c r="GZ216" s="874"/>
      <c r="HA216" s="874"/>
      <c r="HB216" s="874"/>
      <c r="HC216" s="874"/>
      <c r="HD216" s="874"/>
      <c r="HE216" s="874"/>
      <c r="HF216" s="874"/>
      <c r="HG216" s="874"/>
      <c r="HH216" s="874"/>
      <c r="HI216" s="874"/>
      <c r="HJ216" s="874"/>
      <c r="HK216" s="874"/>
      <c r="HL216" s="874"/>
      <c r="HM216" s="874"/>
      <c r="HN216" s="874"/>
      <c r="HO216" s="874"/>
      <c r="HP216" s="874"/>
      <c r="HQ216" s="874"/>
      <c r="HR216" s="874"/>
      <c r="HS216" s="874"/>
      <c r="HT216" s="874"/>
      <c r="HU216" s="874"/>
      <c r="HV216" s="874"/>
      <c r="HW216" s="874"/>
      <c r="HX216" s="874"/>
      <c r="HY216" s="874"/>
      <c r="HZ216" s="874"/>
      <c r="IA216" s="874"/>
      <c r="IB216" s="874"/>
      <c r="IC216" s="874"/>
      <c r="ID216" s="874"/>
      <c r="IE216" s="874"/>
      <c r="IF216" s="874"/>
      <c r="IG216" s="874"/>
      <c r="IH216" s="874"/>
      <c r="II216" s="874"/>
      <c r="IJ216" s="874"/>
      <c r="IK216" s="874"/>
      <c r="IL216" s="874"/>
      <c r="IM216" s="874"/>
      <c r="IN216" s="874"/>
      <c r="IO216" s="874"/>
      <c r="IP216" s="874"/>
      <c r="IQ216" s="874"/>
      <c r="IR216" s="874"/>
      <c r="IS216" s="874"/>
      <c r="IT216" s="874"/>
      <c r="IU216" s="874"/>
      <c r="IV216" s="874"/>
      <c r="IW216" s="874"/>
      <c r="IX216" s="874"/>
      <c r="IY216" s="874"/>
      <c r="IZ216" s="874"/>
      <c r="JA216" s="874"/>
      <c r="JB216" s="874"/>
      <c r="JC216" s="874"/>
      <c r="JD216" s="874"/>
      <c r="JE216" s="874"/>
      <c r="JF216" s="874"/>
      <c r="JG216" s="874"/>
      <c r="JH216" s="874"/>
      <c r="JI216" s="874"/>
      <c r="JJ216" s="874"/>
      <c r="JK216" s="874"/>
      <c r="JL216" s="874"/>
      <c r="JM216" s="874"/>
      <c r="JN216" s="874"/>
      <c r="JO216" s="874"/>
      <c r="JP216" s="874"/>
      <c r="JQ216" s="874"/>
      <c r="JR216" s="874"/>
      <c r="JS216" s="874"/>
      <c r="JT216" s="874"/>
      <c r="JU216" s="874"/>
      <c r="JV216" s="874"/>
      <c r="JW216" s="874"/>
      <c r="JX216" s="874"/>
      <c r="JY216" s="874"/>
      <c r="JZ216" s="874"/>
      <c r="KA216" s="874"/>
      <c r="KB216" s="874"/>
      <c r="KC216" s="874"/>
      <c r="KD216" s="874"/>
      <c r="KE216" s="874"/>
      <c r="KF216" s="874"/>
      <c r="KG216" s="874"/>
      <c r="KH216" s="865"/>
      <c r="KI216" s="865"/>
      <c r="KJ216" s="865"/>
      <c r="KK216" s="865"/>
      <c r="KL216" s="865"/>
      <c r="KM216" s="865"/>
      <c r="KN216" s="865"/>
      <c r="KO216" s="865"/>
      <c r="KP216" s="865"/>
      <c r="KQ216" s="865"/>
      <c r="KR216" s="865"/>
      <c r="KS216" s="865"/>
      <c r="KT216" s="865"/>
      <c r="KU216" s="865"/>
      <c r="KV216" s="865"/>
      <c r="KW216" s="865"/>
      <c r="KX216" s="865"/>
      <c r="KY216" s="865"/>
      <c r="KZ216" s="865"/>
      <c r="LA216" s="865"/>
      <c r="LB216" s="865"/>
      <c r="LC216" s="865"/>
      <c r="LD216" s="865"/>
      <c r="LE216" s="865"/>
      <c r="LF216" s="865"/>
    </row>
    <row r="217" spans="1:318">
      <c r="A217" s="865"/>
      <c r="B217" s="865"/>
      <c r="C217" s="865"/>
      <c r="D217" s="865"/>
      <c r="E217" s="865"/>
      <c r="F217" s="865"/>
      <c r="G217" s="865"/>
      <c r="H217" s="865"/>
      <c r="I217" s="865"/>
      <c r="J217" s="865"/>
      <c r="K217" s="865"/>
      <c r="L217" s="865"/>
      <c r="M217" s="865"/>
      <c r="N217" s="865"/>
      <c r="O217" s="865"/>
      <c r="P217" s="865"/>
      <c r="Q217" s="865"/>
      <c r="R217" s="865"/>
      <c r="S217" s="865"/>
      <c r="T217" s="865"/>
      <c r="U217" s="865"/>
      <c r="V217" s="865"/>
      <c r="W217" s="865"/>
      <c r="X217" s="865"/>
      <c r="Y217" s="865"/>
      <c r="Z217" s="865"/>
      <c r="AA217" s="865"/>
      <c r="AB217" s="865"/>
      <c r="AC217" s="865"/>
      <c r="AD217" s="510"/>
      <c r="AE217" s="865"/>
      <c r="AF217" s="865"/>
      <c r="AG217" s="865"/>
      <c r="AH217" s="865"/>
      <c r="AI217" s="865"/>
      <c r="AJ217" s="510"/>
      <c r="AK217" s="865"/>
      <c r="AL217" s="865"/>
      <c r="AM217" s="865"/>
      <c r="AN217" s="865"/>
      <c r="AO217" s="865"/>
      <c r="AP217" s="510"/>
      <c r="AQ217" s="865"/>
      <c r="AR217" s="865"/>
      <c r="AS217" s="865"/>
      <c r="AT217" s="865"/>
      <c r="AU217" s="865"/>
      <c r="AV217" s="510"/>
      <c r="AW217" s="865"/>
      <c r="AX217" s="865"/>
      <c r="AY217" s="865"/>
      <c r="AZ217" s="865"/>
      <c r="BA217" s="865"/>
      <c r="BB217" s="510"/>
      <c r="BC217" s="865"/>
      <c r="BD217" s="865"/>
      <c r="BE217" s="865"/>
      <c r="BF217" s="865"/>
      <c r="BG217" s="865"/>
      <c r="BH217" s="865"/>
      <c r="BI217" s="865"/>
      <c r="BJ217" s="865"/>
      <c r="BK217" s="865"/>
      <c r="BL217" s="865"/>
      <c r="BM217" s="865"/>
      <c r="BN217" s="865"/>
      <c r="BO217" s="865"/>
      <c r="BP217" s="865"/>
      <c r="BQ217" s="865"/>
      <c r="BR217" s="865"/>
      <c r="BS217" s="865"/>
      <c r="BT217" s="865"/>
      <c r="BU217" s="865"/>
      <c r="BV217" s="865"/>
      <c r="BW217" s="865"/>
      <c r="BX217" s="865"/>
      <c r="BY217" s="874"/>
      <c r="BZ217" s="874"/>
      <c r="CA217" s="874"/>
      <c r="CB217" s="874"/>
      <c r="CC217" s="874"/>
      <c r="CD217" s="874"/>
      <c r="CE217" s="874"/>
      <c r="CF217" s="874"/>
      <c r="CG217" s="874"/>
      <c r="CH217" s="874"/>
      <c r="CI217" s="874"/>
      <c r="CJ217" s="874"/>
      <c r="CK217" s="874"/>
      <c r="CL217" s="874"/>
      <c r="CM217" s="874"/>
      <c r="CN217" s="874"/>
      <c r="CO217" s="874"/>
      <c r="CP217" s="874"/>
      <c r="CQ217" s="874"/>
      <c r="CR217" s="874"/>
      <c r="CS217" s="874"/>
      <c r="CT217" s="874"/>
      <c r="CU217" s="874"/>
      <c r="CV217" s="874"/>
      <c r="CW217" s="874"/>
      <c r="CX217" s="874"/>
      <c r="CY217" s="874"/>
      <c r="CZ217" s="874"/>
      <c r="DA217" s="874"/>
      <c r="DB217" s="874"/>
      <c r="DC217" s="874"/>
      <c r="DD217" s="874"/>
      <c r="DE217" s="874"/>
      <c r="DF217" s="874"/>
      <c r="DG217" s="874"/>
      <c r="DH217" s="874"/>
      <c r="DI217" s="874"/>
      <c r="DJ217" s="874"/>
      <c r="DK217" s="874"/>
      <c r="DL217" s="874"/>
      <c r="DM217" s="874"/>
      <c r="DN217" s="874"/>
      <c r="DO217" s="874"/>
      <c r="DP217" s="874"/>
      <c r="DQ217" s="874"/>
      <c r="DR217" s="874"/>
      <c r="DS217" s="874"/>
      <c r="DT217" s="874"/>
      <c r="DU217" s="874"/>
      <c r="DV217" s="874"/>
      <c r="DW217" s="874"/>
      <c r="DX217" s="874"/>
      <c r="DY217" s="874"/>
      <c r="DZ217" s="874"/>
      <c r="EA217" s="874"/>
      <c r="EB217" s="874"/>
      <c r="EC217" s="874"/>
      <c r="ED217" s="874"/>
      <c r="EE217" s="874"/>
      <c r="EF217" s="874"/>
      <c r="EG217" s="874"/>
      <c r="EH217" s="874"/>
      <c r="EI217" s="874"/>
      <c r="EJ217" s="874"/>
      <c r="EK217" s="874"/>
      <c r="EL217" s="874"/>
      <c r="EM217" s="874"/>
      <c r="EN217" s="874"/>
      <c r="EO217" s="874"/>
      <c r="EP217" s="874"/>
      <c r="EQ217" s="874"/>
      <c r="ER217" s="874"/>
      <c r="ES217" s="874"/>
      <c r="ET217" s="874"/>
      <c r="EU217" s="874"/>
      <c r="EV217" s="874"/>
      <c r="EW217" s="874"/>
      <c r="EX217" s="874"/>
      <c r="EY217" s="874"/>
      <c r="EZ217" s="874"/>
      <c r="FA217" s="874"/>
      <c r="FB217" s="874"/>
      <c r="FC217" s="874"/>
      <c r="FD217" s="874"/>
      <c r="FE217" s="874"/>
      <c r="FF217" s="874"/>
      <c r="FG217" s="874"/>
      <c r="FH217" s="874"/>
      <c r="FI217" s="874"/>
      <c r="FJ217" s="874"/>
      <c r="FK217" s="874"/>
      <c r="FL217" s="874"/>
      <c r="FM217" s="874"/>
      <c r="FN217" s="874"/>
      <c r="FO217" s="874"/>
      <c r="FP217" s="874"/>
      <c r="FQ217" s="874"/>
      <c r="FR217" s="874"/>
      <c r="FS217" s="874"/>
      <c r="FT217" s="874"/>
      <c r="FU217" s="874"/>
      <c r="FV217" s="874"/>
      <c r="FW217" s="874"/>
      <c r="FX217" s="874"/>
      <c r="FY217" s="874"/>
      <c r="FZ217" s="874"/>
      <c r="GA217" s="874"/>
      <c r="GB217" s="874"/>
      <c r="GC217" s="874"/>
      <c r="GD217" s="874"/>
      <c r="GE217" s="874"/>
      <c r="GF217" s="874"/>
      <c r="GG217" s="874"/>
      <c r="GH217" s="874"/>
      <c r="GI217" s="874"/>
      <c r="GJ217" s="874"/>
      <c r="GK217" s="874"/>
      <c r="GL217" s="874"/>
      <c r="GM217" s="874"/>
      <c r="GN217" s="874"/>
      <c r="GO217" s="874"/>
      <c r="GP217" s="874"/>
      <c r="GQ217" s="874"/>
      <c r="GR217" s="874"/>
      <c r="GS217" s="874"/>
      <c r="GT217" s="874"/>
      <c r="GU217" s="874"/>
      <c r="GV217" s="874"/>
      <c r="GW217" s="874"/>
      <c r="GX217" s="874"/>
      <c r="GY217" s="874"/>
      <c r="GZ217" s="874"/>
      <c r="HA217" s="874"/>
      <c r="HB217" s="874"/>
      <c r="HC217" s="874"/>
      <c r="HD217" s="874"/>
      <c r="HE217" s="874"/>
      <c r="HF217" s="874"/>
      <c r="HG217" s="874"/>
      <c r="HH217" s="874"/>
      <c r="HI217" s="874"/>
      <c r="HJ217" s="874"/>
      <c r="HK217" s="874"/>
      <c r="HL217" s="874"/>
      <c r="HM217" s="874"/>
      <c r="HN217" s="874"/>
      <c r="HO217" s="874"/>
      <c r="HP217" s="874"/>
      <c r="HQ217" s="874"/>
      <c r="HR217" s="874"/>
      <c r="HS217" s="874"/>
      <c r="HT217" s="874"/>
      <c r="HU217" s="874"/>
      <c r="HV217" s="874"/>
      <c r="HW217" s="874"/>
      <c r="HX217" s="874"/>
      <c r="HY217" s="874"/>
      <c r="HZ217" s="874"/>
      <c r="IA217" s="874"/>
      <c r="IB217" s="874"/>
      <c r="IC217" s="874"/>
      <c r="ID217" s="874"/>
      <c r="IE217" s="874"/>
      <c r="IF217" s="874"/>
      <c r="IG217" s="874"/>
      <c r="IH217" s="874"/>
      <c r="II217" s="874"/>
      <c r="IJ217" s="874"/>
      <c r="IK217" s="874"/>
      <c r="IL217" s="874"/>
      <c r="IM217" s="874"/>
      <c r="IN217" s="874"/>
      <c r="IO217" s="874"/>
      <c r="IP217" s="874"/>
      <c r="IQ217" s="874"/>
      <c r="IR217" s="874"/>
      <c r="IS217" s="874"/>
      <c r="IT217" s="874"/>
      <c r="IU217" s="874"/>
      <c r="IV217" s="874"/>
      <c r="IW217" s="874"/>
      <c r="IX217" s="874"/>
      <c r="IY217" s="874"/>
      <c r="IZ217" s="874"/>
      <c r="JA217" s="874"/>
      <c r="JB217" s="874"/>
      <c r="JC217" s="874"/>
      <c r="JD217" s="874"/>
      <c r="JE217" s="874"/>
      <c r="JF217" s="874"/>
      <c r="JG217" s="874"/>
      <c r="JH217" s="874"/>
      <c r="JI217" s="874"/>
      <c r="JJ217" s="874"/>
      <c r="JK217" s="874"/>
      <c r="JL217" s="874"/>
      <c r="JM217" s="874"/>
      <c r="JN217" s="874"/>
      <c r="JO217" s="874"/>
      <c r="JP217" s="874"/>
      <c r="JQ217" s="874"/>
      <c r="JR217" s="874"/>
      <c r="JS217" s="874"/>
      <c r="JT217" s="874"/>
      <c r="JU217" s="874"/>
      <c r="JV217" s="874"/>
      <c r="JW217" s="874"/>
      <c r="JX217" s="874"/>
      <c r="JY217" s="874"/>
      <c r="JZ217" s="874"/>
      <c r="KA217" s="874"/>
      <c r="KB217" s="874"/>
      <c r="KC217" s="874"/>
      <c r="KD217" s="874"/>
      <c r="KE217" s="874"/>
      <c r="KF217" s="874"/>
      <c r="KG217" s="874"/>
      <c r="KH217" s="865"/>
      <c r="KI217" s="865"/>
      <c r="KJ217" s="865"/>
      <c r="KK217" s="865"/>
      <c r="KL217" s="865"/>
      <c r="KM217" s="865"/>
      <c r="KN217" s="865"/>
      <c r="KO217" s="865"/>
      <c r="KP217" s="865"/>
      <c r="KQ217" s="865"/>
      <c r="KR217" s="865"/>
      <c r="KS217" s="865"/>
      <c r="KT217" s="865"/>
      <c r="KU217" s="865"/>
      <c r="KV217" s="865"/>
      <c r="KW217" s="865"/>
      <c r="KX217" s="865"/>
      <c r="KY217" s="865"/>
      <c r="KZ217" s="865"/>
      <c r="LA217" s="865"/>
      <c r="LB217" s="865"/>
      <c r="LC217" s="865"/>
      <c r="LD217" s="865"/>
      <c r="LE217" s="865"/>
      <c r="LF217" s="865"/>
    </row>
    <row r="218" spans="1:318">
      <c r="A218" s="865"/>
      <c r="B218" s="865"/>
      <c r="C218" s="865"/>
      <c r="D218" s="865"/>
      <c r="E218" s="865"/>
      <c r="F218" s="865"/>
      <c r="G218" s="865"/>
      <c r="H218" s="865"/>
      <c r="I218" s="865"/>
      <c r="J218" s="865"/>
      <c r="K218" s="865"/>
      <c r="L218" s="865"/>
      <c r="M218" s="865"/>
      <c r="N218" s="865"/>
      <c r="O218" s="865"/>
      <c r="P218" s="865"/>
      <c r="Q218" s="865"/>
      <c r="R218" s="865"/>
      <c r="S218" s="865"/>
      <c r="T218" s="865"/>
      <c r="U218" s="865"/>
      <c r="V218" s="865"/>
      <c r="W218" s="865"/>
      <c r="X218" s="865"/>
      <c r="Y218" s="865"/>
      <c r="Z218" s="865"/>
      <c r="AA218" s="865"/>
      <c r="AB218" s="865"/>
      <c r="AC218" s="865"/>
      <c r="AD218" s="510"/>
      <c r="AE218" s="865"/>
      <c r="AF218" s="865"/>
      <c r="AG218" s="865"/>
      <c r="AH218" s="865"/>
      <c r="AI218" s="865"/>
      <c r="AJ218" s="510"/>
      <c r="AK218" s="865"/>
      <c r="AL218" s="865"/>
      <c r="AM218" s="865"/>
      <c r="AN218" s="865"/>
      <c r="AO218" s="865"/>
      <c r="AP218" s="510"/>
      <c r="AQ218" s="865"/>
      <c r="AR218" s="865"/>
      <c r="AS218" s="865"/>
      <c r="AT218" s="865"/>
      <c r="AU218" s="865"/>
      <c r="AV218" s="510"/>
      <c r="AW218" s="865"/>
      <c r="AX218" s="865"/>
      <c r="AY218" s="865"/>
      <c r="AZ218" s="865"/>
      <c r="BA218" s="865"/>
      <c r="BB218" s="510"/>
      <c r="BC218" s="865"/>
      <c r="BD218" s="865"/>
      <c r="BE218" s="865"/>
      <c r="BF218" s="865"/>
      <c r="BG218" s="865"/>
      <c r="BH218" s="865"/>
      <c r="BI218" s="865"/>
      <c r="BJ218" s="865"/>
      <c r="BK218" s="865"/>
      <c r="BL218" s="865"/>
      <c r="BM218" s="865"/>
      <c r="BN218" s="865"/>
      <c r="BO218" s="865"/>
      <c r="BP218" s="865"/>
      <c r="BQ218" s="865"/>
      <c r="BR218" s="865"/>
      <c r="BS218" s="865"/>
      <c r="BT218" s="865"/>
      <c r="BU218" s="865"/>
      <c r="BV218" s="865"/>
      <c r="BW218" s="865"/>
      <c r="BX218" s="865"/>
      <c r="BY218" s="874"/>
      <c r="BZ218" s="874"/>
      <c r="CA218" s="874"/>
      <c r="CB218" s="874"/>
      <c r="CC218" s="874"/>
      <c r="CD218" s="874"/>
      <c r="CE218" s="874"/>
      <c r="CF218" s="874"/>
      <c r="CG218" s="874"/>
      <c r="CH218" s="874"/>
      <c r="CI218" s="874"/>
      <c r="CJ218" s="874"/>
      <c r="CK218" s="874"/>
      <c r="CL218" s="874"/>
      <c r="CM218" s="874"/>
      <c r="CN218" s="874"/>
      <c r="CO218" s="874"/>
      <c r="CP218" s="874"/>
      <c r="CQ218" s="874"/>
      <c r="CR218" s="874"/>
      <c r="CS218" s="874"/>
      <c r="CT218" s="874"/>
      <c r="CU218" s="874"/>
      <c r="CV218" s="874"/>
      <c r="CW218" s="874"/>
      <c r="CX218" s="874"/>
      <c r="CY218" s="874"/>
      <c r="CZ218" s="874"/>
      <c r="DA218" s="874"/>
      <c r="DB218" s="874"/>
      <c r="DC218" s="874"/>
      <c r="DD218" s="874"/>
      <c r="DE218" s="874"/>
      <c r="DF218" s="874"/>
      <c r="DG218" s="874"/>
      <c r="DH218" s="874"/>
      <c r="DI218" s="874"/>
      <c r="DJ218" s="874"/>
      <c r="DK218" s="874"/>
      <c r="DL218" s="874"/>
      <c r="DM218" s="874"/>
      <c r="DN218" s="874"/>
      <c r="DO218" s="874"/>
      <c r="DP218" s="874"/>
      <c r="DQ218" s="874"/>
      <c r="DR218" s="874"/>
      <c r="DS218" s="874"/>
      <c r="DT218" s="874"/>
      <c r="DU218" s="874"/>
      <c r="DV218" s="874"/>
      <c r="DW218" s="874"/>
      <c r="DX218" s="874"/>
      <c r="DY218" s="874"/>
      <c r="DZ218" s="874"/>
      <c r="EA218" s="874"/>
      <c r="EB218" s="874"/>
      <c r="EC218" s="874"/>
      <c r="ED218" s="874"/>
      <c r="EE218" s="874"/>
      <c r="EF218" s="874"/>
      <c r="EG218" s="874"/>
      <c r="EH218" s="874"/>
      <c r="EI218" s="874"/>
      <c r="EJ218" s="874"/>
      <c r="EK218" s="874"/>
      <c r="EL218" s="874"/>
      <c r="EM218" s="874"/>
      <c r="EN218" s="874"/>
      <c r="EO218" s="874"/>
      <c r="EP218" s="874"/>
      <c r="EQ218" s="874"/>
      <c r="ER218" s="874"/>
      <c r="ES218" s="874"/>
      <c r="ET218" s="874"/>
      <c r="EU218" s="874"/>
      <c r="EV218" s="874"/>
      <c r="EW218" s="874"/>
      <c r="EX218" s="874"/>
      <c r="EY218" s="874"/>
      <c r="EZ218" s="874"/>
      <c r="FA218" s="874"/>
      <c r="FB218" s="874"/>
      <c r="FC218" s="874"/>
      <c r="FD218" s="874"/>
      <c r="FE218" s="874"/>
      <c r="FF218" s="874"/>
      <c r="FG218" s="874"/>
      <c r="FH218" s="874"/>
      <c r="FI218" s="874"/>
      <c r="FJ218" s="874"/>
      <c r="FK218" s="874"/>
      <c r="FL218" s="874"/>
      <c r="FM218" s="874"/>
      <c r="FN218" s="874"/>
      <c r="FO218" s="874"/>
      <c r="FP218" s="874"/>
      <c r="FQ218" s="874"/>
      <c r="FR218" s="874"/>
      <c r="FS218" s="874"/>
      <c r="FT218" s="874"/>
      <c r="FU218" s="874"/>
      <c r="FV218" s="874"/>
      <c r="FW218" s="874"/>
      <c r="FX218" s="874"/>
      <c r="FY218" s="874"/>
      <c r="FZ218" s="874"/>
      <c r="GA218" s="874"/>
      <c r="GB218" s="874"/>
      <c r="GC218" s="874"/>
      <c r="GD218" s="874"/>
      <c r="GE218" s="874"/>
      <c r="GF218" s="874"/>
      <c r="GG218" s="874"/>
      <c r="GH218" s="874"/>
      <c r="GI218" s="874"/>
      <c r="GJ218" s="874"/>
      <c r="GK218" s="874"/>
      <c r="GL218" s="874"/>
      <c r="GM218" s="874"/>
      <c r="GN218" s="874"/>
      <c r="GO218" s="874"/>
      <c r="GP218" s="874"/>
      <c r="GQ218" s="874"/>
      <c r="GR218" s="874"/>
      <c r="GS218" s="874"/>
      <c r="GT218" s="874"/>
      <c r="GU218" s="874"/>
      <c r="GV218" s="874"/>
      <c r="GW218" s="874"/>
      <c r="GX218" s="874"/>
      <c r="GY218" s="874"/>
      <c r="GZ218" s="874"/>
      <c r="HA218" s="874"/>
      <c r="HB218" s="874"/>
      <c r="HC218" s="874"/>
      <c r="HD218" s="874"/>
      <c r="HE218" s="874"/>
      <c r="HF218" s="874"/>
      <c r="HG218" s="874"/>
      <c r="HH218" s="874"/>
      <c r="HI218" s="874"/>
      <c r="HJ218" s="874"/>
      <c r="HK218" s="874"/>
      <c r="HL218" s="874"/>
      <c r="HM218" s="874"/>
      <c r="HN218" s="874"/>
      <c r="HO218" s="874"/>
      <c r="HP218" s="874"/>
      <c r="HQ218" s="874"/>
      <c r="HR218" s="874"/>
      <c r="HS218" s="874"/>
      <c r="HT218" s="874"/>
      <c r="HU218" s="874"/>
      <c r="HV218" s="874"/>
      <c r="HW218" s="874"/>
      <c r="HX218" s="874"/>
      <c r="HY218" s="874"/>
      <c r="HZ218" s="874"/>
      <c r="IA218" s="874"/>
      <c r="IB218" s="874"/>
      <c r="IC218" s="874"/>
      <c r="ID218" s="874"/>
      <c r="IE218" s="874"/>
      <c r="IF218" s="874"/>
      <c r="IG218" s="874"/>
      <c r="IH218" s="874"/>
      <c r="II218" s="874"/>
      <c r="IJ218" s="874"/>
      <c r="IK218" s="874"/>
      <c r="IL218" s="874"/>
      <c r="IM218" s="874"/>
      <c r="IN218" s="874"/>
      <c r="IO218" s="874"/>
      <c r="IP218" s="874"/>
      <c r="IQ218" s="874"/>
      <c r="IR218" s="874"/>
      <c r="IS218" s="874"/>
      <c r="IT218" s="874"/>
      <c r="IU218" s="874"/>
      <c r="IV218" s="874"/>
      <c r="IW218" s="874"/>
      <c r="IX218" s="874"/>
      <c r="IY218" s="874"/>
      <c r="IZ218" s="874"/>
      <c r="JA218" s="874"/>
      <c r="JB218" s="874"/>
      <c r="JC218" s="874"/>
      <c r="JD218" s="874"/>
      <c r="JE218" s="874"/>
      <c r="JF218" s="874"/>
      <c r="JG218" s="874"/>
      <c r="JH218" s="874"/>
      <c r="JI218" s="874"/>
      <c r="JJ218" s="874"/>
      <c r="JK218" s="874"/>
      <c r="JL218" s="874"/>
      <c r="JM218" s="874"/>
      <c r="JN218" s="874"/>
      <c r="JO218" s="874"/>
      <c r="JP218" s="874"/>
      <c r="JQ218" s="874"/>
      <c r="JR218" s="874"/>
      <c r="JS218" s="874"/>
      <c r="JT218" s="874"/>
      <c r="JU218" s="874"/>
      <c r="JV218" s="874"/>
      <c r="JW218" s="874"/>
      <c r="JX218" s="874"/>
      <c r="JY218" s="874"/>
      <c r="JZ218" s="874"/>
      <c r="KA218" s="874"/>
      <c r="KB218" s="874"/>
      <c r="KC218" s="874"/>
      <c r="KD218" s="874"/>
      <c r="KE218" s="874"/>
      <c r="KF218" s="874"/>
      <c r="KG218" s="874"/>
      <c r="KH218" s="865"/>
      <c r="KI218" s="865"/>
      <c r="KJ218" s="865"/>
      <c r="KK218" s="865"/>
      <c r="KL218" s="865"/>
      <c r="KM218" s="865"/>
      <c r="KN218" s="865"/>
      <c r="KO218" s="865"/>
      <c r="KP218" s="865"/>
      <c r="KQ218" s="865"/>
      <c r="KR218" s="865"/>
      <c r="KS218" s="865"/>
      <c r="KT218" s="865"/>
      <c r="KU218" s="865"/>
      <c r="KV218" s="865"/>
      <c r="KW218" s="865"/>
      <c r="KX218" s="865"/>
      <c r="KY218" s="865"/>
      <c r="KZ218" s="865"/>
      <c r="LA218" s="865"/>
      <c r="LB218" s="865"/>
      <c r="LC218" s="865"/>
      <c r="LD218" s="865"/>
      <c r="LE218" s="865"/>
      <c r="LF218" s="865"/>
    </row>
    <row r="219" spans="1:318">
      <c r="A219" s="865"/>
      <c r="B219" s="865"/>
      <c r="C219" s="865"/>
      <c r="D219" s="865"/>
      <c r="E219" s="865"/>
      <c r="F219" s="865"/>
      <c r="G219" s="865"/>
      <c r="H219" s="865"/>
      <c r="I219" s="865"/>
      <c r="J219" s="865"/>
      <c r="K219" s="865"/>
      <c r="L219" s="865"/>
      <c r="M219" s="865"/>
      <c r="N219" s="865"/>
      <c r="O219" s="865"/>
      <c r="P219" s="865"/>
      <c r="Q219" s="865"/>
      <c r="R219" s="865"/>
      <c r="S219" s="865"/>
      <c r="T219" s="865"/>
      <c r="U219" s="865"/>
      <c r="V219" s="865"/>
      <c r="W219" s="865"/>
      <c r="X219" s="865"/>
      <c r="Y219" s="865"/>
      <c r="Z219" s="865"/>
      <c r="AA219" s="865"/>
      <c r="AB219" s="865"/>
      <c r="AC219" s="865"/>
      <c r="AD219" s="510"/>
      <c r="AE219" s="865"/>
      <c r="AF219" s="865"/>
      <c r="AG219" s="865"/>
      <c r="AH219" s="865"/>
      <c r="AI219" s="865"/>
      <c r="AJ219" s="510"/>
      <c r="AK219" s="865"/>
      <c r="AL219" s="865"/>
      <c r="AM219" s="865"/>
      <c r="AN219" s="865"/>
      <c r="AO219" s="865"/>
      <c r="AP219" s="510"/>
      <c r="AQ219" s="865"/>
      <c r="AR219" s="865"/>
      <c r="AS219" s="865"/>
      <c r="AT219" s="865"/>
      <c r="AU219" s="865"/>
      <c r="AV219" s="510"/>
      <c r="AW219" s="865"/>
      <c r="AX219" s="865"/>
      <c r="AY219" s="865"/>
      <c r="AZ219" s="865"/>
      <c r="BA219" s="865"/>
      <c r="BB219" s="510"/>
      <c r="BC219" s="865"/>
      <c r="BD219" s="865"/>
      <c r="BE219" s="865"/>
      <c r="BF219" s="865"/>
      <c r="BG219" s="865"/>
      <c r="BH219" s="865"/>
      <c r="BI219" s="865"/>
      <c r="BJ219" s="865"/>
      <c r="BK219" s="865"/>
      <c r="BL219" s="865"/>
      <c r="BM219" s="865"/>
      <c r="BN219" s="865"/>
      <c r="BO219" s="865"/>
      <c r="BP219" s="865"/>
      <c r="BQ219" s="865"/>
      <c r="BR219" s="865"/>
      <c r="BS219" s="865"/>
      <c r="BT219" s="865"/>
      <c r="BU219" s="865"/>
      <c r="BV219" s="865"/>
      <c r="BW219" s="865"/>
      <c r="BX219" s="865"/>
      <c r="BY219" s="874"/>
      <c r="BZ219" s="874"/>
      <c r="CA219" s="874"/>
      <c r="CB219" s="874"/>
      <c r="CC219" s="874"/>
      <c r="CD219" s="874"/>
      <c r="CE219" s="874"/>
      <c r="CF219" s="874"/>
      <c r="CG219" s="874"/>
      <c r="CH219" s="874"/>
      <c r="CI219" s="874"/>
      <c r="CJ219" s="874"/>
      <c r="CK219" s="874"/>
      <c r="CL219" s="874"/>
      <c r="CM219" s="874"/>
      <c r="CN219" s="874"/>
      <c r="CO219" s="874"/>
      <c r="CP219" s="874"/>
      <c r="CQ219" s="874"/>
      <c r="CR219" s="874"/>
      <c r="CS219" s="874"/>
      <c r="CT219" s="874"/>
      <c r="CU219" s="874"/>
      <c r="CV219" s="874"/>
      <c r="CW219" s="874"/>
      <c r="CX219" s="874"/>
      <c r="CY219" s="874"/>
      <c r="CZ219" s="874"/>
      <c r="DA219" s="874"/>
      <c r="DB219" s="874"/>
      <c r="DC219" s="874"/>
      <c r="DD219" s="874"/>
      <c r="DE219" s="874"/>
      <c r="DF219" s="874"/>
      <c r="DG219" s="874"/>
      <c r="DH219" s="874"/>
      <c r="DI219" s="874"/>
      <c r="DJ219" s="874"/>
      <c r="DK219" s="874"/>
      <c r="DL219" s="874"/>
      <c r="DM219" s="874"/>
      <c r="DN219" s="874"/>
      <c r="DO219" s="874"/>
      <c r="DP219" s="874"/>
      <c r="DQ219" s="874"/>
      <c r="DR219" s="874"/>
      <c r="DS219" s="874"/>
      <c r="DT219" s="874"/>
      <c r="DU219" s="874"/>
      <c r="DV219" s="874"/>
      <c r="DW219" s="874"/>
      <c r="DX219" s="874"/>
      <c r="DY219" s="874"/>
      <c r="DZ219" s="874"/>
      <c r="EA219" s="874"/>
      <c r="EB219" s="874"/>
      <c r="EC219" s="874"/>
      <c r="ED219" s="874"/>
      <c r="EE219" s="874"/>
      <c r="EF219" s="874"/>
      <c r="EG219" s="874"/>
      <c r="EH219" s="874"/>
      <c r="EI219" s="874"/>
      <c r="EJ219" s="874"/>
      <c r="EK219" s="874"/>
      <c r="EL219" s="874"/>
      <c r="EM219" s="874"/>
      <c r="EN219" s="874"/>
      <c r="EO219" s="874"/>
      <c r="EP219" s="874"/>
      <c r="EQ219" s="874"/>
      <c r="ER219" s="874"/>
      <c r="ES219" s="874"/>
      <c r="ET219" s="874"/>
      <c r="EU219" s="874"/>
      <c r="EV219" s="874"/>
      <c r="EW219" s="874"/>
      <c r="EX219" s="874"/>
      <c r="EY219" s="874"/>
      <c r="EZ219" s="874"/>
      <c r="FA219" s="874"/>
      <c r="FB219" s="874"/>
      <c r="FC219" s="874"/>
      <c r="FD219" s="874"/>
      <c r="FE219" s="874"/>
      <c r="FF219" s="874"/>
      <c r="FG219" s="874"/>
      <c r="FH219" s="874"/>
      <c r="FI219" s="874"/>
      <c r="FJ219" s="874"/>
      <c r="FK219" s="874"/>
      <c r="FL219" s="874"/>
      <c r="FM219" s="874"/>
      <c r="FN219" s="874"/>
      <c r="FO219" s="874"/>
      <c r="FP219" s="874"/>
      <c r="FQ219" s="874"/>
      <c r="FR219" s="874"/>
      <c r="FS219" s="874"/>
      <c r="FT219" s="874"/>
      <c r="FU219" s="874"/>
      <c r="FV219" s="874"/>
      <c r="FW219" s="874"/>
      <c r="FX219" s="874"/>
      <c r="FY219" s="874"/>
      <c r="FZ219" s="874"/>
      <c r="GA219" s="874"/>
      <c r="GB219" s="874"/>
      <c r="GC219" s="874"/>
      <c r="GD219" s="874"/>
      <c r="GE219" s="874"/>
      <c r="GF219" s="874"/>
      <c r="GG219" s="874"/>
      <c r="GH219" s="874"/>
      <c r="GI219" s="874"/>
      <c r="GJ219" s="874"/>
      <c r="GK219" s="874"/>
      <c r="GL219" s="874"/>
      <c r="GM219" s="874"/>
      <c r="GN219" s="874"/>
      <c r="GO219" s="874"/>
      <c r="GP219" s="874"/>
      <c r="GQ219" s="874"/>
      <c r="GR219" s="874"/>
      <c r="GS219" s="874"/>
      <c r="GT219" s="874"/>
      <c r="GU219" s="874"/>
      <c r="GV219" s="874"/>
      <c r="GW219" s="874"/>
      <c r="GX219" s="874"/>
      <c r="GY219" s="874"/>
      <c r="GZ219" s="874"/>
      <c r="HA219" s="874"/>
      <c r="HB219" s="874"/>
      <c r="HC219" s="874"/>
      <c r="HD219" s="874"/>
      <c r="HE219" s="874"/>
      <c r="HF219" s="874"/>
      <c r="HG219" s="874"/>
      <c r="HH219" s="874"/>
      <c r="HI219" s="874"/>
      <c r="HJ219" s="874"/>
      <c r="HK219" s="874"/>
      <c r="HL219" s="874"/>
      <c r="HM219" s="874"/>
      <c r="HN219" s="874"/>
      <c r="HO219" s="874"/>
      <c r="HP219" s="874"/>
      <c r="HQ219" s="874"/>
      <c r="HR219" s="874"/>
      <c r="HS219" s="874"/>
      <c r="HT219" s="874"/>
      <c r="HU219" s="874"/>
      <c r="HV219" s="874"/>
      <c r="HW219" s="874"/>
      <c r="HX219" s="874"/>
      <c r="HY219" s="874"/>
      <c r="HZ219" s="874"/>
      <c r="IA219" s="874"/>
      <c r="IB219" s="874"/>
      <c r="IC219" s="874"/>
      <c r="ID219" s="874"/>
      <c r="IE219" s="874"/>
      <c r="IF219" s="874"/>
      <c r="IG219" s="874"/>
      <c r="IH219" s="874"/>
      <c r="II219" s="874"/>
      <c r="IJ219" s="874"/>
      <c r="IK219" s="874"/>
      <c r="IL219" s="874"/>
      <c r="IM219" s="874"/>
      <c r="IN219" s="874"/>
      <c r="IO219" s="874"/>
      <c r="IP219" s="874"/>
      <c r="IQ219" s="874"/>
      <c r="IR219" s="874"/>
      <c r="IS219" s="874"/>
      <c r="IT219" s="874"/>
      <c r="IU219" s="874"/>
      <c r="IV219" s="874"/>
      <c r="IW219" s="874"/>
      <c r="IX219" s="874"/>
      <c r="IY219" s="874"/>
      <c r="IZ219" s="874"/>
      <c r="JA219" s="874"/>
      <c r="JB219" s="874"/>
      <c r="JC219" s="874"/>
      <c r="JD219" s="874"/>
      <c r="JE219" s="874"/>
      <c r="JF219" s="874"/>
      <c r="JG219" s="874"/>
      <c r="JH219" s="874"/>
      <c r="JI219" s="874"/>
      <c r="JJ219" s="874"/>
      <c r="JK219" s="874"/>
      <c r="JL219" s="874"/>
      <c r="JM219" s="874"/>
      <c r="JN219" s="874"/>
      <c r="JO219" s="874"/>
      <c r="JP219" s="874"/>
      <c r="JQ219" s="874"/>
      <c r="JR219" s="874"/>
      <c r="JS219" s="874"/>
      <c r="JT219" s="874"/>
      <c r="JU219" s="874"/>
      <c r="JV219" s="874"/>
      <c r="JW219" s="874"/>
      <c r="JX219" s="874"/>
      <c r="JY219" s="874"/>
      <c r="JZ219" s="874"/>
      <c r="KA219" s="874"/>
      <c r="KB219" s="874"/>
      <c r="KC219" s="874"/>
      <c r="KD219" s="874"/>
      <c r="KE219" s="874"/>
      <c r="KF219" s="874"/>
      <c r="KG219" s="874"/>
      <c r="KH219" s="865"/>
      <c r="KI219" s="865"/>
      <c r="KJ219" s="865"/>
      <c r="KK219" s="865"/>
      <c r="KL219" s="865"/>
      <c r="KM219" s="865"/>
      <c r="KN219" s="865"/>
      <c r="KO219" s="865"/>
      <c r="KP219" s="865"/>
      <c r="KQ219" s="865"/>
      <c r="KR219" s="865"/>
      <c r="KS219" s="865"/>
      <c r="KT219" s="865"/>
      <c r="KU219" s="865"/>
      <c r="KV219" s="865"/>
      <c r="KW219" s="865"/>
      <c r="KX219" s="865"/>
      <c r="KY219" s="865"/>
      <c r="KZ219" s="865"/>
      <c r="LA219" s="865"/>
      <c r="LB219" s="865"/>
      <c r="LC219" s="865"/>
      <c r="LD219" s="865"/>
      <c r="LE219" s="865"/>
      <c r="LF219" s="865"/>
    </row>
    <row r="220" spans="1:318">
      <c r="A220" s="865"/>
      <c r="B220" s="865"/>
      <c r="C220" s="865"/>
      <c r="D220" s="865"/>
      <c r="E220" s="865"/>
      <c r="F220" s="865"/>
      <c r="G220" s="865"/>
      <c r="H220" s="865"/>
      <c r="I220" s="865"/>
      <c r="J220" s="865"/>
      <c r="K220" s="865"/>
      <c r="L220" s="865"/>
      <c r="M220" s="865"/>
      <c r="N220" s="865"/>
      <c r="O220" s="865"/>
      <c r="P220" s="865"/>
      <c r="Q220" s="865"/>
      <c r="R220" s="865"/>
      <c r="S220" s="865"/>
      <c r="T220" s="865"/>
      <c r="U220" s="865"/>
      <c r="V220" s="865"/>
      <c r="W220" s="865"/>
      <c r="X220" s="865"/>
      <c r="Y220" s="865"/>
      <c r="Z220" s="865"/>
      <c r="AA220" s="865"/>
      <c r="AB220" s="865"/>
      <c r="AC220" s="865"/>
      <c r="AD220" s="510"/>
      <c r="AE220" s="865"/>
      <c r="AF220" s="865"/>
      <c r="AG220" s="865"/>
      <c r="AH220" s="865"/>
      <c r="AI220" s="865"/>
      <c r="AJ220" s="510"/>
      <c r="AK220" s="865"/>
      <c r="AL220" s="865"/>
      <c r="AM220" s="865"/>
      <c r="AN220" s="865"/>
      <c r="AO220" s="865"/>
      <c r="AP220" s="510"/>
      <c r="AQ220" s="865"/>
      <c r="AR220" s="865"/>
      <c r="AS220" s="865"/>
      <c r="AT220" s="865"/>
      <c r="AU220" s="865"/>
      <c r="AV220" s="510"/>
      <c r="AW220" s="865"/>
      <c r="AX220" s="865"/>
      <c r="AY220" s="865"/>
      <c r="AZ220" s="865"/>
      <c r="BA220" s="865"/>
      <c r="BB220" s="510"/>
      <c r="BC220" s="865"/>
      <c r="BD220" s="865"/>
      <c r="BE220" s="865"/>
      <c r="BF220" s="865"/>
      <c r="BG220" s="865"/>
      <c r="BH220" s="865"/>
      <c r="BI220" s="865"/>
      <c r="BJ220" s="865"/>
      <c r="BK220" s="865"/>
      <c r="BL220" s="865"/>
      <c r="BM220" s="865"/>
      <c r="BN220" s="865"/>
      <c r="BO220" s="865"/>
      <c r="BP220" s="865"/>
      <c r="BQ220" s="865"/>
      <c r="BR220" s="865"/>
      <c r="BS220" s="865"/>
      <c r="BT220" s="865"/>
      <c r="BU220" s="865"/>
      <c r="BV220" s="865"/>
      <c r="BW220" s="865"/>
      <c r="BX220" s="865"/>
      <c r="BY220" s="874"/>
      <c r="BZ220" s="874"/>
      <c r="CA220" s="874"/>
      <c r="CB220" s="874"/>
      <c r="CC220" s="874"/>
      <c r="CD220" s="874"/>
      <c r="CE220" s="874"/>
      <c r="CF220" s="874"/>
      <c r="CG220" s="874"/>
      <c r="CH220" s="874"/>
      <c r="CI220" s="874"/>
      <c r="CJ220" s="874"/>
      <c r="CK220" s="874"/>
      <c r="CL220" s="874"/>
      <c r="CM220" s="874"/>
      <c r="CN220" s="874"/>
      <c r="CO220" s="874"/>
      <c r="CP220" s="874"/>
      <c r="CQ220" s="874"/>
      <c r="CR220" s="874"/>
      <c r="CS220" s="874"/>
      <c r="CT220" s="874"/>
      <c r="CU220" s="874"/>
      <c r="CV220" s="874"/>
      <c r="CW220" s="874"/>
      <c r="CX220" s="874"/>
      <c r="CY220" s="874"/>
      <c r="CZ220" s="874"/>
      <c r="DA220" s="874"/>
      <c r="DB220" s="874"/>
      <c r="DC220" s="874"/>
      <c r="DD220" s="874"/>
      <c r="DE220" s="874"/>
      <c r="DF220" s="874"/>
      <c r="DG220" s="874"/>
      <c r="DH220" s="874"/>
      <c r="DI220" s="874"/>
      <c r="DJ220" s="874"/>
      <c r="DK220" s="874"/>
      <c r="DL220" s="874"/>
      <c r="DM220" s="874"/>
      <c r="DN220" s="874"/>
      <c r="DO220" s="874"/>
      <c r="DP220" s="874"/>
      <c r="DQ220" s="874"/>
      <c r="DR220" s="874"/>
      <c r="DS220" s="874"/>
      <c r="DT220" s="874"/>
      <c r="DU220" s="874"/>
      <c r="DV220" s="874"/>
      <c r="DW220" s="874"/>
      <c r="DX220" s="874"/>
      <c r="DY220" s="874"/>
      <c r="DZ220" s="874"/>
      <c r="EA220" s="874"/>
      <c r="EB220" s="874"/>
      <c r="EC220" s="874"/>
      <c r="ED220" s="874"/>
      <c r="EE220" s="874"/>
      <c r="EF220" s="874"/>
      <c r="EG220" s="874"/>
      <c r="EH220" s="874"/>
      <c r="EI220" s="874"/>
      <c r="EJ220" s="874"/>
      <c r="EK220" s="874"/>
      <c r="EL220" s="874"/>
      <c r="EM220" s="874"/>
      <c r="EN220" s="874"/>
      <c r="EO220" s="874"/>
      <c r="EP220" s="874"/>
      <c r="EQ220" s="874"/>
      <c r="ER220" s="874"/>
      <c r="ES220" s="874"/>
      <c r="ET220" s="874"/>
      <c r="EU220" s="874"/>
      <c r="EV220" s="874"/>
      <c r="EW220" s="874"/>
      <c r="EX220" s="874"/>
      <c r="EY220" s="874"/>
      <c r="EZ220" s="874"/>
      <c r="FA220" s="874"/>
      <c r="FB220" s="874"/>
      <c r="FC220" s="874"/>
      <c r="FD220" s="874"/>
      <c r="FE220" s="874"/>
      <c r="FF220" s="874"/>
      <c r="FG220" s="874"/>
      <c r="FH220" s="874"/>
      <c r="FI220" s="874"/>
      <c r="FJ220" s="874"/>
      <c r="FK220" s="874"/>
      <c r="FL220" s="874"/>
      <c r="FM220" s="874"/>
      <c r="FN220" s="874"/>
      <c r="FO220" s="874"/>
      <c r="FP220" s="874"/>
      <c r="FQ220" s="874"/>
      <c r="FR220" s="874"/>
      <c r="FS220" s="874"/>
      <c r="FT220" s="874"/>
      <c r="FU220" s="874"/>
      <c r="FV220" s="874"/>
      <c r="FW220" s="874"/>
      <c r="FX220" s="874"/>
      <c r="FY220" s="874"/>
      <c r="FZ220" s="874"/>
      <c r="GA220" s="874"/>
      <c r="GB220" s="874"/>
      <c r="GC220" s="874"/>
      <c r="GD220" s="874"/>
      <c r="GE220" s="874"/>
      <c r="GF220" s="874"/>
      <c r="GG220" s="874"/>
      <c r="GH220" s="874"/>
      <c r="GI220" s="874"/>
      <c r="GJ220" s="874"/>
      <c r="GK220" s="874"/>
      <c r="GL220" s="874"/>
      <c r="GM220" s="874"/>
      <c r="GN220" s="874"/>
      <c r="GO220" s="874"/>
      <c r="GP220" s="874"/>
      <c r="GQ220" s="874"/>
      <c r="GR220" s="874"/>
      <c r="GS220" s="874"/>
      <c r="GT220" s="874"/>
      <c r="GU220" s="874"/>
      <c r="GV220" s="874"/>
      <c r="GW220" s="874"/>
      <c r="GX220" s="874"/>
      <c r="GY220" s="874"/>
      <c r="GZ220" s="874"/>
      <c r="HA220" s="874"/>
      <c r="HB220" s="874"/>
      <c r="HC220" s="874"/>
      <c r="HD220" s="874"/>
      <c r="HE220" s="874"/>
      <c r="HF220" s="874"/>
      <c r="HG220" s="874"/>
      <c r="HH220" s="874"/>
      <c r="HI220" s="874"/>
      <c r="HJ220" s="874"/>
      <c r="HK220" s="874"/>
      <c r="HL220" s="874"/>
      <c r="HM220" s="874"/>
      <c r="HN220" s="874"/>
      <c r="HO220" s="874"/>
      <c r="HP220" s="874"/>
      <c r="HQ220" s="874"/>
      <c r="HR220" s="874"/>
      <c r="HS220" s="874"/>
      <c r="HT220" s="874"/>
      <c r="HU220" s="874"/>
      <c r="HV220" s="874"/>
      <c r="HW220" s="874"/>
      <c r="HX220" s="874"/>
      <c r="HY220" s="874"/>
      <c r="HZ220" s="874"/>
      <c r="IA220" s="874"/>
      <c r="IB220" s="874"/>
      <c r="IC220" s="874"/>
      <c r="ID220" s="874"/>
      <c r="IE220" s="874"/>
      <c r="IF220" s="874"/>
      <c r="IG220" s="874"/>
      <c r="IH220" s="874"/>
      <c r="II220" s="874"/>
      <c r="IJ220" s="874"/>
      <c r="IK220" s="874"/>
      <c r="IL220" s="874"/>
      <c r="IM220" s="874"/>
      <c r="IN220" s="874"/>
      <c r="IO220" s="874"/>
      <c r="IP220" s="874"/>
      <c r="IQ220" s="874"/>
      <c r="IR220" s="874"/>
      <c r="IS220" s="874"/>
      <c r="IT220" s="874"/>
      <c r="IU220" s="874"/>
      <c r="IV220" s="874"/>
      <c r="IW220" s="874"/>
      <c r="IX220" s="874"/>
      <c r="IY220" s="874"/>
      <c r="IZ220" s="874"/>
      <c r="JA220" s="874"/>
      <c r="JB220" s="874"/>
      <c r="JC220" s="874"/>
      <c r="JD220" s="874"/>
      <c r="JE220" s="874"/>
      <c r="JF220" s="874"/>
      <c r="JG220" s="874"/>
      <c r="JH220" s="874"/>
      <c r="JI220" s="874"/>
      <c r="JJ220" s="874"/>
      <c r="JK220" s="874"/>
      <c r="JL220" s="874"/>
      <c r="JM220" s="874"/>
      <c r="JN220" s="874"/>
      <c r="JO220" s="874"/>
      <c r="JP220" s="874"/>
      <c r="JQ220" s="874"/>
      <c r="JR220" s="874"/>
      <c r="JS220" s="874"/>
      <c r="JT220" s="874"/>
      <c r="JU220" s="874"/>
      <c r="JV220" s="874"/>
      <c r="JW220" s="874"/>
      <c r="JX220" s="874"/>
      <c r="JY220" s="874"/>
      <c r="JZ220" s="874"/>
      <c r="KA220" s="874"/>
      <c r="KB220" s="874"/>
      <c r="KC220" s="874"/>
      <c r="KD220" s="874"/>
      <c r="KE220" s="874"/>
      <c r="KF220" s="874"/>
      <c r="KG220" s="874"/>
      <c r="KH220" s="865"/>
      <c r="KI220" s="865"/>
      <c r="KJ220" s="865"/>
      <c r="KK220" s="865"/>
      <c r="KL220" s="865"/>
      <c r="KM220" s="865"/>
      <c r="KN220" s="865"/>
      <c r="KO220" s="865"/>
      <c r="KP220" s="865"/>
      <c r="KQ220" s="865"/>
      <c r="KR220" s="865"/>
      <c r="KS220" s="865"/>
      <c r="KT220" s="865"/>
      <c r="KU220" s="865"/>
      <c r="KV220" s="865"/>
      <c r="KW220" s="865"/>
      <c r="KX220" s="865"/>
      <c r="KY220" s="865"/>
      <c r="KZ220" s="865"/>
      <c r="LA220" s="865"/>
      <c r="LB220" s="865"/>
      <c r="LC220" s="865"/>
      <c r="LD220" s="865"/>
      <c r="LE220" s="865"/>
      <c r="LF220" s="865"/>
    </row>
    <row r="221" spans="1:318">
      <c r="A221" s="865"/>
      <c r="B221" s="865"/>
      <c r="C221" s="865"/>
      <c r="D221" s="865"/>
      <c r="E221" s="865"/>
      <c r="F221" s="865"/>
      <c r="G221" s="865"/>
      <c r="H221" s="865"/>
      <c r="I221" s="865"/>
      <c r="J221" s="865"/>
      <c r="K221" s="865"/>
      <c r="L221" s="865"/>
      <c r="M221" s="865"/>
      <c r="N221" s="865"/>
      <c r="O221" s="865"/>
      <c r="P221" s="865"/>
      <c r="Q221" s="865"/>
      <c r="R221" s="865"/>
      <c r="S221" s="865"/>
      <c r="T221" s="865"/>
      <c r="U221" s="865"/>
      <c r="V221" s="865"/>
      <c r="W221" s="865"/>
      <c r="X221" s="865"/>
      <c r="Y221" s="865"/>
      <c r="Z221" s="865"/>
      <c r="AA221" s="865"/>
      <c r="AB221" s="865"/>
      <c r="AC221" s="865"/>
      <c r="AD221" s="510"/>
      <c r="AE221" s="865"/>
      <c r="AF221" s="865"/>
      <c r="AG221" s="865"/>
      <c r="AH221" s="865"/>
      <c r="AI221" s="865"/>
      <c r="AJ221" s="510"/>
      <c r="AK221" s="865"/>
      <c r="AL221" s="865"/>
      <c r="AM221" s="865"/>
      <c r="AN221" s="865"/>
      <c r="AO221" s="865"/>
      <c r="AP221" s="510"/>
      <c r="AQ221" s="865"/>
      <c r="AR221" s="865"/>
      <c r="AS221" s="865"/>
      <c r="AT221" s="865"/>
      <c r="AU221" s="865"/>
      <c r="AV221" s="510"/>
      <c r="AW221" s="865"/>
      <c r="AX221" s="865"/>
      <c r="AY221" s="865"/>
      <c r="AZ221" s="865"/>
      <c r="BA221" s="865"/>
      <c r="BB221" s="510"/>
      <c r="BC221" s="865"/>
      <c r="BD221" s="865"/>
      <c r="BE221" s="865"/>
      <c r="BF221" s="865"/>
      <c r="BG221" s="865"/>
      <c r="BH221" s="865"/>
      <c r="BI221" s="865"/>
      <c r="BJ221" s="865"/>
      <c r="BK221" s="865"/>
      <c r="BL221" s="865"/>
      <c r="BM221" s="865"/>
      <c r="BN221" s="865"/>
      <c r="BO221" s="865"/>
      <c r="BP221" s="865"/>
      <c r="BQ221" s="865"/>
      <c r="BR221" s="865"/>
      <c r="BS221" s="865"/>
      <c r="BT221" s="865"/>
      <c r="BU221" s="865"/>
      <c r="BV221" s="865"/>
      <c r="BW221" s="865"/>
      <c r="BX221" s="865"/>
      <c r="BY221" s="874"/>
      <c r="BZ221" s="874"/>
      <c r="CA221" s="874"/>
      <c r="CB221" s="874"/>
      <c r="CC221" s="874"/>
      <c r="CD221" s="874"/>
      <c r="CE221" s="874"/>
      <c r="CF221" s="874"/>
      <c r="CG221" s="874"/>
      <c r="CH221" s="874"/>
      <c r="CI221" s="874"/>
      <c r="CJ221" s="874"/>
      <c r="CK221" s="874"/>
      <c r="CL221" s="874"/>
      <c r="CM221" s="874"/>
      <c r="CN221" s="874"/>
      <c r="CO221" s="874"/>
      <c r="CP221" s="874"/>
      <c r="CQ221" s="874"/>
      <c r="CR221" s="874"/>
      <c r="CS221" s="874"/>
      <c r="CT221" s="874"/>
      <c r="CU221" s="874"/>
      <c r="CV221" s="874"/>
      <c r="CW221" s="874"/>
      <c r="CX221" s="874"/>
      <c r="CY221" s="874"/>
      <c r="CZ221" s="874"/>
      <c r="DA221" s="874"/>
      <c r="DB221" s="874"/>
      <c r="DC221" s="874"/>
      <c r="DD221" s="874"/>
      <c r="DE221" s="874"/>
      <c r="DF221" s="874"/>
      <c r="DG221" s="874"/>
      <c r="DH221" s="874"/>
      <c r="DI221" s="874"/>
      <c r="DJ221" s="874"/>
      <c r="DK221" s="874"/>
      <c r="DL221" s="874"/>
      <c r="DM221" s="874"/>
      <c r="DN221" s="874"/>
      <c r="DO221" s="874"/>
      <c r="DP221" s="874"/>
      <c r="DQ221" s="874"/>
      <c r="DR221" s="874"/>
      <c r="DS221" s="874"/>
      <c r="DT221" s="874"/>
      <c r="DU221" s="874"/>
      <c r="DV221" s="874"/>
      <c r="DW221" s="874"/>
      <c r="DX221" s="874"/>
      <c r="DY221" s="874"/>
      <c r="DZ221" s="874"/>
      <c r="EA221" s="874"/>
      <c r="EB221" s="874"/>
      <c r="EC221" s="874"/>
      <c r="ED221" s="874"/>
      <c r="EE221" s="874"/>
      <c r="EF221" s="874"/>
      <c r="EG221" s="874"/>
      <c r="EH221" s="874"/>
      <c r="EI221" s="874"/>
      <c r="EJ221" s="874"/>
      <c r="EK221" s="874"/>
      <c r="EL221" s="874"/>
      <c r="EM221" s="874"/>
      <c r="EN221" s="874"/>
      <c r="EO221" s="874"/>
      <c r="EP221" s="874"/>
      <c r="EQ221" s="874"/>
      <c r="ER221" s="874"/>
      <c r="ES221" s="874"/>
      <c r="ET221" s="874"/>
      <c r="EU221" s="874"/>
      <c r="EV221" s="874"/>
      <c r="EW221" s="874"/>
      <c r="EX221" s="874"/>
      <c r="EY221" s="874"/>
      <c r="EZ221" s="874"/>
      <c r="FA221" s="874"/>
      <c r="FB221" s="874"/>
      <c r="FC221" s="874"/>
      <c r="FD221" s="874"/>
      <c r="FE221" s="874"/>
      <c r="FF221" s="874"/>
      <c r="FG221" s="874"/>
      <c r="FH221" s="874"/>
      <c r="FI221" s="874"/>
      <c r="FJ221" s="874"/>
      <c r="FK221" s="874"/>
      <c r="FL221" s="874"/>
      <c r="FM221" s="874"/>
      <c r="FN221" s="874"/>
      <c r="FO221" s="874"/>
      <c r="FP221" s="874"/>
      <c r="FQ221" s="874"/>
      <c r="FR221" s="874"/>
      <c r="FS221" s="874"/>
      <c r="FT221" s="874"/>
      <c r="FU221" s="874"/>
      <c r="FV221" s="874"/>
      <c r="FW221" s="874"/>
      <c r="FX221" s="874"/>
      <c r="FY221" s="874"/>
      <c r="FZ221" s="874"/>
      <c r="GA221" s="874"/>
      <c r="GB221" s="874"/>
      <c r="GC221" s="874"/>
      <c r="GD221" s="874"/>
      <c r="GE221" s="874"/>
      <c r="GF221" s="874"/>
      <c r="GG221" s="874"/>
      <c r="GH221" s="874"/>
      <c r="GI221" s="874"/>
      <c r="GJ221" s="874"/>
      <c r="GK221" s="874"/>
      <c r="GL221" s="874"/>
      <c r="GM221" s="874"/>
      <c r="GN221" s="874"/>
      <c r="GO221" s="874"/>
      <c r="GP221" s="874"/>
      <c r="GQ221" s="874"/>
      <c r="GR221" s="874"/>
      <c r="GS221" s="874"/>
      <c r="GT221" s="874"/>
      <c r="GU221" s="874"/>
      <c r="GV221" s="874"/>
      <c r="GW221" s="874"/>
      <c r="GX221" s="874"/>
      <c r="GY221" s="874"/>
      <c r="GZ221" s="874"/>
      <c r="HA221" s="874"/>
      <c r="HB221" s="874"/>
      <c r="HC221" s="874"/>
      <c r="HD221" s="874"/>
      <c r="HE221" s="874"/>
      <c r="HF221" s="874"/>
      <c r="HG221" s="874"/>
      <c r="HH221" s="874"/>
      <c r="HI221" s="874"/>
      <c r="HJ221" s="874"/>
      <c r="HK221" s="874"/>
      <c r="HL221" s="874"/>
      <c r="HM221" s="874"/>
      <c r="HN221" s="874"/>
      <c r="HO221" s="874"/>
      <c r="HP221" s="874"/>
      <c r="HQ221" s="874"/>
      <c r="HR221" s="874"/>
      <c r="HS221" s="874"/>
      <c r="HT221" s="874"/>
      <c r="HU221" s="874"/>
      <c r="HV221" s="874"/>
      <c r="HW221" s="874"/>
      <c r="HX221" s="874"/>
      <c r="HY221" s="874"/>
      <c r="HZ221" s="874"/>
      <c r="IA221" s="874"/>
      <c r="IB221" s="874"/>
      <c r="IC221" s="874"/>
      <c r="ID221" s="874"/>
      <c r="IE221" s="874"/>
      <c r="IF221" s="874"/>
      <c r="IG221" s="874"/>
      <c r="IH221" s="874"/>
      <c r="II221" s="874"/>
      <c r="IJ221" s="874"/>
      <c r="IK221" s="874"/>
      <c r="IL221" s="874"/>
      <c r="IM221" s="874"/>
      <c r="IN221" s="874"/>
      <c r="IO221" s="874"/>
      <c r="IP221" s="874"/>
      <c r="IQ221" s="874"/>
      <c r="IR221" s="874"/>
      <c r="IS221" s="874"/>
      <c r="IT221" s="874"/>
      <c r="IU221" s="874"/>
      <c r="IV221" s="874"/>
      <c r="IW221" s="874"/>
      <c r="IX221" s="874"/>
      <c r="IY221" s="874"/>
      <c r="IZ221" s="874"/>
      <c r="JA221" s="874"/>
      <c r="JB221" s="874"/>
      <c r="JC221" s="874"/>
      <c r="JD221" s="874"/>
      <c r="JE221" s="874"/>
      <c r="JF221" s="874"/>
      <c r="JG221" s="874"/>
      <c r="JH221" s="874"/>
      <c r="JI221" s="874"/>
      <c r="JJ221" s="874"/>
      <c r="JK221" s="874"/>
      <c r="JL221" s="874"/>
      <c r="JM221" s="874"/>
      <c r="JN221" s="874"/>
      <c r="JO221" s="874"/>
      <c r="JP221" s="874"/>
      <c r="JQ221" s="874"/>
      <c r="JR221" s="874"/>
      <c r="JS221" s="874"/>
      <c r="JT221" s="874"/>
      <c r="JU221" s="874"/>
      <c r="JV221" s="874"/>
      <c r="JW221" s="874"/>
      <c r="JX221" s="874"/>
      <c r="JY221" s="874"/>
      <c r="JZ221" s="874"/>
      <c r="KA221" s="874"/>
      <c r="KB221" s="874"/>
      <c r="KC221" s="874"/>
      <c r="KD221" s="874"/>
      <c r="KE221" s="874"/>
      <c r="KF221" s="874"/>
      <c r="KG221" s="874"/>
      <c r="KH221" s="865"/>
      <c r="KI221" s="865"/>
      <c r="KJ221" s="865"/>
      <c r="KK221" s="865"/>
      <c r="KL221" s="865"/>
      <c r="KM221" s="865"/>
      <c r="KN221" s="865"/>
      <c r="KO221" s="865"/>
      <c r="KP221" s="865"/>
      <c r="KQ221" s="865"/>
      <c r="KR221" s="865"/>
      <c r="KS221" s="865"/>
      <c r="KT221" s="865"/>
      <c r="KU221" s="865"/>
      <c r="KV221" s="865"/>
      <c r="KW221" s="865"/>
      <c r="KX221" s="865"/>
      <c r="KY221" s="865"/>
      <c r="KZ221" s="865"/>
      <c r="LA221" s="865"/>
      <c r="LB221" s="865"/>
      <c r="LC221" s="865"/>
      <c r="LD221" s="865"/>
      <c r="LE221" s="865"/>
      <c r="LF221" s="865"/>
    </row>
    <row r="222" spans="1:318">
      <c r="A222" s="865"/>
      <c r="B222" s="865"/>
      <c r="C222" s="865"/>
      <c r="D222" s="865"/>
      <c r="E222" s="865"/>
      <c r="F222" s="865"/>
      <c r="G222" s="865"/>
      <c r="H222" s="865"/>
      <c r="I222" s="865"/>
      <c r="J222" s="865"/>
      <c r="K222" s="865"/>
      <c r="L222" s="865"/>
      <c r="M222" s="865"/>
      <c r="N222" s="865"/>
      <c r="O222" s="865"/>
      <c r="P222" s="865"/>
      <c r="Q222" s="865"/>
      <c r="R222" s="865"/>
      <c r="S222" s="865"/>
      <c r="T222" s="865"/>
      <c r="U222" s="865"/>
      <c r="V222" s="865"/>
      <c r="W222" s="865"/>
      <c r="X222" s="865"/>
      <c r="Y222" s="865"/>
      <c r="Z222" s="865"/>
      <c r="AA222" s="865"/>
      <c r="AB222" s="865"/>
      <c r="AC222" s="865"/>
      <c r="AD222" s="510"/>
      <c r="AE222" s="865"/>
      <c r="AF222" s="865"/>
      <c r="AG222" s="865"/>
      <c r="AH222" s="865"/>
      <c r="AI222" s="865"/>
      <c r="AJ222" s="510"/>
      <c r="AK222" s="865"/>
      <c r="AL222" s="865"/>
      <c r="AM222" s="865"/>
      <c r="AN222" s="865"/>
      <c r="AO222" s="865"/>
      <c r="AP222" s="510"/>
      <c r="AQ222" s="865"/>
      <c r="AR222" s="865"/>
      <c r="AS222" s="865"/>
      <c r="AT222" s="865"/>
      <c r="AU222" s="865"/>
      <c r="AV222" s="510"/>
      <c r="AW222" s="865"/>
      <c r="AX222" s="865"/>
      <c r="AY222" s="865"/>
      <c r="AZ222" s="865"/>
      <c r="BA222" s="865"/>
      <c r="BB222" s="510"/>
      <c r="BC222" s="865"/>
      <c r="BD222" s="865"/>
      <c r="BE222" s="865"/>
      <c r="BF222" s="865"/>
      <c r="BG222" s="865"/>
      <c r="BH222" s="865"/>
      <c r="BI222" s="865"/>
      <c r="BJ222" s="865"/>
      <c r="BK222" s="865"/>
      <c r="BL222" s="865"/>
      <c r="BM222" s="865"/>
      <c r="BN222" s="865"/>
      <c r="BO222" s="865"/>
      <c r="BP222" s="865"/>
      <c r="BQ222" s="865"/>
      <c r="BR222" s="865"/>
      <c r="BS222" s="865"/>
      <c r="BT222" s="865"/>
      <c r="BU222" s="865"/>
      <c r="BV222" s="865"/>
      <c r="BW222" s="865"/>
      <c r="BX222" s="865"/>
      <c r="BY222" s="874"/>
      <c r="BZ222" s="874"/>
      <c r="CA222" s="874"/>
      <c r="CB222" s="874"/>
      <c r="CC222" s="874"/>
      <c r="CD222" s="874"/>
      <c r="CE222" s="874"/>
      <c r="CF222" s="874"/>
      <c r="CG222" s="874"/>
      <c r="CH222" s="874"/>
      <c r="CI222" s="874"/>
      <c r="CJ222" s="874"/>
      <c r="CK222" s="874"/>
      <c r="CL222" s="874"/>
      <c r="CM222" s="874"/>
      <c r="CN222" s="874"/>
      <c r="CO222" s="874"/>
      <c r="CP222" s="874"/>
      <c r="CQ222" s="874"/>
      <c r="CR222" s="874"/>
      <c r="CS222" s="874"/>
      <c r="CT222" s="874"/>
      <c r="CU222" s="874"/>
      <c r="CV222" s="874"/>
      <c r="CW222" s="874"/>
      <c r="CX222" s="874"/>
      <c r="CY222" s="874"/>
      <c r="CZ222" s="874"/>
      <c r="DA222" s="874"/>
      <c r="DB222" s="874"/>
      <c r="DC222" s="874"/>
      <c r="DD222" s="874"/>
      <c r="DE222" s="874"/>
      <c r="DF222" s="874"/>
      <c r="DG222" s="874"/>
      <c r="DH222" s="874"/>
      <c r="DI222" s="874"/>
      <c r="DJ222" s="874"/>
      <c r="DK222" s="874"/>
      <c r="DL222" s="874"/>
      <c r="DM222" s="874"/>
      <c r="DN222" s="874"/>
      <c r="DO222" s="874"/>
      <c r="DP222" s="874"/>
      <c r="DQ222" s="874"/>
      <c r="DR222" s="874"/>
      <c r="DS222" s="874"/>
      <c r="DT222" s="874"/>
      <c r="DU222" s="874"/>
      <c r="DV222" s="874"/>
      <c r="DW222" s="874"/>
      <c r="DX222" s="874"/>
      <c r="DY222" s="874"/>
      <c r="DZ222" s="874"/>
      <c r="EA222" s="874"/>
      <c r="EB222" s="874"/>
      <c r="EC222" s="874"/>
      <c r="ED222" s="874"/>
      <c r="EE222" s="874"/>
      <c r="EF222" s="874"/>
      <c r="EG222" s="874"/>
      <c r="EH222" s="874"/>
      <c r="EI222" s="874"/>
      <c r="EJ222" s="874"/>
      <c r="EK222" s="874"/>
      <c r="EL222" s="874"/>
      <c r="EM222" s="874"/>
      <c r="EN222" s="874"/>
      <c r="EO222" s="874"/>
      <c r="EP222" s="874"/>
      <c r="EQ222" s="874"/>
      <c r="ER222" s="874"/>
      <c r="ES222" s="874"/>
      <c r="ET222" s="874"/>
      <c r="EU222" s="874"/>
      <c r="EV222" s="874"/>
      <c r="EW222" s="874"/>
      <c r="EX222" s="874"/>
      <c r="EY222" s="874"/>
      <c r="EZ222" s="874"/>
      <c r="FA222" s="874"/>
      <c r="FB222" s="874"/>
      <c r="FC222" s="874"/>
      <c r="FD222" s="874"/>
      <c r="FE222" s="874"/>
      <c r="FF222" s="874"/>
      <c r="FG222" s="874"/>
      <c r="FH222" s="874"/>
      <c r="FI222" s="874"/>
      <c r="FJ222" s="874"/>
      <c r="FK222" s="874"/>
      <c r="FL222" s="874"/>
      <c r="FM222" s="874"/>
      <c r="FN222" s="874"/>
      <c r="FO222" s="874"/>
      <c r="FP222" s="874"/>
      <c r="FQ222" s="874"/>
      <c r="FR222" s="874"/>
      <c r="FS222" s="874"/>
      <c r="FT222" s="874"/>
      <c r="FU222" s="874"/>
      <c r="FV222" s="874"/>
      <c r="FW222" s="874"/>
      <c r="FX222" s="874"/>
      <c r="FY222" s="874"/>
      <c r="FZ222" s="874"/>
      <c r="GA222" s="874"/>
      <c r="GB222" s="874"/>
      <c r="GC222" s="874"/>
      <c r="GD222" s="874"/>
      <c r="GE222" s="874"/>
      <c r="GF222" s="874"/>
      <c r="GG222" s="874"/>
      <c r="GH222" s="874"/>
      <c r="GI222" s="874"/>
      <c r="GJ222" s="874"/>
      <c r="GK222" s="874"/>
      <c r="GL222" s="874"/>
      <c r="GM222" s="874"/>
      <c r="GN222" s="874"/>
      <c r="GO222" s="874"/>
      <c r="GP222" s="874"/>
      <c r="GQ222" s="874"/>
      <c r="GR222" s="874"/>
      <c r="GS222" s="874"/>
      <c r="GT222" s="874"/>
      <c r="GU222" s="874"/>
      <c r="GV222" s="874"/>
      <c r="GW222" s="874"/>
      <c r="GX222" s="874"/>
      <c r="GY222" s="874"/>
      <c r="GZ222" s="874"/>
      <c r="HA222" s="874"/>
      <c r="HB222" s="874"/>
      <c r="HC222" s="874"/>
      <c r="HD222" s="874"/>
      <c r="HE222" s="874"/>
      <c r="HF222" s="874"/>
      <c r="HG222" s="874"/>
      <c r="HH222" s="874"/>
      <c r="HI222" s="874"/>
      <c r="HJ222" s="874"/>
      <c r="HK222" s="874"/>
      <c r="HL222" s="874"/>
      <c r="HM222" s="874"/>
      <c r="HN222" s="874"/>
      <c r="HO222" s="874"/>
      <c r="HP222" s="874"/>
      <c r="HQ222" s="874"/>
      <c r="HR222" s="874"/>
      <c r="HS222" s="874"/>
      <c r="HT222" s="874"/>
      <c r="HU222" s="874"/>
      <c r="HV222" s="874"/>
      <c r="HW222" s="874"/>
      <c r="HX222" s="874"/>
      <c r="HY222" s="874"/>
      <c r="HZ222" s="874"/>
      <c r="IA222" s="874"/>
      <c r="IB222" s="874"/>
      <c r="IC222" s="874"/>
      <c r="ID222" s="874"/>
      <c r="IE222" s="874"/>
      <c r="IF222" s="874"/>
      <c r="IG222" s="874"/>
      <c r="IH222" s="874"/>
      <c r="II222" s="874"/>
      <c r="IJ222" s="874"/>
      <c r="IK222" s="874"/>
      <c r="IL222" s="874"/>
      <c r="IM222" s="874"/>
      <c r="IN222" s="874"/>
      <c r="IO222" s="874"/>
      <c r="IP222" s="874"/>
      <c r="IQ222" s="874"/>
      <c r="IR222" s="874"/>
      <c r="IS222" s="874"/>
      <c r="IT222" s="874"/>
      <c r="IU222" s="874"/>
      <c r="IV222" s="874"/>
      <c r="IW222" s="874"/>
      <c r="IX222" s="874"/>
      <c r="IY222" s="874"/>
      <c r="IZ222" s="874"/>
      <c r="JA222" s="874"/>
      <c r="JB222" s="874"/>
      <c r="JC222" s="874"/>
      <c r="JD222" s="874"/>
      <c r="JE222" s="874"/>
      <c r="JF222" s="874"/>
      <c r="JG222" s="874"/>
      <c r="JH222" s="874"/>
      <c r="JI222" s="874"/>
      <c r="JJ222" s="874"/>
      <c r="JK222" s="874"/>
      <c r="JL222" s="874"/>
      <c r="JM222" s="874"/>
      <c r="JN222" s="874"/>
      <c r="JO222" s="874"/>
      <c r="JP222" s="874"/>
      <c r="JQ222" s="874"/>
      <c r="JR222" s="874"/>
      <c r="JS222" s="874"/>
      <c r="JT222" s="874"/>
      <c r="JU222" s="874"/>
      <c r="JV222" s="874"/>
      <c r="JW222" s="874"/>
      <c r="JX222" s="874"/>
      <c r="JY222" s="874"/>
      <c r="JZ222" s="874"/>
      <c r="KA222" s="874"/>
      <c r="KB222" s="874"/>
      <c r="KC222" s="874"/>
      <c r="KD222" s="874"/>
      <c r="KE222" s="874"/>
      <c r="KF222" s="874"/>
      <c r="KG222" s="874"/>
      <c r="KH222" s="865"/>
      <c r="KI222" s="865"/>
      <c r="KJ222" s="865"/>
      <c r="KK222" s="865"/>
      <c r="KL222" s="865"/>
      <c r="KM222" s="865"/>
      <c r="KN222" s="865"/>
      <c r="KO222" s="865"/>
      <c r="KP222" s="865"/>
      <c r="KQ222" s="865"/>
      <c r="KR222" s="865"/>
      <c r="KS222" s="865"/>
      <c r="KT222" s="865"/>
      <c r="KU222" s="865"/>
      <c r="KV222" s="865"/>
      <c r="KW222" s="865"/>
      <c r="KX222" s="865"/>
      <c r="KY222" s="865"/>
      <c r="KZ222" s="865"/>
      <c r="LA222" s="865"/>
      <c r="LB222" s="865"/>
      <c r="LC222" s="865"/>
      <c r="LD222" s="865"/>
      <c r="LE222" s="865"/>
      <c r="LF222" s="865"/>
    </row>
  </sheetData>
  <sheetProtection password="9F15" sheet="1" objects="1" scenarios="1"/>
  <mergeCells count="1157">
    <mergeCell ref="BJ160:BX160"/>
    <mergeCell ref="BJ161:BX163"/>
    <mergeCell ref="A1:BX1"/>
    <mergeCell ref="BJ12:BX14"/>
    <mergeCell ref="BJ92:BX94"/>
    <mergeCell ref="BK81:BW81"/>
    <mergeCell ref="BK82:BW82"/>
    <mergeCell ref="BK83:BW83"/>
    <mergeCell ref="BK84:BW84"/>
    <mergeCell ref="BK85:BW85"/>
    <mergeCell ref="BK80:BW80"/>
    <mergeCell ref="BJ79:BW79"/>
    <mergeCell ref="BJ2:BX2"/>
    <mergeCell ref="BJ143:BN143"/>
    <mergeCell ref="BO143:BP143"/>
    <mergeCell ref="BR95:BX95"/>
    <mergeCell ref="BR96:BV96"/>
    <mergeCell ref="BR97:BX97"/>
    <mergeCell ref="BR126:BV126"/>
    <mergeCell ref="BR127:BX127"/>
    <mergeCell ref="BR128:BV128"/>
    <mergeCell ref="BW128:BX128"/>
    <mergeCell ref="BR129:BV129"/>
    <mergeCell ref="BW129:BX129"/>
    <mergeCell ref="BR130:BV130"/>
    <mergeCell ref="BW130:BX130"/>
    <mergeCell ref="BR119:BV119"/>
    <mergeCell ref="BR112:BV112"/>
    <mergeCell ref="BW112:BX112"/>
    <mergeCell ref="BR113:BV113"/>
    <mergeCell ref="BW113:BX113"/>
    <mergeCell ref="BR115:BX115"/>
    <mergeCell ref="BR117:BX117"/>
    <mergeCell ref="BR118:BV118"/>
    <mergeCell ref="BW118:BX118"/>
    <mergeCell ref="BR121:BV121"/>
    <mergeCell ref="BW121:BX121"/>
    <mergeCell ref="BR122:BV122"/>
    <mergeCell ref="BW122:BX122"/>
    <mergeCell ref="BR123:BV123"/>
    <mergeCell ref="BW123:BX123"/>
    <mergeCell ref="BW126:BX126"/>
    <mergeCell ref="BR106:BV106"/>
    <mergeCell ref="BW119:BX119"/>
    <mergeCell ref="BR120:BV120"/>
    <mergeCell ref="BW120:BX120"/>
    <mergeCell ref="BW116:BX116"/>
    <mergeCell ref="BR142:BV142"/>
    <mergeCell ref="BW142:BX142"/>
    <mergeCell ref="BR125:BX125"/>
    <mergeCell ref="BR109:BV109"/>
    <mergeCell ref="BW109:BX109"/>
    <mergeCell ref="BR110:BV110"/>
    <mergeCell ref="BW110:BX110"/>
    <mergeCell ref="BR111:BV111"/>
    <mergeCell ref="BW111:BX111"/>
    <mergeCell ref="BR143:BV143"/>
    <mergeCell ref="BW143:BX143"/>
    <mergeCell ref="BR137:BX137"/>
    <mergeCell ref="BR138:BV138"/>
    <mergeCell ref="BW138:BX138"/>
    <mergeCell ref="BR139:BV139"/>
    <mergeCell ref="BW139:BX139"/>
    <mergeCell ref="BR140:BV140"/>
    <mergeCell ref="BW140:BX140"/>
    <mergeCell ref="BR141:BV141"/>
    <mergeCell ref="BW141:BX141"/>
    <mergeCell ref="BR131:BV131"/>
    <mergeCell ref="BW131:BX131"/>
    <mergeCell ref="BR132:BV132"/>
    <mergeCell ref="BW132:BX132"/>
    <mergeCell ref="BR133:BV133"/>
    <mergeCell ref="BW133:BX133"/>
    <mergeCell ref="BR135:BX135"/>
    <mergeCell ref="BR136:BV136"/>
    <mergeCell ref="BJ141:BN141"/>
    <mergeCell ref="BO141:BP141"/>
    <mergeCell ref="BJ142:BN142"/>
    <mergeCell ref="BO142:BP142"/>
    <mergeCell ref="BJ135:BP135"/>
    <mergeCell ref="BJ136:BN136"/>
    <mergeCell ref="BJ137:BP137"/>
    <mergeCell ref="BJ138:BN138"/>
    <mergeCell ref="BO138:BP138"/>
    <mergeCell ref="BJ139:BN139"/>
    <mergeCell ref="BO139:BP139"/>
    <mergeCell ref="BJ140:BN140"/>
    <mergeCell ref="BO140:BP140"/>
    <mergeCell ref="BJ129:BN129"/>
    <mergeCell ref="BO129:BP129"/>
    <mergeCell ref="BJ130:BN130"/>
    <mergeCell ref="BO130:BP130"/>
    <mergeCell ref="BJ131:BN131"/>
    <mergeCell ref="BO131:BP131"/>
    <mergeCell ref="BJ132:BN132"/>
    <mergeCell ref="BO132:BP132"/>
    <mergeCell ref="BJ133:BN133"/>
    <mergeCell ref="BO133:BP133"/>
    <mergeCell ref="BO136:BP136"/>
    <mergeCell ref="BJ122:BN122"/>
    <mergeCell ref="BO122:BP122"/>
    <mergeCell ref="BJ123:BN123"/>
    <mergeCell ref="BO123:BP123"/>
    <mergeCell ref="BJ125:BP125"/>
    <mergeCell ref="BJ126:BN126"/>
    <mergeCell ref="BJ127:BP127"/>
    <mergeCell ref="BJ128:BN128"/>
    <mergeCell ref="BO128:BP128"/>
    <mergeCell ref="BJ117:BP117"/>
    <mergeCell ref="BJ118:BN118"/>
    <mergeCell ref="BO118:BP118"/>
    <mergeCell ref="BJ119:BN119"/>
    <mergeCell ref="BO119:BP119"/>
    <mergeCell ref="BJ120:BN120"/>
    <mergeCell ref="BO120:BP120"/>
    <mergeCell ref="BJ121:BN121"/>
    <mergeCell ref="BO121:BP121"/>
    <mergeCell ref="BO126:BP126"/>
    <mergeCell ref="BR103:BV103"/>
    <mergeCell ref="BJ95:BP95"/>
    <mergeCell ref="BR31:BV31"/>
    <mergeCell ref="BW31:BX31"/>
    <mergeCell ref="BR33:BT33"/>
    <mergeCell ref="BU33:BX33"/>
    <mergeCell ref="BR34:BT35"/>
    <mergeCell ref="BU34:BX35"/>
    <mergeCell ref="BR36:BV36"/>
    <mergeCell ref="BW36:BX36"/>
    <mergeCell ref="BR37:BV37"/>
    <mergeCell ref="BJ112:BN112"/>
    <mergeCell ref="BO112:BP112"/>
    <mergeCell ref="BJ113:BN113"/>
    <mergeCell ref="BO113:BP113"/>
    <mergeCell ref="BJ115:BP115"/>
    <mergeCell ref="BJ116:BN116"/>
    <mergeCell ref="BJ105:BP105"/>
    <mergeCell ref="BJ106:BN106"/>
    <mergeCell ref="BJ107:BP107"/>
    <mergeCell ref="BJ108:BN108"/>
    <mergeCell ref="BO108:BP108"/>
    <mergeCell ref="BJ109:BN109"/>
    <mergeCell ref="BO109:BP109"/>
    <mergeCell ref="BJ110:BN110"/>
    <mergeCell ref="BO110:BP110"/>
    <mergeCell ref="BO116:BP116"/>
    <mergeCell ref="BO106:BP106"/>
    <mergeCell ref="BR116:BV116"/>
    <mergeCell ref="BO96:BP96"/>
    <mergeCell ref="BJ31:BN31"/>
    <mergeCell ref="BO31:BP31"/>
    <mergeCell ref="BJ15:BL15"/>
    <mergeCell ref="BJ24:BL24"/>
    <mergeCell ref="BM24:BP24"/>
    <mergeCell ref="BJ18:BN18"/>
    <mergeCell ref="BO18:BP18"/>
    <mergeCell ref="BJ19:BN19"/>
    <mergeCell ref="BJ20:BP20"/>
    <mergeCell ref="FC118:FC119"/>
    <mergeCell ref="FD118:FD119"/>
    <mergeCell ref="BJ25:BL26"/>
    <mergeCell ref="BM25:BP26"/>
    <mergeCell ref="BJ27:BN27"/>
    <mergeCell ref="BO27:BP27"/>
    <mergeCell ref="BJ28:BN28"/>
    <mergeCell ref="BJ29:BP29"/>
    <mergeCell ref="BJ30:BN30"/>
    <mergeCell ref="BR15:BT15"/>
    <mergeCell ref="BU15:BX15"/>
    <mergeCell ref="BR16:BT17"/>
    <mergeCell ref="BU16:BX17"/>
    <mergeCell ref="BR18:BV18"/>
    <mergeCell ref="BJ38:BP38"/>
    <mergeCell ref="BJ39:BN39"/>
    <mergeCell ref="BR38:BX38"/>
    <mergeCell ref="BR39:BV39"/>
    <mergeCell ref="BW39:BX39"/>
    <mergeCell ref="BR40:BV40"/>
    <mergeCell ref="BW40:BX40"/>
    <mergeCell ref="BO39:BP39"/>
    <mergeCell ref="BJ40:BN40"/>
    <mergeCell ref="BO40:BP40"/>
    <mergeCell ref="EW117:EX117"/>
    <mergeCell ref="BW102:BX102"/>
    <mergeCell ref="DV118:DV119"/>
    <mergeCell ref="CF25:CF26"/>
    <mergeCell ref="DA25:DA26"/>
    <mergeCell ref="IE118:IE119"/>
    <mergeCell ref="JA118:JA119"/>
    <mergeCell ref="IN117:IQ117"/>
    <mergeCell ref="IX117:IY117"/>
    <mergeCell ref="HY118:HY119"/>
    <mergeCell ref="IT118:IT119"/>
    <mergeCell ref="JO118:JO119"/>
    <mergeCell ref="HE118:HE119"/>
    <mergeCell ref="HZ118:HZ119"/>
    <mergeCell ref="IU118:IU119"/>
    <mergeCell ref="GM118:GM119"/>
    <mergeCell ref="GN118:GN119"/>
    <mergeCell ref="BR107:BX107"/>
    <mergeCell ref="BR108:BV108"/>
    <mergeCell ref="HW117:IB117"/>
    <mergeCell ref="IR117:IW117"/>
    <mergeCell ref="JM117:JR117"/>
    <mergeCell ref="EW118:EW119"/>
    <mergeCell ref="EX118:EX119"/>
    <mergeCell ref="JR118:JR119"/>
    <mergeCell ref="JM118:JM119"/>
    <mergeCell ref="HC118:HC119"/>
    <mergeCell ref="HX118:HX119"/>
    <mergeCell ref="IS118:IS119"/>
    <mergeCell ref="JN118:JN119"/>
    <mergeCell ref="HD118:HD119"/>
    <mergeCell ref="BW103:BX103"/>
    <mergeCell ref="BR98:BV98"/>
    <mergeCell ref="BJ111:BN111"/>
    <mergeCell ref="BO111:BP111"/>
    <mergeCell ref="BW108:BX108"/>
    <mergeCell ref="FI51:FI63"/>
    <mergeCell ref="FJ51:FJ63"/>
    <mergeCell ref="BO30:BP30"/>
    <mergeCell ref="BO101:BP101"/>
    <mergeCell ref="BJ102:BN102"/>
    <mergeCell ref="BJ33:BL33"/>
    <mergeCell ref="BM33:BP33"/>
    <mergeCell ref="FO118:FO119"/>
    <mergeCell ref="FP118:FP119"/>
    <mergeCell ref="FK51:FK63"/>
    <mergeCell ref="FF24:FF26"/>
    <mergeCell ref="DV25:DV26"/>
    <mergeCell ref="EQ25:EQ26"/>
    <mergeCell ref="EB24:EC24"/>
    <mergeCell ref="EB25:EB26"/>
    <mergeCell ref="EC25:EC26"/>
    <mergeCell ref="DV24:EA24"/>
    <mergeCell ref="DR24:DU24"/>
    <mergeCell ref="EK24:EK26"/>
    <mergeCell ref="EM24:EP24"/>
    <mergeCell ref="CA24:CA26"/>
    <mergeCell ref="CV24:CV26"/>
    <mergeCell ref="DQ24:DQ26"/>
    <mergeCell ref="EL24:EL26"/>
    <mergeCell ref="BR105:BX105"/>
    <mergeCell ref="BW98:BX98"/>
    <mergeCell ref="BR99:BV99"/>
    <mergeCell ref="BW99:BX99"/>
    <mergeCell ref="BR100:BV100"/>
    <mergeCell ref="JM143:JP144"/>
    <mergeCell ref="JP118:JP119"/>
    <mergeCell ref="HF118:HF119"/>
    <mergeCell ref="HG118:HG119"/>
    <mergeCell ref="IA118:IA119"/>
    <mergeCell ref="IB118:IB119"/>
    <mergeCell ref="IV118:IV119"/>
    <mergeCell ref="IW118:IW119"/>
    <mergeCell ref="JQ118:JQ119"/>
    <mergeCell ref="IN144:IN156"/>
    <mergeCell ref="IO144:IO156"/>
    <mergeCell ref="IP144:IP156"/>
    <mergeCell ref="IQ144:IQ156"/>
    <mergeCell ref="JG144:JG156"/>
    <mergeCell ref="JI144:JI156"/>
    <mergeCell ref="JJ144:JJ156"/>
    <mergeCell ref="JK144:JK156"/>
    <mergeCell ref="JL144:JL156"/>
    <mergeCell ref="HH118:HH119"/>
    <mergeCell ref="HI118:HI119"/>
    <mergeCell ref="IC118:IC119"/>
    <mergeCell ref="ID118:ID119"/>
    <mergeCell ref="IX118:IX119"/>
    <mergeCell ref="IY118:IY119"/>
    <mergeCell ref="HR117:HR119"/>
    <mergeCell ref="JH117:JH119"/>
    <mergeCell ref="JG117:JG119"/>
    <mergeCell ref="HQ117:HQ119"/>
    <mergeCell ref="HS117:HV117"/>
    <mergeCell ref="HQ144:HQ156"/>
    <mergeCell ref="HS144:HS156"/>
    <mergeCell ref="HT144:HT156"/>
    <mergeCell ref="GG143:GJ144"/>
    <mergeCell ref="HB118:HB119"/>
    <mergeCell ref="HW118:HW119"/>
    <mergeCell ref="IR118:IR119"/>
    <mergeCell ref="HB143:HE144"/>
    <mergeCell ref="HW143:HZ144"/>
    <mergeCell ref="IR143:IU144"/>
    <mergeCell ref="HA118:HA119"/>
    <mergeCell ref="HS118:HS119"/>
    <mergeCell ref="HT118:HT119"/>
    <mergeCell ref="HV118:HV119"/>
    <mergeCell ref="IN118:IN119"/>
    <mergeCell ref="IO118:IO119"/>
    <mergeCell ref="IQ118:IQ119"/>
    <mergeCell ref="IM117:IM119"/>
    <mergeCell ref="GV144:GV156"/>
    <mergeCell ref="GX144:GX156"/>
    <mergeCell ref="HH117:HI117"/>
    <mergeCell ref="HB117:HG117"/>
    <mergeCell ref="IC117:ID117"/>
    <mergeCell ref="GH118:GH119"/>
    <mergeCell ref="GI118:GI119"/>
    <mergeCell ref="GM117:GN117"/>
    <mergeCell ref="GY144:GY156"/>
    <mergeCell ref="GZ144:GZ156"/>
    <mergeCell ref="HA144:HA156"/>
    <mergeCell ref="HK118:HK119"/>
    <mergeCell ref="HL118:HL119"/>
    <mergeCell ref="IE117:IK117"/>
    <mergeCell ref="HV144:HV156"/>
    <mergeCell ref="IL144:IL156"/>
    <mergeCell ref="GW117:GW119"/>
    <mergeCell ref="DV143:DY144"/>
    <mergeCell ref="EK144:EK156"/>
    <mergeCell ref="EM144:EM156"/>
    <mergeCell ref="EN144:EN156"/>
    <mergeCell ref="EO144:EO156"/>
    <mergeCell ref="EP144:EP156"/>
    <mergeCell ref="FF144:FF156"/>
    <mergeCell ref="FH144:FH156"/>
    <mergeCell ref="FI144:FI156"/>
    <mergeCell ref="FJ144:FJ156"/>
    <mergeCell ref="EQ143:ET144"/>
    <mergeCell ref="DK118:DK119"/>
    <mergeCell ref="DL118:DL119"/>
    <mergeCell ref="DM118:DM119"/>
    <mergeCell ref="FH118:FH119"/>
    <mergeCell ref="FI118:FI119"/>
    <mergeCell ref="FG117:FG119"/>
    <mergeCell ref="FH117:FK117"/>
    <mergeCell ref="DW118:DW119"/>
    <mergeCell ref="DX118:DX119"/>
    <mergeCell ref="DY118:DY119"/>
    <mergeCell ref="DZ118:DZ119"/>
    <mergeCell ref="EA118:EA119"/>
    <mergeCell ref="EU118:EU119"/>
    <mergeCell ref="EV118:EV119"/>
    <mergeCell ref="EB117:EC117"/>
    <mergeCell ref="EB118:EB119"/>
    <mergeCell ref="EC118:EC119"/>
    <mergeCell ref="DV117:EA117"/>
    <mergeCell ref="DR144:DR156"/>
    <mergeCell ref="DS144:DS156"/>
    <mergeCell ref="DT144:DT156"/>
    <mergeCell ref="HU144:HU156"/>
    <mergeCell ref="GD51:GD63"/>
    <mergeCell ref="EK117:EK119"/>
    <mergeCell ref="FL143:FO144"/>
    <mergeCell ref="GG118:GG119"/>
    <mergeCell ref="FK144:FK156"/>
    <mergeCell ref="GA144:GA156"/>
    <mergeCell ref="GC144:GC156"/>
    <mergeCell ref="GD144:GD156"/>
    <mergeCell ref="GE144:GE156"/>
    <mergeCell ref="GF144:GF156"/>
    <mergeCell ref="GX117:HA117"/>
    <mergeCell ref="GX118:GX119"/>
    <mergeCell ref="GY118:GY119"/>
    <mergeCell ref="GG117:GL117"/>
    <mergeCell ref="GB117:GB119"/>
    <mergeCell ref="GA117:GA119"/>
    <mergeCell ref="GC117:GF117"/>
    <mergeCell ref="GF118:GF119"/>
    <mergeCell ref="GJ118:GJ119"/>
    <mergeCell ref="GK118:GK119"/>
    <mergeCell ref="FQ118:FQ119"/>
    <mergeCell ref="GL118:GL119"/>
    <mergeCell ref="EQ118:EQ119"/>
    <mergeCell ref="ER118:ER119"/>
    <mergeCell ref="ES118:ES119"/>
    <mergeCell ref="ET118:ET119"/>
    <mergeCell ref="FR117:FS117"/>
    <mergeCell ref="FM118:FM119"/>
    <mergeCell ref="GT118:GT119"/>
    <mergeCell ref="GU118:GU119"/>
    <mergeCell ref="HJ117:HP117"/>
    <mergeCell ref="A2:BH7"/>
    <mergeCell ref="A92:BG94"/>
    <mergeCell ref="GI25:GI26"/>
    <mergeCell ref="CI25:CI26"/>
    <mergeCell ref="DD25:DD26"/>
    <mergeCell ref="DY25:DY26"/>
    <mergeCell ref="ET25:ET26"/>
    <mergeCell ref="FO25:FO26"/>
    <mergeCell ref="CZ51:CZ63"/>
    <mergeCell ref="DP51:DP63"/>
    <mergeCell ref="DR51:DR63"/>
    <mergeCell ref="DS51:DS63"/>
    <mergeCell ref="DT51:DT63"/>
    <mergeCell ref="DU51:DU63"/>
    <mergeCell ref="EK51:EK63"/>
    <mergeCell ref="EM51:EM63"/>
    <mergeCell ref="EN51:EN63"/>
    <mergeCell ref="EO51:EO63"/>
    <mergeCell ref="GF25:GF26"/>
    <mergeCell ref="FG24:FG26"/>
    <mergeCell ref="GB24:GB26"/>
    <mergeCell ref="CF50:CI51"/>
    <mergeCell ref="DE25:DE26"/>
    <mergeCell ref="DF25:DF26"/>
    <mergeCell ref="A12:AI14"/>
    <mergeCell ref="AE24:AE26"/>
    <mergeCell ref="AF24:AI24"/>
    <mergeCell ref="AI25:AI26"/>
    <mergeCell ref="AF15:AI15"/>
    <mergeCell ref="GG50:GJ51"/>
    <mergeCell ref="FH51:FH63"/>
    <mergeCell ref="GA51:GA63"/>
    <mergeCell ref="AY118:AY119"/>
    <mergeCell ref="AZ118:AZ119"/>
    <mergeCell ref="BA118:BA119"/>
    <mergeCell ref="FP25:FP26"/>
    <mergeCell ref="AX103:BA103"/>
    <mergeCell ref="BD102:BG102"/>
    <mergeCell ref="BD103:BG103"/>
    <mergeCell ref="B104:E104"/>
    <mergeCell ref="H104:K104"/>
    <mergeCell ref="N104:Q104"/>
    <mergeCell ref="T104:W104"/>
    <mergeCell ref="Z104:AC104"/>
    <mergeCell ref="AF104:AI104"/>
    <mergeCell ref="AL104:AO104"/>
    <mergeCell ref="AR104:AU104"/>
    <mergeCell ref="AX104:BA104"/>
    <mergeCell ref="B103:E103"/>
    <mergeCell ref="H102:K102"/>
    <mergeCell ref="H103:K103"/>
    <mergeCell ref="N102:Q102"/>
    <mergeCell ref="N103:Q103"/>
    <mergeCell ref="T102:W102"/>
    <mergeCell ref="T103:W103"/>
    <mergeCell ref="BD117:BG117"/>
    <mergeCell ref="BD118:BD119"/>
    <mergeCell ref="BE118:BE119"/>
    <mergeCell ref="BF118:BF119"/>
    <mergeCell ref="BG118:BG119"/>
    <mergeCell ref="AK95:AO95"/>
    <mergeCell ref="BC95:BG95"/>
    <mergeCell ref="AR101:AU101"/>
    <mergeCell ref="BD96:BG96"/>
    <mergeCell ref="BC144:BC156"/>
    <mergeCell ref="BD144:BD156"/>
    <mergeCell ref="BE144:BE156"/>
    <mergeCell ref="BF144:BF156"/>
    <mergeCell ref="BG144:BG156"/>
    <mergeCell ref="BC117:BC119"/>
    <mergeCell ref="AR105:AU105"/>
    <mergeCell ref="AX105:BA105"/>
    <mergeCell ref="AR102:AU102"/>
    <mergeCell ref="AR103:AU103"/>
    <mergeCell ref="AX102:BA102"/>
    <mergeCell ref="AQ144:AQ156"/>
    <mergeCell ref="AR144:AR156"/>
    <mergeCell ref="AS144:AS156"/>
    <mergeCell ref="AT144:AT156"/>
    <mergeCell ref="AU144:AU156"/>
    <mergeCell ref="AW117:AW119"/>
    <mergeCell ref="AX117:BA117"/>
    <mergeCell ref="AQ117:AQ119"/>
    <mergeCell ref="AR117:AU117"/>
    <mergeCell ref="AR118:AR119"/>
    <mergeCell ref="AS118:AS119"/>
    <mergeCell ref="AT118:AT119"/>
    <mergeCell ref="AU118:AU119"/>
    <mergeCell ref="AW144:AW156"/>
    <mergeCell ref="AX144:AX156"/>
    <mergeCell ref="AY144:AY156"/>
    <mergeCell ref="AZ144:AZ156"/>
    <mergeCell ref="BA144:BA156"/>
    <mergeCell ref="AX118:AX119"/>
    <mergeCell ref="BD104:BG104"/>
    <mergeCell ref="BD105:BG105"/>
    <mergeCell ref="AK144:AK156"/>
    <mergeCell ref="AL144:AL156"/>
    <mergeCell ref="AM144:AM156"/>
    <mergeCell ref="AN144:AN156"/>
    <mergeCell ref="AO144:AO156"/>
    <mergeCell ref="T118:T119"/>
    <mergeCell ref="AG144:AG156"/>
    <mergeCell ref="AH144:AH156"/>
    <mergeCell ref="AI144:AI156"/>
    <mergeCell ref="N101:Q101"/>
    <mergeCell ref="N144:N156"/>
    <mergeCell ref="B102:E102"/>
    <mergeCell ref="A117:A119"/>
    <mergeCell ref="AL96:AO96"/>
    <mergeCell ref="AL97:AO97"/>
    <mergeCell ref="AL98:AO98"/>
    <mergeCell ref="AL99:AO99"/>
    <mergeCell ref="AL100:AO100"/>
    <mergeCell ref="AL101:AO101"/>
    <mergeCell ref="AK117:AK119"/>
    <mergeCell ref="AL117:AO117"/>
    <mergeCell ref="AL118:AL119"/>
    <mergeCell ref="AM118:AM119"/>
    <mergeCell ref="AN118:AN119"/>
    <mergeCell ref="AO118:AO119"/>
    <mergeCell ref="AF103:AI103"/>
    <mergeCell ref="AL102:AO102"/>
    <mergeCell ref="AL103:AO103"/>
    <mergeCell ref="B105:E105"/>
    <mergeCell ref="H105:K105"/>
    <mergeCell ref="N105:Q105"/>
    <mergeCell ref="B97:E97"/>
    <mergeCell ref="Z15:AC15"/>
    <mergeCell ref="T15:W15"/>
    <mergeCell ref="T16:W16"/>
    <mergeCell ref="Z16:AC16"/>
    <mergeCell ref="H15:K15"/>
    <mergeCell ref="H16:K16"/>
    <mergeCell ref="H17:K17"/>
    <mergeCell ref="B15:E15"/>
    <mergeCell ref="A24:A26"/>
    <mergeCell ref="T105:W105"/>
    <mergeCell ref="Z105:AC105"/>
    <mergeCell ref="B101:E101"/>
    <mergeCell ref="H101:K101"/>
    <mergeCell ref="K144:K156"/>
    <mergeCell ref="M144:M156"/>
    <mergeCell ref="A144:A156"/>
    <mergeCell ref="D144:D156"/>
    <mergeCell ref="E144:E156"/>
    <mergeCell ref="G144:G156"/>
    <mergeCell ref="H144:H156"/>
    <mergeCell ref="I144:I156"/>
    <mergeCell ref="J144:J156"/>
    <mergeCell ref="B144:B156"/>
    <mergeCell ref="C144:C156"/>
    <mergeCell ref="M117:M119"/>
    <mergeCell ref="B118:B119"/>
    <mergeCell ref="C118:C119"/>
    <mergeCell ref="D118:D119"/>
    <mergeCell ref="E118:E119"/>
    <mergeCell ref="H118:H119"/>
    <mergeCell ref="I118:I119"/>
    <mergeCell ref="J118:J119"/>
    <mergeCell ref="Z17:AC17"/>
    <mergeCell ref="N18:Q18"/>
    <mergeCell ref="T18:W18"/>
    <mergeCell ref="Z18:AC18"/>
    <mergeCell ref="S24:S26"/>
    <mergeCell ref="T24:W24"/>
    <mergeCell ref="T25:T26"/>
    <mergeCell ref="U25:U26"/>
    <mergeCell ref="V25:V26"/>
    <mergeCell ref="W25:W26"/>
    <mergeCell ref="T17:W17"/>
    <mergeCell ref="T51:T63"/>
    <mergeCell ref="U51:U63"/>
    <mergeCell ref="V51:V63"/>
    <mergeCell ref="W51:W63"/>
    <mergeCell ref="AF16:AI16"/>
    <mergeCell ref="AF17:AI17"/>
    <mergeCell ref="Y24:Y26"/>
    <mergeCell ref="Z24:AC24"/>
    <mergeCell ref="Z25:Z26"/>
    <mergeCell ref="AA25:AA26"/>
    <mergeCell ref="AB25:AB26"/>
    <mergeCell ref="AC25:AC26"/>
    <mergeCell ref="AI51:AI63"/>
    <mergeCell ref="Y51:Y63"/>
    <mergeCell ref="Z51:Z63"/>
    <mergeCell ref="AA51:AA63"/>
    <mergeCell ref="AB51:AB63"/>
    <mergeCell ref="AC51:AC63"/>
    <mergeCell ref="AF25:AF26"/>
    <mergeCell ref="AG25:AG26"/>
    <mergeCell ref="AH25:AH26"/>
    <mergeCell ref="B16:E16"/>
    <mergeCell ref="B17:E17"/>
    <mergeCell ref="N15:Q15"/>
    <mergeCell ref="N16:Q16"/>
    <mergeCell ref="N17:Q17"/>
    <mergeCell ref="G24:G26"/>
    <mergeCell ref="H24:K24"/>
    <mergeCell ref="H25:H26"/>
    <mergeCell ref="I25:I26"/>
    <mergeCell ref="J25:J26"/>
    <mergeCell ref="K25:K26"/>
    <mergeCell ref="N24:Q24"/>
    <mergeCell ref="N25:N26"/>
    <mergeCell ref="O25:O26"/>
    <mergeCell ref="P25:P26"/>
    <mergeCell ref="Q25:Q26"/>
    <mergeCell ref="B24:E24"/>
    <mergeCell ref="B18:E18"/>
    <mergeCell ref="H18:K18"/>
    <mergeCell ref="M24:M26"/>
    <mergeCell ref="M51:M63"/>
    <mergeCell ref="B25:B26"/>
    <mergeCell ref="C25:C26"/>
    <mergeCell ref="D25:D26"/>
    <mergeCell ref="E25:E26"/>
    <mergeCell ref="B51:B63"/>
    <mergeCell ref="M95:Q95"/>
    <mergeCell ref="G95:K95"/>
    <mergeCell ref="A95:E95"/>
    <mergeCell ref="G51:G63"/>
    <mergeCell ref="H51:H63"/>
    <mergeCell ref="I51:I63"/>
    <mergeCell ref="J51:J63"/>
    <mergeCell ref="K51:K63"/>
    <mergeCell ref="O51:O63"/>
    <mergeCell ref="P51:P63"/>
    <mergeCell ref="Q51:Q63"/>
    <mergeCell ref="A77:A80"/>
    <mergeCell ref="A74:F76"/>
    <mergeCell ref="B77:B79"/>
    <mergeCell ref="C77:C79"/>
    <mergeCell ref="D77:D79"/>
    <mergeCell ref="E77:E79"/>
    <mergeCell ref="F77:F79"/>
    <mergeCell ref="N51:N63"/>
    <mergeCell ref="A51:A63"/>
    <mergeCell ref="C51:C63"/>
    <mergeCell ref="D51:D63"/>
    <mergeCell ref="E51:E63"/>
    <mergeCell ref="H97:K97"/>
    <mergeCell ref="N97:Q97"/>
    <mergeCell ref="T97:W97"/>
    <mergeCell ref="Z97:AC97"/>
    <mergeCell ref="AH118:AH119"/>
    <mergeCell ref="AC118:AC119"/>
    <mergeCell ref="B96:E96"/>
    <mergeCell ref="H96:K96"/>
    <mergeCell ref="N96:Q96"/>
    <mergeCell ref="T96:W96"/>
    <mergeCell ref="Z96:AC96"/>
    <mergeCell ref="K118:K119"/>
    <mergeCell ref="Z117:AC117"/>
    <mergeCell ref="O118:O119"/>
    <mergeCell ref="P118:P119"/>
    <mergeCell ref="Q118:Q119"/>
    <mergeCell ref="T101:W101"/>
    <mergeCell ref="Z101:AC101"/>
    <mergeCell ref="AF101:AI101"/>
    <mergeCell ref="B100:E100"/>
    <mergeCell ref="H100:K100"/>
    <mergeCell ref="N100:Q100"/>
    <mergeCell ref="T100:W100"/>
    <mergeCell ref="B98:E98"/>
    <mergeCell ref="B99:E99"/>
    <mergeCell ref="H98:K98"/>
    <mergeCell ref="H99:K99"/>
    <mergeCell ref="N98:Q98"/>
    <mergeCell ref="N99:Q99"/>
    <mergeCell ref="T98:W98"/>
    <mergeCell ref="T99:W99"/>
    <mergeCell ref="Z99:AC99"/>
    <mergeCell ref="N117:Q117"/>
    <mergeCell ref="S117:S119"/>
    <mergeCell ref="T117:W117"/>
    <mergeCell ref="B117:E117"/>
    <mergeCell ref="G117:G119"/>
    <mergeCell ref="H117:K117"/>
    <mergeCell ref="N118:N119"/>
    <mergeCell ref="A177:N177"/>
    <mergeCell ref="A178:N178"/>
    <mergeCell ref="O144:O156"/>
    <mergeCell ref="P144:P156"/>
    <mergeCell ref="S144:S156"/>
    <mergeCell ref="T144:T156"/>
    <mergeCell ref="Q144:Q156"/>
    <mergeCell ref="A160:N160"/>
    <mergeCell ref="A161:N161"/>
    <mergeCell ref="A179:N179"/>
    <mergeCell ref="A162:N162"/>
    <mergeCell ref="A163:N163"/>
    <mergeCell ref="A164:N164"/>
    <mergeCell ref="A165:N165"/>
    <mergeCell ref="A166:N166"/>
    <mergeCell ref="A167:N167"/>
    <mergeCell ref="A170:N170"/>
    <mergeCell ref="A174:N174"/>
    <mergeCell ref="A175:N175"/>
    <mergeCell ref="A176:N176"/>
    <mergeCell ref="A171:N171"/>
    <mergeCell ref="A172:N172"/>
    <mergeCell ref="A173:N173"/>
    <mergeCell ref="A168:N168"/>
    <mergeCell ref="A169:N169"/>
    <mergeCell ref="Y95:AC95"/>
    <mergeCell ref="AA144:AA156"/>
    <mergeCell ref="AB144:AB156"/>
    <mergeCell ref="AC144:AC156"/>
    <mergeCell ref="AG118:AG119"/>
    <mergeCell ref="AI118:AI119"/>
    <mergeCell ref="AF96:AI96"/>
    <mergeCell ref="AF98:AI98"/>
    <mergeCell ref="AF99:AI99"/>
    <mergeCell ref="AE117:AE119"/>
    <mergeCell ref="AF117:AI117"/>
    <mergeCell ref="Y117:Y119"/>
    <mergeCell ref="AE144:AE156"/>
    <mergeCell ref="AF144:AF156"/>
    <mergeCell ref="AF118:AF119"/>
    <mergeCell ref="Z103:AC103"/>
    <mergeCell ref="Z102:AC102"/>
    <mergeCell ref="AF105:AI105"/>
    <mergeCell ref="FH15:FK15"/>
    <mergeCell ref="GC15:GF15"/>
    <mergeCell ref="U144:U156"/>
    <mergeCell ref="V144:V156"/>
    <mergeCell ref="W144:W156"/>
    <mergeCell ref="Y144:Y156"/>
    <mergeCell ref="Z144:Z156"/>
    <mergeCell ref="AF97:AI97"/>
    <mergeCell ref="Z100:AC100"/>
    <mergeCell ref="AF100:AI100"/>
    <mergeCell ref="AF102:AI102"/>
    <mergeCell ref="V118:V119"/>
    <mergeCell ref="W118:W119"/>
    <mergeCell ref="Z118:Z119"/>
    <mergeCell ref="AA118:AA119"/>
    <mergeCell ref="AB118:AB119"/>
    <mergeCell ref="U118:U119"/>
    <mergeCell ref="S95:W95"/>
    <mergeCell ref="AF18:AI18"/>
    <mergeCell ref="AE51:AE63"/>
    <mergeCell ref="AF51:AF63"/>
    <mergeCell ref="AG51:AG63"/>
    <mergeCell ref="AH51:AH63"/>
    <mergeCell ref="S51:S63"/>
    <mergeCell ref="DT16:DU17"/>
    <mergeCell ref="BO37:BP37"/>
    <mergeCell ref="DT18:DU18"/>
    <mergeCell ref="EM16:EN17"/>
    <mergeCell ref="EO16:EP17"/>
    <mergeCell ref="Z98:AC98"/>
    <mergeCell ref="BR30:BV30"/>
    <mergeCell ref="BW30:BX30"/>
    <mergeCell ref="AL105:AO105"/>
    <mergeCell ref="BD97:BG97"/>
    <mergeCell ref="BD98:BG98"/>
    <mergeCell ref="BD99:BG99"/>
    <mergeCell ref="BD100:BG100"/>
    <mergeCell ref="BD101:BG101"/>
    <mergeCell ref="AW95:BA95"/>
    <mergeCell ref="AX96:BA96"/>
    <mergeCell ref="AX97:BA97"/>
    <mergeCell ref="AX98:BA98"/>
    <mergeCell ref="AX99:BA99"/>
    <mergeCell ref="AX100:BA100"/>
    <mergeCell ref="AX101:BA101"/>
    <mergeCell ref="AQ95:AU95"/>
    <mergeCell ref="AR96:AU96"/>
    <mergeCell ref="BR25:BT26"/>
    <mergeCell ref="BU25:BX26"/>
    <mergeCell ref="BR27:BV27"/>
    <mergeCell ref="BW27:BX27"/>
    <mergeCell ref="BR28:BV28"/>
    <mergeCell ref="BJ34:BL35"/>
    <mergeCell ref="BM34:BP35"/>
    <mergeCell ref="BJ36:BN36"/>
    <mergeCell ref="BO36:BP36"/>
    <mergeCell ref="BJ37:BN37"/>
    <mergeCell ref="BJ96:BN96"/>
    <mergeCell ref="BJ97:BP97"/>
    <mergeCell ref="BJ99:BN99"/>
    <mergeCell ref="BO99:BP99"/>
    <mergeCell ref="BJ100:BN100"/>
    <mergeCell ref="BO100:BP100"/>
    <mergeCell ref="BJ101:BN101"/>
    <mergeCell ref="BO102:BP102"/>
    <mergeCell ref="BJ103:BN103"/>
    <mergeCell ref="BO103:BP103"/>
    <mergeCell ref="BJ98:BN98"/>
    <mergeCell ref="BZ24:BZ26"/>
    <mergeCell ref="CB24:CE24"/>
    <mergeCell ref="BO98:BP98"/>
    <mergeCell ref="DC25:DC26"/>
    <mergeCell ref="CY51:CY63"/>
    <mergeCell ref="AE95:AI95"/>
    <mergeCell ref="AR97:AU97"/>
    <mergeCell ref="AR98:AU98"/>
    <mergeCell ref="AR99:AU99"/>
    <mergeCell ref="AR100:AU100"/>
    <mergeCell ref="CB15:CE15"/>
    <mergeCell ref="CW15:CZ15"/>
    <mergeCell ref="CC51:CC63"/>
    <mergeCell ref="CD51:CD63"/>
    <mergeCell ref="CE51:CE63"/>
    <mergeCell ref="CU51:CU63"/>
    <mergeCell ref="CW51:CW63"/>
    <mergeCell ref="CX51:CX63"/>
    <mergeCell ref="BJ16:BL17"/>
    <mergeCell ref="BM16:BP17"/>
    <mergeCell ref="BJ21:BN21"/>
    <mergeCell ref="BJ22:BN22"/>
    <mergeCell ref="BO21:BP21"/>
    <mergeCell ref="BO22:BP22"/>
    <mergeCell ref="BW100:BX100"/>
    <mergeCell ref="BR101:BV101"/>
    <mergeCell ref="BW101:BX101"/>
    <mergeCell ref="BR102:BV102"/>
    <mergeCell ref="DR15:DU15"/>
    <mergeCell ref="EM15:EP15"/>
    <mergeCell ref="CB16:CC17"/>
    <mergeCell ref="BO19:BP19"/>
    <mergeCell ref="CD18:CE18"/>
    <mergeCell ref="CD16:CE17"/>
    <mergeCell ref="CW16:CX17"/>
    <mergeCell ref="CY16:CZ17"/>
    <mergeCell ref="BO28:BP28"/>
    <mergeCell ref="CY18:CZ18"/>
    <mergeCell ref="DR16:DS17"/>
    <mergeCell ref="BW19:BX19"/>
    <mergeCell ref="EO18:EP18"/>
    <mergeCell ref="BR29:BX29"/>
    <mergeCell ref="BW18:BX18"/>
    <mergeCell ref="BR19:BV19"/>
    <mergeCell ref="BR20:BX20"/>
    <mergeCell ref="BR21:BV21"/>
    <mergeCell ref="BW21:BX21"/>
    <mergeCell ref="BR22:BV22"/>
    <mergeCell ref="BW22:BX22"/>
    <mergeCell ref="BR24:BT24"/>
    <mergeCell ref="BU24:BX24"/>
    <mergeCell ref="CU24:CU26"/>
    <mergeCell ref="CW24:CZ24"/>
    <mergeCell ref="BM15:BP15"/>
    <mergeCell ref="DA50:DD51"/>
    <mergeCell ref="DV50:DY51"/>
    <mergeCell ref="EQ50:ET51"/>
    <mergeCell ref="FL50:FO51"/>
    <mergeCell ref="CJ25:CJ26"/>
    <mergeCell ref="CK25:CK26"/>
    <mergeCell ref="CG25:CG26"/>
    <mergeCell ref="DR25:DR26"/>
    <mergeCell ref="DS25:DS26"/>
    <mergeCell ref="DU25:DU26"/>
    <mergeCell ref="EM25:EM26"/>
    <mergeCell ref="EN25:EN26"/>
    <mergeCell ref="EP25:EP26"/>
    <mergeCell ref="FH25:FH26"/>
    <mergeCell ref="FI25:FI26"/>
    <mergeCell ref="FK25:FK26"/>
    <mergeCell ref="DW25:DW26"/>
    <mergeCell ref="ER25:ER26"/>
    <mergeCell ref="DX25:DX26"/>
    <mergeCell ref="ES25:ES26"/>
    <mergeCell ref="EU25:EU26"/>
    <mergeCell ref="EV25:EV26"/>
    <mergeCell ref="DZ25:DZ26"/>
    <mergeCell ref="EA25:EA26"/>
    <mergeCell ref="CZ25:CZ26"/>
    <mergeCell ref="DB25:DB26"/>
    <mergeCell ref="CH25:CH26"/>
    <mergeCell ref="DP24:DP26"/>
    <mergeCell ref="JI99:JL99"/>
    <mergeCell ref="BZ95:CE95"/>
    <mergeCell ref="CU95:CZ95"/>
    <mergeCell ref="DP95:DU95"/>
    <mergeCell ref="EK95:EP95"/>
    <mergeCell ref="FF95:FK95"/>
    <mergeCell ref="GA95:GF95"/>
    <mergeCell ref="GV95:HA95"/>
    <mergeCell ref="HQ95:HV95"/>
    <mergeCell ref="IL95:IQ95"/>
    <mergeCell ref="JG95:JL95"/>
    <mergeCell ref="CB99:CE99"/>
    <mergeCell ref="CW99:CZ99"/>
    <mergeCell ref="DR99:DU99"/>
    <mergeCell ref="EM99:EP99"/>
    <mergeCell ref="FH99:FK99"/>
    <mergeCell ref="GC99:GF99"/>
    <mergeCell ref="GX99:HA99"/>
    <mergeCell ref="HS99:HV99"/>
    <mergeCell ref="IN99:IQ99"/>
    <mergeCell ref="JK98:JL98"/>
    <mergeCell ref="IP98:IQ98"/>
    <mergeCell ref="HS96:HT97"/>
    <mergeCell ref="HU96:HV97"/>
    <mergeCell ref="HU98:HV98"/>
    <mergeCell ref="JI96:JJ97"/>
    <mergeCell ref="JK96:JL97"/>
    <mergeCell ref="DT96:DU97"/>
    <mergeCell ref="DT98:DU98"/>
    <mergeCell ref="CW96:CX97"/>
    <mergeCell ref="CY96:CZ97"/>
    <mergeCell ref="CY98:CZ98"/>
    <mergeCell ref="JI100:JL100"/>
    <mergeCell ref="CB101:CE101"/>
    <mergeCell ref="CW101:CZ101"/>
    <mergeCell ref="DR101:DU101"/>
    <mergeCell ref="EM101:EP101"/>
    <mergeCell ref="FH101:FK101"/>
    <mergeCell ref="GC101:GF101"/>
    <mergeCell ref="GX101:HA101"/>
    <mergeCell ref="HS101:HV101"/>
    <mergeCell ref="IN101:IQ101"/>
    <mergeCell ref="JI101:JL101"/>
    <mergeCell ref="CB100:CE100"/>
    <mergeCell ref="CW100:CZ100"/>
    <mergeCell ref="DR100:DU100"/>
    <mergeCell ref="EM100:EP100"/>
    <mergeCell ref="FH100:FK100"/>
    <mergeCell ref="GC100:GF100"/>
    <mergeCell ref="GX100:HA100"/>
    <mergeCell ref="HS100:HV100"/>
    <mergeCell ref="IN100:IQ100"/>
    <mergeCell ref="JI102:JL102"/>
    <mergeCell ref="CB103:CE103"/>
    <mergeCell ref="CW103:CZ103"/>
    <mergeCell ref="DR103:DU103"/>
    <mergeCell ref="EM103:EP103"/>
    <mergeCell ref="FH103:FK103"/>
    <mergeCell ref="GC103:GF103"/>
    <mergeCell ref="GX103:HA103"/>
    <mergeCell ref="HS103:HV103"/>
    <mergeCell ref="IN103:IQ103"/>
    <mergeCell ref="JI103:JL103"/>
    <mergeCell ref="CB102:CE102"/>
    <mergeCell ref="CW102:CZ102"/>
    <mergeCell ref="DR102:DU102"/>
    <mergeCell ref="EM102:EP102"/>
    <mergeCell ref="FH102:FK102"/>
    <mergeCell ref="GC102:GF102"/>
    <mergeCell ref="GX102:HA102"/>
    <mergeCell ref="HS102:HV102"/>
    <mergeCell ref="IN102:IQ102"/>
    <mergeCell ref="JI104:JL104"/>
    <mergeCell ref="CB105:CE105"/>
    <mergeCell ref="CW105:CZ105"/>
    <mergeCell ref="DR105:DU105"/>
    <mergeCell ref="EM105:EP105"/>
    <mergeCell ref="FH105:FK105"/>
    <mergeCell ref="GC105:GF105"/>
    <mergeCell ref="GX105:HA105"/>
    <mergeCell ref="HS105:HV105"/>
    <mergeCell ref="IN105:IQ105"/>
    <mergeCell ref="JI105:JL105"/>
    <mergeCell ref="CB104:CE104"/>
    <mergeCell ref="CW104:CZ104"/>
    <mergeCell ref="DR104:DU104"/>
    <mergeCell ref="EM104:EP104"/>
    <mergeCell ref="FH104:FK104"/>
    <mergeCell ref="GC104:GF104"/>
    <mergeCell ref="GX104:HA104"/>
    <mergeCell ref="HS104:HV104"/>
    <mergeCell ref="IN104:IQ104"/>
    <mergeCell ref="DU144:DU156"/>
    <mergeCell ref="CH118:CH119"/>
    <mergeCell ref="CI118:CI119"/>
    <mergeCell ref="CJ118:CJ119"/>
    <mergeCell ref="CK118:CK119"/>
    <mergeCell ref="CO118:CO119"/>
    <mergeCell ref="DI118:DI119"/>
    <mergeCell ref="EM117:EP117"/>
    <mergeCell ref="FF117:FF119"/>
    <mergeCell ref="CA117:CA119"/>
    <mergeCell ref="CV117:CV119"/>
    <mergeCell ref="DQ117:DQ119"/>
    <mergeCell ref="EL117:EL119"/>
    <mergeCell ref="DA118:DA119"/>
    <mergeCell ref="DB118:DB119"/>
    <mergeCell ref="DC118:DC119"/>
    <mergeCell ref="DD118:DD119"/>
    <mergeCell ref="DE118:DE119"/>
    <mergeCell ref="DF118:DF119"/>
    <mergeCell ref="CL117:CM117"/>
    <mergeCell ref="CL118:CL119"/>
    <mergeCell ref="CN118:CN119"/>
    <mergeCell ref="CM118:CM119"/>
    <mergeCell ref="CF117:CK117"/>
    <mergeCell ref="EM118:EM119"/>
    <mergeCell ref="EN118:EN119"/>
    <mergeCell ref="EP118:EP119"/>
    <mergeCell ref="EQ117:EV117"/>
    <mergeCell ref="EY117:FE117"/>
    <mergeCell ref="FB118:FB119"/>
    <mergeCell ref="DO118:DO119"/>
    <mergeCell ref="DU118:DU119"/>
    <mergeCell ref="BZ117:BZ119"/>
    <mergeCell ref="CB117:CE117"/>
    <mergeCell ref="CU117:CU119"/>
    <mergeCell ref="CW117:CZ117"/>
    <mergeCell ref="DP117:DP119"/>
    <mergeCell ref="CZ144:CZ156"/>
    <mergeCell ref="DP144:DP156"/>
    <mergeCell ref="DG117:DH117"/>
    <mergeCell ref="DG118:DG119"/>
    <mergeCell ref="DH118:DH119"/>
    <mergeCell ref="DA117:DF117"/>
    <mergeCell ref="CF118:CF119"/>
    <mergeCell ref="CG118:CG119"/>
    <mergeCell ref="DJ118:DJ119"/>
    <mergeCell ref="CP118:CP119"/>
    <mergeCell ref="CQ118:CQ119"/>
    <mergeCell ref="CR118:CR119"/>
    <mergeCell ref="CS118:CS119"/>
    <mergeCell ref="CT118:CT119"/>
    <mergeCell ref="CN117:CT117"/>
    <mergeCell ref="DA143:DD144"/>
    <mergeCell ref="BZ144:BZ156"/>
    <mergeCell ref="CB144:CB156"/>
    <mergeCell ref="CC144:CC156"/>
    <mergeCell ref="CD144:CD156"/>
    <mergeCell ref="CE144:CE156"/>
    <mergeCell ref="CU144:CU156"/>
    <mergeCell ref="CW144:CW156"/>
    <mergeCell ref="CX144:CX156"/>
    <mergeCell ref="CY144:CY156"/>
    <mergeCell ref="CF143:CI144"/>
    <mergeCell ref="DN118:DN119"/>
    <mergeCell ref="FH16:FI17"/>
    <mergeCell ref="FJ16:FK17"/>
    <mergeCell ref="BW28:BX28"/>
    <mergeCell ref="FJ18:FK18"/>
    <mergeCell ref="GC16:GD17"/>
    <mergeCell ref="GE16:GF17"/>
    <mergeCell ref="BW37:BX37"/>
    <mergeCell ref="GE18:GF18"/>
    <mergeCell ref="IN96:IO97"/>
    <mergeCell ref="IP96:IQ97"/>
    <mergeCell ref="CF24:CK24"/>
    <mergeCell ref="CL25:CL26"/>
    <mergeCell ref="CM25:CM26"/>
    <mergeCell ref="CL24:CM24"/>
    <mergeCell ref="DG24:DH24"/>
    <mergeCell ref="DG25:DG26"/>
    <mergeCell ref="DH25:DH26"/>
    <mergeCell ref="DA24:DF24"/>
    <mergeCell ref="CB25:CB26"/>
    <mergeCell ref="CC25:CC26"/>
    <mergeCell ref="CE25:CE26"/>
    <mergeCell ref="CW25:CW26"/>
    <mergeCell ref="CX25:CX26"/>
    <mergeCell ref="GL25:GL26"/>
    <mergeCell ref="BZ51:BZ63"/>
    <mergeCell ref="CB51:CB63"/>
    <mergeCell ref="GG25:GG26"/>
    <mergeCell ref="FM25:FM26"/>
    <mergeCell ref="GH25:GH26"/>
    <mergeCell ref="FN25:FN26"/>
    <mergeCell ref="GD25:GD26"/>
    <mergeCell ref="GK25:GK26"/>
    <mergeCell ref="CB118:CB119"/>
    <mergeCell ref="CC118:CC119"/>
    <mergeCell ref="CE118:CE119"/>
    <mergeCell ref="CW118:CW119"/>
    <mergeCell ref="CX118:CX119"/>
    <mergeCell ref="CZ118:CZ119"/>
    <mergeCell ref="DR118:DR119"/>
    <mergeCell ref="BW136:BX136"/>
    <mergeCell ref="GX96:GY97"/>
    <mergeCell ref="GZ96:HA97"/>
    <mergeCell ref="BW106:BX106"/>
    <mergeCell ref="GZ98:HA98"/>
    <mergeCell ref="GC96:GD97"/>
    <mergeCell ref="GE96:GF97"/>
    <mergeCell ref="BW96:BX96"/>
    <mergeCell ref="GE98:GF98"/>
    <mergeCell ref="FH96:FI97"/>
    <mergeCell ref="FJ96:FK97"/>
    <mergeCell ref="FJ98:FK98"/>
    <mergeCell ref="CB96:CC97"/>
    <mergeCell ref="CD96:CE97"/>
    <mergeCell ref="CD98:CE98"/>
    <mergeCell ref="EM96:EN97"/>
    <mergeCell ref="EO96:EP97"/>
    <mergeCell ref="EO98:EP98"/>
    <mergeCell ref="DR96:DS97"/>
    <mergeCell ref="ED117:EJ117"/>
    <mergeCell ref="ED118:ED119"/>
    <mergeCell ref="EE118:EE119"/>
    <mergeCell ref="EF118:EF119"/>
    <mergeCell ref="EG118:EG119"/>
    <mergeCell ref="EH118:EH119"/>
    <mergeCell ref="DR117:DU117"/>
    <mergeCell ref="EY118:EY119"/>
    <mergeCell ref="EZ118:EZ119"/>
    <mergeCell ref="FA118:FA119"/>
    <mergeCell ref="DS118:DS119"/>
    <mergeCell ref="DI117:DO117"/>
    <mergeCell ref="GM24:GN24"/>
    <mergeCell ref="GM25:GM26"/>
    <mergeCell ref="GN25:GN26"/>
    <mergeCell ref="GG24:GL24"/>
    <mergeCell ref="EW24:EX24"/>
    <mergeCell ref="EW25:EW26"/>
    <mergeCell ref="EX25:EX26"/>
    <mergeCell ref="EQ24:EV24"/>
    <mergeCell ref="FR24:FS24"/>
    <mergeCell ref="FR25:FR26"/>
    <mergeCell ref="FS25:FS26"/>
    <mergeCell ref="FL24:FQ24"/>
    <mergeCell ref="FH24:FK24"/>
    <mergeCell ref="GA24:GA26"/>
    <mergeCell ref="GC24:GF24"/>
    <mergeCell ref="GC25:GC26"/>
    <mergeCell ref="GJ25:GJ26"/>
    <mergeCell ref="FQ25:FQ26"/>
    <mergeCell ref="FL25:FL26"/>
    <mergeCell ref="GE51:GE63"/>
    <mergeCell ref="GF51:GF63"/>
    <mergeCell ref="EP51:EP63"/>
    <mergeCell ref="FF51:FF63"/>
    <mergeCell ref="GC51:GC63"/>
    <mergeCell ref="FN118:FN119"/>
    <mergeCell ref="FL117:FQ117"/>
    <mergeCell ref="JE118:JE119"/>
    <mergeCell ref="JF118:JF119"/>
    <mergeCell ref="JU117:KA117"/>
    <mergeCell ref="JU118:JU119"/>
    <mergeCell ref="JV118:JV119"/>
    <mergeCell ref="JW118:JW119"/>
    <mergeCell ref="JX118:JX119"/>
    <mergeCell ref="JY118:JY119"/>
    <mergeCell ref="JZ118:JZ119"/>
    <mergeCell ref="KA118:KA119"/>
    <mergeCell ref="JI117:JL117"/>
    <mergeCell ref="JL118:JL119"/>
    <mergeCell ref="JI118:JI119"/>
    <mergeCell ref="JJ118:JJ119"/>
    <mergeCell ref="GO117:GU117"/>
    <mergeCell ref="GO118:GO119"/>
    <mergeCell ref="GP118:GP119"/>
    <mergeCell ref="GQ118:GQ119"/>
    <mergeCell ref="GR118:GR119"/>
    <mergeCell ref="II118:II119"/>
    <mergeCell ref="IJ118:IJ119"/>
    <mergeCell ref="IK118:IK119"/>
    <mergeCell ref="IZ117:JF117"/>
    <mergeCell ref="IZ118:IZ119"/>
    <mergeCell ref="JC118:JC119"/>
    <mergeCell ref="JD118:JD119"/>
    <mergeCell ref="IL117:IL119"/>
    <mergeCell ref="GV117:GV119"/>
    <mergeCell ref="JS117:JT117"/>
    <mergeCell ref="JS118:JS119"/>
    <mergeCell ref="JT118:JT119"/>
    <mergeCell ref="GS118:GS119"/>
    <mergeCell ref="HJ118:HJ119"/>
    <mergeCell ref="HM118:HM119"/>
    <mergeCell ref="HN118:HN119"/>
    <mergeCell ref="HO118:HO119"/>
    <mergeCell ref="HP118:HP119"/>
    <mergeCell ref="JB118:JB119"/>
    <mergeCell ref="IF118:IF119"/>
    <mergeCell ref="IG118:IG119"/>
    <mergeCell ref="IH118:IH119"/>
    <mergeCell ref="EI118:EI119"/>
    <mergeCell ref="EJ118:EJ119"/>
    <mergeCell ref="FE118:FE119"/>
    <mergeCell ref="FT117:FZ117"/>
    <mergeCell ref="FT118:FT119"/>
    <mergeCell ref="FU118:FU119"/>
    <mergeCell ref="FV118:FV119"/>
    <mergeCell ref="FW118:FW119"/>
    <mergeCell ref="FX118:FX119"/>
    <mergeCell ref="FY118:FY119"/>
    <mergeCell ref="FZ118:FZ119"/>
    <mergeCell ref="FR118:FR119"/>
    <mergeCell ref="FS118:FS119"/>
    <mergeCell ref="FK118:FK119"/>
    <mergeCell ref="GC118:GC119"/>
    <mergeCell ref="GD118:GD119"/>
    <mergeCell ref="FL118:FL119"/>
  </mergeCells>
  <conditionalFormatting sqref="A39:A49">
    <cfRule type="duplicateValues" dxfId="62" priority="139"/>
  </conditionalFormatting>
  <conditionalFormatting sqref="G39:G49">
    <cfRule type="duplicateValues" dxfId="61" priority="113"/>
  </conditionalFormatting>
  <conditionalFormatting sqref="M39:M49">
    <cfRule type="duplicateValues" dxfId="60" priority="112"/>
  </conditionalFormatting>
  <conditionalFormatting sqref="S39:S49">
    <cfRule type="duplicateValues" dxfId="59" priority="111"/>
  </conditionalFormatting>
  <conditionalFormatting sqref="Y39:Y49">
    <cfRule type="duplicateValues" dxfId="58" priority="110"/>
  </conditionalFormatting>
  <conditionalFormatting sqref="AE39:AE49">
    <cfRule type="duplicateValues" dxfId="57" priority="109"/>
  </conditionalFormatting>
  <conditionalFormatting sqref="A132:A142">
    <cfRule type="duplicateValues" dxfId="56" priority="108"/>
  </conditionalFormatting>
  <conditionalFormatting sqref="G131:G142">
    <cfRule type="duplicateValues" dxfId="55" priority="107"/>
  </conditionalFormatting>
  <conditionalFormatting sqref="M132:M142">
    <cfRule type="duplicateValues" dxfId="54" priority="106"/>
  </conditionalFormatting>
  <conditionalFormatting sqref="S132:S142">
    <cfRule type="duplicateValues" dxfId="53" priority="105"/>
  </conditionalFormatting>
  <conditionalFormatting sqref="Y132:Y142">
    <cfRule type="duplicateValues" dxfId="52" priority="104"/>
  </conditionalFormatting>
  <conditionalFormatting sqref="AE132:AE142">
    <cfRule type="duplicateValues" dxfId="51" priority="103"/>
  </conditionalFormatting>
  <conditionalFormatting sqref="AK132:AK142">
    <cfRule type="duplicateValues" dxfId="50" priority="102"/>
  </conditionalFormatting>
  <conditionalFormatting sqref="AQ132:AQ142">
    <cfRule type="duplicateValues" dxfId="49" priority="101"/>
  </conditionalFormatting>
  <conditionalFormatting sqref="AW132:AW142">
    <cfRule type="duplicateValues" dxfId="48" priority="100"/>
  </conditionalFormatting>
  <conditionalFormatting sqref="BC132:BC142">
    <cfRule type="duplicateValues" dxfId="47" priority="99"/>
  </conditionalFormatting>
  <conditionalFormatting sqref="BZ27:CA49">
    <cfRule type="duplicateValues" dxfId="46" priority="98"/>
  </conditionalFormatting>
  <conditionalFormatting sqref="CU27:CV49">
    <cfRule type="duplicateValues" dxfId="45" priority="97"/>
  </conditionalFormatting>
  <conditionalFormatting sqref="EK27:EL49">
    <cfRule type="duplicateValues" dxfId="44" priority="95"/>
  </conditionalFormatting>
  <conditionalFormatting sqref="FF27:FG49">
    <cfRule type="duplicateValues" dxfId="43" priority="94"/>
  </conditionalFormatting>
  <conditionalFormatting sqref="GA27:GB49">
    <cfRule type="duplicateValues" dxfId="42" priority="93"/>
  </conditionalFormatting>
  <conditionalFormatting sqref="BZ120:CA142">
    <cfRule type="duplicateValues" dxfId="41" priority="92"/>
  </conditionalFormatting>
  <conditionalFormatting sqref="CU120:CV142">
    <cfRule type="duplicateValues" dxfId="40" priority="91"/>
  </conditionalFormatting>
  <conditionalFormatting sqref="DP120:DQ142">
    <cfRule type="duplicateValues" dxfId="39" priority="90"/>
  </conditionalFormatting>
  <conditionalFormatting sqref="EK120:EL142">
    <cfRule type="duplicateValues" dxfId="38" priority="89"/>
  </conditionalFormatting>
  <conditionalFormatting sqref="FF120:FG142">
    <cfRule type="duplicateValues" dxfId="37" priority="88"/>
  </conditionalFormatting>
  <conditionalFormatting sqref="GA120:GB142">
    <cfRule type="duplicateValues" dxfId="36" priority="87"/>
  </conditionalFormatting>
  <conditionalFormatting sqref="GV120:GW142">
    <cfRule type="duplicateValues" dxfId="35" priority="86"/>
  </conditionalFormatting>
  <conditionalFormatting sqref="HQ120:HR142">
    <cfRule type="duplicateValues" dxfId="34" priority="85"/>
  </conditionalFormatting>
  <conditionalFormatting sqref="IL120:IM142">
    <cfRule type="duplicateValues" dxfId="33" priority="84"/>
  </conditionalFormatting>
  <conditionalFormatting sqref="JG120:JH142">
    <cfRule type="duplicateValues" dxfId="32" priority="83"/>
  </conditionalFormatting>
  <conditionalFormatting sqref="DP27:DQ49">
    <cfRule type="duplicateValues" dxfId="31" priority="82"/>
  </conditionalFormatting>
  <conditionalFormatting sqref="G120:G130">
    <cfRule type="duplicateValues" dxfId="30" priority="55"/>
  </conditionalFormatting>
  <conditionalFormatting sqref="A38">
    <cfRule type="duplicateValues" dxfId="29" priority="36"/>
  </conditionalFormatting>
  <conditionalFormatting sqref="A27:A37">
    <cfRule type="duplicateValues" dxfId="28" priority="35"/>
  </conditionalFormatting>
  <conditionalFormatting sqref="G38">
    <cfRule type="duplicateValues" dxfId="27" priority="34"/>
  </conditionalFormatting>
  <conditionalFormatting sqref="G27:G37">
    <cfRule type="duplicateValues" dxfId="26" priority="33"/>
  </conditionalFormatting>
  <conditionalFormatting sqref="M38">
    <cfRule type="duplicateValues" dxfId="25" priority="32"/>
  </conditionalFormatting>
  <conditionalFormatting sqref="M27:M37">
    <cfRule type="duplicateValues" dxfId="24" priority="31"/>
  </conditionalFormatting>
  <conditionalFormatting sqref="S38">
    <cfRule type="duplicateValues" dxfId="23" priority="30"/>
  </conditionalFormatting>
  <conditionalFormatting sqref="S27:S37">
    <cfRule type="duplicateValues" dxfId="22" priority="29"/>
  </conditionalFormatting>
  <conditionalFormatting sqref="Y38">
    <cfRule type="duplicateValues" dxfId="21" priority="28"/>
  </conditionalFormatting>
  <conditionalFormatting sqref="Y27:Y37">
    <cfRule type="duplicateValues" dxfId="20" priority="27"/>
  </conditionalFormatting>
  <conditionalFormatting sqref="AE38">
    <cfRule type="duplicateValues" dxfId="19" priority="26"/>
  </conditionalFormatting>
  <conditionalFormatting sqref="AE27:AE37">
    <cfRule type="duplicateValues" dxfId="18" priority="25"/>
  </conditionalFormatting>
  <conditionalFormatting sqref="M131">
    <cfRule type="duplicateValues" dxfId="17" priority="24"/>
  </conditionalFormatting>
  <conditionalFormatting sqref="M120:M130">
    <cfRule type="duplicateValues" dxfId="16" priority="23"/>
  </conditionalFormatting>
  <conditionalFormatting sqref="S131">
    <cfRule type="duplicateValues" dxfId="15" priority="22"/>
  </conditionalFormatting>
  <conditionalFormatting sqref="S120:S130">
    <cfRule type="duplicateValues" dxfId="14" priority="21"/>
  </conditionalFormatting>
  <conditionalFormatting sqref="Y131">
    <cfRule type="duplicateValues" dxfId="13" priority="20"/>
  </conditionalFormatting>
  <conditionalFormatting sqref="Y120:Y130">
    <cfRule type="duplicateValues" dxfId="12" priority="19"/>
  </conditionalFormatting>
  <conditionalFormatting sqref="AK131">
    <cfRule type="duplicateValues" dxfId="11" priority="16"/>
  </conditionalFormatting>
  <conditionalFormatting sqref="AK120:AK130">
    <cfRule type="duplicateValues" dxfId="10" priority="15"/>
  </conditionalFormatting>
  <conditionalFormatting sqref="AQ131">
    <cfRule type="duplicateValues" dxfId="9" priority="14"/>
  </conditionalFormatting>
  <conditionalFormatting sqref="AQ120:AQ130">
    <cfRule type="duplicateValues" dxfId="8" priority="13"/>
  </conditionalFormatting>
  <conditionalFormatting sqref="AW131">
    <cfRule type="duplicateValues" dxfId="7" priority="12"/>
  </conditionalFormatting>
  <conditionalFormatting sqref="AW120:AW130">
    <cfRule type="duplicateValues" dxfId="6" priority="11"/>
  </conditionalFormatting>
  <conditionalFormatting sqref="BC131">
    <cfRule type="duplicateValues" dxfId="5" priority="10"/>
  </conditionalFormatting>
  <conditionalFormatting sqref="BC120:BC130">
    <cfRule type="duplicateValues" dxfId="4" priority="9"/>
  </conditionalFormatting>
  <conditionalFormatting sqref="AE131">
    <cfRule type="duplicateValues" dxfId="3" priority="6"/>
  </conditionalFormatting>
  <conditionalFormatting sqref="AE120:AE130">
    <cfRule type="duplicateValues" dxfId="2" priority="5"/>
  </conditionalFormatting>
  <conditionalFormatting sqref="A131">
    <cfRule type="duplicateValues" dxfId="1" priority="2"/>
  </conditionalFormatting>
  <conditionalFormatting sqref="A120:A130">
    <cfRule type="duplicateValues" dxfId="0" priority="1"/>
  </conditionalFormatting>
  <dataValidations count="2">
    <dataValidation type="decimal" operator="greaterThanOrEqual" allowBlank="1" showInputMessage="1" showErrorMessage="1" sqref="H27:K49 B27:E49 AX120:BA142 N27:Q49 AR120:AU142 Z27:AC49 AL120:AO142 BD120:BG142 Z120:AC142 T120:W142 N120:Q142 AF27:AI49 T27:W49 AF120:AI142 H120:K142 B120:E142 B81:F85">
      <formula1>0</formula1>
    </dataValidation>
    <dataValidation type="decimal" operator="greaterThan" allowBlank="1" showInputMessage="1" showErrorMessage="1" sqref="BK81:BW85">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'Emission factors'!$B$2:$G$2</xm:f>
          </x14:formula1>
          <xm:sqref>AD15 AJ15 FT15:FZ15</xm:sqref>
        </x14:dataValidation>
        <x14:dataValidation type="list" allowBlank="1" showInputMessage="1" showErrorMessage="1">
          <x14:formula1>
            <xm:f>'Emission factors'!$A$33:$B$33</xm:f>
          </x14:formula1>
          <xm:sqref>B25:E26 B118:E119 AF25:AI26 H118:K119 N118:Q119 T118:W119 Z118:AC119 AF118:AI119 AL118:AO119 AR118:AU119 AX118:BA119 Z25:AC26 H25:K26 N25:Q26 T25:W26 BD118:BG119 HB25:HH26 IR25:IX26 HW25:IC26</xm:sqref>
        </x14:dataValidation>
        <x14:dataValidation type="list" allowBlank="1" showInputMessage="1" showErrorMessage="1">
          <x14:formula1>
            <xm:f>'HHV-LHV-MW'!$A$3:$A$40</xm:f>
          </x14:formula1>
          <xm:sqref>Y27:Y49 AW120:AW142 G27:G49 AK120:AK142 AQ120:AQ142 A27:A49 G120:G142 M27:M49 AE120:AE142 S27:S49 AE27:AE49 M120:M142 S120:S142 Y120:Y142 BC120:BC142 A120:A142</xm:sqref>
        </x14:dataValidation>
        <x14:dataValidation type="list" allowBlank="1" showInputMessage="1" showErrorMessage="1">
          <x14:formula1>
            <xm:f>Sheet1!$A$2:$A$5</xm:f>
          </x14:formula1>
          <xm:sqref>IR18:IX18 BO106 BW37 DA18:DG18 DV18:EB18 EQ18:EW18 FL18:FR18 GG18:GM18 HB18:HH18 HW18:IC18 BO116 BO126 BO136 BW96 BW106 BW116 BW126 BW136 BO96 BO19 BO28 BO37 BW19 BW28 IR98:IX98 HW98:IC98 HB98:HH98 GG98:GM98 FL98:FR98 EQ98:EW98 DV98:EB98 DA98:DG98 CF98:CO98 CL18:CO18</xm:sqref>
        </x14:dataValidation>
        <x14:dataValidation type="list" allowBlank="1" showInputMessage="1" showErrorMessage="1">
          <x14:formula1>
            <xm:f>'Emission factors'!$B$7:$C$7</xm:f>
          </x14:formula1>
          <xm:sqref>BM16 BM25 BM34 BU16 BU25 BU34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F84"/>
  <sheetViews>
    <sheetView rightToLeft="1" topLeftCell="AS40" zoomScale="40" zoomScaleNormal="40" workbookViewId="0">
      <selection sqref="A1:BX2"/>
    </sheetView>
  </sheetViews>
  <sheetFormatPr defaultColWidth="8.69921875" defaultRowHeight="13.8"/>
  <cols>
    <col min="1" max="1" width="22.5" style="6" customWidth="1"/>
    <col min="2" max="10" width="8.69921875" style="6"/>
    <col min="11" max="12" width="9.19921875" style="11" bestFit="1" customWidth="1"/>
    <col min="13" max="13" width="11.19921875" style="11" customWidth="1"/>
    <col min="14" max="16" width="8.69921875" style="11"/>
    <col min="17" max="17" width="8.69921875" style="11" customWidth="1"/>
    <col min="18" max="19" width="8.69921875" style="11"/>
    <col min="20" max="20" width="8.69921875" style="168"/>
    <col min="21" max="21" width="8.69921875" style="176"/>
    <col min="22" max="22" width="9.5" style="181" customWidth="1"/>
    <col min="23" max="24" width="8.69921875" style="6"/>
    <col min="25" max="25" width="11.296875" style="6" customWidth="1"/>
    <col min="26" max="26" width="8.69921875" style="6"/>
    <col min="27" max="31" width="8.69921875" style="11"/>
    <col min="32" max="34" width="8.69921875" style="181"/>
    <col min="35" max="43" width="8.69921875" style="11"/>
    <col min="44" max="46" width="8.69921875" style="181"/>
    <col min="47" max="55" width="8.69921875" style="11"/>
    <col min="56" max="58" width="8.69921875" style="181"/>
    <col min="59" max="59" width="8.69921875" style="6"/>
    <col min="60" max="61" width="9.19921875" style="11" bestFit="1" customWidth="1"/>
    <col min="62" max="68" width="8.69921875" style="11"/>
    <col min="69" max="71" width="8.69921875" style="181"/>
    <col min="72" max="75" width="8.69921875" style="6"/>
    <col min="76" max="80" width="8.69921875" style="11"/>
    <col min="81" max="83" width="8.69921875" style="181"/>
    <col min="84" max="92" width="8.69921875" style="11"/>
    <col min="93" max="95" width="8.69921875" style="181"/>
    <col min="96" max="104" width="8.69921875" style="11"/>
    <col min="105" max="107" width="8.69921875" style="181"/>
    <col min="108" max="108" width="8.69921875" style="6"/>
    <col min="109" max="110" width="9.19921875" style="11" bestFit="1" customWidth="1"/>
    <col min="111" max="117" width="8.69921875" style="11"/>
    <col min="118" max="120" width="8.69921875" style="181"/>
    <col min="121" max="124" width="8.69921875" style="6"/>
    <col min="125" max="129" width="8.69921875" style="11"/>
    <col min="130" max="132" width="8.69921875" style="181"/>
    <col min="133" max="141" width="8.69921875" style="11"/>
    <col min="142" max="144" width="8.69921875" style="181"/>
    <col min="145" max="153" width="8.69921875" style="11"/>
    <col min="154" max="156" width="8.69921875" style="181"/>
    <col min="157" max="157" width="8.69921875" style="6"/>
    <col min="158" max="159" width="9.19921875" style="11" bestFit="1" customWidth="1"/>
    <col min="160" max="166" width="8.69921875" style="11"/>
    <col min="167" max="169" width="8.69921875" style="181"/>
    <col min="170" max="173" width="8.69921875" style="6"/>
    <col min="174" max="178" width="8.69921875" style="11"/>
    <col min="179" max="181" width="8.69921875" style="181"/>
    <col min="182" max="190" width="8.69921875" style="11"/>
    <col min="191" max="193" width="8.69921875" style="181"/>
    <col min="194" max="202" width="8.69921875" style="11"/>
    <col min="203" max="205" width="8.69921875" style="181"/>
    <col min="206" max="206" width="8.69921875" style="6"/>
    <col min="207" max="208" width="9.19921875" style="11" bestFit="1" customWidth="1"/>
    <col min="209" max="215" width="8.69921875" style="11"/>
    <col min="216" max="218" width="8.69921875" style="181"/>
    <col min="219" max="222" width="8.69921875" style="6"/>
    <col min="223" max="227" width="8.69921875" style="11"/>
    <col min="228" max="230" width="8.69921875" style="181"/>
    <col min="231" max="239" width="8.69921875" style="11"/>
    <col min="240" max="242" width="8.69921875" style="181"/>
    <col min="243" max="251" width="8.69921875" style="11"/>
    <col min="252" max="254" width="8.69921875" style="181"/>
    <col min="255" max="255" width="8.69921875" style="6"/>
    <col min="256" max="257" width="9.19921875" style="11" bestFit="1" customWidth="1"/>
    <col min="258" max="264" width="8.69921875" style="11"/>
    <col min="265" max="267" width="8.69921875" style="181"/>
    <col min="268" max="271" width="8.69921875" style="6"/>
    <col min="272" max="276" width="8.69921875" style="11"/>
    <col min="277" max="279" width="8.69921875" style="181"/>
    <col min="280" max="288" width="8.69921875" style="11"/>
    <col min="289" max="291" width="8.69921875" style="181"/>
    <col min="292" max="300" width="8.69921875" style="11"/>
    <col min="301" max="16384" width="8.69921875" style="6"/>
  </cols>
  <sheetData>
    <row r="1" spans="1:300" ht="69">
      <c r="A1" s="2588" t="s">
        <v>160</v>
      </c>
      <c r="B1" s="2588" t="s">
        <v>159</v>
      </c>
      <c r="C1" s="2588" t="s">
        <v>158</v>
      </c>
      <c r="D1" s="15" t="s">
        <v>155</v>
      </c>
      <c r="E1" s="15" t="s">
        <v>156</v>
      </c>
      <c r="F1" s="15" t="s">
        <v>157</v>
      </c>
      <c r="G1" s="2588" t="s">
        <v>1255</v>
      </c>
      <c r="H1" s="2588" t="s">
        <v>931</v>
      </c>
      <c r="I1" s="2561" t="s">
        <v>1490</v>
      </c>
      <c r="K1" s="2562" t="s">
        <v>1041</v>
      </c>
      <c r="L1" s="2562"/>
      <c r="M1" s="212">
        <v>60</v>
      </c>
    </row>
    <row r="2" spans="1:300" ht="18.45" customHeight="1">
      <c r="A2" s="2588"/>
      <c r="B2" s="2588"/>
      <c r="C2" s="2588"/>
      <c r="D2" s="16" t="s">
        <v>161</v>
      </c>
      <c r="E2" s="16" t="s">
        <v>161</v>
      </c>
      <c r="F2" s="16" t="s">
        <v>162</v>
      </c>
      <c r="G2" s="2588"/>
      <c r="H2" s="2588"/>
      <c r="I2" s="2561"/>
      <c r="K2" s="2563" t="s">
        <v>1042</v>
      </c>
      <c r="L2" s="2563"/>
      <c r="M2" s="279">
        <v>1</v>
      </c>
      <c r="BH2" s="17"/>
      <c r="BJ2" s="17"/>
      <c r="DE2" s="17"/>
      <c r="DG2" s="17"/>
      <c r="FB2" s="17"/>
      <c r="FD2" s="17"/>
      <c r="GY2" s="17"/>
      <c r="HA2" s="17"/>
      <c r="IV2" s="17"/>
      <c r="IX2" s="17"/>
    </row>
    <row r="3" spans="1:300" ht="15.6">
      <c r="A3" s="18" t="s">
        <v>164</v>
      </c>
      <c r="B3" s="19" t="s">
        <v>163</v>
      </c>
      <c r="C3" s="20">
        <v>0</v>
      </c>
      <c r="D3" s="20">
        <v>0.28549999999999998</v>
      </c>
      <c r="E3" s="20">
        <v>0.24179999999999999</v>
      </c>
      <c r="F3" s="20">
        <v>2.0158800000000001</v>
      </c>
      <c r="G3" s="20">
        <f>(H3*32.065)/F3</f>
        <v>0</v>
      </c>
      <c r="H3" s="20">
        <v>0</v>
      </c>
      <c r="I3" s="170">
        <v>0</v>
      </c>
      <c r="K3" s="2562" t="s">
        <v>1043</v>
      </c>
      <c r="L3" s="2562"/>
      <c r="M3" s="212">
        <f>0.08205746*((M1-32)/1.8+273.15)/M2</f>
        <v>23.690444576777775</v>
      </c>
      <c r="BI3" s="17"/>
      <c r="DF3" s="17"/>
      <c r="FC3" s="17"/>
      <c r="GZ3" s="17"/>
      <c r="IW3" s="17"/>
    </row>
    <row r="4" spans="1:300">
      <c r="A4" s="171" t="s">
        <v>932</v>
      </c>
      <c r="B4" s="172" t="s">
        <v>933</v>
      </c>
      <c r="C4" s="20">
        <v>1</v>
      </c>
      <c r="D4" s="20">
        <v>1.6872</v>
      </c>
      <c r="E4" s="20">
        <v>1.6872</v>
      </c>
      <c r="F4" s="20">
        <v>76.13</v>
      </c>
      <c r="G4" s="20">
        <f>(H4*32.065)/F4</f>
        <v>0.84237488506502034</v>
      </c>
      <c r="H4" s="20">
        <v>2</v>
      </c>
      <c r="I4" s="170">
        <v>0</v>
      </c>
      <c r="K4" s="168"/>
      <c r="L4" s="17"/>
      <c r="M4" s="168"/>
      <c r="N4" s="168"/>
      <c r="O4" s="168"/>
      <c r="P4" s="168"/>
      <c r="Q4" s="168"/>
      <c r="R4" s="168"/>
      <c r="S4" s="168"/>
      <c r="AA4" s="168"/>
      <c r="AB4" s="168"/>
      <c r="AC4" s="168"/>
      <c r="AD4" s="168"/>
      <c r="AE4" s="168"/>
      <c r="AI4" s="168"/>
      <c r="AJ4" s="168"/>
      <c r="AK4" s="168"/>
      <c r="AL4" s="168"/>
      <c r="AM4" s="168"/>
      <c r="AN4" s="168"/>
      <c r="AO4" s="168"/>
      <c r="AP4" s="168"/>
      <c r="AQ4" s="168"/>
      <c r="AU4" s="168"/>
      <c r="AV4" s="168"/>
      <c r="AW4" s="168"/>
      <c r="AX4" s="168"/>
      <c r="AY4" s="168"/>
      <c r="AZ4" s="168"/>
      <c r="BA4" s="168"/>
      <c r="BB4" s="168"/>
      <c r="BC4" s="168"/>
      <c r="BH4" s="168"/>
      <c r="BI4" s="17"/>
      <c r="BJ4" s="168"/>
      <c r="BK4" s="168"/>
      <c r="BL4" s="168"/>
      <c r="BM4" s="168"/>
      <c r="BN4" s="168"/>
      <c r="BO4" s="168"/>
      <c r="BP4" s="168"/>
      <c r="BX4" s="168"/>
      <c r="BY4" s="168"/>
      <c r="BZ4" s="168"/>
      <c r="CA4" s="168"/>
      <c r="CB4" s="168"/>
      <c r="CF4" s="168"/>
      <c r="CG4" s="168"/>
      <c r="CH4" s="168"/>
      <c r="CI4" s="168"/>
      <c r="CJ4" s="168"/>
      <c r="CK4" s="168"/>
      <c r="CL4" s="168"/>
      <c r="CM4" s="168"/>
      <c r="CN4" s="168"/>
      <c r="CR4" s="168"/>
      <c r="CS4" s="168"/>
      <c r="CT4" s="168"/>
      <c r="CU4" s="168"/>
      <c r="CV4" s="168"/>
      <c r="CW4" s="168"/>
      <c r="CX4" s="168"/>
      <c r="CY4" s="168"/>
      <c r="CZ4" s="168"/>
      <c r="DE4" s="168"/>
      <c r="DF4" s="17"/>
      <c r="DG4" s="168"/>
      <c r="DH4" s="168"/>
      <c r="DI4" s="168"/>
      <c r="DJ4" s="168"/>
      <c r="DK4" s="168"/>
      <c r="DL4" s="168"/>
      <c r="DM4" s="168"/>
      <c r="DU4" s="168"/>
      <c r="DV4" s="168"/>
      <c r="DW4" s="168"/>
      <c r="DX4" s="168"/>
      <c r="DY4" s="168"/>
      <c r="EC4" s="168"/>
      <c r="ED4" s="168"/>
      <c r="EE4" s="168"/>
      <c r="EF4" s="168"/>
      <c r="EG4" s="168"/>
      <c r="EH4" s="168"/>
      <c r="EI4" s="168"/>
      <c r="EJ4" s="168"/>
      <c r="EK4" s="168"/>
      <c r="EO4" s="168"/>
      <c r="EP4" s="168"/>
      <c r="EQ4" s="168"/>
      <c r="ER4" s="168"/>
      <c r="ES4" s="168"/>
      <c r="ET4" s="168"/>
      <c r="EU4" s="168"/>
      <c r="EV4" s="168"/>
      <c r="EW4" s="168"/>
      <c r="FB4" s="168"/>
      <c r="FC4" s="17"/>
      <c r="FD4" s="168"/>
      <c r="FE4" s="168"/>
      <c r="FF4" s="168"/>
      <c r="FG4" s="168"/>
      <c r="FH4" s="168"/>
      <c r="FI4" s="168"/>
      <c r="FJ4" s="168"/>
      <c r="FR4" s="168"/>
      <c r="FS4" s="168"/>
      <c r="FT4" s="168"/>
      <c r="FU4" s="168"/>
      <c r="FV4" s="168"/>
      <c r="FZ4" s="168"/>
      <c r="GA4" s="168"/>
      <c r="GB4" s="168"/>
      <c r="GC4" s="168"/>
      <c r="GD4" s="168"/>
      <c r="GE4" s="168"/>
      <c r="GF4" s="168"/>
      <c r="GG4" s="168"/>
      <c r="GH4" s="168"/>
      <c r="GL4" s="168"/>
      <c r="GM4" s="168"/>
      <c r="GN4" s="168"/>
      <c r="GO4" s="168"/>
      <c r="GP4" s="168"/>
      <c r="GQ4" s="168"/>
      <c r="GR4" s="168"/>
      <c r="GS4" s="168"/>
      <c r="GT4" s="168"/>
      <c r="GY4" s="168"/>
      <c r="GZ4" s="17"/>
      <c r="HA4" s="168"/>
      <c r="HB4" s="168"/>
      <c r="HC4" s="168"/>
      <c r="HD4" s="168"/>
      <c r="HE4" s="168"/>
      <c r="HF4" s="168"/>
      <c r="HG4" s="168"/>
      <c r="HO4" s="168"/>
      <c r="HP4" s="168"/>
      <c r="HQ4" s="168"/>
      <c r="HR4" s="168"/>
      <c r="HS4" s="168"/>
      <c r="HW4" s="168"/>
      <c r="HX4" s="168"/>
      <c r="HY4" s="168"/>
      <c r="HZ4" s="168"/>
      <c r="IA4" s="168"/>
      <c r="IB4" s="168"/>
      <c r="IC4" s="168"/>
      <c r="ID4" s="168"/>
      <c r="IE4" s="168"/>
      <c r="II4" s="168"/>
      <c r="IJ4" s="168"/>
      <c r="IK4" s="168"/>
      <c r="IL4" s="168"/>
      <c r="IM4" s="168"/>
      <c r="IN4" s="168"/>
      <c r="IO4" s="168"/>
      <c r="IP4" s="168"/>
      <c r="IQ4" s="168"/>
      <c r="IV4" s="168"/>
      <c r="IW4" s="17"/>
      <c r="IX4" s="168"/>
      <c r="IY4" s="168"/>
      <c r="IZ4" s="168"/>
      <c r="JA4" s="168"/>
      <c r="JB4" s="168"/>
      <c r="JC4" s="168"/>
      <c r="JD4" s="168"/>
      <c r="JL4" s="168"/>
      <c r="JM4" s="168"/>
      <c r="JN4" s="168"/>
      <c r="JO4" s="168"/>
      <c r="JP4" s="168"/>
      <c r="JT4" s="168"/>
      <c r="JU4" s="168"/>
      <c r="JV4" s="168"/>
      <c r="JW4" s="168"/>
      <c r="JX4" s="168"/>
      <c r="JY4" s="168"/>
      <c r="JZ4" s="168"/>
      <c r="KA4" s="168"/>
      <c r="KB4" s="168"/>
      <c r="KF4" s="168"/>
      <c r="KG4" s="168"/>
      <c r="KH4" s="168"/>
      <c r="KI4" s="168"/>
      <c r="KJ4" s="168"/>
      <c r="KK4" s="168"/>
      <c r="KL4" s="168"/>
      <c r="KM4" s="168"/>
      <c r="KN4" s="168"/>
    </row>
    <row r="5" spans="1:300">
      <c r="A5" s="18" t="s">
        <v>166</v>
      </c>
      <c r="B5" s="19" t="s">
        <v>165</v>
      </c>
      <c r="C5" s="20">
        <v>0</v>
      </c>
      <c r="D5" s="20">
        <v>0</v>
      </c>
      <c r="E5" s="20">
        <v>0</v>
      </c>
      <c r="F5" s="20">
        <v>4.0030000000000001</v>
      </c>
      <c r="G5" s="20">
        <f t="shared" ref="G5:G40" si="0">(H5*32.065)/F5</f>
        <v>0</v>
      </c>
      <c r="H5" s="20">
        <v>0</v>
      </c>
      <c r="I5" s="170">
        <v>0</v>
      </c>
      <c r="L5" s="17"/>
      <c r="BI5" s="17"/>
      <c r="DF5" s="17"/>
      <c r="FC5" s="17"/>
      <c r="GZ5" s="17"/>
      <c r="IW5" s="17"/>
    </row>
    <row r="6" spans="1:300" ht="20.399999999999999">
      <c r="A6" s="18" t="s">
        <v>168</v>
      </c>
      <c r="B6" s="19" t="s">
        <v>167</v>
      </c>
      <c r="C6" s="20">
        <v>0</v>
      </c>
      <c r="D6" s="20">
        <v>0</v>
      </c>
      <c r="E6" s="20">
        <v>0</v>
      </c>
      <c r="F6" s="20">
        <v>18.015280000000001</v>
      </c>
      <c r="G6" s="20">
        <f t="shared" si="0"/>
        <v>0</v>
      </c>
      <c r="H6" s="20">
        <v>0</v>
      </c>
      <c r="I6" s="170">
        <v>0</v>
      </c>
      <c r="K6" s="2589" t="s">
        <v>243</v>
      </c>
      <c r="L6" s="2589"/>
      <c r="M6" s="2589"/>
      <c r="N6" s="2589"/>
      <c r="O6" s="2589"/>
      <c r="P6" s="2589"/>
      <c r="Q6" s="2589"/>
      <c r="R6" s="2589"/>
      <c r="S6" s="2589"/>
      <c r="T6" s="2589"/>
      <c r="U6" s="2589"/>
      <c r="V6" s="2589"/>
      <c r="W6" s="2589"/>
      <c r="X6" s="2589"/>
      <c r="Y6" s="2589"/>
      <c r="Z6" s="2589"/>
      <c r="AA6" s="2589"/>
      <c r="AB6" s="2589"/>
      <c r="AC6" s="2589"/>
      <c r="AD6" s="2589"/>
      <c r="AE6" s="2589"/>
      <c r="AF6" s="2589"/>
      <c r="AG6" s="2589"/>
      <c r="AH6" s="2589"/>
      <c r="AI6" s="2589"/>
      <c r="AJ6" s="2589"/>
      <c r="AK6" s="2589"/>
      <c r="AL6" s="2589"/>
      <c r="AM6" s="2589"/>
      <c r="AN6" s="2589"/>
      <c r="AO6" s="2589"/>
      <c r="AP6" s="2589"/>
      <c r="AQ6" s="2589"/>
      <c r="AR6" s="2589"/>
      <c r="AS6" s="2589"/>
      <c r="AT6" s="2589"/>
      <c r="AU6" s="2589"/>
      <c r="AV6" s="2589"/>
      <c r="AW6" s="2589"/>
      <c r="AX6" s="2589"/>
      <c r="AY6" s="2589"/>
      <c r="AZ6" s="21"/>
      <c r="BA6" s="21"/>
      <c r="BB6" s="21"/>
      <c r="BC6" s="21"/>
      <c r="BD6" s="21"/>
      <c r="BE6" s="21"/>
      <c r="BF6" s="21"/>
      <c r="BH6" s="2589" t="s">
        <v>244</v>
      </c>
      <c r="BI6" s="2589"/>
      <c r="BJ6" s="2589"/>
      <c r="BK6" s="2589"/>
      <c r="BL6" s="2589"/>
      <c r="BM6" s="2589"/>
      <c r="BN6" s="2589"/>
      <c r="BO6" s="2589"/>
      <c r="BP6" s="2589"/>
      <c r="BQ6" s="2589"/>
      <c r="BR6" s="2589"/>
      <c r="BS6" s="2589"/>
      <c r="BT6" s="2589"/>
      <c r="BU6" s="2589"/>
      <c r="BV6" s="2589"/>
      <c r="BW6" s="2589"/>
      <c r="BX6" s="2589"/>
      <c r="BY6" s="2589"/>
      <c r="BZ6" s="2589"/>
      <c r="CA6" s="2589"/>
      <c r="CB6" s="2589"/>
      <c r="CC6" s="2589"/>
      <c r="CD6" s="2589"/>
      <c r="CE6" s="2589"/>
      <c r="CF6" s="2589"/>
      <c r="CG6" s="2589"/>
      <c r="CH6" s="2589"/>
      <c r="CI6" s="2589"/>
      <c r="CJ6" s="2589"/>
      <c r="CK6" s="2589"/>
      <c r="CL6" s="2589"/>
      <c r="CM6" s="2589"/>
      <c r="CN6" s="2589"/>
      <c r="CO6" s="2589"/>
      <c r="CP6" s="2589"/>
      <c r="CQ6" s="2589"/>
      <c r="CR6" s="2589"/>
      <c r="CS6" s="2589"/>
      <c r="CT6" s="2589"/>
      <c r="CU6" s="2589"/>
      <c r="CV6" s="2589"/>
      <c r="CW6" s="21"/>
      <c r="CX6" s="21"/>
      <c r="CY6" s="21"/>
      <c r="CZ6" s="21"/>
      <c r="DA6" s="21"/>
      <c r="DB6" s="21"/>
      <c r="DC6" s="21"/>
      <c r="DE6" s="2589" t="s">
        <v>245</v>
      </c>
      <c r="DF6" s="2589"/>
      <c r="DG6" s="2589"/>
      <c r="DH6" s="2589"/>
      <c r="DI6" s="2589"/>
      <c r="DJ6" s="2589"/>
      <c r="DK6" s="2589"/>
      <c r="DL6" s="2589"/>
      <c r="DM6" s="2589"/>
      <c r="DN6" s="2589"/>
      <c r="DO6" s="2589"/>
      <c r="DP6" s="2589"/>
      <c r="DQ6" s="2589"/>
      <c r="DR6" s="2589"/>
      <c r="DS6" s="2589"/>
      <c r="DT6" s="2589"/>
      <c r="DU6" s="2589"/>
      <c r="DV6" s="2589"/>
      <c r="DW6" s="2589"/>
      <c r="DX6" s="2589"/>
      <c r="DY6" s="2589"/>
      <c r="DZ6" s="2589"/>
      <c r="EA6" s="2589"/>
      <c r="EB6" s="2589"/>
      <c r="EC6" s="2589"/>
      <c r="ED6" s="2589"/>
      <c r="EE6" s="2589"/>
      <c r="EF6" s="2589"/>
      <c r="EG6" s="2589"/>
      <c r="EH6" s="2589"/>
      <c r="EI6" s="2589"/>
      <c r="EJ6" s="2589"/>
      <c r="EK6" s="2589"/>
      <c r="EL6" s="2589"/>
      <c r="EM6" s="2589"/>
      <c r="EN6" s="2589"/>
      <c r="EO6" s="2589"/>
      <c r="EP6" s="2589"/>
      <c r="EQ6" s="2589"/>
      <c r="ER6" s="2589"/>
      <c r="ES6" s="2589"/>
      <c r="ET6" s="21"/>
      <c r="EU6" s="21"/>
      <c r="EV6" s="21"/>
      <c r="EW6" s="21"/>
      <c r="EX6" s="21"/>
      <c r="EY6" s="21"/>
      <c r="EZ6" s="21"/>
      <c r="FB6" s="2589" t="s">
        <v>246</v>
      </c>
      <c r="FC6" s="2589"/>
      <c r="FD6" s="2589"/>
      <c r="FE6" s="2589"/>
      <c r="FF6" s="2589"/>
      <c r="FG6" s="2589"/>
      <c r="FH6" s="2589"/>
      <c r="FI6" s="2589"/>
      <c r="FJ6" s="2589"/>
      <c r="FK6" s="2589"/>
      <c r="FL6" s="2589"/>
      <c r="FM6" s="2589"/>
      <c r="FN6" s="2589"/>
      <c r="FO6" s="2589"/>
      <c r="FP6" s="2589"/>
      <c r="FQ6" s="2589"/>
      <c r="FR6" s="2589"/>
      <c r="FS6" s="2589"/>
      <c r="FT6" s="2589"/>
      <c r="FU6" s="2589"/>
      <c r="FV6" s="2589"/>
      <c r="FW6" s="2589"/>
      <c r="FX6" s="2589"/>
      <c r="FY6" s="2589"/>
      <c r="FZ6" s="2589"/>
      <c r="GA6" s="2589"/>
      <c r="GB6" s="2589"/>
      <c r="GC6" s="2589"/>
      <c r="GD6" s="2589"/>
      <c r="GE6" s="2589"/>
      <c r="GF6" s="2589"/>
      <c r="GG6" s="2589"/>
      <c r="GH6" s="2589"/>
      <c r="GI6" s="2589"/>
      <c r="GJ6" s="2589"/>
      <c r="GK6" s="2589"/>
      <c r="GL6" s="2589"/>
      <c r="GM6" s="2589"/>
      <c r="GN6" s="2589"/>
      <c r="GO6" s="2589"/>
      <c r="GP6" s="2589"/>
      <c r="GQ6" s="21"/>
      <c r="GR6" s="21"/>
      <c r="GS6" s="21"/>
      <c r="GT6" s="21"/>
      <c r="GU6" s="21"/>
      <c r="GV6" s="21"/>
      <c r="GW6" s="21"/>
      <c r="GY6" s="2589" t="s">
        <v>247</v>
      </c>
      <c r="GZ6" s="2589"/>
      <c r="HA6" s="2589"/>
      <c r="HB6" s="2589"/>
      <c r="HC6" s="2589"/>
      <c r="HD6" s="2589"/>
      <c r="HE6" s="2589"/>
      <c r="HF6" s="2589"/>
      <c r="HG6" s="2589"/>
      <c r="HH6" s="2589"/>
      <c r="HI6" s="2589"/>
      <c r="HJ6" s="2589"/>
      <c r="HK6" s="2589"/>
      <c r="HL6" s="2589"/>
      <c r="HM6" s="2589"/>
      <c r="HN6" s="2589"/>
      <c r="HO6" s="2589"/>
      <c r="HP6" s="2589"/>
      <c r="HQ6" s="2589"/>
      <c r="HR6" s="2589"/>
      <c r="HS6" s="2589"/>
      <c r="HT6" s="2589"/>
      <c r="HU6" s="2589"/>
      <c r="HV6" s="2589"/>
      <c r="HW6" s="2589"/>
      <c r="HX6" s="2589"/>
      <c r="HY6" s="2589"/>
      <c r="HZ6" s="2589"/>
      <c r="IA6" s="2589"/>
      <c r="IB6" s="2589"/>
      <c r="IC6" s="2589"/>
      <c r="ID6" s="2589"/>
      <c r="IE6" s="2589"/>
      <c r="IF6" s="2589"/>
      <c r="IG6" s="2589"/>
      <c r="IH6" s="2589"/>
      <c r="II6" s="2589"/>
      <c r="IJ6" s="2589"/>
      <c r="IK6" s="2589"/>
      <c r="IL6" s="2589"/>
      <c r="IM6" s="2589"/>
      <c r="IN6" s="21"/>
      <c r="IO6" s="21"/>
      <c r="IP6" s="21"/>
      <c r="IQ6" s="21"/>
      <c r="IR6" s="21"/>
      <c r="IS6" s="21"/>
      <c r="IT6" s="21"/>
      <c r="IV6" s="2589" t="s">
        <v>248</v>
      </c>
      <c r="IW6" s="2589"/>
      <c r="IX6" s="2589"/>
      <c r="IY6" s="2589"/>
      <c r="IZ6" s="2589"/>
      <c r="JA6" s="2589"/>
      <c r="JB6" s="2589"/>
      <c r="JC6" s="2589"/>
      <c r="JD6" s="2589"/>
      <c r="JE6" s="2589"/>
      <c r="JF6" s="2589"/>
      <c r="JG6" s="2589"/>
      <c r="JH6" s="2589"/>
      <c r="JI6" s="2589"/>
      <c r="JJ6" s="2589"/>
      <c r="JK6" s="2589"/>
      <c r="JL6" s="2589"/>
      <c r="JM6" s="2589"/>
      <c r="JN6" s="2589"/>
      <c r="JO6" s="2589"/>
      <c r="JP6" s="2589"/>
      <c r="JQ6" s="2589"/>
      <c r="JR6" s="2589"/>
      <c r="JS6" s="2589"/>
      <c r="JT6" s="2589"/>
      <c r="JU6" s="2589"/>
      <c r="JV6" s="2589"/>
      <c r="JW6" s="2589"/>
      <c r="JX6" s="2589"/>
      <c r="JY6" s="2589"/>
      <c r="JZ6" s="2589"/>
      <c r="KA6" s="2589"/>
      <c r="KB6" s="2589"/>
      <c r="KC6" s="2589"/>
      <c r="KD6" s="2589"/>
      <c r="KE6" s="2589"/>
      <c r="KF6" s="2589"/>
      <c r="KG6" s="2589"/>
      <c r="KH6" s="2589"/>
      <c r="KI6" s="2589"/>
      <c r="KJ6" s="2589"/>
      <c r="KK6" s="21"/>
      <c r="KL6" s="21"/>
      <c r="KM6" s="21"/>
      <c r="KN6" s="21"/>
    </row>
    <row r="7" spans="1:300" ht="19.2" thickBot="1">
      <c r="A7" s="18" t="s">
        <v>169</v>
      </c>
      <c r="B7" s="19" t="s">
        <v>39</v>
      </c>
      <c r="C7" s="20">
        <v>1</v>
      </c>
      <c r="D7" s="20">
        <v>0.28289999999999998</v>
      </c>
      <c r="E7" s="20">
        <v>0.28289999999999998</v>
      </c>
      <c r="F7" s="20">
        <v>28.010400000000001</v>
      </c>
      <c r="G7" s="20">
        <f t="shared" si="0"/>
        <v>0</v>
      </c>
      <c r="H7" s="20">
        <v>0</v>
      </c>
      <c r="I7" s="170">
        <v>0</v>
      </c>
      <c r="K7" s="2591" t="s">
        <v>237</v>
      </c>
      <c r="L7" s="2591"/>
      <c r="M7" s="2591"/>
      <c r="N7" s="2591"/>
      <c r="O7" s="2591"/>
      <c r="P7" s="22"/>
      <c r="Q7" s="22"/>
      <c r="R7" s="22"/>
      <c r="S7" s="22"/>
      <c r="T7" s="167"/>
      <c r="U7" s="175"/>
      <c r="V7" s="178"/>
      <c r="W7" s="2590" t="s">
        <v>238</v>
      </c>
      <c r="X7" s="2590"/>
      <c r="Y7" s="2590"/>
      <c r="Z7" s="2590"/>
      <c r="AA7" s="2590"/>
      <c r="AB7" s="23"/>
      <c r="AC7" s="23"/>
      <c r="AD7" s="23"/>
      <c r="AE7" s="23"/>
      <c r="AF7" s="179"/>
      <c r="AG7" s="179"/>
      <c r="AH7" s="179"/>
      <c r="AI7" s="2591" t="s">
        <v>239</v>
      </c>
      <c r="AJ7" s="2591"/>
      <c r="AK7" s="2591"/>
      <c r="AL7" s="2591"/>
      <c r="AM7" s="2591"/>
      <c r="AN7" s="22"/>
      <c r="AO7" s="22"/>
      <c r="AP7" s="22"/>
      <c r="AQ7" s="22"/>
      <c r="AR7" s="178"/>
      <c r="AS7" s="178"/>
      <c r="AT7" s="178"/>
      <c r="AU7" s="2590" t="s">
        <v>239</v>
      </c>
      <c r="AV7" s="2590"/>
      <c r="AW7" s="2590"/>
      <c r="AX7" s="2590"/>
      <c r="AY7" s="2590"/>
      <c r="AZ7" s="24"/>
      <c r="BA7" s="24"/>
      <c r="BB7" s="24"/>
      <c r="BC7" s="24"/>
      <c r="BD7" s="24"/>
      <c r="BE7" s="24"/>
      <c r="BF7" s="24"/>
      <c r="BH7" s="2591" t="s">
        <v>237</v>
      </c>
      <c r="BI7" s="2591"/>
      <c r="BJ7" s="2591"/>
      <c r="BK7" s="2591"/>
      <c r="BL7" s="2591"/>
      <c r="BM7" s="22"/>
      <c r="BN7" s="22"/>
      <c r="BO7" s="22"/>
      <c r="BP7" s="22"/>
      <c r="BQ7" s="178"/>
      <c r="BR7" s="178"/>
      <c r="BS7" s="178"/>
      <c r="BT7" s="2590" t="s">
        <v>238</v>
      </c>
      <c r="BU7" s="2590"/>
      <c r="BV7" s="2590"/>
      <c r="BW7" s="2590"/>
      <c r="BX7" s="2590"/>
      <c r="BY7" s="23"/>
      <c r="BZ7" s="23"/>
      <c r="CA7" s="23"/>
      <c r="CB7" s="23"/>
      <c r="CC7" s="179"/>
      <c r="CD7" s="179"/>
      <c r="CE7" s="179"/>
      <c r="CF7" s="2591" t="s">
        <v>239</v>
      </c>
      <c r="CG7" s="2591"/>
      <c r="CH7" s="2591"/>
      <c r="CI7" s="2591"/>
      <c r="CJ7" s="2591"/>
      <c r="CK7" s="22"/>
      <c r="CL7" s="22"/>
      <c r="CM7" s="22"/>
      <c r="CN7" s="22"/>
      <c r="CO7" s="178"/>
      <c r="CP7" s="178"/>
      <c r="CQ7" s="178"/>
      <c r="CR7" s="2590" t="s">
        <v>239</v>
      </c>
      <c r="CS7" s="2590"/>
      <c r="CT7" s="2590"/>
      <c r="CU7" s="2590"/>
      <c r="CV7" s="2590"/>
      <c r="CW7" s="24"/>
      <c r="CX7" s="24"/>
      <c r="CY7" s="24"/>
      <c r="CZ7" s="24"/>
      <c r="DA7" s="24"/>
      <c r="DB7" s="24"/>
      <c r="DC7" s="24"/>
      <c r="DE7" s="2591" t="s">
        <v>237</v>
      </c>
      <c r="DF7" s="2591"/>
      <c r="DG7" s="2591"/>
      <c r="DH7" s="2591"/>
      <c r="DI7" s="2591"/>
      <c r="DJ7" s="22"/>
      <c r="DK7" s="22"/>
      <c r="DL7" s="22"/>
      <c r="DM7" s="22"/>
      <c r="DN7" s="178"/>
      <c r="DO7" s="178"/>
      <c r="DP7" s="178"/>
      <c r="DQ7" s="2590" t="s">
        <v>238</v>
      </c>
      <c r="DR7" s="2590"/>
      <c r="DS7" s="2590"/>
      <c r="DT7" s="2590"/>
      <c r="DU7" s="2590"/>
      <c r="DV7" s="23"/>
      <c r="DW7" s="23"/>
      <c r="DX7" s="23"/>
      <c r="DY7" s="23"/>
      <c r="DZ7" s="179"/>
      <c r="EA7" s="179"/>
      <c r="EB7" s="179"/>
      <c r="EC7" s="2591" t="s">
        <v>239</v>
      </c>
      <c r="ED7" s="2591"/>
      <c r="EE7" s="2591"/>
      <c r="EF7" s="2591"/>
      <c r="EG7" s="2591"/>
      <c r="EH7" s="22"/>
      <c r="EI7" s="22"/>
      <c r="EJ7" s="22"/>
      <c r="EK7" s="22"/>
      <c r="EL7" s="178"/>
      <c r="EM7" s="178"/>
      <c r="EN7" s="178"/>
      <c r="EO7" s="2590" t="s">
        <v>239</v>
      </c>
      <c r="EP7" s="2590"/>
      <c r="EQ7" s="2590"/>
      <c r="ER7" s="2590"/>
      <c r="ES7" s="2590"/>
      <c r="ET7" s="24"/>
      <c r="EU7" s="24"/>
      <c r="EV7" s="24"/>
      <c r="EW7" s="24"/>
      <c r="EX7" s="24"/>
      <c r="EY7" s="24"/>
      <c r="EZ7" s="24"/>
      <c r="FB7" s="2591" t="s">
        <v>237</v>
      </c>
      <c r="FC7" s="2591"/>
      <c r="FD7" s="2591"/>
      <c r="FE7" s="2591"/>
      <c r="FF7" s="2591"/>
      <c r="FG7" s="22"/>
      <c r="FH7" s="22"/>
      <c r="FI7" s="22"/>
      <c r="FJ7" s="22"/>
      <c r="FK7" s="178"/>
      <c r="FL7" s="178"/>
      <c r="FM7" s="178"/>
      <c r="FN7" s="2590" t="s">
        <v>238</v>
      </c>
      <c r="FO7" s="2590"/>
      <c r="FP7" s="2590"/>
      <c r="FQ7" s="2590"/>
      <c r="FR7" s="2590"/>
      <c r="FS7" s="23"/>
      <c r="FT7" s="23"/>
      <c r="FU7" s="23"/>
      <c r="FV7" s="23"/>
      <c r="FW7" s="179"/>
      <c r="FX7" s="179"/>
      <c r="FY7" s="179"/>
      <c r="FZ7" s="2591" t="s">
        <v>239</v>
      </c>
      <c r="GA7" s="2591"/>
      <c r="GB7" s="2591"/>
      <c r="GC7" s="2591"/>
      <c r="GD7" s="2591"/>
      <c r="GE7" s="22"/>
      <c r="GF7" s="22"/>
      <c r="GG7" s="22"/>
      <c r="GH7" s="22"/>
      <c r="GI7" s="178"/>
      <c r="GJ7" s="178"/>
      <c r="GK7" s="178"/>
      <c r="GL7" s="2590" t="s">
        <v>239</v>
      </c>
      <c r="GM7" s="2590"/>
      <c r="GN7" s="2590"/>
      <c r="GO7" s="2590"/>
      <c r="GP7" s="2590"/>
      <c r="GQ7" s="24"/>
      <c r="GR7" s="24"/>
      <c r="GS7" s="24"/>
      <c r="GT7" s="24"/>
      <c r="GU7" s="24"/>
      <c r="GV7" s="24"/>
      <c r="GW7" s="24"/>
      <c r="GY7" s="2591" t="s">
        <v>237</v>
      </c>
      <c r="GZ7" s="2591"/>
      <c r="HA7" s="2591"/>
      <c r="HB7" s="2591"/>
      <c r="HC7" s="2591"/>
      <c r="HD7" s="22"/>
      <c r="HE7" s="22"/>
      <c r="HF7" s="22"/>
      <c r="HG7" s="22"/>
      <c r="HH7" s="178"/>
      <c r="HI7" s="178"/>
      <c r="HJ7" s="178"/>
      <c r="HK7" s="2590" t="s">
        <v>238</v>
      </c>
      <c r="HL7" s="2590"/>
      <c r="HM7" s="2590"/>
      <c r="HN7" s="2590"/>
      <c r="HO7" s="2590"/>
      <c r="HP7" s="23"/>
      <c r="HQ7" s="23"/>
      <c r="HR7" s="23"/>
      <c r="HS7" s="23"/>
      <c r="HT7" s="179"/>
      <c r="HU7" s="179"/>
      <c r="HV7" s="179"/>
      <c r="HW7" s="2591" t="s">
        <v>239</v>
      </c>
      <c r="HX7" s="2591"/>
      <c r="HY7" s="2591"/>
      <c r="HZ7" s="2591"/>
      <c r="IA7" s="2591"/>
      <c r="IB7" s="22"/>
      <c r="IC7" s="22"/>
      <c r="ID7" s="22"/>
      <c r="IE7" s="22"/>
      <c r="IF7" s="178"/>
      <c r="IG7" s="178"/>
      <c r="IH7" s="178"/>
      <c r="II7" s="2590" t="s">
        <v>239</v>
      </c>
      <c r="IJ7" s="2590"/>
      <c r="IK7" s="2590"/>
      <c r="IL7" s="2590"/>
      <c r="IM7" s="2590"/>
      <c r="IN7" s="24"/>
      <c r="IO7" s="24"/>
      <c r="IP7" s="24"/>
      <c r="IQ7" s="24"/>
      <c r="IR7" s="24"/>
      <c r="IS7" s="24"/>
      <c r="IT7" s="24"/>
      <c r="IV7" s="2591" t="s">
        <v>237</v>
      </c>
      <c r="IW7" s="2591"/>
      <c r="IX7" s="2591"/>
      <c r="IY7" s="2591"/>
      <c r="IZ7" s="2591"/>
      <c r="JA7" s="22"/>
      <c r="JB7" s="22"/>
      <c r="JC7" s="22"/>
      <c r="JD7" s="22"/>
      <c r="JE7" s="178"/>
      <c r="JF7" s="178"/>
      <c r="JG7" s="178"/>
      <c r="JH7" s="2590" t="s">
        <v>238</v>
      </c>
      <c r="JI7" s="2590"/>
      <c r="JJ7" s="2590"/>
      <c r="JK7" s="2590"/>
      <c r="JL7" s="2590"/>
      <c r="JM7" s="23"/>
      <c r="JN7" s="23"/>
      <c r="JO7" s="23"/>
      <c r="JP7" s="23"/>
      <c r="JQ7" s="179"/>
      <c r="JR7" s="179"/>
      <c r="JS7" s="179"/>
      <c r="JT7" s="2591" t="s">
        <v>239</v>
      </c>
      <c r="JU7" s="2591"/>
      <c r="JV7" s="2591"/>
      <c r="JW7" s="2591"/>
      <c r="JX7" s="2591"/>
      <c r="JY7" s="22"/>
      <c r="JZ7" s="22"/>
      <c r="KA7" s="22"/>
      <c r="KB7" s="22"/>
      <c r="KC7" s="178"/>
      <c r="KD7" s="178"/>
      <c r="KE7" s="178"/>
      <c r="KF7" s="2590" t="s">
        <v>239</v>
      </c>
      <c r="KG7" s="2590"/>
      <c r="KH7" s="2590"/>
      <c r="KI7" s="2590"/>
      <c r="KJ7" s="2590"/>
      <c r="KK7" s="24"/>
      <c r="KL7" s="24"/>
      <c r="KM7" s="24"/>
      <c r="KN7" s="24"/>
    </row>
    <row r="8" spans="1:300" ht="19.2" thickBot="1">
      <c r="A8" s="18" t="s">
        <v>171</v>
      </c>
      <c r="B8" s="19" t="s">
        <v>170</v>
      </c>
      <c r="C8" s="20">
        <v>0</v>
      </c>
      <c r="D8" s="20">
        <v>0</v>
      </c>
      <c r="E8" s="20">
        <v>0</v>
      </c>
      <c r="F8" s="20">
        <v>28.013400000000001</v>
      </c>
      <c r="G8" s="20">
        <f t="shared" si="0"/>
        <v>0</v>
      </c>
      <c r="H8" s="20">
        <v>0</v>
      </c>
      <c r="I8" s="170">
        <v>0</v>
      </c>
      <c r="K8" s="190" t="s">
        <v>337</v>
      </c>
      <c r="L8" s="27" t="str">
        <f>IF(P34="","",(101325*P34)/(8.31446261815324*288.6)/1000)</f>
        <v/>
      </c>
      <c r="M8" s="27" t="s">
        <v>327</v>
      </c>
      <c r="N8" s="22"/>
      <c r="O8" s="22"/>
      <c r="P8" s="193" t="s">
        <v>952</v>
      </c>
      <c r="Q8" s="22"/>
      <c r="R8" s="22"/>
      <c r="S8" s="22"/>
      <c r="T8" s="167"/>
      <c r="U8" s="175"/>
      <c r="V8" s="178"/>
      <c r="W8" s="198" t="s">
        <v>337</v>
      </c>
      <c r="X8" s="211" t="str">
        <f>IF(AB34="","",(101325*AB34)/(8.31446261815324*288.6)/1000)</f>
        <v/>
      </c>
      <c r="Y8" s="211" t="s">
        <v>327</v>
      </c>
      <c r="Z8" s="23"/>
      <c r="AA8" s="23"/>
      <c r="AB8" s="201" t="s">
        <v>952</v>
      </c>
      <c r="AC8" s="23"/>
      <c r="AD8" s="23"/>
      <c r="AE8" s="23"/>
      <c r="AF8" s="179"/>
      <c r="AG8" s="179"/>
      <c r="AH8" s="179"/>
      <c r="AI8" s="190" t="s">
        <v>337</v>
      </c>
      <c r="AJ8" s="27" t="str">
        <f>IF(AN34="","",(101325*AN34)/(8.31446261815324*288.6)/1000)</f>
        <v/>
      </c>
      <c r="AK8" s="27" t="s">
        <v>327</v>
      </c>
      <c r="AL8" s="22"/>
      <c r="AM8" s="22"/>
      <c r="AN8" s="193" t="s">
        <v>952</v>
      </c>
      <c r="AO8" s="22"/>
      <c r="AP8" s="22"/>
      <c r="AQ8" s="22"/>
      <c r="AR8" s="178"/>
      <c r="AS8" s="178"/>
      <c r="AT8" s="178"/>
      <c r="AU8" s="198" t="s">
        <v>337</v>
      </c>
      <c r="AV8" s="211" t="str">
        <f>IF(AZ34="","",(101325*AZ34)/(8.31446261815324*288.6)/1000)</f>
        <v/>
      </c>
      <c r="AW8" s="211" t="s">
        <v>327</v>
      </c>
      <c r="AX8" s="23"/>
      <c r="AY8" s="23"/>
      <c r="AZ8" s="201" t="s">
        <v>952</v>
      </c>
      <c r="BA8" s="24"/>
      <c r="BB8" s="24"/>
      <c r="BC8" s="24"/>
      <c r="BD8" s="24"/>
      <c r="BE8" s="24"/>
      <c r="BF8" s="24"/>
      <c r="BH8" s="27" t="s">
        <v>337</v>
      </c>
      <c r="BI8" s="27" t="str">
        <f>IF(BM34="","",(101325*BM34)/(8.31446261815324*288.6)/1000)</f>
        <v/>
      </c>
      <c r="BJ8" s="27" t="s">
        <v>327</v>
      </c>
      <c r="BK8" s="22"/>
      <c r="BL8" s="22"/>
      <c r="BM8" s="193" t="s">
        <v>952</v>
      </c>
      <c r="BN8" s="22"/>
      <c r="BO8" s="22"/>
      <c r="BP8" s="22"/>
      <c r="BQ8" s="178"/>
      <c r="BR8" s="178"/>
      <c r="BS8" s="178"/>
      <c r="BT8" s="198" t="s">
        <v>337</v>
      </c>
      <c r="BU8" s="211" t="str">
        <f>IF(BY34="","",(101325*BY34)/(8.31446261815324*288.6)/1000)</f>
        <v/>
      </c>
      <c r="BV8" s="211" t="s">
        <v>327</v>
      </c>
      <c r="BW8" s="23"/>
      <c r="BX8" s="23"/>
      <c r="BY8" s="201" t="s">
        <v>952</v>
      </c>
      <c r="BZ8" s="23"/>
      <c r="CA8" s="23"/>
      <c r="CB8" s="23"/>
      <c r="CC8" s="179"/>
      <c r="CD8" s="179"/>
      <c r="CE8" s="179"/>
      <c r="CF8" s="27" t="s">
        <v>337</v>
      </c>
      <c r="CG8" s="27" t="str">
        <f>IF(CK34="","",(101325*CK34)/(8.31446261815324*288.6)/1000)</f>
        <v/>
      </c>
      <c r="CH8" s="27" t="s">
        <v>327</v>
      </c>
      <c r="CI8" s="22"/>
      <c r="CJ8" s="22"/>
      <c r="CK8" s="193" t="s">
        <v>952</v>
      </c>
      <c r="CL8" s="22"/>
      <c r="CM8" s="22"/>
      <c r="CN8" s="22"/>
      <c r="CO8" s="178"/>
      <c r="CP8" s="178"/>
      <c r="CQ8" s="178"/>
      <c r="CR8" s="198" t="s">
        <v>337</v>
      </c>
      <c r="CS8" s="211" t="str">
        <f>IF(CW34="","",(101325*CW34)/(8.31446261815324*288.6)/1000)</f>
        <v/>
      </c>
      <c r="CT8" s="211" t="s">
        <v>327</v>
      </c>
      <c r="CU8" s="23"/>
      <c r="CV8" s="23"/>
      <c r="CW8" s="201" t="s">
        <v>952</v>
      </c>
      <c r="CX8" s="24"/>
      <c r="CY8" s="24"/>
      <c r="CZ8" s="24"/>
      <c r="DA8" s="24"/>
      <c r="DB8" s="24"/>
      <c r="DC8" s="24"/>
      <c r="DE8" s="27" t="s">
        <v>337</v>
      </c>
      <c r="DF8" s="27" t="str">
        <f>IF(DJ34="","",(101325*DJ34)/(8.31446261815324*288.6)/1000)</f>
        <v/>
      </c>
      <c r="DG8" s="27" t="s">
        <v>327</v>
      </c>
      <c r="DH8" s="22"/>
      <c r="DI8" s="22"/>
      <c r="DJ8" s="193" t="s">
        <v>952</v>
      </c>
      <c r="DK8" s="22"/>
      <c r="DL8" s="22"/>
      <c r="DM8" s="22"/>
      <c r="DN8" s="178"/>
      <c r="DO8" s="178"/>
      <c r="DP8" s="178"/>
      <c r="DQ8" s="211" t="s">
        <v>337</v>
      </c>
      <c r="DR8" s="211" t="str">
        <f>IF(DV34="","",(101325*DV34)/(8.31446261815324*288.6)/1000)</f>
        <v/>
      </c>
      <c r="DS8" s="211" t="s">
        <v>327</v>
      </c>
      <c r="DT8" s="23"/>
      <c r="DU8" s="23"/>
      <c r="DV8" s="201" t="s">
        <v>952</v>
      </c>
      <c r="DW8" s="23"/>
      <c r="DX8" s="23"/>
      <c r="DY8" s="23"/>
      <c r="DZ8" s="179"/>
      <c r="EA8" s="179"/>
      <c r="EB8" s="179"/>
      <c r="EC8" s="27" t="s">
        <v>337</v>
      </c>
      <c r="ED8" s="27" t="str">
        <f>IF(EH34="","",(101325*EH34)/(8.31446261815324*288.6)/1000)</f>
        <v/>
      </c>
      <c r="EE8" s="27" t="s">
        <v>327</v>
      </c>
      <c r="EF8" s="22"/>
      <c r="EG8" s="22"/>
      <c r="EH8" s="193" t="s">
        <v>952</v>
      </c>
      <c r="EI8" s="22"/>
      <c r="EJ8" s="22"/>
      <c r="EK8" s="22"/>
      <c r="EL8" s="178"/>
      <c r="EM8" s="178"/>
      <c r="EN8" s="178"/>
      <c r="EO8" s="211" t="s">
        <v>337</v>
      </c>
      <c r="EP8" s="211" t="str">
        <f>IF(ET34="","",(101325*ET34)/(8.31446261815324*288.6)/1000)</f>
        <v/>
      </c>
      <c r="EQ8" s="211" t="s">
        <v>327</v>
      </c>
      <c r="ER8" s="23"/>
      <c r="ES8" s="23"/>
      <c r="ET8" s="201" t="s">
        <v>952</v>
      </c>
      <c r="EU8" s="24"/>
      <c r="EV8" s="24"/>
      <c r="EW8" s="24"/>
      <c r="EX8" s="24"/>
      <c r="EY8" s="24"/>
      <c r="EZ8" s="24"/>
      <c r="FB8" s="27" t="s">
        <v>337</v>
      </c>
      <c r="FC8" s="27" t="str">
        <f>IF(FG34="","",(101325*FG34)/(8.31446261815324*288.6)/1000)</f>
        <v/>
      </c>
      <c r="FD8" s="27" t="s">
        <v>327</v>
      </c>
      <c r="FE8" s="22"/>
      <c r="FF8" s="22"/>
      <c r="FG8" s="193" t="s">
        <v>952</v>
      </c>
      <c r="FH8" s="22"/>
      <c r="FI8" s="22"/>
      <c r="FJ8" s="22"/>
      <c r="FK8" s="178"/>
      <c r="FL8" s="178"/>
      <c r="FM8" s="178"/>
      <c r="FN8" s="211" t="s">
        <v>337</v>
      </c>
      <c r="FO8" s="211" t="str">
        <f>IF(FS34="","",(101325*FS34)/(8.31446261815324*288.6)/1000)</f>
        <v/>
      </c>
      <c r="FP8" s="211" t="s">
        <v>327</v>
      </c>
      <c r="FQ8" s="23"/>
      <c r="FR8" s="23"/>
      <c r="FS8" s="201" t="s">
        <v>952</v>
      </c>
      <c r="FT8" s="23"/>
      <c r="FU8" s="23"/>
      <c r="FV8" s="23"/>
      <c r="FW8" s="179"/>
      <c r="FX8" s="179"/>
      <c r="FY8" s="179"/>
      <c r="FZ8" s="27" t="s">
        <v>337</v>
      </c>
      <c r="GA8" s="27" t="str">
        <f>IF(GE34="","",(101325*GE34)/(8.31446261815324*288.6)/1000)</f>
        <v/>
      </c>
      <c r="GB8" s="27" t="s">
        <v>327</v>
      </c>
      <c r="GC8" s="22"/>
      <c r="GD8" s="22"/>
      <c r="GE8" s="193" t="s">
        <v>952</v>
      </c>
      <c r="GF8" s="22"/>
      <c r="GG8" s="22"/>
      <c r="GH8" s="22"/>
      <c r="GI8" s="178"/>
      <c r="GJ8" s="178"/>
      <c r="GK8" s="178"/>
      <c r="GL8" s="211" t="s">
        <v>337</v>
      </c>
      <c r="GM8" s="211" t="str">
        <f>IF(GQ34="","",(101325*GQ34)/(8.31446261815324*288.6)/1000)</f>
        <v/>
      </c>
      <c r="GN8" s="211" t="s">
        <v>327</v>
      </c>
      <c r="GO8" s="23"/>
      <c r="GP8" s="23"/>
      <c r="GQ8" s="201" t="s">
        <v>952</v>
      </c>
      <c r="GR8" s="24"/>
      <c r="GS8" s="24"/>
      <c r="GT8" s="24"/>
      <c r="GU8" s="24"/>
      <c r="GV8" s="24"/>
      <c r="GW8" s="24"/>
      <c r="GY8" s="208" t="s">
        <v>337</v>
      </c>
      <c r="GZ8" s="27" t="str">
        <f>IF(HD34="","",(101325*HD34)/(8.31446261815324*288.6)/1000)</f>
        <v/>
      </c>
      <c r="HA8" s="27" t="s">
        <v>327</v>
      </c>
      <c r="HB8" s="22"/>
      <c r="HC8" s="22"/>
      <c r="HD8" s="193" t="s">
        <v>952</v>
      </c>
      <c r="HE8" s="22"/>
      <c r="HF8" s="22"/>
      <c r="HG8" s="22"/>
      <c r="HH8" s="178"/>
      <c r="HI8" s="178"/>
      <c r="HJ8" s="178"/>
      <c r="HK8" s="211" t="s">
        <v>337</v>
      </c>
      <c r="HL8" s="211" t="str">
        <f>IF(HP34="","",(101325*HP34)/(8.31446261815324*288.6)/1000)</f>
        <v/>
      </c>
      <c r="HM8" s="211" t="s">
        <v>327</v>
      </c>
      <c r="HN8" s="23"/>
      <c r="HO8" s="23"/>
      <c r="HP8" s="201" t="s">
        <v>952</v>
      </c>
      <c r="HQ8" s="23"/>
      <c r="HR8" s="23"/>
      <c r="HS8" s="23"/>
      <c r="HT8" s="179"/>
      <c r="HU8" s="179"/>
      <c r="HV8" s="179"/>
      <c r="HW8" s="208" t="s">
        <v>337</v>
      </c>
      <c r="HX8" s="27" t="str">
        <f>IF(IB34="","",(101325*IB34)/(8.31446261815324*288.6)/1000)</f>
        <v/>
      </c>
      <c r="HY8" s="27" t="s">
        <v>327</v>
      </c>
      <c r="HZ8" s="22"/>
      <c r="IA8" s="22"/>
      <c r="IB8" s="193" t="s">
        <v>952</v>
      </c>
      <c r="IC8" s="22"/>
      <c r="ID8" s="22"/>
      <c r="IE8" s="22"/>
      <c r="IF8" s="178"/>
      <c r="IG8" s="178"/>
      <c r="IH8" s="178"/>
      <c r="II8" s="211" t="s">
        <v>337</v>
      </c>
      <c r="IJ8" s="211" t="str">
        <f>IF(IN34="","",(101325*IN34)/(8.31446261815324*288.6)/1000)</f>
        <v/>
      </c>
      <c r="IK8" s="211" t="s">
        <v>327</v>
      </c>
      <c r="IL8" s="23"/>
      <c r="IM8" s="23"/>
      <c r="IN8" s="201" t="s">
        <v>952</v>
      </c>
      <c r="IO8" s="24"/>
      <c r="IP8" s="24"/>
      <c r="IQ8" s="24"/>
      <c r="IR8" s="24"/>
      <c r="IS8" s="24"/>
      <c r="IT8" s="24"/>
      <c r="IV8" s="208" t="s">
        <v>337</v>
      </c>
      <c r="IW8" s="27" t="str">
        <f>IF(JA34="","",(101325*JA34)/(8.31446261815324*288.6)/1000)</f>
        <v/>
      </c>
      <c r="IX8" s="27" t="s">
        <v>327</v>
      </c>
      <c r="IY8" s="22"/>
      <c r="IZ8" s="22"/>
      <c r="JA8" s="193" t="s">
        <v>952</v>
      </c>
      <c r="JB8" s="22"/>
      <c r="JC8" s="22"/>
      <c r="JD8" s="22"/>
      <c r="JE8" s="178"/>
      <c r="JF8" s="178"/>
      <c r="JG8" s="178"/>
      <c r="JH8" s="211" t="s">
        <v>337</v>
      </c>
      <c r="JI8" s="211" t="str">
        <f>IF(JM34="","",(101325*JM34)/(8.31446261815324*288.6)/1000)</f>
        <v/>
      </c>
      <c r="JJ8" s="211" t="s">
        <v>327</v>
      </c>
      <c r="JK8" s="23"/>
      <c r="JL8" s="23"/>
      <c r="JM8" s="201" t="s">
        <v>952</v>
      </c>
      <c r="JN8" s="23"/>
      <c r="JO8" s="23"/>
      <c r="JP8" s="23"/>
      <c r="JQ8" s="179"/>
      <c r="JR8" s="179"/>
      <c r="JS8" s="179"/>
      <c r="JT8" s="208" t="s">
        <v>337</v>
      </c>
      <c r="JU8" s="27" t="str">
        <f>IF(JY34="","",(101325*JY34)/(8.31446261815324*288.6)/1000)</f>
        <v/>
      </c>
      <c r="JV8" s="27" t="s">
        <v>327</v>
      </c>
      <c r="JW8" s="22"/>
      <c r="JX8" s="22"/>
      <c r="JY8" s="193" t="s">
        <v>952</v>
      </c>
      <c r="JZ8" s="22"/>
      <c r="KA8" s="22"/>
      <c r="KB8" s="22"/>
      <c r="KC8" s="178"/>
      <c r="KD8" s="178"/>
      <c r="KE8" s="178"/>
      <c r="KF8" s="211" t="s">
        <v>337</v>
      </c>
      <c r="KG8" s="211" t="str">
        <f>IF(KK34="","",(101325*KK34)/(8.31446261815324*288.6)/1000)</f>
        <v/>
      </c>
      <c r="KH8" s="211" t="s">
        <v>327</v>
      </c>
      <c r="KI8" s="23"/>
      <c r="KJ8" s="23"/>
      <c r="KK8" s="201" t="s">
        <v>952</v>
      </c>
      <c r="KL8" s="24"/>
      <c r="KM8" s="24"/>
      <c r="KN8" s="24"/>
    </row>
    <row r="9" spans="1:300" ht="15.6">
      <c r="A9" s="18" t="s">
        <v>173</v>
      </c>
      <c r="B9" s="19" t="s">
        <v>172</v>
      </c>
      <c r="C9" s="20">
        <v>0</v>
      </c>
      <c r="D9" s="20">
        <v>0</v>
      </c>
      <c r="E9" s="20">
        <v>0</v>
      </c>
      <c r="F9" s="20">
        <v>31.998799999999999</v>
      </c>
      <c r="G9" s="20">
        <f t="shared" si="0"/>
        <v>0</v>
      </c>
      <c r="H9" s="20">
        <v>0</v>
      </c>
      <c r="I9" s="170">
        <v>0</v>
      </c>
      <c r="K9" s="2570" t="s">
        <v>228</v>
      </c>
      <c r="L9" s="2570" t="s">
        <v>335</v>
      </c>
      <c r="M9" s="2569" t="s">
        <v>241</v>
      </c>
      <c r="N9" s="2569" t="s">
        <v>229</v>
      </c>
      <c r="O9" s="2569" t="s">
        <v>230</v>
      </c>
      <c r="P9" s="2564" t="s">
        <v>339</v>
      </c>
      <c r="Q9" s="25"/>
      <c r="R9" s="25"/>
      <c r="S9" s="25"/>
      <c r="T9" s="166"/>
      <c r="U9" s="174"/>
      <c r="V9" s="180"/>
      <c r="W9" s="2568" t="s">
        <v>228</v>
      </c>
      <c r="X9" s="2568" t="s">
        <v>225</v>
      </c>
      <c r="Y9" s="2562" t="s">
        <v>241</v>
      </c>
      <c r="Z9" s="2562" t="s">
        <v>229</v>
      </c>
      <c r="AA9" s="2562" t="s">
        <v>230</v>
      </c>
      <c r="AB9" s="2566" t="s">
        <v>339</v>
      </c>
      <c r="AC9" s="26"/>
      <c r="AD9" s="26"/>
      <c r="AE9" s="26"/>
      <c r="AF9" s="177"/>
      <c r="AG9" s="177"/>
      <c r="AH9" s="177"/>
      <c r="AI9" s="2570" t="s">
        <v>228</v>
      </c>
      <c r="AJ9" s="2570" t="s">
        <v>225</v>
      </c>
      <c r="AK9" s="2569" t="s">
        <v>241</v>
      </c>
      <c r="AL9" s="2569" t="s">
        <v>229</v>
      </c>
      <c r="AM9" s="2569" t="s">
        <v>230</v>
      </c>
      <c r="AN9" s="2564" t="s">
        <v>339</v>
      </c>
      <c r="AO9" s="25"/>
      <c r="AP9" s="25"/>
      <c r="AQ9" s="25"/>
      <c r="AR9" s="180"/>
      <c r="AS9" s="180"/>
      <c r="AT9" s="180"/>
      <c r="AU9" s="2568" t="s">
        <v>228</v>
      </c>
      <c r="AV9" s="2568" t="s">
        <v>225</v>
      </c>
      <c r="AW9" s="2562" t="s">
        <v>241</v>
      </c>
      <c r="AX9" s="2562" t="s">
        <v>229</v>
      </c>
      <c r="AY9" s="2562" t="s">
        <v>230</v>
      </c>
      <c r="AZ9" s="2566" t="s">
        <v>339</v>
      </c>
      <c r="BA9" s="13"/>
      <c r="BB9" s="13"/>
      <c r="BC9" s="13"/>
      <c r="BD9" s="13"/>
      <c r="BE9" s="13"/>
      <c r="BF9" s="13"/>
      <c r="BH9" s="2570" t="s">
        <v>228</v>
      </c>
      <c r="BI9" s="2570" t="s">
        <v>225</v>
      </c>
      <c r="BJ9" s="2569" t="s">
        <v>241</v>
      </c>
      <c r="BK9" s="2569" t="s">
        <v>229</v>
      </c>
      <c r="BL9" s="2569" t="s">
        <v>230</v>
      </c>
      <c r="BM9" s="2564" t="s">
        <v>339</v>
      </c>
      <c r="BN9" s="25"/>
      <c r="BO9" s="25"/>
      <c r="BP9" s="25"/>
      <c r="BQ9" s="180"/>
      <c r="BR9" s="180"/>
      <c r="BS9" s="180"/>
      <c r="BT9" s="2568" t="s">
        <v>228</v>
      </c>
      <c r="BU9" s="2568" t="s">
        <v>225</v>
      </c>
      <c r="BV9" s="2562" t="s">
        <v>241</v>
      </c>
      <c r="BW9" s="2562" t="s">
        <v>229</v>
      </c>
      <c r="BX9" s="2562" t="s">
        <v>230</v>
      </c>
      <c r="BY9" s="2566" t="s">
        <v>339</v>
      </c>
      <c r="BZ9" s="26"/>
      <c r="CA9" s="26"/>
      <c r="CB9" s="26"/>
      <c r="CC9" s="177"/>
      <c r="CD9" s="177"/>
      <c r="CE9" s="177"/>
      <c r="CF9" s="2570" t="s">
        <v>228</v>
      </c>
      <c r="CG9" s="2570" t="s">
        <v>225</v>
      </c>
      <c r="CH9" s="2569" t="s">
        <v>241</v>
      </c>
      <c r="CI9" s="2569" t="s">
        <v>229</v>
      </c>
      <c r="CJ9" s="2569" t="s">
        <v>230</v>
      </c>
      <c r="CK9" s="2564" t="s">
        <v>339</v>
      </c>
      <c r="CL9" s="25"/>
      <c r="CM9" s="25"/>
      <c r="CN9" s="25"/>
      <c r="CO9" s="180"/>
      <c r="CP9" s="180"/>
      <c r="CQ9" s="180"/>
      <c r="CR9" s="2568" t="s">
        <v>228</v>
      </c>
      <c r="CS9" s="2568" t="s">
        <v>225</v>
      </c>
      <c r="CT9" s="2562" t="s">
        <v>241</v>
      </c>
      <c r="CU9" s="2562" t="s">
        <v>229</v>
      </c>
      <c r="CV9" s="2562" t="s">
        <v>230</v>
      </c>
      <c r="CW9" s="2566" t="s">
        <v>339</v>
      </c>
      <c r="CX9" s="13"/>
      <c r="CY9" s="13"/>
      <c r="CZ9" s="13"/>
      <c r="DA9" s="13"/>
      <c r="DB9" s="13"/>
      <c r="DC9" s="13"/>
      <c r="DE9" s="2570" t="s">
        <v>228</v>
      </c>
      <c r="DF9" s="2570" t="s">
        <v>225</v>
      </c>
      <c r="DG9" s="2569" t="s">
        <v>241</v>
      </c>
      <c r="DH9" s="2569" t="s">
        <v>229</v>
      </c>
      <c r="DI9" s="2569" t="s">
        <v>230</v>
      </c>
      <c r="DJ9" s="2564" t="s">
        <v>339</v>
      </c>
      <c r="DK9" s="25"/>
      <c r="DL9" s="25"/>
      <c r="DM9" s="25"/>
      <c r="DN9" s="180"/>
      <c r="DO9" s="180"/>
      <c r="DP9" s="180"/>
      <c r="DQ9" s="2568" t="s">
        <v>228</v>
      </c>
      <c r="DR9" s="2568" t="s">
        <v>225</v>
      </c>
      <c r="DS9" s="2562" t="s">
        <v>241</v>
      </c>
      <c r="DT9" s="2562" t="s">
        <v>229</v>
      </c>
      <c r="DU9" s="2562" t="s">
        <v>230</v>
      </c>
      <c r="DV9" s="2566" t="s">
        <v>339</v>
      </c>
      <c r="DW9" s="26"/>
      <c r="DX9" s="26"/>
      <c r="DY9" s="26"/>
      <c r="DZ9" s="177"/>
      <c r="EA9" s="177"/>
      <c r="EB9" s="177"/>
      <c r="EC9" s="2570" t="s">
        <v>228</v>
      </c>
      <c r="ED9" s="2570" t="s">
        <v>225</v>
      </c>
      <c r="EE9" s="2569" t="s">
        <v>241</v>
      </c>
      <c r="EF9" s="2569" t="s">
        <v>229</v>
      </c>
      <c r="EG9" s="2569" t="s">
        <v>230</v>
      </c>
      <c r="EH9" s="2564" t="s">
        <v>339</v>
      </c>
      <c r="EI9" s="25"/>
      <c r="EJ9" s="25"/>
      <c r="EK9" s="25"/>
      <c r="EL9" s="180"/>
      <c r="EM9" s="180"/>
      <c r="EN9" s="180"/>
      <c r="EO9" s="2568" t="s">
        <v>228</v>
      </c>
      <c r="EP9" s="2568" t="s">
        <v>225</v>
      </c>
      <c r="EQ9" s="2562" t="s">
        <v>241</v>
      </c>
      <c r="ER9" s="2562" t="s">
        <v>229</v>
      </c>
      <c r="ES9" s="2562" t="s">
        <v>230</v>
      </c>
      <c r="ET9" s="2566" t="s">
        <v>339</v>
      </c>
      <c r="EU9" s="13"/>
      <c r="EV9" s="13"/>
      <c r="EW9" s="13"/>
      <c r="EX9" s="13"/>
      <c r="EY9" s="13"/>
      <c r="EZ9" s="13"/>
      <c r="FB9" s="2570" t="s">
        <v>228</v>
      </c>
      <c r="FC9" s="2570" t="s">
        <v>225</v>
      </c>
      <c r="FD9" s="2569" t="s">
        <v>241</v>
      </c>
      <c r="FE9" s="2569" t="s">
        <v>229</v>
      </c>
      <c r="FF9" s="2569" t="s">
        <v>230</v>
      </c>
      <c r="FG9" s="2564" t="s">
        <v>339</v>
      </c>
      <c r="FH9" s="25"/>
      <c r="FI9" s="25"/>
      <c r="FJ9" s="25"/>
      <c r="FK9" s="180"/>
      <c r="FL9" s="180"/>
      <c r="FM9" s="180"/>
      <c r="FN9" s="2568" t="s">
        <v>228</v>
      </c>
      <c r="FO9" s="2568" t="s">
        <v>225</v>
      </c>
      <c r="FP9" s="2562" t="s">
        <v>241</v>
      </c>
      <c r="FQ9" s="2562" t="s">
        <v>229</v>
      </c>
      <c r="FR9" s="2562" t="s">
        <v>230</v>
      </c>
      <c r="FS9" s="2566" t="s">
        <v>339</v>
      </c>
      <c r="FT9" s="26"/>
      <c r="FU9" s="26"/>
      <c r="FV9" s="26"/>
      <c r="FW9" s="177"/>
      <c r="FX9" s="177"/>
      <c r="FY9" s="177"/>
      <c r="FZ9" s="2570" t="s">
        <v>228</v>
      </c>
      <c r="GA9" s="2570" t="s">
        <v>225</v>
      </c>
      <c r="GB9" s="2569" t="s">
        <v>241</v>
      </c>
      <c r="GC9" s="2569" t="s">
        <v>229</v>
      </c>
      <c r="GD9" s="2569" t="s">
        <v>230</v>
      </c>
      <c r="GE9" s="2564" t="s">
        <v>339</v>
      </c>
      <c r="GF9" s="25"/>
      <c r="GG9" s="25"/>
      <c r="GH9" s="25"/>
      <c r="GI9" s="180"/>
      <c r="GJ9" s="180"/>
      <c r="GK9" s="180"/>
      <c r="GL9" s="2568" t="s">
        <v>228</v>
      </c>
      <c r="GM9" s="2568" t="s">
        <v>225</v>
      </c>
      <c r="GN9" s="2562" t="s">
        <v>241</v>
      </c>
      <c r="GO9" s="2562" t="s">
        <v>229</v>
      </c>
      <c r="GP9" s="2562" t="s">
        <v>230</v>
      </c>
      <c r="GQ9" s="2566" t="s">
        <v>339</v>
      </c>
      <c r="GR9" s="13"/>
      <c r="GS9" s="13"/>
      <c r="GT9" s="13"/>
      <c r="GU9" s="13"/>
      <c r="GV9" s="13"/>
      <c r="GW9" s="13"/>
      <c r="GY9" s="2570" t="s">
        <v>228</v>
      </c>
      <c r="GZ9" s="2570" t="s">
        <v>225</v>
      </c>
      <c r="HA9" s="2569" t="s">
        <v>241</v>
      </c>
      <c r="HB9" s="2569" t="s">
        <v>229</v>
      </c>
      <c r="HC9" s="2569" t="s">
        <v>230</v>
      </c>
      <c r="HD9" s="2564" t="s">
        <v>339</v>
      </c>
      <c r="HE9" s="25"/>
      <c r="HF9" s="25"/>
      <c r="HG9" s="25"/>
      <c r="HH9" s="180"/>
      <c r="HI9" s="180"/>
      <c r="HJ9" s="180"/>
      <c r="HK9" s="2568" t="s">
        <v>228</v>
      </c>
      <c r="HL9" s="2568" t="s">
        <v>225</v>
      </c>
      <c r="HM9" s="2562" t="s">
        <v>241</v>
      </c>
      <c r="HN9" s="2562" t="s">
        <v>229</v>
      </c>
      <c r="HO9" s="2562" t="s">
        <v>230</v>
      </c>
      <c r="HP9" s="2566" t="s">
        <v>339</v>
      </c>
      <c r="HQ9" s="26"/>
      <c r="HR9" s="26"/>
      <c r="HS9" s="26"/>
      <c r="HT9" s="177"/>
      <c r="HU9" s="177"/>
      <c r="HV9" s="177"/>
      <c r="HW9" s="2570" t="s">
        <v>228</v>
      </c>
      <c r="HX9" s="2570" t="s">
        <v>225</v>
      </c>
      <c r="HY9" s="2569" t="s">
        <v>241</v>
      </c>
      <c r="HZ9" s="2569" t="s">
        <v>229</v>
      </c>
      <c r="IA9" s="2569" t="s">
        <v>230</v>
      </c>
      <c r="IB9" s="2564" t="s">
        <v>339</v>
      </c>
      <c r="IC9" s="25"/>
      <c r="ID9" s="25"/>
      <c r="IE9" s="25"/>
      <c r="IF9" s="180"/>
      <c r="IG9" s="180"/>
      <c r="IH9" s="180"/>
      <c r="II9" s="2568" t="s">
        <v>228</v>
      </c>
      <c r="IJ9" s="2568" t="s">
        <v>225</v>
      </c>
      <c r="IK9" s="2562" t="s">
        <v>241</v>
      </c>
      <c r="IL9" s="2562" t="s">
        <v>229</v>
      </c>
      <c r="IM9" s="2562" t="s">
        <v>230</v>
      </c>
      <c r="IN9" s="2566" t="s">
        <v>339</v>
      </c>
      <c r="IO9" s="13"/>
      <c r="IP9" s="13"/>
      <c r="IQ9" s="13"/>
      <c r="IR9" s="13"/>
      <c r="IS9" s="13"/>
      <c r="IT9" s="13"/>
      <c r="IV9" s="2570" t="s">
        <v>228</v>
      </c>
      <c r="IW9" s="2570" t="s">
        <v>225</v>
      </c>
      <c r="IX9" s="2569" t="s">
        <v>241</v>
      </c>
      <c r="IY9" s="2569" t="s">
        <v>229</v>
      </c>
      <c r="IZ9" s="2569" t="s">
        <v>230</v>
      </c>
      <c r="JA9" s="2564" t="s">
        <v>339</v>
      </c>
      <c r="JB9" s="25"/>
      <c r="JC9" s="25"/>
      <c r="JD9" s="25"/>
      <c r="JE9" s="180"/>
      <c r="JF9" s="180"/>
      <c r="JG9" s="180"/>
      <c r="JH9" s="2568" t="s">
        <v>228</v>
      </c>
      <c r="JI9" s="2568" t="s">
        <v>225</v>
      </c>
      <c r="JJ9" s="2562" t="s">
        <v>241</v>
      </c>
      <c r="JK9" s="2562" t="s">
        <v>229</v>
      </c>
      <c r="JL9" s="2562" t="s">
        <v>230</v>
      </c>
      <c r="JM9" s="2566" t="s">
        <v>339</v>
      </c>
      <c r="JN9" s="26"/>
      <c r="JO9" s="26"/>
      <c r="JP9" s="26"/>
      <c r="JQ9" s="177"/>
      <c r="JR9" s="177"/>
      <c r="JS9" s="177"/>
      <c r="JT9" s="2570" t="s">
        <v>228</v>
      </c>
      <c r="JU9" s="2570" t="s">
        <v>225</v>
      </c>
      <c r="JV9" s="2569" t="s">
        <v>241</v>
      </c>
      <c r="JW9" s="2569" t="s">
        <v>229</v>
      </c>
      <c r="JX9" s="2569" t="s">
        <v>230</v>
      </c>
      <c r="JY9" s="2564" t="s">
        <v>339</v>
      </c>
      <c r="JZ9" s="25"/>
      <c r="KA9" s="25"/>
      <c r="KB9" s="25"/>
      <c r="KC9" s="180"/>
      <c r="KD9" s="180"/>
      <c r="KE9" s="180"/>
      <c r="KF9" s="2568" t="s">
        <v>228</v>
      </c>
      <c r="KG9" s="2568" t="s">
        <v>225</v>
      </c>
      <c r="KH9" s="2562" t="s">
        <v>241</v>
      </c>
      <c r="KI9" s="2562" t="s">
        <v>229</v>
      </c>
      <c r="KJ9" s="2562" t="s">
        <v>230</v>
      </c>
      <c r="KK9" s="2566" t="s">
        <v>339</v>
      </c>
      <c r="KL9" s="13"/>
      <c r="KM9" s="13"/>
      <c r="KN9" s="13"/>
    </row>
    <row r="10" spans="1:300" ht="16.2" thickBot="1">
      <c r="A10" s="171" t="s">
        <v>175</v>
      </c>
      <c r="B10" s="172" t="s">
        <v>174</v>
      </c>
      <c r="C10" s="20">
        <v>0</v>
      </c>
      <c r="D10" s="20">
        <v>0.59199999999999997</v>
      </c>
      <c r="E10" s="20">
        <v>0.51800000000000002</v>
      </c>
      <c r="F10" s="20">
        <v>34.075879999999998</v>
      </c>
      <c r="G10" s="20">
        <f t="shared" si="0"/>
        <v>0.94098817110519228</v>
      </c>
      <c r="H10" s="20">
        <v>1</v>
      </c>
      <c r="I10" s="170">
        <v>0</v>
      </c>
      <c r="K10" s="2570"/>
      <c r="L10" s="2570"/>
      <c r="M10" s="2569"/>
      <c r="N10" s="2569"/>
      <c r="O10" s="2569"/>
      <c r="P10" s="2565"/>
      <c r="Q10" s="25"/>
      <c r="R10" s="25"/>
      <c r="S10" s="25"/>
      <c r="T10" s="166"/>
      <c r="U10" s="174"/>
      <c r="V10" s="180"/>
      <c r="W10" s="2568"/>
      <c r="X10" s="2568"/>
      <c r="Y10" s="2562"/>
      <c r="Z10" s="2562"/>
      <c r="AA10" s="2562"/>
      <c r="AB10" s="2567"/>
      <c r="AC10" s="26"/>
      <c r="AD10" s="26"/>
      <c r="AE10" s="26"/>
      <c r="AF10" s="177"/>
      <c r="AG10" s="177"/>
      <c r="AH10" s="177"/>
      <c r="AI10" s="2570"/>
      <c r="AJ10" s="2570"/>
      <c r="AK10" s="2569"/>
      <c r="AL10" s="2569"/>
      <c r="AM10" s="2569"/>
      <c r="AN10" s="2565"/>
      <c r="AO10" s="25"/>
      <c r="AP10" s="25"/>
      <c r="AQ10" s="25"/>
      <c r="AR10" s="180"/>
      <c r="AS10" s="180"/>
      <c r="AT10" s="180"/>
      <c r="AU10" s="2568"/>
      <c r="AV10" s="2568"/>
      <c r="AW10" s="2562"/>
      <c r="AX10" s="2562"/>
      <c r="AY10" s="2562"/>
      <c r="AZ10" s="2567"/>
      <c r="BA10" s="13"/>
      <c r="BB10" s="13"/>
      <c r="BC10" s="13"/>
      <c r="BD10" s="13"/>
      <c r="BE10" s="13"/>
      <c r="BF10" s="13"/>
      <c r="BH10" s="2570"/>
      <c r="BI10" s="2570"/>
      <c r="BJ10" s="2569"/>
      <c r="BK10" s="2569"/>
      <c r="BL10" s="2569"/>
      <c r="BM10" s="2565"/>
      <c r="BN10" s="25"/>
      <c r="BO10" s="25"/>
      <c r="BP10" s="25"/>
      <c r="BQ10" s="180"/>
      <c r="BR10" s="180"/>
      <c r="BS10" s="180"/>
      <c r="BT10" s="2568"/>
      <c r="BU10" s="2568"/>
      <c r="BV10" s="2562"/>
      <c r="BW10" s="2562"/>
      <c r="BX10" s="2562"/>
      <c r="BY10" s="2567"/>
      <c r="BZ10" s="26"/>
      <c r="CA10" s="26"/>
      <c r="CB10" s="26"/>
      <c r="CC10" s="177"/>
      <c r="CD10" s="177"/>
      <c r="CE10" s="177"/>
      <c r="CF10" s="2570"/>
      <c r="CG10" s="2570"/>
      <c r="CH10" s="2569"/>
      <c r="CI10" s="2569"/>
      <c r="CJ10" s="2569"/>
      <c r="CK10" s="2565"/>
      <c r="CL10" s="25"/>
      <c r="CM10" s="25"/>
      <c r="CN10" s="25"/>
      <c r="CO10" s="180"/>
      <c r="CP10" s="180"/>
      <c r="CQ10" s="180"/>
      <c r="CR10" s="2568"/>
      <c r="CS10" s="2568"/>
      <c r="CT10" s="2562"/>
      <c r="CU10" s="2562"/>
      <c r="CV10" s="2562"/>
      <c r="CW10" s="2567"/>
      <c r="CX10" s="13"/>
      <c r="CY10" s="13"/>
      <c r="CZ10" s="13"/>
      <c r="DA10" s="13"/>
      <c r="DB10" s="13"/>
      <c r="DC10" s="13"/>
      <c r="DE10" s="2570"/>
      <c r="DF10" s="2570"/>
      <c r="DG10" s="2569"/>
      <c r="DH10" s="2569"/>
      <c r="DI10" s="2569"/>
      <c r="DJ10" s="2565"/>
      <c r="DK10" s="25"/>
      <c r="DL10" s="25"/>
      <c r="DM10" s="25"/>
      <c r="DN10" s="180"/>
      <c r="DO10" s="180"/>
      <c r="DP10" s="180"/>
      <c r="DQ10" s="2568"/>
      <c r="DR10" s="2568"/>
      <c r="DS10" s="2562"/>
      <c r="DT10" s="2562"/>
      <c r="DU10" s="2562"/>
      <c r="DV10" s="2567"/>
      <c r="DW10" s="26"/>
      <c r="DX10" s="26"/>
      <c r="DY10" s="26"/>
      <c r="DZ10" s="177"/>
      <c r="EA10" s="177"/>
      <c r="EB10" s="177"/>
      <c r="EC10" s="2570"/>
      <c r="ED10" s="2570"/>
      <c r="EE10" s="2569"/>
      <c r="EF10" s="2569"/>
      <c r="EG10" s="2569"/>
      <c r="EH10" s="2565"/>
      <c r="EI10" s="25"/>
      <c r="EJ10" s="25"/>
      <c r="EK10" s="25"/>
      <c r="EL10" s="180"/>
      <c r="EM10" s="180"/>
      <c r="EN10" s="180"/>
      <c r="EO10" s="2568"/>
      <c r="EP10" s="2568"/>
      <c r="EQ10" s="2562"/>
      <c r="ER10" s="2562"/>
      <c r="ES10" s="2562"/>
      <c r="ET10" s="2567"/>
      <c r="EU10" s="13"/>
      <c r="EV10" s="13"/>
      <c r="EW10" s="13"/>
      <c r="EX10" s="13"/>
      <c r="EY10" s="13"/>
      <c r="EZ10" s="13"/>
      <c r="FB10" s="2570"/>
      <c r="FC10" s="2570"/>
      <c r="FD10" s="2569"/>
      <c r="FE10" s="2569"/>
      <c r="FF10" s="2569"/>
      <c r="FG10" s="2565"/>
      <c r="FH10" s="25"/>
      <c r="FI10" s="25"/>
      <c r="FJ10" s="25"/>
      <c r="FK10" s="180"/>
      <c r="FL10" s="180"/>
      <c r="FM10" s="180"/>
      <c r="FN10" s="2568"/>
      <c r="FO10" s="2568"/>
      <c r="FP10" s="2562"/>
      <c r="FQ10" s="2562"/>
      <c r="FR10" s="2562"/>
      <c r="FS10" s="2567"/>
      <c r="FT10" s="26"/>
      <c r="FU10" s="26"/>
      <c r="FV10" s="26"/>
      <c r="FW10" s="177"/>
      <c r="FX10" s="177"/>
      <c r="FY10" s="177"/>
      <c r="FZ10" s="2570"/>
      <c r="GA10" s="2570"/>
      <c r="GB10" s="2569"/>
      <c r="GC10" s="2569"/>
      <c r="GD10" s="2569"/>
      <c r="GE10" s="2565"/>
      <c r="GF10" s="25"/>
      <c r="GG10" s="25"/>
      <c r="GH10" s="25"/>
      <c r="GI10" s="180"/>
      <c r="GJ10" s="180"/>
      <c r="GK10" s="180"/>
      <c r="GL10" s="2568"/>
      <c r="GM10" s="2568"/>
      <c r="GN10" s="2562"/>
      <c r="GO10" s="2562"/>
      <c r="GP10" s="2562"/>
      <c r="GQ10" s="2567"/>
      <c r="GR10" s="13"/>
      <c r="GS10" s="13"/>
      <c r="GT10" s="13"/>
      <c r="GU10" s="13"/>
      <c r="GV10" s="13"/>
      <c r="GW10" s="13"/>
      <c r="GY10" s="2570"/>
      <c r="GZ10" s="2570"/>
      <c r="HA10" s="2569"/>
      <c r="HB10" s="2569"/>
      <c r="HC10" s="2569"/>
      <c r="HD10" s="2565"/>
      <c r="HE10" s="25"/>
      <c r="HF10" s="25"/>
      <c r="HG10" s="25"/>
      <c r="HH10" s="180"/>
      <c r="HI10" s="180"/>
      <c r="HJ10" s="180"/>
      <c r="HK10" s="2568"/>
      <c r="HL10" s="2568"/>
      <c r="HM10" s="2562"/>
      <c r="HN10" s="2562"/>
      <c r="HO10" s="2562"/>
      <c r="HP10" s="2567"/>
      <c r="HQ10" s="26"/>
      <c r="HR10" s="26"/>
      <c r="HS10" s="26"/>
      <c r="HT10" s="177"/>
      <c r="HU10" s="177"/>
      <c r="HV10" s="177"/>
      <c r="HW10" s="2570"/>
      <c r="HX10" s="2570"/>
      <c r="HY10" s="2569"/>
      <c r="HZ10" s="2569"/>
      <c r="IA10" s="2569"/>
      <c r="IB10" s="2565"/>
      <c r="IC10" s="25"/>
      <c r="ID10" s="25"/>
      <c r="IE10" s="25"/>
      <c r="IF10" s="180"/>
      <c r="IG10" s="180"/>
      <c r="IH10" s="180"/>
      <c r="II10" s="2568"/>
      <c r="IJ10" s="2568"/>
      <c r="IK10" s="2562"/>
      <c r="IL10" s="2562"/>
      <c r="IM10" s="2562"/>
      <c r="IN10" s="2567"/>
      <c r="IO10" s="13"/>
      <c r="IP10" s="13"/>
      <c r="IQ10" s="13"/>
      <c r="IR10" s="13"/>
      <c r="IS10" s="13"/>
      <c r="IT10" s="13"/>
      <c r="IV10" s="2570"/>
      <c r="IW10" s="2570"/>
      <c r="IX10" s="2569"/>
      <c r="IY10" s="2569"/>
      <c r="IZ10" s="2569"/>
      <c r="JA10" s="2565"/>
      <c r="JB10" s="25"/>
      <c r="JC10" s="25"/>
      <c r="JD10" s="25"/>
      <c r="JE10" s="180"/>
      <c r="JF10" s="180"/>
      <c r="JG10" s="180"/>
      <c r="JH10" s="2568"/>
      <c r="JI10" s="2568"/>
      <c r="JJ10" s="2562"/>
      <c r="JK10" s="2562"/>
      <c r="JL10" s="2562"/>
      <c r="JM10" s="2567"/>
      <c r="JN10" s="26"/>
      <c r="JO10" s="26"/>
      <c r="JP10" s="26"/>
      <c r="JQ10" s="177"/>
      <c r="JR10" s="177"/>
      <c r="JS10" s="177"/>
      <c r="JT10" s="2570"/>
      <c r="JU10" s="2570"/>
      <c r="JV10" s="2569"/>
      <c r="JW10" s="2569"/>
      <c r="JX10" s="2569"/>
      <c r="JY10" s="2565"/>
      <c r="JZ10" s="25"/>
      <c r="KA10" s="25"/>
      <c r="KB10" s="25"/>
      <c r="KC10" s="180"/>
      <c r="KD10" s="180"/>
      <c r="KE10" s="180"/>
      <c r="KF10" s="2568"/>
      <c r="KG10" s="2568"/>
      <c r="KH10" s="2562"/>
      <c r="KI10" s="2562"/>
      <c r="KJ10" s="2562"/>
      <c r="KK10" s="2567"/>
      <c r="KL10" s="13"/>
      <c r="KM10" s="13"/>
      <c r="KN10" s="13"/>
    </row>
    <row r="11" spans="1:300">
      <c r="A11" s="18" t="s">
        <v>177</v>
      </c>
      <c r="B11" s="19" t="s">
        <v>176</v>
      </c>
      <c r="C11" s="20">
        <v>0</v>
      </c>
      <c r="D11" s="20">
        <v>0</v>
      </c>
      <c r="E11" s="20">
        <v>0</v>
      </c>
      <c r="F11" s="20">
        <v>39.948</v>
      </c>
      <c r="G11" s="20">
        <f t="shared" si="0"/>
        <v>0</v>
      </c>
      <c r="H11" s="20">
        <v>0</v>
      </c>
      <c r="I11" s="170">
        <v>0</v>
      </c>
      <c r="K11" s="27" t="str">
        <f>IF(Compositions!B27="","",IF(Compositions!$B$25="mol%",Compositions!B27,L11))</f>
        <v/>
      </c>
      <c r="L11" s="27" t="str">
        <f t="shared" ref="L11:L33" si="1">IF(M11="","",((M11/$M$34)*100))</f>
        <v/>
      </c>
      <c r="M11" s="27" t="str">
        <f>IF(Compositions!B27="","",(Compositions!B27/(VLOOKUP(Compositions!A27,'HHV-LHV-MW'!$A$3:$F$40,6,FALSE))))</f>
        <v/>
      </c>
      <c r="N11" s="25" t="str">
        <f>IF(K11="","",((VLOOKUP(Compositions!A27,'HHV-LHV-MW'!$A$3:$F$40,4,FALSE))*(K11/100)))</f>
        <v/>
      </c>
      <c r="O11" s="25" t="str">
        <f>IF(K11="","",((VLOOKUP(Compositions!A27,'HHV-LHV-MW'!$A$3:$F$40,5,FALSE))*(K11/100)))</f>
        <v/>
      </c>
      <c r="P11" s="25" t="str">
        <f>IF(K11="","",((VLOOKUP(Compositions!A27,'HHV-LHV-MW'!$A$3:$F$40,6,FALSE))*(K11/100)))</f>
        <v/>
      </c>
      <c r="Q11" s="25"/>
      <c r="R11" s="25"/>
      <c r="S11" s="25"/>
      <c r="T11" s="166"/>
      <c r="U11" s="174"/>
      <c r="V11" s="180"/>
      <c r="W11" s="28" t="str">
        <f>IF(Compositions!C27="","",IF(Compositions!$C$25="mol%",Compositions!C27,X11))</f>
        <v/>
      </c>
      <c r="X11" s="28" t="str">
        <f t="shared" ref="X11:X33" si="2">IF(Y11="","",((Y11/$Y$34)*100))</f>
        <v/>
      </c>
      <c r="Y11" s="28" t="str">
        <f>IF(Compositions!C27="","",(Compositions!C27/(VLOOKUP(Compositions!A27,'HHV-LHV-MW'!$A$3:$F$40,6,FALSE))))</f>
        <v/>
      </c>
      <c r="Z11" s="26" t="str">
        <f>IF(W11="","",((VLOOKUP(Compositions!A27,'HHV-LHV-MW'!$A$3:$F$40,4,FALSE))*(W11/100)))</f>
        <v/>
      </c>
      <c r="AA11" s="26" t="str">
        <f>IF(W11="","",((VLOOKUP(Compositions!A27,'HHV-LHV-MW'!$A$3:$F$40,5,FALSE))*(W11/100)))</f>
        <v/>
      </c>
      <c r="AB11" s="39" t="str">
        <f>IF(W11="","",((VLOOKUP(Compositions!A27,'HHV-LHV-MW'!$A$3:$F$40,6,FALSE))*(W11/100)))</f>
        <v/>
      </c>
      <c r="AC11" s="26"/>
      <c r="AD11" s="26"/>
      <c r="AE11" s="26"/>
      <c r="AF11" s="177"/>
      <c r="AG11" s="177"/>
      <c r="AH11" s="177"/>
      <c r="AI11" s="27" t="str">
        <f>IF(Compositions!D27="","",IF(Compositions!$D$25="mol%",Compositions!D27,AJ11))</f>
        <v/>
      </c>
      <c r="AJ11" s="27" t="str">
        <f t="shared" ref="AJ11:AJ33" si="3">IF(AK11="","",((AK11/$AK$34)*100))</f>
        <v/>
      </c>
      <c r="AK11" s="27" t="str">
        <f>IF(Compositions!D27="","",(Compositions!D27/(VLOOKUP(Compositions!A27,'HHV-LHV-MW'!$A$3:$F$40,6,FALSE))))</f>
        <v/>
      </c>
      <c r="AL11" s="25" t="str">
        <f>IF(AI11="","",((VLOOKUP(Compositions!A27,'HHV-LHV-MW'!$A$3:$F$40,4,FALSE))*(AI11/100)))</f>
        <v/>
      </c>
      <c r="AM11" s="25" t="str">
        <f>IF(AI11="","",((VLOOKUP(Compositions!A27,'HHV-LHV-MW'!$A$3:$F$40,5,FALSE))*(AI11/100)))</f>
        <v/>
      </c>
      <c r="AN11" s="209" t="str">
        <f>IF(AI11="","",((VLOOKUP(Compositions!A27,'HHV-LHV-MW'!$A$3:$F$40,6,FALSE))*(AI11/100)))</f>
        <v/>
      </c>
      <c r="AO11" s="25"/>
      <c r="AP11" s="25"/>
      <c r="AQ11" s="25"/>
      <c r="AR11" s="180"/>
      <c r="AS11" s="180"/>
      <c r="AT11" s="180"/>
      <c r="AU11" s="28" t="str">
        <f>IF(Compositions!E27="","",IF(Compositions!$E$25="mol%",Compositions!E27,AV11))</f>
        <v/>
      </c>
      <c r="AV11" s="28" t="str">
        <f t="shared" ref="AV11:AV33" si="4">IF(AW11="","",((AW11/$AW$34)*100))</f>
        <v/>
      </c>
      <c r="AW11" s="28" t="str">
        <f>IF(Compositions!E27="","",(Compositions!E27/(VLOOKUP(Compositions!A27,'HHV-LHV-MW'!$A$3:$F$40,6,FALSE))))</f>
        <v/>
      </c>
      <c r="AX11" s="26" t="str">
        <f>IF(AU11="","",((VLOOKUP(Compositions!A27,'HHV-LHV-MW'!$A$3:$F$40,4,FALSE))*(AU11/100)))</f>
        <v/>
      </c>
      <c r="AY11" s="26" t="str">
        <f>IF(AU11="","",((VLOOKUP(Compositions!A27,'HHV-LHV-MW'!$A$3:$F$40,5,FALSE))*(AU11/100)))</f>
        <v/>
      </c>
      <c r="AZ11" s="39" t="str">
        <f>IF(AU11="","",((VLOOKUP(Compositions!A27,'HHV-LHV-MW'!$A$3:$F$40,6,FALSE))*(AU11/100)))</f>
        <v/>
      </c>
      <c r="BA11" s="13"/>
      <c r="BB11" s="13"/>
      <c r="BC11" s="13"/>
      <c r="BD11" s="13"/>
      <c r="BE11" s="13"/>
      <c r="BF11" s="13"/>
      <c r="BH11" s="27" t="str">
        <f>IF(Compositions!H27="","",IF(Compositions!$H$25="mol%",Compositions!H27,BI11))</f>
        <v/>
      </c>
      <c r="BI11" s="27" t="str">
        <f>IF(BJ11="","",((BJ11/$BJ$34)*100))</f>
        <v/>
      </c>
      <c r="BJ11" s="27" t="str">
        <f>IF(Compositions!H27="","",(Compositions!H27/(VLOOKUP(Compositions!G27,'HHV-LHV-MW'!$A$3:$F$40,6,FALSE))))</f>
        <v/>
      </c>
      <c r="BK11" s="25" t="str">
        <f>IF(BH11="","",((VLOOKUP(Compositions!G27,'HHV-LHV-MW'!$A$3:$F$40,4,FALSE))*(BH11/100)))</f>
        <v/>
      </c>
      <c r="BL11" s="25" t="str">
        <f>IF(BH11="","",((VLOOKUP(Compositions!G27,'HHV-LHV-MW'!$A$3:$F$40,5,FALSE))*(BH11/100)))</f>
        <v/>
      </c>
      <c r="BM11" s="209" t="str">
        <f>IF(BH11="","",((VLOOKUP(Compositions!G27,'HHV-LHV-MW'!$A$3:$F$40,6,FALSE))*(BH11/100)))</f>
        <v/>
      </c>
      <c r="BN11" s="25"/>
      <c r="BO11" s="25"/>
      <c r="BP11" s="25"/>
      <c r="BQ11" s="180"/>
      <c r="BR11" s="180"/>
      <c r="BS11" s="180"/>
      <c r="BT11" s="28" t="str">
        <f>IF(Compositions!I27="","",IF(Compositions!$I$25="mol%",Compositions!I27,BU11))</f>
        <v/>
      </c>
      <c r="BU11" s="28" t="str">
        <f>IF(BV11="","",((BV11/$BV$34)*100))</f>
        <v/>
      </c>
      <c r="BV11" s="28" t="str">
        <f>IF(Compositions!I27="","",(Compositions!I27/(VLOOKUP(Compositions!G27,'HHV-LHV-MW'!$A$3:$F$40,6,FALSE))))</f>
        <v/>
      </c>
      <c r="BW11" s="26" t="str">
        <f>IF(BT11="","",((VLOOKUP(Compositions!G27,'HHV-LHV-MW'!$A$3:$F$40,4,FALSE))*(BT11/100)))</f>
        <v/>
      </c>
      <c r="BX11" s="26" t="str">
        <f>IF(BT11="","",((VLOOKUP(Compositions!G27,'HHV-LHV-MW'!$A$3:$F$40,5,FALSE))*(BT11/100)))</f>
        <v/>
      </c>
      <c r="BY11" s="207" t="str">
        <f>IF(BT11="","",((VLOOKUP(Compositions!G27,'HHV-LHV-MW'!$A$3:$F$40,6,FALSE))*(BT11/100)))</f>
        <v/>
      </c>
      <c r="BZ11" s="26"/>
      <c r="CA11" s="26"/>
      <c r="CB11" s="26"/>
      <c r="CC11" s="177"/>
      <c r="CD11" s="177"/>
      <c r="CE11" s="177"/>
      <c r="CF11" s="27" t="str">
        <f>IF(Compositions!J27="","",IF(Compositions!$J$25="mol%",Compositions!J27,CG11))</f>
        <v/>
      </c>
      <c r="CG11" s="27" t="str">
        <f>IF(CH11="","",((CH11/$CH$34)*100))</f>
        <v/>
      </c>
      <c r="CH11" s="27" t="str">
        <f>IF(Compositions!J27="","",(Compositions!J27/(VLOOKUP(Compositions!G27,'HHV-LHV-MW'!$A$3:$F$40,6,FALSE))))</f>
        <v/>
      </c>
      <c r="CI11" s="25" t="str">
        <f>IF(CF11="","",((VLOOKUP(Compositions!G27,'HHV-LHV-MW'!$A$3:$F$40,4,FALSE))*(CF11/100)))</f>
        <v/>
      </c>
      <c r="CJ11" s="25" t="str">
        <f>IF(CF11="","",((VLOOKUP(Compositions!G27,'HHV-LHV-MW'!$A$3:$F$40,5,FALSE))*(CF11/100)))</f>
        <v/>
      </c>
      <c r="CK11" s="209" t="str">
        <f>IF(CF11="","",((VLOOKUP(Compositions!G27,'HHV-LHV-MW'!$A$3:$F$40,6,FALSE))*(CF11/100)))</f>
        <v/>
      </c>
      <c r="CL11" s="25"/>
      <c r="CM11" s="25"/>
      <c r="CN11" s="25"/>
      <c r="CO11" s="180"/>
      <c r="CP11" s="180"/>
      <c r="CQ11" s="180"/>
      <c r="CR11" s="28" t="str">
        <f>IF(Compositions!K27="","",IF(Compositions!$K$25="mol%",Compositions!K27,CS11))</f>
        <v/>
      </c>
      <c r="CS11" s="28" t="str">
        <f>IF(CT11="","",((CT11/$CT$34)*100))</f>
        <v/>
      </c>
      <c r="CT11" s="28" t="str">
        <f>IF(Compositions!K27="","",(Compositions!K27/(VLOOKUP(Compositions!G27,'HHV-LHV-MW'!$A$3:$F$40,6,FALSE))))</f>
        <v/>
      </c>
      <c r="CU11" s="26" t="str">
        <f>IF(CR11="","",((VLOOKUP(Compositions!G27,'HHV-LHV-MW'!$A$3:$F$40,4,FALSE))*(CR11/100)))</f>
        <v/>
      </c>
      <c r="CV11" s="26" t="str">
        <f>IF(CR11="","",((VLOOKUP(Compositions!G27,'HHV-LHV-MW'!$A$3:$F$40,5,FALSE))*(CR11/100)))</f>
        <v/>
      </c>
      <c r="CW11" s="207" t="str">
        <f>IF(CR11="","",((VLOOKUP(Compositions!G27,'HHV-LHV-MW'!$A$3:$F$40,6,FALSE))*(CR11/100)))</f>
        <v/>
      </c>
      <c r="CX11" s="13"/>
      <c r="CY11" s="13"/>
      <c r="CZ11" s="13"/>
      <c r="DA11" s="13"/>
      <c r="DB11" s="13"/>
      <c r="DC11" s="13"/>
      <c r="DE11" s="27" t="str">
        <f>IF(Compositions!N27="","",IF(Compositions!$N$25="mol%",Compositions!N27,DF11))</f>
        <v/>
      </c>
      <c r="DF11" s="27" t="str">
        <f t="shared" ref="DF11:DF32" si="5">IF(DG11="","",((DG11/$DG$34)*100))</f>
        <v/>
      </c>
      <c r="DG11" s="27" t="str">
        <f>IF(Compositions!N27="","",(Compositions!N27/(VLOOKUP(Compositions!M27,'HHV-LHV-MW'!$A$3:$F$40,6,FALSE))))</f>
        <v/>
      </c>
      <c r="DH11" s="25" t="str">
        <f>IF(DE11="","",((VLOOKUP(Compositions!M27,'HHV-LHV-MW'!$A$3:$F$40,4,FALSE))*(DE11/100)))</f>
        <v/>
      </c>
      <c r="DI11" s="25" t="str">
        <f>IF(DE11="","",((VLOOKUP(Compositions!M27,'HHV-LHV-MW'!$A$3:$F$40,5,FALSE))*(DE11/100)))</f>
        <v/>
      </c>
      <c r="DJ11" s="209" t="str">
        <f>IF(DE11="","",((VLOOKUP(Compositions!M27,'HHV-LHV-MW'!$A$3:$F$40,6,FALSE))*(DE11/100)))</f>
        <v/>
      </c>
      <c r="DK11" s="25"/>
      <c r="DL11" s="25"/>
      <c r="DM11" s="25"/>
      <c r="DN11" s="180"/>
      <c r="DO11" s="180"/>
      <c r="DP11" s="180"/>
      <c r="DQ11" s="28" t="str">
        <f>IF(Compositions!O27="","",IF(Compositions!$O$25="mol%",Compositions!O27,DR11))</f>
        <v/>
      </c>
      <c r="DR11" s="28" t="str">
        <f>IF(DS11="","",((DS11/$DS$34)*100))</f>
        <v/>
      </c>
      <c r="DS11" s="28" t="str">
        <f>IF(Compositions!O27="","",(Compositions!O27/(VLOOKUP(Compositions!M27,'HHV-LHV-MW'!$A$3:$F$40,6,FALSE))))</f>
        <v/>
      </c>
      <c r="DT11" s="26" t="str">
        <f>IF(DQ11="","",((VLOOKUP(Compositions!M27,'HHV-LHV-MW'!$A$3:$F$40,4,FALSE))*(DQ11/100)))</f>
        <v/>
      </c>
      <c r="DU11" s="26" t="str">
        <f>IF(DQ11="","",((VLOOKUP(Compositions!M27,'HHV-LHV-MW'!$A$3:$F$40,5,FALSE))*(DQ11/100)))</f>
        <v/>
      </c>
      <c r="DV11" s="39" t="str">
        <f>IF(DQ11="","",((VLOOKUP(Compositions!M27,'HHV-LHV-MW'!$A$3:$F$40,6,FALSE))*(DQ11/100)))</f>
        <v/>
      </c>
      <c r="DW11" s="26"/>
      <c r="DX11" s="26"/>
      <c r="DY11" s="26"/>
      <c r="DZ11" s="177"/>
      <c r="EA11" s="177"/>
      <c r="EB11" s="177"/>
      <c r="EC11" s="27" t="str">
        <f>IF(Compositions!P27="","",IF(Compositions!$P$25="mol%",Compositions!P27,ED11))</f>
        <v/>
      </c>
      <c r="ED11" s="27" t="str">
        <f>IF(EE11="","",((EE11/$EE$34)*100))</f>
        <v/>
      </c>
      <c r="EE11" s="27" t="str">
        <f>IF(Compositions!P27="","",(Compositions!P27/(VLOOKUP(Compositions!M27,'HHV-LHV-MW'!$A$3:$F$40,6,FALSE))))</f>
        <v/>
      </c>
      <c r="EF11" s="25" t="str">
        <f>IF(EC11="","",((VLOOKUP(Compositions!M27,'HHV-LHV-MW'!$A$3:$F$40,4,FALSE))*(EC11/100)))</f>
        <v/>
      </c>
      <c r="EG11" s="25" t="str">
        <f>IF(EC11="","",((VLOOKUP(Compositions!M27,'HHV-LHV-MW'!$A$3:$F$40,5,FALSE))*(EC11/100)))</f>
        <v/>
      </c>
      <c r="EH11" s="209" t="str">
        <f>IF(EC11="","",((VLOOKUP(Compositions!M27,'HHV-LHV-MW'!$A$3:$F$40,6,FALSE))*(EC11/100)))</f>
        <v/>
      </c>
      <c r="EI11" s="25"/>
      <c r="EJ11" s="25"/>
      <c r="EK11" s="25"/>
      <c r="EL11" s="180"/>
      <c r="EM11" s="180"/>
      <c r="EN11" s="180"/>
      <c r="EO11" s="28" t="str">
        <f>IF(Compositions!Q27="","",IF(Compositions!$Q$25="mol%",Compositions!Q27,EP11))</f>
        <v/>
      </c>
      <c r="EP11" s="28" t="str">
        <f>IF(EQ11="","",((EQ11/$EQ$34)*100))</f>
        <v/>
      </c>
      <c r="EQ11" s="28" t="str">
        <f>IF(Compositions!Q27="","",(Compositions!Q27/(VLOOKUP(Compositions!M27,'HHV-LHV-MW'!$A$3:$F$40,6,FALSE))))</f>
        <v/>
      </c>
      <c r="ER11" s="26" t="str">
        <f>IF(EO11="","",((VLOOKUP(Compositions!M27,'HHV-LHV-MW'!$A$3:$F$40,4,FALSE))*(EO11/100)))</f>
        <v/>
      </c>
      <c r="ES11" s="26" t="str">
        <f>IF(EO11="","",((VLOOKUP(Compositions!M27,'HHV-LHV-MW'!$A$3:$F$40,5,FALSE))*(EO11/100)))</f>
        <v/>
      </c>
      <c r="ET11" s="39" t="str">
        <f>IF(EO11="","",((VLOOKUP(Compositions!M27,'HHV-LHV-MW'!$A$3:$F$40,6,FALSE))*(EO11/100)))</f>
        <v/>
      </c>
      <c r="EU11" s="13"/>
      <c r="EV11" s="13"/>
      <c r="EW11" s="13"/>
      <c r="EX11" s="13"/>
      <c r="EY11" s="13"/>
      <c r="EZ11" s="13"/>
      <c r="FB11" s="27" t="str">
        <f>IF(Compositions!T27="","",IF(Compositions!$T$25="mol%",Compositions!T27,FC11))</f>
        <v/>
      </c>
      <c r="FC11" s="27" t="str">
        <f>IF(FD11="","",((FD11/$FD$34)*100))</f>
        <v/>
      </c>
      <c r="FD11" s="27" t="str">
        <f>IF(Compositions!T27="","",(Compositions!T27/(VLOOKUP(Compositions!S27,'HHV-LHV-MW'!$A$3:$F$40,6,FALSE))))</f>
        <v/>
      </c>
      <c r="FE11" s="25" t="str">
        <f>IF(FB11="","",((VLOOKUP(Compositions!S27,'HHV-LHV-MW'!$A$3:$F$40,4,FALSE))*(FB11/100)))</f>
        <v/>
      </c>
      <c r="FF11" s="25" t="str">
        <f>IF(FB11="","",((VLOOKUP(Compositions!S27,'HHV-LHV-MW'!$A$3:$F$40,5,FALSE))*(FB11/100)))</f>
        <v/>
      </c>
      <c r="FG11" s="209" t="str">
        <f>IF(FB11="","",((VLOOKUP(Compositions!S27,'HHV-LHV-MW'!$A$3:$F$40,6,FALSE))*(FB11/100)))</f>
        <v/>
      </c>
      <c r="FH11" s="25"/>
      <c r="FI11" s="25"/>
      <c r="FJ11" s="25"/>
      <c r="FK11" s="180"/>
      <c r="FL11" s="180"/>
      <c r="FM11" s="180"/>
      <c r="FN11" s="28" t="str">
        <f>IF(Compositions!U27="","",IF(Compositions!$U$25="mol%",Compositions!U27,FO11))</f>
        <v/>
      </c>
      <c r="FO11" s="28" t="str">
        <f>IF(FP11="","",((FP11/$FP$34)*100))</f>
        <v/>
      </c>
      <c r="FP11" s="28" t="str">
        <f>IF(Compositions!U27="","",(Compositions!U27/(VLOOKUP(Compositions!S27,'HHV-LHV-MW'!$A$3:$F$40,6,FALSE))))</f>
        <v/>
      </c>
      <c r="FQ11" s="26" t="str">
        <f>IF(FN11="","",((VLOOKUP(Compositions!S27,'HHV-LHV-MW'!$A$3:$F$40,4,FALSE))*(FN11/100)))</f>
        <v/>
      </c>
      <c r="FR11" s="26" t="str">
        <f>IF(FN11="","",((VLOOKUP(Compositions!S27,'HHV-LHV-MW'!$A$3:$F$40,5,FALSE))*(FN11/100)))</f>
        <v/>
      </c>
      <c r="FS11" s="39" t="str">
        <f>IF(FN11="","",((VLOOKUP(Compositions!S27,'HHV-LHV-MW'!$A$3:$F$40,6,FALSE))*(FN11/100)))</f>
        <v/>
      </c>
      <c r="FT11" s="26"/>
      <c r="FU11" s="26"/>
      <c r="FV11" s="26"/>
      <c r="FW11" s="177"/>
      <c r="FX11" s="177"/>
      <c r="FY11" s="177"/>
      <c r="FZ11" s="27" t="str">
        <f>IF(Compositions!V27="","",IF(Compositions!$V$25="mol%",Compositions!V27,GA11))</f>
        <v/>
      </c>
      <c r="GA11" s="27" t="str">
        <f>IF(GB11="","",((GB11/$GB$34)*100))</f>
        <v/>
      </c>
      <c r="GB11" s="27" t="str">
        <f>IF(Compositions!V27="","",(Compositions!V27/(VLOOKUP(Compositions!S27,'HHV-LHV-MW'!$A$3:$F$40,6,FALSE))))</f>
        <v/>
      </c>
      <c r="GC11" s="25" t="str">
        <f>IF(FZ11="","",((VLOOKUP(Compositions!S27,'HHV-LHV-MW'!$A$3:$F$40,4,FALSE))*(FZ11/100)))</f>
        <v/>
      </c>
      <c r="GD11" s="25" t="str">
        <f>IF(FZ11="","",((VLOOKUP(Compositions!S27,'HHV-LHV-MW'!$A$3:$F$40,5,FALSE))*(FZ11/100)))</f>
        <v/>
      </c>
      <c r="GE11" s="209" t="str">
        <f>IF(FZ11="","",((VLOOKUP(Compositions!S27,'HHV-LHV-MW'!$A$3:$F$40,6,FALSE))*(FZ11/100)))</f>
        <v/>
      </c>
      <c r="GF11" s="25"/>
      <c r="GG11" s="25"/>
      <c r="GH11" s="25"/>
      <c r="GI11" s="180"/>
      <c r="GJ11" s="180"/>
      <c r="GK11" s="180"/>
      <c r="GL11" s="28" t="str">
        <f>IF(Compositions!W27="","",IF(Compositions!$W$25="mol%",Compositions!W27,GM11))</f>
        <v/>
      </c>
      <c r="GM11" s="28" t="str">
        <f>IF(GN11="","",((GN11/$GN$34)*100))</f>
        <v/>
      </c>
      <c r="GN11" s="28" t="str">
        <f>IF(Compositions!W27="","",(Compositions!W27/(VLOOKUP(Compositions!S27,'HHV-LHV-MW'!$A$3:$F$40,6,FALSE))))</f>
        <v/>
      </c>
      <c r="GO11" s="26" t="str">
        <f>IF(GL11="","",((VLOOKUP(Compositions!S27,'HHV-LHV-MW'!$A$3:$F$40,4,FALSE))*(GL11/100)))</f>
        <v/>
      </c>
      <c r="GP11" s="26" t="str">
        <f>IF(GL11="","",((VLOOKUP(Compositions!S27,'HHV-LHV-MW'!$A$3:$F$40,5,FALSE))*(GL11/100)))</f>
        <v/>
      </c>
      <c r="GQ11" s="39" t="str">
        <f>IF(GL11="","",((VLOOKUP(Compositions!S27,'HHV-LHV-MW'!$A$3:$F$40,6,FALSE))*(GL11/100)))</f>
        <v/>
      </c>
      <c r="GR11" s="13"/>
      <c r="GS11" s="13"/>
      <c r="GT11" s="13"/>
      <c r="GU11" s="13"/>
      <c r="GV11" s="13"/>
      <c r="GW11" s="13"/>
      <c r="GY11" s="27" t="str">
        <f>IF(Compositions!Z27="","",IF(Compositions!$Z$25="mol%",Compositions!Z27,GZ11))</f>
        <v/>
      </c>
      <c r="GZ11" s="27" t="str">
        <f>IF(HA11="","",((HA11/$HA$34)*100))</f>
        <v/>
      </c>
      <c r="HA11" s="27" t="str">
        <f>IF(Compositions!Z27="","",(Compositions!Z27/(VLOOKUP(Compositions!Y27,'HHV-LHV-MW'!$A$3:$F$40,6,FALSE))))</f>
        <v/>
      </c>
      <c r="HB11" s="25" t="str">
        <f>IF(GY11="","",((VLOOKUP(Compositions!Y27,'HHV-LHV-MW'!$A$3:$F$40,4,FALSE))*(GY11/100)))</f>
        <v/>
      </c>
      <c r="HC11" s="25" t="str">
        <f>IF(GY11="","",((VLOOKUP(Compositions!Y27,'HHV-LHV-MW'!$A$3:$F$40,5,FALSE))*(GY11/100)))</f>
        <v/>
      </c>
      <c r="HD11" s="209" t="str">
        <f>IF(GY11="","",((VLOOKUP(Compositions!Y27,'HHV-LHV-MW'!$A$3:$F$40,6,FALSE))*(GY11/100)))</f>
        <v/>
      </c>
      <c r="HE11" s="25"/>
      <c r="HF11" s="25"/>
      <c r="HG11" s="25"/>
      <c r="HH11" s="180"/>
      <c r="HI11" s="180"/>
      <c r="HJ11" s="180"/>
      <c r="HK11" s="28" t="str">
        <f>IF(Compositions!AA27="","",IF(Compositions!$AA$25="mol%",Compositions!AA27,HL11))</f>
        <v/>
      </c>
      <c r="HL11" s="28" t="str">
        <f>IF(HM11="","",((HM11/$HM$34)*100))</f>
        <v/>
      </c>
      <c r="HM11" s="28" t="str">
        <f>IF(Compositions!AA27="","",(Compositions!AA27/(VLOOKUP(Compositions!Y27,'HHV-LHV-MW'!$A$3:$F$40,6,FALSE))))</f>
        <v/>
      </c>
      <c r="HN11" s="26" t="str">
        <f>IF(HK11="","",((VLOOKUP(Compositions!Y27,'HHV-LHV-MW'!$A$3:$F$40,4,FALSE))*(HK11/100)))</f>
        <v/>
      </c>
      <c r="HO11" s="26" t="str">
        <f>IF(HK11="","",((VLOOKUP(Compositions!Y27,'HHV-LHV-MW'!$A$3:$F$40,5,FALSE))*(HK11/100)))</f>
        <v/>
      </c>
      <c r="HP11" s="39" t="str">
        <f>IF(HK11="","",((VLOOKUP(Compositions!Y27,'HHV-LHV-MW'!$A$3:$F$40,6,FALSE))*(HK11/100)))</f>
        <v/>
      </c>
      <c r="HQ11" s="26"/>
      <c r="HR11" s="26"/>
      <c r="HS11" s="26"/>
      <c r="HT11" s="177"/>
      <c r="HU11" s="177"/>
      <c r="HV11" s="177"/>
      <c r="HW11" s="27" t="str">
        <f>IF(Compositions!AB27="","",IF(Compositions!$AB$25="mol%",Compositions!AB27,HX11))</f>
        <v/>
      </c>
      <c r="HX11" s="27" t="str">
        <f>IF(HY11="","",((HY11/$HY$34)*100))</f>
        <v/>
      </c>
      <c r="HY11" s="27" t="str">
        <f>IF(Compositions!AB27="","",(Compositions!AB27/(VLOOKUP(Compositions!Y27,'HHV-LHV-MW'!$A$3:$F$40,6,FALSE))))</f>
        <v/>
      </c>
      <c r="HZ11" s="25" t="str">
        <f>IF(HW11="","",((VLOOKUP(Compositions!Y27,'HHV-LHV-MW'!$A$3:$F$40,4,FALSE))*(HW11/100)))</f>
        <v/>
      </c>
      <c r="IA11" s="25" t="str">
        <f>IF(HW11="","",((VLOOKUP(Compositions!Y27,'HHV-LHV-MW'!$A$3:$F$40,5,FALSE))*(HW11/100)))</f>
        <v/>
      </c>
      <c r="IB11" s="209" t="str">
        <f>IF(HW11="","",((VLOOKUP(Compositions!Y27,'HHV-LHV-MW'!$A$3:$F$40,6,FALSE))*(HW11/100)))</f>
        <v/>
      </c>
      <c r="IC11" s="25"/>
      <c r="ID11" s="25"/>
      <c r="IE11" s="25"/>
      <c r="IF11" s="180"/>
      <c r="IG11" s="180"/>
      <c r="IH11" s="180"/>
      <c r="II11" s="28" t="str">
        <f>IF(Compositions!AC27="","",IF(Compositions!$AC$25="mol%",Compositions!AC27,IJ11))</f>
        <v/>
      </c>
      <c r="IJ11" s="28" t="str">
        <f>IF(IK11="","",((IK11/$IK$34)*100))</f>
        <v/>
      </c>
      <c r="IK11" s="28" t="str">
        <f>IF(Compositions!AC27="","",(Compositions!AC27/(VLOOKUP(Compositions!Y27,'HHV-LHV-MW'!$A$3:$F$40,6,FALSE))))</f>
        <v/>
      </c>
      <c r="IL11" s="26" t="str">
        <f>IF(II11="","",((VLOOKUP(Compositions!Y27,'HHV-LHV-MW'!$A$3:$F$40,4,FALSE))*(II11/100)))</f>
        <v/>
      </c>
      <c r="IM11" s="26" t="str">
        <f>IF(II11="","",((VLOOKUP(Compositions!Y27,'HHV-LHV-MW'!$A$3:$F$40,5,FALSE))*(II11/100)))</f>
        <v/>
      </c>
      <c r="IN11" s="39" t="str">
        <f>IF(II11="","",((VLOOKUP(Compositions!Y27,'HHV-LHV-MW'!$A$3:$F$40,6,FALSE))*(II11/100)))</f>
        <v/>
      </c>
      <c r="IO11" s="13"/>
      <c r="IP11" s="13"/>
      <c r="IQ11" s="13"/>
      <c r="IR11" s="13"/>
      <c r="IS11" s="13"/>
      <c r="IT11" s="13"/>
      <c r="IV11" s="27" t="str">
        <f>IF(Compositions!AF27="","",IF(Compositions!$AF$25="mol%",Compositions!AF27,IW11))</f>
        <v/>
      </c>
      <c r="IW11" s="27" t="str">
        <f t="shared" ref="IW11:IW32" si="6">IF(IX11="","",((IX11/$IX$34)*100))</f>
        <v/>
      </c>
      <c r="IX11" s="27" t="str">
        <f>IF(Compositions!AF27="","",(Compositions!AF27/(VLOOKUP(Compositions!AE27,'HHV-LHV-MW'!$A$3:$F$40,6,FALSE))))</f>
        <v/>
      </c>
      <c r="IY11" s="25" t="str">
        <f>IF(IV11="","",((VLOOKUP(Compositions!AE27,'HHV-LHV-MW'!$A$3:$F$40,4,FALSE))*(IV11/100)))</f>
        <v/>
      </c>
      <c r="IZ11" s="25" t="str">
        <f>IF(IV11="","",((VLOOKUP(Compositions!AE27,'HHV-LHV-MW'!$A$3:$F$40,5,FALSE))*(IV11/100)))</f>
        <v/>
      </c>
      <c r="JA11" s="209" t="str">
        <f>IF(IV11="","",((VLOOKUP(Compositions!AE27,'HHV-LHV-MW'!$A$3:$F$40,6,FALSE))*(IV11/100)))</f>
        <v/>
      </c>
      <c r="JB11" s="25"/>
      <c r="JC11" s="25"/>
      <c r="JD11" s="25"/>
      <c r="JE11" s="180"/>
      <c r="JF11" s="180"/>
      <c r="JG11" s="180"/>
      <c r="JH11" s="28" t="str">
        <f>IF(Compositions!AG27="","",IF(Compositions!$AG$25="mol%",Compositions!AG27,JI11))</f>
        <v/>
      </c>
      <c r="JI11" s="28" t="str">
        <f>IF(JJ11="","",((JJ11/$JJ$34)*100))</f>
        <v/>
      </c>
      <c r="JJ11" s="28" t="str">
        <f>IF(Compositions!AG27="","",(Compositions!AG27/(VLOOKUP(Compositions!AE27,'HHV-LHV-MW'!$A$3:$F$40,6,FALSE))))</f>
        <v/>
      </c>
      <c r="JK11" s="26" t="str">
        <f>IF(JH11="","",((VLOOKUP(Compositions!AE27,'HHV-LHV-MW'!$A$3:$F$40,4,FALSE))*(JH11/100)))</f>
        <v/>
      </c>
      <c r="JL11" s="26" t="str">
        <f>IF(JH11="","",((VLOOKUP(Compositions!AE27,'HHV-LHV-MW'!$A$3:$F$40,5,FALSE))*(JH11/100)))</f>
        <v/>
      </c>
      <c r="JM11" s="39" t="str">
        <f>IF(JH11="","",((VLOOKUP(Compositions!AE27,'HHV-LHV-MW'!$A$3:$F$40,6,FALSE))*(JH11/100)))</f>
        <v/>
      </c>
      <c r="JN11" s="26"/>
      <c r="JO11" s="26"/>
      <c r="JP11" s="26"/>
      <c r="JQ11" s="177"/>
      <c r="JR11" s="177"/>
      <c r="JS11" s="177"/>
      <c r="JT11" s="27" t="str">
        <f>IF(Compositions!AH27="","",IF(Compositions!$AH$25="mol%",Compositions!AH27,JU11))</f>
        <v/>
      </c>
      <c r="JU11" s="27" t="str">
        <f>IF(JV11="","",((JV11/$JV$34)*100))</f>
        <v/>
      </c>
      <c r="JV11" s="27" t="str">
        <f>IF(Compositions!AH27="","",(Compositions!AH27/(VLOOKUP(Compositions!AE27,'HHV-LHV-MW'!$A$3:$F$40,6,FALSE))))</f>
        <v/>
      </c>
      <c r="JW11" s="25" t="str">
        <f>IF(JT11="","",((VLOOKUP(Compositions!AE27,'HHV-LHV-MW'!$A$3:$F$40,4,FALSE))*(JT11/100)))</f>
        <v/>
      </c>
      <c r="JX11" s="25" t="str">
        <f>IF(JT11="","",((VLOOKUP(Compositions!AE27,'HHV-LHV-MW'!$A$3:$F$40,5,FALSE))*(JT11/100)))</f>
        <v/>
      </c>
      <c r="JY11" s="209" t="str">
        <f>IF(JT11="","",((VLOOKUP(Compositions!AE27,'HHV-LHV-MW'!$A$3:$F$40,6,FALSE))*(JT11/100)))</f>
        <v/>
      </c>
      <c r="JZ11" s="25"/>
      <c r="KA11" s="25"/>
      <c r="KB11" s="25"/>
      <c r="KC11" s="180"/>
      <c r="KD11" s="180"/>
      <c r="KE11" s="180"/>
      <c r="KF11" s="28" t="str">
        <f>IF(Compositions!AI27="","",IF(Compositions!$AI$25="mol%",Compositions!AI27,KG11))</f>
        <v/>
      </c>
      <c r="KG11" s="28" t="str">
        <f>IF(KH11="","",((KH11/$KH$34)*100))</f>
        <v/>
      </c>
      <c r="KH11" s="28" t="str">
        <f>IF(Compositions!AI27="","",(Compositions!AI27/(VLOOKUP(Compositions!AE27,'HHV-LHV-MW'!$A$3:$F$40,6,FALSE))))</f>
        <v/>
      </c>
      <c r="KI11" s="26" t="str">
        <f>IF(KF11="","",((VLOOKUP(Compositions!AE27,'HHV-LHV-MW'!$A$3:$F$40,4,FALSE))*(KF11/100)))</f>
        <v/>
      </c>
      <c r="KJ11" s="26" t="str">
        <f>IF(KF11="","",((VLOOKUP(Compositions!AE27,'HHV-LHV-MW'!$A$3:$F$40,5,FALSE))*(KF11/100)))</f>
        <v/>
      </c>
      <c r="KK11" s="39" t="str">
        <f>IF(KF11="","",((VLOOKUP(Compositions!AE27,'HHV-LHV-MW'!$A$3:$F$40,6,FALSE))*(KF11/100)))</f>
        <v/>
      </c>
      <c r="KL11" s="13"/>
      <c r="KM11" s="13"/>
      <c r="KN11" s="13"/>
    </row>
    <row r="12" spans="1:300" ht="15.6">
      <c r="A12" s="18" t="s">
        <v>179</v>
      </c>
      <c r="B12" s="19" t="s">
        <v>178</v>
      </c>
      <c r="C12" s="20">
        <v>1</v>
      </c>
      <c r="D12" s="20">
        <v>0</v>
      </c>
      <c r="E12" s="20">
        <v>0</v>
      </c>
      <c r="F12" s="20">
        <v>44.009799999999998</v>
      </c>
      <c r="G12" s="20">
        <f t="shared" si="0"/>
        <v>0</v>
      </c>
      <c r="H12" s="20">
        <v>0</v>
      </c>
      <c r="I12" s="170">
        <v>0</v>
      </c>
      <c r="K12" s="27" t="str">
        <f>IF(Compositions!B28="","",IF(Compositions!$B$25="mol%",Compositions!B28,L12))</f>
        <v/>
      </c>
      <c r="L12" s="27" t="str">
        <f t="shared" si="1"/>
        <v/>
      </c>
      <c r="M12" s="27" t="str">
        <f>IF(Compositions!B28="","",(Compositions!B28/(VLOOKUP(Compositions!A28,'HHV-LHV-MW'!$A$3:$F$40,6,FALSE))))</f>
        <v/>
      </c>
      <c r="N12" s="25" t="str">
        <f>IF(K12="","",((VLOOKUP(Compositions!A28,'HHV-LHV-MW'!$A$3:$F$40,4,FALSE))*(K12/100)))</f>
        <v/>
      </c>
      <c r="O12" s="25" t="str">
        <f>IF(K12="","",((VLOOKUP(Compositions!A28,'HHV-LHV-MW'!$A$3:$F$40,5,FALSE))*(K12/100)))</f>
        <v/>
      </c>
      <c r="P12" s="206" t="str">
        <f>IF(K12="","",((VLOOKUP(Compositions!A28,'HHV-LHV-MW'!$A$3:$F$40,6,FALSE))*(K12/100)))</f>
        <v/>
      </c>
      <c r="Q12" s="25"/>
      <c r="R12" s="25"/>
      <c r="S12" s="25"/>
      <c r="T12" s="166"/>
      <c r="U12" s="174"/>
      <c r="V12" s="180"/>
      <c r="W12" s="28" t="str">
        <f>IF(Compositions!C28="","",IF(Compositions!$C$25="mol%",Compositions!C28,X12))</f>
        <v/>
      </c>
      <c r="X12" s="28" t="str">
        <f t="shared" si="2"/>
        <v/>
      </c>
      <c r="Y12" s="28" t="str">
        <f>IF(Compositions!C28="","",(Compositions!C28/(VLOOKUP(Compositions!A28,'HHV-LHV-MW'!$A$3:$F$40,6,FALSE))))</f>
        <v/>
      </c>
      <c r="Z12" s="26" t="str">
        <f>IF(W12="","",((VLOOKUP(Compositions!A28,'HHV-LHV-MW'!$A$3:$F$40,4,FALSE))*(W12/100)))</f>
        <v/>
      </c>
      <c r="AA12" s="26" t="str">
        <f>IF(W12="","",((VLOOKUP(Compositions!A28,'HHV-LHV-MW'!$A$3:$F$40,5,FALSE))*(W12/100)))</f>
        <v/>
      </c>
      <c r="AB12" s="39" t="str">
        <f>IF(W12="","",((VLOOKUP(Compositions!A28,'HHV-LHV-MW'!$A$3:$F$40,6,FALSE))*(W12/100)))</f>
        <v/>
      </c>
      <c r="AC12" s="26"/>
      <c r="AD12" s="26"/>
      <c r="AE12" s="26"/>
      <c r="AF12" s="177"/>
      <c r="AG12" s="177"/>
      <c r="AH12" s="177"/>
      <c r="AI12" s="27" t="str">
        <f>IF(Compositions!D28="","",IF(Compositions!$D$25="mol%",Compositions!D28,AJ12))</f>
        <v/>
      </c>
      <c r="AJ12" s="27" t="str">
        <f t="shared" si="3"/>
        <v/>
      </c>
      <c r="AK12" s="27" t="str">
        <f>IF(Compositions!D28="","",(Compositions!D28/(VLOOKUP(Compositions!A28,'HHV-LHV-MW'!$A$3:$F$40,6,FALSE))))</f>
        <v/>
      </c>
      <c r="AL12" s="25" t="str">
        <f>IF(AI12="","",((VLOOKUP(Compositions!A28,'HHV-LHV-MW'!$A$3:$F$40,4,FALSE))*(AI12/100)))</f>
        <v/>
      </c>
      <c r="AM12" s="25" t="str">
        <f>IF(AI12="","",((VLOOKUP(Compositions!A28,'HHV-LHV-MW'!$A$3:$F$40,5,FALSE))*(AI12/100)))</f>
        <v/>
      </c>
      <c r="AN12" s="209" t="str">
        <f>IF(AI12="","",((VLOOKUP(Compositions!A28,'HHV-LHV-MW'!$A$3:$F$40,6,FALSE))*(AI12/100)))</f>
        <v/>
      </c>
      <c r="AO12" s="25"/>
      <c r="AP12" s="25"/>
      <c r="AQ12" s="25"/>
      <c r="AR12" s="180"/>
      <c r="AS12" s="180"/>
      <c r="AT12" s="180"/>
      <c r="AU12" s="28" t="str">
        <f>IF(Compositions!E28="","",IF(Compositions!$E$25="mol%",Compositions!E28,AV12))</f>
        <v/>
      </c>
      <c r="AV12" s="28" t="str">
        <f t="shared" si="4"/>
        <v/>
      </c>
      <c r="AW12" s="28" t="str">
        <f>IF(Compositions!E28="","",(Compositions!E28/(VLOOKUP(Compositions!A28,'HHV-LHV-MW'!$A$3:$F$40,6,FALSE))))</f>
        <v/>
      </c>
      <c r="AX12" s="26" t="str">
        <f>IF(AU12="","",((VLOOKUP(Compositions!A28,'HHV-LHV-MW'!$A$3:$F$40,4,FALSE))*(AU12/100)))</f>
        <v/>
      </c>
      <c r="AY12" s="26" t="str">
        <f>IF(AU12="","",((VLOOKUP(Compositions!A28,'HHV-LHV-MW'!$A$3:$F$40,5,FALSE))*(AU12/100)))</f>
        <v/>
      </c>
      <c r="AZ12" s="39" t="str">
        <f>IF(AU12="","",((VLOOKUP(Compositions!A28,'HHV-LHV-MW'!$A$3:$F$40,6,FALSE))*(AU12/100)))</f>
        <v/>
      </c>
      <c r="BA12" s="13"/>
      <c r="BB12" s="13"/>
      <c r="BC12" s="13"/>
      <c r="BD12" s="13"/>
      <c r="BE12" s="13"/>
      <c r="BF12" s="13"/>
      <c r="BH12" s="27" t="str">
        <f>IF(Compositions!H28="","",IF(Compositions!$H$25="mol%",Compositions!H28,BI12))</f>
        <v/>
      </c>
      <c r="BI12" s="27" t="str">
        <f t="shared" ref="BI12:BI33" si="7">IF(BJ12="","",((BJ12/$BJ$34)*100))</f>
        <v/>
      </c>
      <c r="BJ12" s="27" t="str">
        <f>IF(Compositions!H28="","",(Compositions!H28/(VLOOKUP(Compositions!G28,'HHV-LHV-MW'!$A$3:$F$40,6,FALSE))))</f>
        <v/>
      </c>
      <c r="BK12" s="25" t="str">
        <f>IF(BH12="","",((VLOOKUP(Compositions!G28,'HHV-LHV-MW'!$A$3:$F$40,4,FALSE))*(BH12/100)))</f>
        <v/>
      </c>
      <c r="BL12" s="25" t="str">
        <f>IF(BH12="","",((VLOOKUP(Compositions!G28,'HHV-LHV-MW'!$A$3:$F$40,5,FALSE))*(BH12/100)))</f>
        <v/>
      </c>
      <c r="BM12" s="209" t="str">
        <f>IF(BH12="","",((VLOOKUP(Compositions!G28,'HHV-LHV-MW'!$A$3:$F$40,6,FALSE))*(BH12/100)))</f>
        <v/>
      </c>
      <c r="BN12" s="25"/>
      <c r="BO12" s="25"/>
      <c r="BP12" s="25"/>
      <c r="BQ12" s="180"/>
      <c r="BR12" s="180"/>
      <c r="BS12" s="180"/>
      <c r="BT12" s="28" t="str">
        <f>IF(Compositions!I28="","",IF(Compositions!$I$25="mol%",Compositions!I28,BU12))</f>
        <v/>
      </c>
      <c r="BU12" s="28" t="str">
        <f t="shared" ref="BU12:BU33" si="8">IF(BV12="","",((BV12/$BV$34)*100))</f>
        <v/>
      </c>
      <c r="BV12" s="28" t="str">
        <f>IF(Compositions!I28="","",(Compositions!I28/(VLOOKUP(Compositions!G28,'HHV-LHV-MW'!$A$3:$F$40,6,FALSE))))</f>
        <v/>
      </c>
      <c r="BW12" s="26" t="str">
        <f>IF(BT12="","",((VLOOKUP(Compositions!G28,'HHV-LHV-MW'!$A$3:$F$40,4,FALSE))*(BT12/100)))</f>
        <v/>
      </c>
      <c r="BX12" s="26" t="str">
        <f>IF(BT12="","",((VLOOKUP(Compositions!G28,'HHV-LHV-MW'!$A$3:$F$40,5,FALSE))*(BT12/100)))</f>
        <v/>
      </c>
      <c r="BY12" s="207" t="str">
        <f>IF(BT12="","",((VLOOKUP(Compositions!G28,'HHV-LHV-MW'!$A$3:$F$40,6,FALSE))*(BT12/100)))</f>
        <v/>
      </c>
      <c r="BZ12" s="26"/>
      <c r="CA12" s="26"/>
      <c r="CB12" s="26"/>
      <c r="CC12" s="177"/>
      <c r="CD12" s="177"/>
      <c r="CE12" s="177"/>
      <c r="CF12" s="27" t="str">
        <f>IF(Compositions!J28="","",IF(Compositions!$J$25="mol%",Compositions!J28,CG12))</f>
        <v/>
      </c>
      <c r="CG12" s="27" t="str">
        <f t="shared" ref="CG12:CG33" si="9">IF(CH12="","",((CH12/$CH$34)*100))</f>
        <v/>
      </c>
      <c r="CH12" s="27" t="str">
        <f>IF(Compositions!J28="","",(Compositions!J28/(VLOOKUP(Compositions!G28,'HHV-LHV-MW'!$A$3:$F$40,6,FALSE))))</f>
        <v/>
      </c>
      <c r="CI12" s="25" t="str">
        <f>IF(CF12="","",((VLOOKUP(Compositions!G28,'HHV-LHV-MW'!$A$3:$F$40,4,FALSE))*(CF12/100)))</f>
        <v/>
      </c>
      <c r="CJ12" s="25" t="str">
        <f>IF(CF12="","",((VLOOKUP(Compositions!G28,'HHV-LHV-MW'!$A$3:$F$40,5,FALSE))*(CF12/100)))</f>
        <v/>
      </c>
      <c r="CK12" s="209" t="str">
        <f>IF(CF12="","",((VLOOKUP(Compositions!G28,'HHV-LHV-MW'!$A$3:$F$40,6,FALSE))*(CF12/100)))</f>
        <v/>
      </c>
      <c r="CL12" s="25"/>
      <c r="CM12" s="25"/>
      <c r="CN12" s="25"/>
      <c r="CO12" s="180"/>
      <c r="CP12" s="180"/>
      <c r="CQ12" s="180"/>
      <c r="CR12" s="28" t="str">
        <f>IF(Compositions!K28="","",IF(Compositions!$K$25="mol%",Compositions!K28,CS12))</f>
        <v/>
      </c>
      <c r="CS12" s="28" t="str">
        <f t="shared" ref="CS12:CS33" si="10">IF(CT12="","",((CT12/$CT$34)*100))</f>
        <v/>
      </c>
      <c r="CT12" s="28" t="str">
        <f>IF(Compositions!K28="","",(Compositions!K28/(VLOOKUP(Compositions!G28,'HHV-LHV-MW'!$A$3:$F$40,6,FALSE))))</f>
        <v/>
      </c>
      <c r="CU12" s="26" t="str">
        <f>IF(CR12="","",((VLOOKUP(Compositions!G28,'HHV-LHV-MW'!$A$3:$F$40,4,FALSE))*(CR12/100)))</f>
        <v/>
      </c>
      <c r="CV12" s="26" t="str">
        <f>IF(CR12="","",((VLOOKUP(Compositions!G28,'HHV-LHV-MW'!$A$3:$F$40,5,FALSE))*(CR12/100)))</f>
        <v/>
      </c>
      <c r="CW12" s="207" t="str">
        <f>IF(CR12="","",((VLOOKUP(Compositions!G28,'HHV-LHV-MW'!$A$3:$F$40,6,FALSE))*(CR12/100)))</f>
        <v/>
      </c>
      <c r="CX12" s="13"/>
      <c r="CY12" s="13"/>
      <c r="CZ12" s="13"/>
      <c r="DA12" s="13"/>
      <c r="DB12" s="13"/>
      <c r="DC12" s="13"/>
      <c r="DE12" s="27" t="str">
        <f>IF(Compositions!N28="","",IF(Compositions!$N$25="mol%",Compositions!N28,DF12))</f>
        <v/>
      </c>
      <c r="DF12" s="27" t="str">
        <f t="shared" si="5"/>
        <v/>
      </c>
      <c r="DG12" s="27" t="str">
        <f>IF(Compositions!N28="","",(Compositions!N28/(VLOOKUP(Compositions!M28,'HHV-LHV-MW'!$A$3:$F$40,6,FALSE))))</f>
        <v/>
      </c>
      <c r="DH12" s="25" t="str">
        <f>IF(DE12="","",((VLOOKUP(Compositions!M28,'HHV-LHV-MW'!$A$3:$F$40,4,FALSE))*(DE12/100)))</f>
        <v/>
      </c>
      <c r="DI12" s="25" t="str">
        <f>IF(DE12="","",((VLOOKUP(Compositions!M28,'HHV-LHV-MW'!$A$3:$F$40,5,FALSE))*(DE12/100)))</f>
        <v/>
      </c>
      <c r="DJ12" s="209" t="str">
        <f>IF(DE12="","",((VLOOKUP(Compositions!M28,'HHV-LHV-MW'!$A$3:$F$40,6,FALSE))*(DE12/100)))</f>
        <v/>
      </c>
      <c r="DK12" s="25"/>
      <c r="DL12" s="25"/>
      <c r="DM12" s="25"/>
      <c r="DN12" s="180"/>
      <c r="DO12" s="180"/>
      <c r="DP12" s="180"/>
      <c r="DQ12" s="28" t="str">
        <f>IF(Compositions!O28="","",IF(Compositions!$O$25="mol%",Compositions!O28,DR12))</f>
        <v/>
      </c>
      <c r="DR12" s="28" t="str">
        <f t="shared" ref="DR12:DR33" si="11">IF(DS12="","",((DS12/$DS$34)*100))</f>
        <v/>
      </c>
      <c r="DS12" s="28" t="str">
        <f>IF(Compositions!O28="","",(Compositions!O28/(VLOOKUP(Compositions!M28,'HHV-LHV-MW'!$A$3:$F$40,6,FALSE))))</f>
        <v/>
      </c>
      <c r="DT12" s="26" t="str">
        <f>IF(DQ12="","",((VLOOKUP(Compositions!M28,'HHV-LHV-MW'!$A$3:$F$40,4,FALSE))*(DQ12/100)))</f>
        <v/>
      </c>
      <c r="DU12" s="26" t="str">
        <f>IF(DQ12="","",((VLOOKUP(Compositions!M28,'HHV-LHV-MW'!$A$3:$F$40,5,FALSE))*(DQ12/100)))</f>
        <v/>
      </c>
      <c r="DV12" s="39" t="str">
        <f>IF(DQ12="","",((VLOOKUP(Compositions!M28,'HHV-LHV-MW'!$A$3:$F$40,6,FALSE))*(DQ12/100)))</f>
        <v/>
      </c>
      <c r="DW12" s="26"/>
      <c r="DX12" s="26"/>
      <c r="DY12" s="26"/>
      <c r="DZ12" s="177"/>
      <c r="EA12" s="177"/>
      <c r="EB12" s="177"/>
      <c r="EC12" s="27" t="str">
        <f>IF(Compositions!P28="","",IF(Compositions!$P$25="mol%",Compositions!P28,ED12))</f>
        <v/>
      </c>
      <c r="ED12" s="27" t="str">
        <f t="shared" ref="ED12:ED33" si="12">IF(EE12="","",((EE12/$EE$34)*100))</f>
        <v/>
      </c>
      <c r="EE12" s="27" t="str">
        <f>IF(Compositions!P28="","",(Compositions!P28/(VLOOKUP(Compositions!M28,'HHV-LHV-MW'!$A$3:$F$40,6,FALSE))))</f>
        <v/>
      </c>
      <c r="EF12" s="25" t="str">
        <f>IF(EC12="","",((VLOOKUP(Compositions!M28,'HHV-LHV-MW'!$A$3:$F$40,4,FALSE))*(EC12/100)))</f>
        <v/>
      </c>
      <c r="EG12" s="25" t="str">
        <f>IF(EC12="","",((VLOOKUP(Compositions!M28,'HHV-LHV-MW'!$A$3:$F$40,5,FALSE))*(EC12/100)))</f>
        <v/>
      </c>
      <c r="EH12" s="209" t="str">
        <f>IF(EC12="","",((VLOOKUP(Compositions!M28,'HHV-LHV-MW'!$A$3:$F$40,6,FALSE))*(EC12/100)))</f>
        <v/>
      </c>
      <c r="EI12" s="25"/>
      <c r="EJ12" s="25"/>
      <c r="EK12" s="25"/>
      <c r="EL12" s="180"/>
      <c r="EM12" s="180"/>
      <c r="EN12" s="180"/>
      <c r="EO12" s="28" t="str">
        <f>IF(Compositions!Q28="","",IF(Compositions!$Q$25="mol%",Compositions!Q28,EP12))</f>
        <v/>
      </c>
      <c r="EP12" s="28" t="str">
        <f t="shared" ref="EP12:EP33" si="13">IF(EQ12="","",((EQ12/$EQ$34)*100))</f>
        <v/>
      </c>
      <c r="EQ12" s="28" t="str">
        <f>IF(Compositions!Q28="","",(Compositions!Q28/(VLOOKUP(Compositions!M28,'HHV-LHV-MW'!$A$3:$F$40,6,FALSE))))</f>
        <v/>
      </c>
      <c r="ER12" s="26" t="str">
        <f>IF(EO12="","",((VLOOKUP(Compositions!M28,'HHV-LHV-MW'!$A$3:$F$40,4,FALSE))*(EO12/100)))</f>
        <v/>
      </c>
      <c r="ES12" s="26" t="str">
        <f>IF(EO12="","",((VLOOKUP(Compositions!M28,'HHV-LHV-MW'!$A$3:$F$40,5,FALSE))*(EO12/100)))</f>
        <v/>
      </c>
      <c r="ET12" s="39" t="str">
        <f>IF(EO12="","",((VLOOKUP(Compositions!M28,'HHV-LHV-MW'!$A$3:$F$40,6,FALSE))*(EO12/100)))</f>
        <v/>
      </c>
      <c r="EU12" s="13"/>
      <c r="EV12" s="13"/>
      <c r="EW12" s="13"/>
      <c r="EX12" s="13"/>
      <c r="EY12" s="13"/>
      <c r="EZ12" s="13"/>
      <c r="FB12" s="27" t="str">
        <f>IF(Compositions!T28="","",IF(Compositions!$T$25="mol%",Compositions!T28,FC12))</f>
        <v/>
      </c>
      <c r="FC12" s="27" t="str">
        <f t="shared" ref="FC12:FC33" si="14">IF(FD12="","",((FD12/$FD$34)*100))</f>
        <v/>
      </c>
      <c r="FD12" s="27" t="str">
        <f>IF(Compositions!T28="","",(Compositions!T28/(VLOOKUP(Compositions!S28,'HHV-LHV-MW'!$A$3:$F$40,6,FALSE))))</f>
        <v/>
      </c>
      <c r="FE12" s="25" t="str">
        <f>IF(FB12="","",((VLOOKUP(Compositions!S28,'HHV-LHV-MW'!$A$3:$F$40,4,FALSE))*(FB12/100)))</f>
        <v/>
      </c>
      <c r="FF12" s="25" t="str">
        <f>IF(FB12="","",((VLOOKUP(Compositions!S28,'HHV-LHV-MW'!$A$3:$F$40,5,FALSE))*(FB12/100)))</f>
        <v/>
      </c>
      <c r="FG12" s="209" t="str">
        <f>IF(FB12="","",((VLOOKUP(Compositions!S28,'HHV-LHV-MW'!$A$3:$F$40,6,FALSE))*(FB12/100)))</f>
        <v/>
      </c>
      <c r="FH12" s="25"/>
      <c r="FI12" s="25"/>
      <c r="FJ12" s="25"/>
      <c r="FK12" s="180"/>
      <c r="FL12" s="180"/>
      <c r="FM12" s="180"/>
      <c r="FN12" s="28" t="str">
        <f>IF(Compositions!U28="","",IF(Compositions!$U$25="mol%",Compositions!U28,FO12))</f>
        <v/>
      </c>
      <c r="FO12" s="28" t="str">
        <f t="shared" ref="FO12:FO33" si="15">IF(FP12="","",((FP12/$FP$34)*100))</f>
        <v/>
      </c>
      <c r="FP12" s="28" t="str">
        <f>IF(Compositions!U28="","",(Compositions!U28/(VLOOKUP(Compositions!S28,'HHV-LHV-MW'!$A$3:$F$40,6,FALSE))))</f>
        <v/>
      </c>
      <c r="FQ12" s="26" t="str">
        <f>IF(FN12="","",((VLOOKUP(Compositions!S28,'HHV-LHV-MW'!$A$3:$F$40,4,FALSE))*(FN12/100)))</f>
        <v/>
      </c>
      <c r="FR12" s="26" t="str">
        <f>IF(FN12="","",((VLOOKUP(Compositions!S28,'HHV-LHV-MW'!$A$3:$F$40,5,FALSE))*(FN12/100)))</f>
        <v/>
      </c>
      <c r="FS12" s="39" t="str">
        <f>IF(FN12="","",((VLOOKUP(Compositions!S28,'HHV-LHV-MW'!$A$3:$F$40,6,FALSE))*(FN12/100)))</f>
        <v/>
      </c>
      <c r="FT12" s="26"/>
      <c r="FU12" s="26"/>
      <c r="FV12" s="26"/>
      <c r="FW12" s="177"/>
      <c r="FX12" s="177"/>
      <c r="FY12" s="177"/>
      <c r="FZ12" s="27" t="str">
        <f>IF(Compositions!V28="","",IF(Compositions!$V$25="mol%",Compositions!V28,GA12))</f>
        <v/>
      </c>
      <c r="GA12" s="27" t="str">
        <f t="shared" ref="GA12:GA33" si="16">IF(GB12="","",((GB12/$GB$34)*100))</f>
        <v/>
      </c>
      <c r="GB12" s="27" t="str">
        <f>IF(Compositions!V28="","",(Compositions!V28/(VLOOKUP(Compositions!S28,'HHV-LHV-MW'!$A$3:$F$40,6,FALSE))))</f>
        <v/>
      </c>
      <c r="GC12" s="25" t="str">
        <f>IF(FZ12="","",((VLOOKUP(Compositions!S28,'HHV-LHV-MW'!$A$3:$F$40,4,FALSE))*(FZ12/100)))</f>
        <v/>
      </c>
      <c r="GD12" s="25" t="str">
        <f>IF(FZ12="","",((VLOOKUP(Compositions!S28,'HHV-LHV-MW'!$A$3:$F$40,5,FALSE))*(FZ12/100)))</f>
        <v/>
      </c>
      <c r="GE12" s="209" t="str">
        <f>IF(FZ12="","",((VLOOKUP(Compositions!S28,'HHV-LHV-MW'!$A$3:$F$40,6,FALSE))*(FZ12/100)))</f>
        <v/>
      </c>
      <c r="GF12" s="25"/>
      <c r="GG12" s="25"/>
      <c r="GH12" s="25"/>
      <c r="GI12" s="180"/>
      <c r="GJ12" s="180"/>
      <c r="GK12" s="180"/>
      <c r="GL12" s="28" t="str">
        <f>IF(Compositions!W28="","",IF(Compositions!$W$25="mol%",Compositions!W28,GM12))</f>
        <v/>
      </c>
      <c r="GM12" s="28" t="str">
        <f t="shared" ref="GM12:GM33" si="17">IF(GN12="","",((GN12/$GN$34)*100))</f>
        <v/>
      </c>
      <c r="GN12" s="28" t="str">
        <f>IF(Compositions!W28="","",(Compositions!W28/(VLOOKUP(Compositions!S28,'HHV-LHV-MW'!$A$3:$F$40,6,FALSE))))</f>
        <v/>
      </c>
      <c r="GO12" s="26" t="str">
        <f>IF(GL12="","",((VLOOKUP(Compositions!S28,'HHV-LHV-MW'!$A$3:$F$40,4,FALSE))*(GL12/100)))</f>
        <v/>
      </c>
      <c r="GP12" s="26" t="str">
        <f>IF(GL12="","",((VLOOKUP(Compositions!S28,'HHV-LHV-MW'!$A$3:$F$40,5,FALSE))*(GL12/100)))</f>
        <v/>
      </c>
      <c r="GQ12" s="39" t="str">
        <f>IF(GL12="","",((VLOOKUP(Compositions!S28,'HHV-LHV-MW'!$A$3:$F$40,6,FALSE))*(GL12/100)))</f>
        <v/>
      </c>
      <c r="GR12" s="13"/>
      <c r="GS12" s="13"/>
      <c r="GT12" s="13"/>
      <c r="GU12" s="13"/>
      <c r="GV12" s="13"/>
      <c r="GW12" s="13"/>
      <c r="GY12" s="27" t="str">
        <f>IF(Compositions!Z28="","",IF(Compositions!$Z$25="mol%",Compositions!Z28,GZ12))</f>
        <v/>
      </c>
      <c r="GZ12" s="27" t="str">
        <f t="shared" ref="GZ12:GZ33" si="18">IF(HA12="","",((HA12/$HA$34)*100))</f>
        <v/>
      </c>
      <c r="HA12" s="27" t="str">
        <f>IF(Compositions!Z28="","",(Compositions!Z28/(VLOOKUP(Compositions!Y28,'HHV-LHV-MW'!$A$3:$F$40,6,FALSE))))</f>
        <v/>
      </c>
      <c r="HB12" s="25" t="str">
        <f>IF(GY12="","",((VLOOKUP(Compositions!Y28,'HHV-LHV-MW'!$A$3:$F$40,4,FALSE))*(GY12/100)))</f>
        <v/>
      </c>
      <c r="HC12" s="25" t="str">
        <f>IF(GY12="","",((VLOOKUP(Compositions!Y28,'HHV-LHV-MW'!$A$3:$F$40,5,FALSE))*(GY12/100)))</f>
        <v/>
      </c>
      <c r="HD12" s="209" t="str">
        <f>IF(GY12="","",((VLOOKUP(Compositions!Y28,'HHV-LHV-MW'!$A$3:$F$40,6,FALSE))*(GY12/100)))</f>
        <v/>
      </c>
      <c r="HE12" s="25"/>
      <c r="HF12" s="25"/>
      <c r="HG12" s="25"/>
      <c r="HH12" s="180"/>
      <c r="HI12" s="180"/>
      <c r="HJ12" s="180"/>
      <c r="HK12" s="28" t="str">
        <f>IF(Compositions!AA28="","",IF(Compositions!$AA$25="mol%",Compositions!AA28,HL12))</f>
        <v/>
      </c>
      <c r="HL12" s="28" t="str">
        <f t="shared" ref="HL12:HL33" si="19">IF(HM12="","",((HM12/$HM$34)*100))</f>
        <v/>
      </c>
      <c r="HM12" s="28" t="str">
        <f>IF(Compositions!AA28="","",(Compositions!AA28/(VLOOKUP(Compositions!Y28,'HHV-LHV-MW'!$A$3:$F$40,6,FALSE))))</f>
        <v/>
      </c>
      <c r="HN12" s="26" t="str">
        <f>IF(HK12="","",((VLOOKUP(Compositions!Y28,'HHV-LHV-MW'!$A$3:$F$40,4,FALSE))*(HK12/100)))</f>
        <v/>
      </c>
      <c r="HO12" s="26" t="str">
        <f>IF(HK12="","",((VLOOKUP(Compositions!Y28,'HHV-LHV-MW'!$A$3:$F$40,5,FALSE))*(HK12/100)))</f>
        <v/>
      </c>
      <c r="HP12" s="39" t="str">
        <f>IF(HK12="","",((VLOOKUP(Compositions!Y28,'HHV-LHV-MW'!$A$3:$F$40,6,FALSE))*(HK12/100)))</f>
        <v/>
      </c>
      <c r="HQ12" s="26"/>
      <c r="HR12" s="26"/>
      <c r="HS12" s="26"/>
      <c r="HT12" s="177"/>
      <c r="HU12" s="177"/>
      <c r="HV12" s="177"/>
      <c r="HW12" s="27" t="str">
        <f>IF(Compositions!AB28="","",IF(Compositions!$AB$25="mol%",Compositions!AB28,HX12))</f>
        <v/>
      </c>
      <c r="HX12" s="27" t="str">
        <f t="shared" ref="HX12:HX33" si="20">IF(HY12="","",((HY12/$HY$34)*100))</f>
        <v/>
      </c>
      <c r="HY12" s="27" t="str">
        <f>IF(Compositions!AB28="","",(Compositions!AB28/(VLOOKUP(Compositions!Y28,'HHV-LHV-MW'!$A$3:$F$40,6,FALSE))))</f>
        <v/>
      </c>
      <c r="HZ12" s="25" t="str">
        <f>IF(HW12="","",((VLOOKUP(Compositions!Y28,'HHV-LHV-MW'!$A$3:$F$40,4,FALSE))*(HW12/100)))</f>
        <v/>
      </c>
      <c r="IA12" s="25" t="str">
        <f>IF(HW12="","",((VLOOKUP(Compositions!Y28,'HHV-LHV-MW'!$A$3:$F$40,5,FALSE))*(HW12/100)))</f>
        <v/>
      </c>
      <c r="IB12" s="209" t="str">
        <f>IF(HW12="","",((VLOOKUP(Compositions!Y28,'HHV-LHV-MW'!$A$3:$F$40,6,FALSE))*(HW12/100)))</f>
        <v/>
      </c>
      <c r="IC12" s="25"/>
      <c r="ID12" s="25"/>
      <c r="IE12" s="25"/>
      <c r="IF12" s="180"/>
      <c r="IG12" s="180"/>
      <c r="IH12" s="180"/>
      <c r="II12" s="28" t="str">
        <f>IF(Compositions!AC28="","",IF(Compositions!$AC$25="mol%",Compositions!AC28,IJ12))</f>
        <v/>
      </c>
      <c r="IJ12" s="28" t="str">
        <f t="shared" ref="IJ12:IJ33" si="21">IF(IK12="","",((IK12/$IK$34)*100))</f>
        <v/>
      </c>
      <c r="IK12" s="28" t="str">
        <f>IF(Compositions!AC28="","",(Compositions!AC28/(VLOOKUP(Compositions!Y28,'HHV-LHV-MW'!$A$3:$F$40,6,FALSE))))</f>
        <v/>
      </c>
      <c r="IL12" s="26" t="str">
        <f>IF(II12="","",((VLOOKUP(Compositions!Y28,'HHV-LHV-MW'!$A$3:$F$40,4,FALSE))*(II12/100)))</f>
        <v/>
      </c>
      <c r="IM12" s="26" t="str">
        <f>IF(II12="","",((VLOOKUP(Compositions!Y28,'HHV-LHV-MW'!$A$3:$F$40,5,FALSE))*(II12/100)))</f>
        <v/>
      </c>
      <c r="IN12" s="39" t="str">
        <f>IF(II12="","",((VLOOKUP(Compositions!Y28,'HHV-LHV-MW'!$A$3:$F$40,6,FALSE))*(II12/100)))</f>
        <v/>
      </c>
      <c r="IO12" s="13"/>
      <c r="IP12" s="13"/>
      <c r="IQ12" s="13"/>
      <c r="IR12" s="13"/>
      <c r="IS12" s="13"/>
      <c r="IT12" s="13"/>
      <c r="IV12" s="27" t="str">
        <f>IF(Compositions!AF28="","",IF(Compositions!$AF$25="mol%",Compositions!AF28,IW12))</f>
        <v/>
      </c>
      <c r="IW12" s="27" t="str">
        <f t="shared" si="6"/>
        <v/>
      </c>
      <c r="IX12" s="27" t="str">
        <f>IF(Compositions!AF28="","",(Compositions!AF28/(VLOOKUP(Compositions!AE28,'HHV-LHV-MW'!$A$3:$F$40,6,FALSE))))</f>
        <v/>
      </c>
      <c r="IY12" s="25" t="str">
        <f>IF(IV12="","",((VLOOKUP(Compositions!AE28,'HHV-LHV-MW'!$A$3:$F$40,4,FALSE))*(IV12/100)))</f>
        <v/>
      </c>
      <c r="IZ12" s="25" t="str">
        <f>IF(IV12="","",((VLOOKUP(Compositions!AE28,'HHV-LHV-MW'!$A$3:$F$40,5,FALSE))*(IV12/100)))</f>
        <v/>
      </c>
      <c r="JA12" s="209" t="str">
        <f>IF(IV12="","",((VLOOKUP(Compositions!AE28,'HHV-LHV-MW'!$A$3:$F$40,6,FALSE))*(IV12/100)))</f>
        <v/>
      </c>
      <c r="JB12" s="25"/>
      <c r="JC12" s="25"/>
      <c r="JD12" s="25"/>
      <c r="JE12" s="180"/>
      <c r="JF12" s="180"/>
      <c r="JG12" s="180"/>
      <c r="JH12" s="28" t="str">
        <f>IF(Compositions!AG28="","",IF(Compositions!$AG$25="mol%",Compositions!AG28,JI12))</f>
        <v/>
      </c>
      <c r="JI12" s="28" t="str">
        <f t="shared" ref="JI12:JI33" si="22">IF(JJ12="","",((JJ12/$JJ$34)*100))</f>
        <v/>
      </c>
      <c r="JJ12" s="28" t="str">
        <f>IF(Compositions!AG28="","",(Compositions!AG28/(VLOOKUP(Compositions!AE28,'HHV-LHV-MW'!$A$3:$F$40,6,FALSE))))</f>
        <v/>
      </c>
      <c r="JK12" s="26" t="str">
        <f>IF(JH12="","",((VLOOKUP(Compositions!AE28,'HHV-LHV-MW'!$A$3:$F$40,4,FALSE))*(JH12/100)))</f>
        <v/>
      </c>
      <c r="JL12" s="26" t="str">
        <f>IF(JH12="","",((VLOOKUP(Compositions!AE28,'HHV-LHV-MW'!$A$3:$F$40,5,FALSE))*(JH12/100)))</f>
        <v/>
      </c>
      <c r="JM12" s="39" t="str">
        <f>IF(JH12="","",((VLOOKUP(Compositions!AE28,'HHV-LHV-MW'!$A$3:$F$40,6,FALSE))*(JH12/100)))</f>
        <v/>
      </c>
      <c r="JN12" s="26"/>
      <c r="JO12" s="26"/>
      <c r="JP12" s="26"/>
      <c r="JQ12" s="177"/>
      <c r="JR12" s="177"/>
      <c r="JS12" s="177"/>
      <c r="JT12" s="27" t="str">
        <f>IF(Compositions!AH28="","",IF(Compositions!$AH$25="mol%",Compositions!AH28,JU12))</f>
        <v/>
      </c>
      <c r="JU12" s="27" t="str">
        <f t="shared" ref="JU12:JU33" si="23">IF(JV12="","",((JV12/$JV$34)*100))</f>
        <v/>
      </c>
      <c r="JV12" s="27" t="str">
        <f>IF(Compositions!AH28="","",(Compositions!AH28/(VLOOKUP(Compositions!AE28,'HHV-LHV-MW'!$A$3:$F$40,6,FALSE))))</f>
        <v/>
      </c>
      <c r="JW12" s="25" t="str">
        <f>IF(JT12="","",((VLOOKUP(Compositions!AE28,'HHV-LHV-MW'!$A$3:$F$40,4,FALSE))*(JT12/100)))</f>
        <v/>
      </c>
      <c r="JX12" s="25" t="str">
        <f>IF(JT12="","",((VLOOKUP(Compositions!AE28,'HHV-LHV-MW'!$A$3:$F$40,5,FALSE))*(JT12/100)))</f>
        <v/>
      </c>
      <c r="JY12" s="209" t="str">
        <f>IF(JT12="","",((VLOOKUP(Compositions!AE28,'HHV-LHV-MW'!$A$3:$F$40,6,FALSE))*(JT12/100)))</f>
        <v/>
      </c>
      <c r="JZ12" s="25"/>
      <c r="KA12" s="25"/>
      <c r="KB12" s="25"/>
      <c r="KC12" s="180"/>
      <c r="KD12" s="180"/>
      <c r="KE12" s="180"/>
      <c r="KF12" s="28" t="str">
        <f>IF(Compositions!AI28="","",IF(Compositions!$AI$25="mol%",Compositions!AI28,KG12))</f>
        <v/>
      </c>
      <c r="KG12" s="28" t="str">
        <f t="shared" ref="KG12:KG33" si="24">IF(KH12="","",((KH12/$KH$34)*100))</f>
        <v/>
      </c>
      <c r="KH12" s="28" t="str">
        <f>IF(Compositions!AI28="","",(Compositions!AI28/(VLOOKUP(Compositions!AE28,'HHV-LHV-MW'!$A$3:$F$40,6,FALSE))))</f>
        <v/>
      </c>
      <c r="KI12" s="26" t="str">
        <f>IF(KF12="","",((VLOOKUP(Compositions!AE28,'HHV-LHV-MW'!$A$3:$F$40,4,FALSE))*(KF12/100)))</f>
        <v/>
      </c>
      <c r="KJ12" s="26" t="str">
        <f>IF(KF12="","",((VLOOKUP(Compositions!AE28,'HHV-LHV-MW'!$A$3:$F$40,5,FALSE))*(KF12/100)))</f>
        <v/>
      </c>
      <c r="KK12" s="39" t="str">
        <f>IF(KF12="","",((VLOOKUP(Compositions!AE28,'HHV-LHV-MW'!$A$3:$F$40,6,FALSE))*(KF12/100)))</f>
        <v/>
      </c>
      <c r="KL12" s="13"/>
      <c r="KM12" s="13"/>
      <c r="KN12" s="13"/>
    </row>
    <row r="13" spans="1:300" ht="15.6">
      <c r="A13" s="18" t="s">
        <v>181</v>
      </c>
      <c r="B13" s="19" t="s">
        <v>180</v>
      </c>
      <c r="C13" s="20">
        <v>1</v>
      </c>
      <c r="D13" s="20">
        <v>0.89</v>
      </c>
      <c r="E13" s="20">
        <v>0.80269999999999997</v>
      </c>
      <c r="F13" s="20">
        <v>16.042760000000001</v>
      </c>
      <c r="G13" s="20">
        <f t="shared" si="0"/>
        <v>0</v>
      </c>
      <c r="H13" s="20">
        <v>0</v>
      </c>
      <c r="I13" s="170">
        <v>0</v>
      </c>
      <c r="K13" s="27" t="str">
        <f>IF(Compositions!B29="","",IF(Compositions!$B$25="mol%",Compositions!B29,L13))</f>
        <v/>
      </c>
      <c r="L13" s="27" t="str">
        <f t="shared" si="1"/>
        <v/>
      </c>
      <c r="M13" s="27" t="str">
        <f>IF(Compositions!B29="","",(Compositions!B29/(VLOOKUP(Compositions!A29,'HHV-LHV-MW'!$A$3:$F$40,6,FALSE))))</f>
        <v/>
      </c>
      <c r="N13" s="25" t="str">
        <f>IF(K13="","",((VLOOKUP(Compositions!A29,'HHV-LHV-MW'!$A$3:$F$40,4,FALSE))*(K13/100)))</f>
        <v/>
      </c>
      <c r="O13" s="25" t="str">
        <f>IF(K13="","",((VLOOKUP(Compositions!A29,'HHV-LHV-MW'!$A$3:$F$40,5,FALSE))*(K13/100)))</f>
        <v/>
      </c>
      <c r="P13" s="206" t="str">
        <f>IF(K13="","",((VLOOKUP(Compositions!A29,'HHV-LHV-MW'!$A$3:$F$40,6,FALSE))*(K13/100)))</f>
        <v/>
      </c>
      <c r="Q13" s="25"/>
      <c r="R13" s="25"/>
      <c r="S13" s="25"/>
      <c r="T13" s="166"/>
      <c r="U13" s="174"/>
      <c r="V13" s="180"/>
      <c r="W13" s="28" t="str">
        <f>IF(Compositions!C29="","",IF(Compositions!$C$25="mol%",Compositions!C29,X13))</f>
        <v/>
      </c>
      <c r="X13" s="28" t="str">
        <f t="shared" si="2"/>
        <v/>
      </c>
      <c r="Y13" s="28" t="str">
        <f>IF(Compositions!C29="","",(Compositions!C29/(VLOOKUP(Compositions!A29,'HHV-LHV-MW'!$A$3:$F$40,6,FALSE))))</f>
        <v/>
      </c>
      <c r="Z13" s="26" t="str">
        <f>IF(W13="","",((VLOOKUP(Compositions!A29,'HHV-LHV-MW'!$A$3:$F$40,4,FALSE))*(W13/100)))</f>
        <v/>
      </c>
      <c r="AA13" s="26" t="str">
        <f>IF(W13="","",((VLOOKUP(Compositions!A29,'HHV-LHV-MW'!$A$3:$F$40,5,FALSE))*(W13/100)))</f>
        <v/>
      </c>
      <c r="AB13" s="39" t="str">
        <f>IF(W13="","",((VLOOKUP(Compositions!A29,'HHV-LHV-MW'!$A$3:$F$40,6,FALSE))*(W13/100)))</f>
        <v/>
      </c>
      <c r="AC13" s="26"/>
      <c r="AD13" s="26"/>
      <c r="AE13" s="26"/>
      <c r="AF13" s="177"/>
      <c r="AG13" s="177"/>
      <c r="AH13" s="177"/>
      <c r="AI13" s="27" t="str">
        <f>IF(Compositions!D29="","",IF(Compositions!$D$25="mol%",Compositions!D29,AJ13))</f>
        <v/>
      </c>
      <c r="AJ13" s="27" t="str">
        <f t="shared" si="3"/>
        <v/>
      </c>
      <c r="AK13" s="27" t="str">
        <f>IF(Compositions!D29="","",(Compositions!D29/(VLOOKUP(Compositions!A29,'HHV-LHV-MW'!$A$3:$F$40,6,FALSE))))</f>
        <v/>
      </c>
      <c r="AL13" s="25" t="str">
        <f>IF(AI13="","",((VLOOKUP(Compositions!A29,'HHV-LHV-MW'!$A$3:$F$40,4,FALSE))*(AI13/100)))</f>
        <v/>
      </c>
      <c r="AM13" s="25" t="str">
        <f>IF(AI13="","",((VLOOKUP(Compositions!A29,'HHV-LHV-MW'!$A$3:$F$40,5,FALSE))*(AI13/100)))</f>
        <v/>
      </c>
      <c r="AN13" s="209" t="str">
        <f>IF(AI13="","",((VLOOKUP(Compositions!A29,'HHV-LHV-MW'!$A$3:$F$40,6,FALSE))*(AI13/100)))</f>
        <v/>
      </c>
      <c r="AO13" s="25"/>
      <c r="AP13" s="25"/>
      <c r="AQ13" s="25"/>
      <c r="AR13" s="180"/>
      <c r="AS13" s="180"/>
      <c r="AT13" s="180"/>
      <c r="AU13" s="28" t="str">
        <f>IF(Compositions!E29="","",IF(Compositions!$E$25="mol%",Compositions!E29,AV13))</f>
        <v/>
      </c>
      <c r="AV13" s="28" t="str">
        <f t="shared" si="4"/>
        <v/>
      </c>
      <c r="AW13" s="28" t="str">
        <f>IF(Compositions!E29="","",(Compositions!E29/(VLOOKUP(Compositions!A29,'HHV-LHV-MW'!$A$3:$F$40,6,FALSE))))</f>
        <v/>
      </c>
      <c r="AX13" s="26" t="str">
        <f>IF(AU13="","",((VLOOKUP(Compositions!A29,'HHV-LHV-MW'!$A$3:$F$40,4,FALSE))*(AU13/100)))</f>
        <v/>
      </c>
      <c r="AY13" s="26" t="str">
        <f>IF(AU13="","",((VLOOKUP(Compositions!A29,'HHV-LHV-MW'!$A$3:$F$40,5,FALSE))*(AU13/100)))</f>
        <v/>
      </c>
      <c r="AZ13" s="39" t="str">
        <f>IF(AU13="","",((VLOOKUP(Compositions!A29,'HHV-LHV-MW'!$A$3:$F$40,6,FALSE))*(AU13/100)))</f>
        <v/>
      </c>
      <c r="BA13" s="13"/>
      <c r="BB13" s="13"/>
      <c r="BC13" s="13"/>
      <c r="BD13" s="13"/>
      <c r="BE13" s="13"/>
      <c r="BF13" s="13"/>
      <c r="BH13" s="27" t="str">
        <f>IF(Compositions!H29="","",IF(Compositions!$H$25="mol%",Compositions!H29,BI13))</f>
        <v/>
      </c>
      <c r="BI13" s="27" t="str">
        <f t="shared" si="7"/>
        <v/>
      </c>
      <c r="BJ13" s="27" t="str">
        <f>IF(Compositions!H29="","",(Compositions!H29/(VLOOKUP(Compositions!G29,'HHV-LHV-MW'!$A$3:$F$40,6,FALSE))))</f>
        <v/>
      </c>
      <c r="BK13" s="25" t="str">
        <f>IF(BH13="","",((VLOOKUP(Compositions!G29,'HHV-LHV-MW'!$A$3:$F$40,4,FALSE))*(BH13/100)))</f>
        <v/>
      </c>
      <c r="BL13" s="25" t="str">
        <f>IF(BH13="","",((VLOOKUP(Compositions!G29,'HHV-LHV-MW'!$A$3:$F$40,5,FALSE))*(BH13/100)))</f>
        <v/>
      </c>
      <c r="BM13" s="209" t="str">
        <f>IF(BH13="","",((VLOOKUP(Compositions!G29,'HHV-LHV-MW'!$A$3:$F$40,6,FALSE))*(BH13/100)))</f>
        <v/>
      </c>
      <c r="BN13" s="25"/>
      <c r="BO13" s="25"/>
      <c r="BP13" s="25"/>
      <c r="BQ13" s="180"/>
      <c r="BR13" s="180"/>
      <c r="BS13" s="180"/>
      <c r="BT13" s="28" t="str">
        <f>IF(Compositions!I29="","",IF(Compositions!$I$25="mol%",Compositions!I29,BU13))</f>
        <v/>
      </c>
      <c r="BU13" s="28" t="str">
        <f t="shared" si="8"/>
        <v/>
      </c>
      <c r="BV13" s="28" t="str">
        <f>IF(Compositions!I29="","",(Compositions!I29/(VLOOKUP(Compositions!G29,'HHV-LHV-MW'!$A$3:$F$40,6,FALSE))))</f>
        <v/>
      </c>
      <c r="BW13" s="26" t="str">
        <f>IF(BT13="","",((VLOOKUP(Compositions!G29,'HHV-LHV-MW'!$A$3:$F$40,4,FALSE))*(BT13/100)))</f>
        <v/>
      </c>
      <c r="BX13" s="26" t="str">
        <f>IF(BT13="","",((VLOOKUP(Compositions!G29,'HHV-LHV-MW'!$A$3:$F$40,5,FALSE))*(BT13/100)))</f>
        <v/>
      </c>
      <c r="BY13" s="207" t="str">
        <f>IF(BT13="","",((VLOOKUP(Compositions!G29,'HHV-LHV-MW'!$A$3:$F$40,6,FALSE))*(BT13/100)))</f>
        <v/>
      </c>
      <c r="BZ13" s="26"/>
      <c r="CA13" s="26"/>
      <c r="CB13" s="26"/>
      <c r="CC13" s="177"/>
      <c r="CD13" s="177"/>
      <c r="CE13" s="177"/>
      <c r="CF13" s="27" t="str">
        <f>IF(Compositions!J29="","",IF(Compositions!$J$25="mol%",Compositions!J29,CG13))</f>
        <v/>
      </c>
      <c r="CG13" s="27" t="str">
        <f t="shared" si="9"/>
        <v/>
      </c>
      <c r="CH13" s="27" t="str">
        <f>IF(Compositions!J29="","",(Compositions!J29/(VLOOKUP(Compositions!G29,'HHV-LHV-MW'!$A$3:$F$40,6,FALSE))))</f>
        <v/>
      </c>
      <c r="CI13" s="25" t="str">
        <f>IF(CF13="","",((VLOOKUP(Compositions!G29,'HHV-LHV-MW'!$A$3:$F$40,4,FALSE))*(CF13/100)))</f>
        <v/>
      </c>
      <c r="CJ13" s="25" t="str">
        <f>IF(CF13="","",((VLOOKUP(Compositions!G29,'HHV-LHV-MW'!$A$3:$F$40,5,FALSE))*(CF13/100)))</f>
        <v/>
      </c>
      <c r="CK13" s="209" t="str">
        <f>IF(CF13="","",((VLOOKUP(Compositions!G29,'HHV-LHV-MW'!$A$3:$F$40,6,FALSE))*(CF13/100)))</f>
        <v/>
      </c>
      <c r="CL13" s="25"/>
      <c r="CM13" s="25"/>
      <c r="CN13" s="25"/>
      <c r="CO13" s="180"/>
      <c r="CP13" s="180"/>
      <c r="CQ13" s="180"/>
      <c r="CR13" s="28" t="str">
        <f>IF(Compositions!K29="","",IF(Compositions!$K$25="mol%",Compositions!K29,CS13))</f>
        <v/>
      </c>
      <c r="CS13" s="28" t="str">
        <f t="shared" si="10"/>
        <v/>
      </c>
      <c r="CT13" s="28" t="str">
        <f>IF(Compositions!K29="","",(Compositions!K29/(VLOOKUP(Compositions!G29,'HHV-LHV-MW'!$A$3:$F$40,6,FALSE))))</f>
        <v/>
      </c>
      <c r="CU13" s="26" t="str">
        <f>IF(CR13="","",((VLOOKUP(Compositions!G29,'HHV-LHV-MW'!$A$3:$F$40,4,FALSE))*(CR13/100)))</f>
        <v/>
      </c>
      <c r="CV13" s="26" t="str">
        <f>IF(CR13="","",((VLOOKUP(Compositions!G29,'HHV-LHV-MW'!$A$3:$F$40,5,FALSE))*(CR13/100)))</f>
        <v/>
      </c>
      <c r="CW13" s="207" t="str">
        <f>IF(CR13="","",((VLOOKUP(Compositions!G29,'HHV-LHV-MW'!$A$3:$F$40,6,FALSE))*(CR13/100)))</f>
        <v/>
      </c>
      <c r="CX13" s="13"/>
      <c r="CY13" s="13"/>
      <c r="CZ13" s="13"/>
      <c r="DA13" s="13"/>
      <c r="DB13" s="13"/>
      <c r="DC13" s="13"/>
      <c r="DE13" s="27" t="str">
        <f>IF(Compositions!N29="","",IF(Compositions!$N$25="mol%",Compositions!N29,DF13))</f>
        <v/>
      </c>
      <c r="DF13" s="27" t="str">
        <f t="shared" si="5"/>
        <v/>
      </c>
      <c r="DG13" s="27" t="str">
        <f>IF(Compositions!N29="","",(Compositions!N29/(VLOOKUP(Compositions!M29,'HHV-LHV-MW'!$A$3:$F$40,6,FALSE))))</f>
        <v/>
      </c>
      <c r="DH13" s="25" t="str">
        <f>IF(DE13="","",((VLOOKUP(Compositions!M29,'HHV-LHV-MW'!$A$3:$F$40,4,FALSE))*(DE13/100)))</f>
        <v/>
      </c>
      <c r="DI13" s="25" t="str">
        <f>IF(DE13="","",((VLOOKUP(Compositions!M29,'HHV-LHV-MW'!$A$3:$F$40,5,FALSE))*(DE13/100)))</f>
        <v/>
      </c>
      <c r="DJ13" s="209" t="str">
        <f>IF(DE13="","",((VLOOKUP(Compositions!M29,'HHV-LHV-MW'!$A$3:$F$40,6,FALSE))*(DE13/100)))</f>
        <v/>
      </c>
      <c r="DK13" s="25"/>
      <c r="DL13" s="25"/>
      <c r="DM13" s="25"/>
      <c r="DN13" s="180"/>
      <c r="DO13" s="180"/>
      <c r="DP13" s="180"/>
      <c r="DQ13" s="28" t="str">
        <f>IF(Compositions!O29="","",IF(Compositions!$O$25="mol%",Compositions!O29,DR13))</f>
        <v/>
      </c>
      <c r="DR13" s="28" t="str">
        <f t="shared" si="11"/>
        <v/>
      </c>
      <c r="DS13" s="28" t="str">
        <f>IF(Compositions!O29="","",(Compositions!O29/(VLOOKUP(Compositions!M29,'HHV-LHV-MW'!$A$3:$F$40,6,FALSE))))</f>
        <v/>
      </c>
      <c r="DT13" s="26" t="str">
        <f>IF(DQ13="","",((VLOOKUP(Compositions!M29,'HHV-LHV-MW'!$A$3:$F$40,4,FALSE))*(DQ13/100)))</f>
        <v/>
      </c>
      <c r="DU13" s="26" t="str">
        <f>IF(DQ13="","",((VLOOKUP(Compositions!M29,'HHV-LHV-MW'!$A$3:$F$40,5,FALSE))*(DQ13/100)))</f>
        <v/>
      </c>
      <c r="DV13" s="39" t="str">
        <f>IF(DQ13="","",((VLOOKUP(Compositions!M29,'HHV-LHV-MW'!$A$3:$F$40,6,FALSE))*(DQ13/100)))</f>
        <v/>
      </c>
      <c r="DW13" s="26"/>
      <c r="DX13" s="26"/>
      <c r="DY13" s="26"/>
      <c r="DZ13" s="177"/>
      <c r="EA13" s="177"/>
      <c r="EB13" s="177"/>
      <c r="EC13" s="27" t="str">
        <f>IF(Compositions!P29="","",IF(Compositions!$P$25="mol%",Compositions!P29,ED13))</f>
        <v/>
      </c>
      <c r="ED13" s="27" t="str">
        <f t="shared" si="12"/>
        <v/>
      </c>
      <c r="EE13" s="27" t="str">
        <f>IF(Compositions!P29="","",(Compositions!P29/(VLOOKUP(Compositions!M29,'HHV-LHV-MW'!$A$3:$F$40,6,FALSE))))</f>
        <v/>
      </c>
      <c r="EF13" s="25" t="str">
        <f>IF(EC13="","",((VLOOKUP(Compositions!M29,'HHV-LHV-MW'!$A$3:$F$40,4,FALSE))*(EC13/100)))</f>
        <v/>
      </c>
      <c r="EG13" s="25" t="str">
        <f>IF(EC13="","",((VLOOKUP(Compositions!M29,'HHV-LHV-MW'!$A$3:$F$40,5,FALSE))*(EC13/100)))</f>
        <v/>
      </c>
      <c r="EH13" s="209" t="str">
        <f>IF(EC13="","",((VLOOKUP(Compositions!M29,'HHV-LHV-MW'!$A$3:$F$40,6,FALSE))*(EC13/100)))</f>
        <v/>
      </c>
      <c r="EI13" s="25"/>
      <c r="EJ13" s="25"/>
      <c r="EK13" s="25"/>
      <c r="EL13" s="180"/>
      <c r="EM13" s="180"/>
      <c r="EN13" s="180"/>
      <c r="EO13" s="28" t="str">
        <f>IF(Compositions!Q29="","",IF(Compositions!$Q$25="mol%",Compositions!Q29,EP13))</f>
        <v/>
      </c>
      <c r="EP13" s="28" t="str">
        <f t="shared" si="13"/>
        <v/>
      </c>
      <c r="EQ13" s="28" t="str">
        <f>IF(Compositions!Q29="","",(Compositions!Q29/(VLOOKUP(Compositions!M29,'HHV-LHV-MW'!$A$3:$F$40,6,FALSE))))</f>
        <v/>
      </c>
      <c r="ER13" s="26" t="str">
        <f>IF(EO13="","",((VLOOKUP(Compositions!M29,'HHV-LHV-MW'!$A$3:$F$40,4,FALSE))*(EO13/100)))</f>
        <v/>
      </c>
      <c r="ES13" s="26" t="str">
        <f>IF(EO13="","",((VLOOKUP(Compositions!M29,'HHV-LHV-MW'!$A$3:$F$40,5,FALSE))*(EO13/100)))</f>
        <v/>
      </c>
      <c r="ET13" s="39" t="str">
        <f>IF(EO13="","",((VLOOKUP(Compositions!M29,'HHV-LHV-MW'!$A$3:$F$40,6,FALSE))*(EO13/100)))</f>
        <v/>
      </c>
      <c r="EU13" s="13"/>
      <c r="EV13" s="13"/>
      <c r="EW13" s="13"/>
      <c r="EX13" s="13"/>
      <c r="EY13" s="13"/>
      <c r="EZ13" s="13"/>
      <c r="FB13" s="27" t="str">
        <f>IF(Compositions!T29="","",IF(Compositions!$T$25="mol%",Compositions!T29,FC13))</f>
        <v/>
      </c>
      <c r="FC13" s="27" t="str">
        <f t="shared" si="14"/>
        <v/>
      </c>
      <c r="FD13" s="27" t="str">
        <f>IF(Compositions!T29="","",(Compositions!T29/(VLOOKUP(Compositions!S29,'HHV-LHV-MW'!$A$3:$F$40,6,FALSE))))</f>
        <v/>
      </c>
      <c r="FE13" s="25" t="str">
        <f>IF(FB13="","",((VLOOKUP(Compositions!S29,'HHV-LHV-MW'!$A$3:$F$40,4,FALSE))*(FB13/100)))</f>
        <v/>
      </c>
      <c r="FF13" s="25" t="str">
        <f>IF(FB13="","",((VLOOKUP(Compositions!S29,'HHV-LHV-MW'!$A$3:$F$40,5,FALSE))*(FB13/100)))</f>
        <v/>
      </c>
      <c r="FG13" s="209" t="str">
        <f>IF(FB13="","",((VLOOKUP(Compositions!S29,'HHV-LHV-MW'!$A$3:$F$40,6,FALSE))*(FB13/100)))</f>
        <v/>
      </c>
      <c r="FH13" s="25"/>
      <c r="FI13" s="25"/>
      <c r="FJ13" s="25"/>
      <c r="FK13" s="180"/>
      <c r="FL13" s="180"/>
      <c r="FM13" s="180"/>
      <c r="FN13" s="28" t="str">
        <f>IF(Compositions!U29="","",IF(Compositions!$U$25="mol%",Compositions!U29,FO13))</f>
        <v/>
      </c>
      <c r="FO13" s="28" t="str">
        <f t="shared" si="15"/>
        <v/>
      </c>
      <c r="FP13" s="28" t="str">
        <f>IF(Compositions!U29="","",(Compositions!U29/(VLOOKUP(Compositions!S29,'HHV-LHV-MW'!$A$3:$F$40,6,FALSE))))</f>
        <v/>
      </c>
      <c r="FQ13" s="26" t="str">
        <f>IF(FN13="","",((VLOOKUP(Compositions!S29,'HHV-LHV-MW'!$A$3:$F$40,4,FALSE))*(FN13/100)))</f>
        <v/>
      </c>
      <c r="FR13" s="26" t="str">
        <f>IF(FN13="","",((VLOOKUP(Compositions!S29,'HHV-LHV-MW'!$A$3:$F$40,5,FALSE))*(FN13/100)))</f>
        <v/>
      </c>
      <c r="FS13" s="39" t="str">
        <f>IF(FN13="","",((VLOOKUP(Compositions!S29,'HHV-LHV-MW'!$A$3:$F$40,6,FALSE))*(FN13/100)))</f>
        <v/>
      </c>
      <c r="FT13" s="26"/>
      <c r="FU13" s="26"/>
      <c r="FV13" s="26"/>
      <c r="FW13" s="177"/>
      <c r="FX13" s="177"/>
      <c r="FY13" s="177"/>
      <c r="FZ13" s="27" t="str">
        <f>IF(Compositions!V29="","",IF(Compositions!$V$25="mol%",Compositions!V29,GA13))</f>
        <v/>
      </c>
      <c r="GA13" s="27" t="str">
        <f t="shared" si="16"/>
        <v/>
      </c>
      <c r="GB13" s="27" t="str">
        <f>IF(Compositions!V29="","",(Compositions!V29/(VLOOKUP(Compositions!S29,'HHV-LHV-MW'!$A$3:$F$40,6,FALSE))))</f>
        <v/>
      </c>
      <c r="GC13" s="25" t="str">
        <f>IF(FZ13="","",((VLOOKUP(Compositions!S29,'HHV-LHV-MW'!$A$3:$F$40,4,FALSE))*(FZ13/100)))</f>
        <v/>
      </c>
      <c r="GD13" s="25" t="str">
        <f>IF(FZ13="","",((VLOOKUP(Compositions!S29,'HHV-LHV-MW'!$A$3:$F$40,5,FALSE))*(FZ13/100)))</f>
        <v/>
      </c>
      <c r="GE13" s="209" t="str">
        <f>IF(FZ13="","",((VLOOKUP(Compositions!S29,'HHV-LHV-MW'!$A$3:$F$40,6,FALSE))*(FZ13/100)))</f>
        <v/>
      </c>
      <c r="GF13" s="25"/>
      <c r="GG13" s="25"/>
      <c r="GH13" s="25"/>
      <c r="GI13" s="180"/>
      <c r="GJ13" s="180"/>
      <c r="GK13" s="180"/>
      <c r="GL13" s="28" t="str">
        <f>IF(Compositions!W29="","",IF(Compositions!$W$25="mol%",Compositions!W29,GM13))</f>
        <v/>
      </c>
      <c r="GM13" s="28" t="str">
        <f t="shared" si="17"/>
        <v/>
      </c>
      <c r="GN13" s="28" t="str">
        <f>IF(Compositions!W29="","",(Compositions!W29/(VLOOKUP(Compositions!S29,'HHV-LHV-MW'!$A$3:$F$40,6,FALSE))))</f>
        <v/>
      </c>
      <c r="GO13" s="26" t="str">
        <f>IF(GL13="","",((VLOOKUP(Compositions!S29,'HHV-LHV-MW'!$A$3:$F$40,4,FALSE))*(GL13/100)))</f>
        <v/>
      </c>
      <c r="GP13" s="26" t="str">
        <f>IF(GL13="","",((VLOOKUP(Compositions!S29,'HHV-LHV-MW'!$A$3:$F$40,5,FALSE))*(GL13/100)))</f>
        <v/>
      </c>
      <c r="GQ13" s="39" t="str">
        <f>IF(GL13="","",((VLOOKUP(Compositions!S29,'HHV-LHV-MW'!$A$3:$F$40,6,FALSE))*(GL13/100)))</f>
        <v/>
      </c>
      <c r="GR13" s="13"/>
      <c r="GS13" s="13"/>
      <c r="GT13" s="13"/>
      <c r="GU13" s="13"/>
      <c r="GV13" s="13"/>
      <c r="GW13" s="13"/>
      <c r="GY13" s="27" t="str">
        <f>IF(Compositions!Z29="","",IF(Compositions!$Z$25="mol%",Compositions!Z29,GZ13))</f>
        <v/>
      </c>
      <c r="GZ13" s="27" t="str">
        <f t="shared" si="18"/>
        <v/>
      </c>
      <c r="HA13" s="27" t="str">
        <f>IF(Compositions!Z29="","",(Compositions!Z29/(VLOOKUP(Compositions!Y29,'HHV-LHV-MW'!$A$3:$F$40,6,FALSE))))</f>
        <v/>
      </c>
      <c r="HB13" s="25" t="str">
        <f>IF(GY13="","",((VLOOKUP(Compositions!Y29,'HHV-LHV-MW'!$A$3:$F$40,4,FALSE))*(GY13/100)))</f>
        <v/>
      </c>
      <c r="HC13" s="25" t="str">
        <f>IF(GY13="","",((VLOOKUP(Compositions!Y29,'HHV-LHV-MW'!$A$3:$F$40,5,FALSE))*(GY13/100)))</f>
        <v/>
      </c>
      <c r="HD13" s="209" t="str">
        <f>IF(GY13="","",((VLOOKUP(Compositions!Y29,'HHV-LHV-MW'!$A$3:$F$40,6,FALSE))*(GY13/100)))</f>
        <v/>
      </c>
      <c r="HE13" s="25"/>
      <c r="HF13" s="25"/>
      <c r="HG13" s="25"/>
      <c r="HH13" s="180"/>
      <c r="HI13" s="180"/>
      <c r="HJ13" s="180"/>
      <c r="HK13" s="28" t="str">
        <f>IF(Compositions!AA29="","",IF(Compositions!$AA$25="mol%",Compositions!AA29,HL13))</f>
        <v/>
      </c>
      <c r="HL13" s="28" t="str">
        <f t="shared" si="19"/>
        <v/>
      </c>
      <c r="HM13" s="28" t="str">
        <f>IF(Compositions!AA29="","",(Compositions!AA29/(VLOOKUP(Compositions!Y29,'HHV-LHV-MW'!$A$3:$F$40,6,FALSE))))</f>
        <v/>
      </c>
      <c r="HN13" s="26" t="str">
        <f>IF(HK13="","",((VLOOKUP(Compositions!Y29,'HHV-LHV-MW'!$A$3:$F$40,4,FALSE))*(HK13/100)))</f>
        <v/>
      </c>
      <c r="HO13" s="26" t="str">
        <f>IF(HK13="","",((VLOOKUP(Compositions!Y29,'HHV-LHV-MW'!$A$3:$F$40,5,FALSE))*(HK13/100)))</f>
        <v/>
      </c>
      <c r="HP13" s="39" t="str">
        <f>IF(HK13="","",((VLOOKUP(Compositions!Y29,'HHV-LHV-MW'!$A$3:$F$40,6,FALSE))*(HK13/100)))</f>
        <v/>
      </c>
      <c r="HQ13" s="26"/>
      <c r="HR13" s="26"/>
      <c r="HS13" s="26"/>
      <c r="HT13" s="177"/>
      <c r="HU13" s="177"/>
      <c r="HV13" s="177"/>
      <c r="HW13" s="27" t="str">
        <f>IF(Compositions!AB29="","",IF(Compositions!$AB$25="mol%",Compositions!AB29,HX13))</f>
        <v/>
      </c>
      <c r="HX13" s="27" t="str">
        <f t="shared" si="20"/>
        <v/>
      </c>
      <c r="HY13" s="27" t="str">
        <f>IF(Compositions!AB29="","",(Compositions!AB29/(VLOOKUP(Compositions!Y29,'HHV-LHV-MW'!$A$3:$F$40,6,FALSE))))</f>
        <v/>
      </c>
      <c r="HZ13" s="25" t="str">
        <f>IF(HW13="","",((VLOOKUP(Compositions!Y29,'HHV-LHV-MW'!$A$3:$F$40,4,FALSE))*(HW13/100)))</f>
        <v/>
      </c>
      <c r="IA13" s="25" t="str">
        <f>IF(HW13="","",((VLOOKUP(Compositions!Y29,'HHV-LHV-MW'!$A$3:$F$40,5,FALSE))*(HW13/100)))</f>
        <v/>
      </c>
      <c r="IB13" s="209" t="str">
        <f>IF(HW13="","",((VLOOKUP(Compositions!Y29,'HHV-LHV-MW'!$A$3:$F$40,6,FALSE))*(HW13/100)))</f>
        <v/>
      </c>
      <c r="IC13" s="25"/>
      <c r="ID13" s="25"/>
      <c r="IE13" s="25"/>
      <c r="IF13" s="180"/>
      <c r="IG13" s="180"/>
      <c r="IH13" s="180"/>
      <c r="II13" s="28" t="str">
        <f>IF(Compositions!AC29="","",IF(Compositions!$AC$25="mol%",Compositions!AC29,IJ13))</f>
        <v/>
      </c>
      <c r="IJ13" s="28" t="str">
        <f t="shared" si="21"/>
        <v/>
      </c>
      <c r="IK13" s="28" t="str">
        <f>IF(Compositions!AC29="","",(Compositions!AC29/(VLOOKUP(Compositions!Y29,'HHV-LHV-MW'!$A$3:$F$40,6,FALSE))))</f>
        <v/>
      </c>
      <c r="IL13" s="26" t="str">
        <f>IF(II13="","",((VLOOKUP(Compositions!Y29,'HHV-LHV-MW'!$A$3:$F$40,4,FALSE))*(II13/100)))</f>
        <v/>
      </c>
      <c r="IM13" s="26" t="str">
        <f>IF(II13="","",((VLOOKUP(Compositions!Y29,'HHV-LHV-MW'!$A$3:$F$40,5,FALSE))*(II13/100)))</f>
        <v/>
      </c>
      <c r="IN13" s="39" t="str">
        <f>IF(II13="","",((VLOOKUP(Compositions!Y29,'HHV-LHV-MW'!$A$3:$F$40,6,FALSE))*(II13/100)))</f>
        <v/>
      </c>
      <c r="IO13" s="13"/>
      <c r="IP13" s="13"/>
      <c r="IQ13" s="13"/>
      <c r="IR13" s="13"/>
      <c r="IS13" s="13"/>
      <c r="IT13" s="13"/>
      <c r="IV13" s="27" t="str">
        <f>IF(Compositions!AF29="","",IF(Compositions!$AF$25="mol%",Compositions!AF29,IW13))</f>
        <v/>
      </c>
      <c r="IW13" s="27" t="str">
        <f t="shared" si="6"/>
        <v/>
      </c>
      <c r="IX13" s="27" t="str">
        <f>IF(Compositions!AF29="","",(Compositions!AF29/(VLOOKUP(Compositions!AE29,'HHV-LHV-MW'!$A$3:$F$40,6,FALSE))))</f>
        <v/>
      </c>
      <c r="IY13" s="25" t="str">
        <f>IF(IV13="","",((VLOOKUP(Compositions!AE29,'HHV-LHV-MW'!$A$3:$F$40,4,FALSE))*(IV13/100)))</f>
        <v/>
      </c>
      <c r="IZ13" s="25" t="str">
        <f>IF(IV13="","",((VLOOKUP(Compositions!AE29,'HHV-LHV-MW'!$A$3:$F$40,5,FALSE))*(IV13/100)))</f>
        <v/>
      </c>
      <c r="JA13" s="209" t="str">
        <f>IF(IV13="","",((VLOOKUP(Compositions!AE29,'HHV-LHV-MW'!$A$3:$F$40,6,FALSE))*(IV13/100)))</f>
        <v/>
      </c>
      <c r="JB13" s="25"/>
      <c r="JC13" s="25"/>
      <c r="JD13" s="25"/>
      <c r="JE13" s="180"/>
      <c r="JF13" s="180"/>
      <c r="JG13" s="180"/>
      <c r="JH13" s="28" t="str">
        <f>IF(Compositions!AG29="","",IF(Compositions!$AG$25="mol%",Compositions!AG29,JI13))</f>
        <v/>
      </c>
      <c r="JI13" s="28" t="str">
        <f t="shared" si="22"/>
        <v/>
      </c>
      <c r="JJ13" s="28" t="str">
        <f>IF(Compositions!AG29="","",(Compositions!AG29/(VLOOKUP(Compositions!AE29,'HHV-LHV-MW'!$A$3:$F$40,6,FALSE))))</f>
        <v/>
      </c>
      <c r="JK13" s="26" t="str">
        <f>IF(JH13="","",((VLOOKUP(Compositions!AE29,'HHV-LHV-MW'!$A$3:$F$40,4,FALSE))*(JH13/100)))</f>
        <v/>
      </c>
      <c r="JL13" s="26" t="str">
        <f>IF(JH13="","",((VLOOKUP(Compositions!AE29,'HHV-LHV-MW'!$A$3:$F$40,5,FALSE))*(JH13/100)))</f>
        <v/>
      </c>
      <c r="JM13" s="39" t="str">
        <f>IF(JH13="","",((VLOOKUP(Compositions!AE29,'HHV-LHV-MW'!$A$3:$F$40,6,FALSE))*(JH13/100)))</f>
        <v/>
      </c>
      <c r="JN13" s="26"/>
      <c r="JO13" s="26"/>
      <c r="JP13" s="26"/>
      <c r="JQ13" s="177"/>
      <c r="JR13" s="177"/>
      <c r="JS13" s="177"/>
      <c r="JT13" s="27" t="str">
        <f>IF(Compositions!AH29="","",IF(Compositions!$AH$25="mol%",Compositions!AH29,JU13))</f>
        <v/>
      </c>
      <c r="JU13" s="27" t="str">
        <f t="shared" si="23"/>
        <v/>
      </c>
      <c r="JV13" s="27" t="str">
        <f>IF(Compositions!AH29="","",(Compositions!AH29/(VLOOKUP(Compositions!AE29,'HHV-LHV-MW'!$A$3:$F$40,6,FALSE))))</f>
        <v/>
      </c>
      <c r="JW13" s="25" t="str">
        <f>IF(JT13="","",((VLOOKUP(Compositions!AE29,'HHV-LHV-MW'!$A$3:$F$40,4,FALSE))*(JT13/100)))</f>
        <v/>
      </c>
      <c r="JX13" s="25" t="str">
        <f>IF(JT13="","",((VLOOKUP(Compositions!AE29,'HHV-LHV-MW'!$A$3:$F$40,5,FALSE))*(JT13/100)))</f>
        <v/>
      </c>
      <c r="JY13" s="209" t="str">
        <f>IF(JT13="","",((VLOOKUP(Compositions!AE29,'HHV-LHV-MW'!$A$3:$F$40,6,FALSE))*(JT13/100)))</f>
        <v/>
      </c>
      <c r="JZ13" s="25"/>
      <c r="KA13" s="25"/>
      <c r="KB13" s="25"/>
      <c r="KC13" s="180"/>
      <c r="KD13" s="180"/>
      <c r="KE13" s="180"/>
      <c r="KF13" s="28" t="str">
        <f>IF(Compositions!AI29="","",IF(Compositions!$AI$25="mol%",Compositions!AI29,KG13))</f>
        <v/>
      </c>
      <c r="KG13" s="28" t="str">
        <f t="shared" si="24"/>
        <v/>
      </c>
      <c r="KH13" s="28" t="str">
        <f>IF(Compositions!AI29="","",(Compositions!AI29/(VLOOKUP(Compositions!AE29,'HHV-LHV-MW'!$A$3:$F$40,6,FALSE))))</f>
        <v/>
      </c>
      <c r="KI13" s="26" t="str">
        <f>IF(KF13="","",((VLOOKUP(Compositions!AE29,'HHV-LHV-MW'!$A$3:$F$40,4,FALSE))*(KF13/100)))</f>
        <v/>
      </c>
      <c r="KJ13" s="26" t="str">
        <f>IF(KF13="","",((VLOOKUP(Compositions!AE29,'HHV-LHV-MW'!$A$3:$F$40,5,FALSE))*(KF13/100)))</f>
        <v/>
      </c>
      <c r="KK13" s="39" t="str">
        <f>IF(KF13="","",((VLOOKUP(Compositions!AE29,'HHV-LHV-MW'!$A$3:$F$40,6,FALSE))*(KF13/100)))</f>
        <v/>
      </c>
      <c r="KL13" s="13"/>
      <c r="KM13" s="13"/>
      <c r="KN13" s="13"/>
    </row>
    <row r="14" spans="1:300" ht="15.6">
      <c r="A14" s="18" t="s">
        <v>183</v>
      </c>
      <c r="B14" s="19" t="s">
        <v>182</v>
      </c>
      <c r="C14" s="20">
        <v>2</v>
      </c>
      <c r="D14" s="20">
        <v>1.56</v>
      </c>
      <c r="E14" s="20">
        <v>1.4288000000000001</v>
      </c>
      <c r="F14" s="20">
        <v>30.06964</v>
      </c>
      <c r="G14" s="20">
        <f t="shared" si="0"/>
        <v>0</v>
      </c>
      <c r="H14" s="20">
        <v>0</v>
      </c>
      <c r="I14" s="170">
        <v>0</v>
      </c>
      <c r="K14" s="27" t="str">
        <f>IF(Compositions!B30="","",IF(Compositions!$B$25="mol%",Compositions!B30,L14))</f>
        <v/>
      </c>
      <c r="L14" s="27" t="str">
        <f t="shared" si="1"/>
        <v/>
      </c>
      <c r="M14" s="27" t="str">
        <f>IF(Compositions!B30="","",(Compositions!B30/(VLOOKUP(Compositions!A30,'HHV-LHV-MW'!$A$3:$F$40,6,FALSE))))</f>
        <v/>
      </c>
      <c r="N14" s="25" t="str">
        <f>IF(K14="","",((VLOOKUP(Compositions!A30,'HHV-LHV-MW'!$A$3:$F$40,4,FALSE))*(K14/100)))</f>
        <v/>
      </c>
      <c r="O14" s="25" t="str">
        <f>IF(K14="","",((VLOOKUP(Compositions!A30,'HHV-LHV-MW'!$A$3:$F$40,5,FALSE))*(K14/100)))</f>
        <v/>
      </c>
      <c r="P14" s="206" t="str">
        <f>IF(K14="","",((VLOOKUP(Compositions!A30,'HHV-LHV-MW'!$A$3:$F$40,6,FALSE))*(K14/100)))</f>
        <v/>
      </c>
      <c r="Q14" s="25"/>
      <c r="R14" s="25"/>
      <c r="S14" s="25"/>
      <c r="T14" s="166"/>
      <c r="U14" s="174"/>
      <c r="V14" s="180"/>
      <c r="W14" s="28" t="str">
        <f>IF(Compositions!C30="","",IF(Compositions!$C$25="mol%",Compositions!C30,X14))</f>
        <v/>
      </c>
      <c r="X14" s="28" t="str">
        <f t="shared" si="2"/>
        <v/>
      </c>
      <c r="Y14" s="28" t="str">
        <f>IF(Compositions!C30="","",(Compositions!C30/(VLOOKUP(Compositions!A30,'HHV-LHV-MW'!$A$3:$F$40,6,FALSE))))</f>
        <v/>
      </c>
      <c r="Z14" s="26" t="str">
        <f>IF(W14="","",((VLOOKUP(Compositions!A30,'HHV-LHV-MW'!$A$3:$F$40,4,FALSE))*(W14/100)))</f>
        <v/>
      </c>
      <c r="AA14" s="26" t="str">
        <f>IF(W14="","",((VLOOKUP(Compositions!A30,'HHV-LHV-MW'!$A$3:$F$40,5,FALSE))*(W14/100)))</f>
        <v/>
      </c>
      <c r="AB14" s="39" t="str">
        <f>IF(W14="","",((VLOOKUP(Compositions!A30,'HHV-LHV-MW'!$A$3:$F$40,6,FALSE))*(W14/100)))</f>
        <v/>
      </c>
      <c r="AC14" s="26"/>
      <c r="AD14" s="26"/>
      <c r="AE14" s="26"/>
      <c r="AF14" s="177"/>
      <c r="AG14" s="177"/>
      <c r="AH14" s="177"/>
      <c r="AI14" s="27" t="str">
        <f>IF(Compositions!D30="","",IF(Compositions!$D$25="mol%",Compositions!D30,AJ14))</f>
        <v/>
      </c>
      <c r="AJ14" s="27" t="str">
        <f t="shared" si="3"/>
        <v/>
      </c>
      <c r="AK14" s="27" t="str">
        <f>IF(Compositions!D30="","",(Compositions!D30/(VLOOKUP(Compositions!A30,'HHV-LHV-MW'!$A$3:$F$40,6,FALSE))))</f>
        <v/>
      </c>
      <c r="AL14" s="25" t="str">
        <f>IF(AI14="","",((VLOOKUP(Compositions!A30,'HHV-LHV-MW'!$A$3:$F$40,4,FALSE))*(AI14/100)))</f>
        <v/>
      </c>
      <c r="AM14" s="25" t="str">
        <f>IF(AI14="","",((VLOOKUP(Compositions!A30,'HHV-LHV-MW'!$A$3:$F$40,5,FALSE))*(AI14/100)))</f>
        <v/>
      </c>
      <c r="AN14" s="209" t="str">
        <f>IF(AI14="","",((VLOOKUP(Compositions!A30,'HHV-LHV-MW'!$A$3:$F$40,6,FALSE))*(AI14/100)))</f>
        <v/>
      </c>
      <c r="AO14" s="25"/>
      <c r="AP14" s="25"/>
      <c r="AQ14" s="25"/>
      <c r="AR14" s="180"/>
      <c r="AS14" s="180"/>
      <c r="AT14" s="180"/>
      <c r="AU14" s="28" t="str">
        <f>IF(Compositions!E30="","",IF(Compositions!$E$25="mol%",Compositions!E30,AV14))</f>
        <v/>
      </c>
      <c r="AV14" s="28" t="str">
        <f t="shared" si="4"/>
        <v/>
      </c>
      <c r="AW14" s="28" t="str">
        <f>IF(Compositions!E30="","",(Compositions!E30/(VLOOKUP(Compositions!A30,'HHV-LHV-MW'!$A$3:$F$40,6,FALSE))))</f>
        <v/>
      </c>
      <c r="AX14" s="26" t="str">
        <f>IF(AU14="","",((VLOOKUP(Compositions!A30,'HHV-LHV-MW'!$A$3:$F$40,4,FALSE))*(AU14/100)))</f>
        <v/>
      </c>
      <c r="AY14" s="26" t="str">
        <f>IF(AU14="","",((VLOOKUP(Compositions!A30,'HHV-LHV-MW'!$A$3:$F$40,5,FALSE))*(AU14/100)))</f>
        <v/>
      </c>
      <c r="AZ14" s="39" t="str">
        <f>IF(AU14="","",((VLOOKUP(Compositions!A30,'HHV-LHV-MW'!$A$3:$F$40,6,FALSE))*(AU14/100)))</f>
        <v/>
      </c>
      <c r="BA14" s="13"/>
      <c r="BB14" s="13"/>
      <c r="BC14" s="13"/>
      <c r="BD14" s="13"/>
      <c r="BE14" s="13"/>
      <c r="BF14" s="13"/>
      <c r="BH14" s="27" t="str">
        <f>IF(Compositions!H30="","",IF(Compositions!$H$25="mol%",Compositions!H30,BI14))</f>
        <v/>
      </c>
      <c r="BI14" s="27" t="str">
        <f t="shared" si="7"/>
        <v/>
      </c>
      <c r="BJ14" s="27" t="str">
        <f>IF(Compositions!H30="","",(Compositions!H30/(VLOOKUP(Compositions!G30,'HHV-LHV-MW'!$A$3:$F$40,6,FALSE))))</f>
        <v/>
      </c>
      <c r="BK14" s="25" t="str">
        <f>IF(BH14="","",((VLOOKUP(Compositions!G30,'HHV-LHV-MW'!$A$3:$F$40,4,FALSE))*(BH14/100)))</f>
        <v/>
      </c>
      <c r="BL14" s="25" t="str">
        <f>IF(BH14="","",((VLOOKUP(Compositions!G30,'HHV-LHV-MW'!$A$3:$F$40,5,FALSE))*(BH14/100)))</f>
        <v/>
      </c>
      <c r="BM14" s="209" t="str">
        <f>IF(BH14="","",((VLOOKUP(Compositions!G30,'HHV-LHV-MW'!$A$3:$F$40,6,FALSE))*(BH14/100)))</f>
        <v/>
      </c>
      <c r="BN14" s="25"/>
      <c r="BO14" s="25"/>
      <c r="BP14" s="25"/>
      <c r="BQ14" s="180"/>
      <c r="BR14" s="180"/>
      <c r="BS14" s="180"/>
      <c r="BT14" s="28" t="str">
        <f>IF(Compositions!I30="","",IF(Compositions!$I$25="mol%",Compositions!I30,BU14))</f>
        <v/>
      </c>
      <c r="BU14" s="28" t="str">
        <f t="shared" si="8"/>
        <v/>
      </c>
      <c r="BV14" s="28" t="str">
        <f>IF(Compositions!I30="","",(Compositions!I30/(VLOOKUP(Compositions!G30,'HHV-LHV-MW'!$A$3:$F$40,6,FALSE))))</f>
        <v/>
      </c>
      <c r="BW14" s="26" t="str">
        <f>IF(BT14="","",((VLOOKUP(Compositions!G30,'HHV-LHV-MW'!$A$3:$F$40,4,FALSE))*(BT14/100)))</f>
        <v/>
      </c>
      <c r="BX14" s="26" t="str">
        <f>IF(BT14="","",((VLOOKUP(Compositions!G30,'HHV-LHV-MW'!$A$3:$F$40,5,FALSE))*(BT14/100)))</f>
        <v/>
      </c>
      <c r="BY14" s="207" t="str">
        <f>IF(BT14="","",((VLOOKUP(Compositions!G30,'HHV-LHV-MW'!$A$3:$F$40,6,FALSE))*(BT14/100)))</f>
        <v/>
      </c>
      <c r="BZ14" s="26"/>
      <c r="CA14" s="26"/>
      <c r="CB14" s="26"/>
      <c r="CC14" s="177"/>
      <c r="CD14" s="177"/>
      <c r="CE14" s="177"/>
      <c r="CF14" s="27" t="str">
        <f>IF(Compositions!J30="","",IF(Compositions!$J$25="mol%",Compositions!J30,CG14))</f>
        <v/>
      </c>
      <c r="CG14" s="27" t="str">
        <f t="shared" si="9"/>
        <v/>
      </c>
      <c r="CH14" s="27" t="str">
        <f>IF(Compositions!J30="","",(Compositions!J30/(VLOOKUP(Compositions!G30,'HHV-LHV-MW'!$A$3:$F$40,6,FALSE))))</f>
        <v/>
      </c>
      <c r="CI14" s="25" t="str">
        <f>IF(CF14="","",((VLOOKUP(Compositions!G30,'HHV-LHV-MW'!$A$3:$F$40,4,FALSE))*(CF14/100)))</f>
        <v/>
      </c>
      <c r="CJ14" s="25" t="str">
        <f>IF(CF14="","",((VLOOKUP(Compositions!G30,'HHV-LHV-MW'!$A$3:$F$40,5,FALSE))*(CF14/100)))</f>
        <v/>
      </c>
      <c r="CK14" s="209" t="str">
        <f>IF(CF14="","",((VLOOKUP(Compositions!G30,'HHV-LHV-MW'!$A$3:$F$40,6,FALSE))*(CF14/100)))</f>
        <v/>
      </c>
      <c r="CL14" s="25"/>
      <c r="CM14" s="25"/>
      <c r="CN14" s="25"/>
      <c r="CO14" s="180"/>
      <c r="CP14" s="180"/>
      <c r="CQ14" s="180"/>
      <c r="CR14" s="28" t="str">
        <f>IF(Compositions!K30="","",IF(Compositions!$K$25="mol%",Compositions!K30,CS14))</f>
        <v/>
      </c>
      <c r="CS14" s="28" t="str">
        <f t="shared" si="10"/>
        <v/>
      </c>
      <c r="CT14" s="28" t="str">
        <f>IF(Compositions!K30="","",(Compositions!K30/(VLOOKUP(Compositions!G30,'HHV-LHV-MW'!$A$3:$F$40,6,FALSE))))</f>
        <v/>
      </c>
      <c r="CU14" s="26" t="str">
        <f>IF(CR14="","",((VLOOKUP(Compositions!G30,'HHV-LHV-MW'!$A$3:$F$40,4,FALSE))*(CR14/100)))</f>
        <v/>
      </c>
      <c r="CV14" s="26" t="str">
        <f>IF(CR14="","",((VLOOKUP(Compositions!G30,'HHV-LHV-MW'!$A$3:$F$40,5,FALSE))*(CR14/100)))</f>
        <v/>
      </c>
      <c r="CW14" s="207" t="str">
        <f>IF(CR14="","",((VLOOKUP(Compositions!G30,'HHV-LHV-MW'!$A$3:$F$40,6,FALSE))*(CR14/100)))</f>
        <v/>
      </c>
      <c r="CX14" s="13"/>
      <c r="CY14" s="13"/>
      <c r="CZ14" s="13"/>
      <c r="DA14" s="13"/>
      <c r="DB14" s="13"/>
      <c r="DC14" s="13"/>
      <c r="DE14" s="27" t="str">
        <f>IF(Compositions!N30="","",IF(Compositions!$N$25="mol%",Compositions!N30,DF14))</f>
        <v/>
      </c>
      <c r="DF14" s="27" t="str">
        <f t="shared" si="5"/>
        <v/>
      </c>
      <c r="DG14" s="27" t="str">
        <f>IF(Compositions!N30="","",(Compositions!N30/(VLOOKUP(Compositions!M30,'HHV-LHV-MW'!$A$3:$F$40,6,FALSE))))</f>
        <v/>
      </c>
      <c r="DH14" s="25" t="str">
        <f>IF(DE14="","",((VLOOKUP(Compositions!M30,'HHV-LHV-MW'!$A$3:$F$40,4,FALSE))*(DE14/100)))</f>
        <v/>
      </c>
      <c r="DI14" s="25" t="str">
        <f>IF(DE14="","",((VLOOKUP(Compositions!M30,'HHV-LHV-MW'!$A$3:$F$40,5,FALSE))*(DE14/100)))</f>
        <v/>
      </c>
      <c r="DJ14" s="209" t="str">
        <f>IF(DE14="","",((VLOOKUP(Compositions!M30,'HHV-LHV-MW'!$A$3:$F$40,6,FALSE))*(DE14/100)))</f>
        <v/>
      </c>
      <c r="DK14" s="25"/>
      <c r="DL14" s="25"/>
      <c r="DM14" s="25"/>
      <c r="DN14" s="180"/>
      <c r="DO14" s="180"/>
      <c r="DP14" s="180"/>
      <c r="DQ14" s="28" t="str">
        <f>IF(Compositions!O30="","",IF(Compositions!$O$25="mol%",Compositions!O30,DR14))</f>
        <v/>
      </c>
      <c r="DR14" s="28" t="str">
        <f t="shared" si="11"/>
        <v/>
      </c>
      <c r="DS14" s="28" t="str">
        <f>IF(Compositions!O30="","",(Compositions!O30/(VLOOKUP(Compositions!M30,'HHV-LHV-MW'!$A$3:$F$40,6,FALSE))))</f>
        <v/>
      </c>
      <c r="DT14" s="26" t="str">
        <f>IF(DQ14="","",((VLOOKUP(Compositions!M30,'HHV-LHV-MW'!$A$3:$F$40,4,FALSE))*(DQ14/100)))</f>
        <v/>
      </c>
      <c r="DU14" s="26" t="str">
        <f>IF(DQ14="","",((VLOOKUP(Compositions!M30,'HHV-LHV-MW'!$A$3:$F$40,5,FALSE))*(DQ14/100)))</f>
        <v/>
      </c>
      <c r="DV14" s="39" t="str">
        <f>IF(DQ14="","",((VLOOKUP(Compositions!M30,'HHV-LHV-MW'!$A$3:$F$40,6,FALSE))*(DQ14/100)))</f>
        <v/>
      </c>
      <c r="DW14" s="26"/>
      <c r="DX14" s="26"/>
      <c r="DY14" s="26"/>
      <c r="DZ14" s="177"/>
      <c r="EA14" s="177"/>
      <c r="EB14" s="177"/>
      <c r="EC14" s="27" t="str">
        <f>IF(Compositions!P30="","",IF(Compositions!$P$25="mol%",Compositions!P30,ED14))</f>
        <v/>
      </c>
      <c r="ED14" s="27" t="str">
        <f t="shared" si="12"/>
        <v/>
      </c>
      <c r="EE14" s="27" t="str">
        <f>IF(Compositions!P30="","",(Compositions!P30/(VLOOKUP(Compositions!M30,'HHV-LHV-MW'!$A$3:$F$40,6,FALSE))))</f>
        <v/>
      </c>
      <c r="EF14" s="25" t="str">
        <f>IF(EC14="","",((VLOOKUP(Compositions!M30,'HHV-LHV-MW'!$A$3:$F$40,4,FALSE))*(EC14/100)))</f>
        <v/>
      </c>
      <c r="EG14" s="25" t="str">
        <f>IF(EC14="","",((VLOOKUP(Compositions!M30,'HHV-LHV-MW'!$A$3:$F$40,5,FALSE))*(EC14/100)))</f>
        <v/>
      </c>
      <c r="EH14" s="209" t="str">
        <f>IF(EC14="","",((VLOOKUP(Compositions!M30,'HHV-LHV-MW'!$A$3:$F$40,6,FALSE))*(EC14/100)))</f>
        <v/>
      </c>
      <c r="EI14" s="25"/>
      <c r="EJ14" s="25"/>
      <c r="EK14" s="25"/>
      <c r="EL14" s="180"/>
      <c r="EM14" s="180"/>
      <c r="EN14" s="180"/>
      <c r="EO14" s="28" t="str">
        <f>IF(Compositions!Q30="","",IF(Compositions!$Q$25="mol%",Compositions!Q30,EP14))</f>
        <v/>
      </c>
      <c r="EP14" s="28" t="str">
        <f t="shared" si="13"/>
        <v/>
      </c>
      <c r="EQ14" s="28" t="str">
        <f>IF(Compositions!Q30="","",(Compositions!Q30/(VLOOKUP(Compositions!M30,'HHV-LHV-MW'!$A$3:$F$40,6,FALSE))))</f>
        <v/>
      </c>
      <c r="ER14" s="26" t="str">
        <f>IF(EO14="","",((VLOOKUP(Compositions!M30,'HHV-LHV-MW'!$A$3:$F$40,4,FALSE))*(EO14/100)))</f>
        <v/>
      </c>
      <c r="ES14" s="26" t="str">
        <f>IF(EO14="","",((VLOOKUP(Compositions!M30,'HHV-LHV-MW'!$A$3:$F$40,5,FALSE))*(EO14/100)))</f>
        <v/>
      </c>
      <c r="ET14" s="39" t="str">
        <f>IF(EO14="","",((VLOOKUP(Compositions!M30,'HHV-LHV-MW'!$A$3:$F$40,6,FALSE))*(EO14/100)))</f>
        <v/>
      </c>
      <c r="EU14" s="13"/>
      <c r="EV14" s="13"/>
      <c r="EW14" s="13"/>
      <c r="EX14" s="13"/>
      <c r="EY14" s="13"/>
      <c r="EZ14" s="13"/>
      <c r="FB14" s="27" t="str">
        <f>IF(Compositions!T30="","",IF(Compositions!$T$25="mol%",Compositions!T30,FC14))</f>
        <v/>
      </c>
      <c r="FC14" s="27" t="str">
        <f t="shared" si="14"/>
        <v/>
      </c>
      <c r="FD14" s="27" t="str">
        <f>IF(Compositions!T30="","",(Compositions!T30/(VLOOKUP(Compositions!S30,'HHV-LHV-MW'!$A$3:$F$40,6,FALSE))))</f>
        <v/>
      </c>
      <c r="FE14" s="25" t="str">
        <f>IF(FB14="","",((VLOOKUP(Compositions!S30,'HHV-LHV-MW'!$A$3:$F$40,4,FALSE))*(FB14/100)))</f>
        <v/>
      </c>
      <c r="FF14" s="25" t="str">
        <f>IF(FB14="","",((VLOOKUP(Compositions!S30,'HHV-LHV-MW'!$A$3:$F$40,5,FALSE))*(FB14/100)))</f>
        <v/>
      </c>
      <c r="FG14" s="209" t="str">
        <f>IF(FB14="","",((VLOOKUP(Compositions!S30,'HHV-LHV-MW'!$A$3:$F$40,6,FALSE))*(FB14/100)))</f>
        <v/>
      </c>
      <c r="FH14" s="25"/>
      <c r="FI14" s="25"/>
      <c r="FJ14" s="25"/>
      <c r="FK14" s="180"/>
      <c r="FL14" s="180"/>
      <c r="FM14" s="180"/>
      <c r="FN14" s="28" t="str">
        <f>IF(Compositions!U30="","",IF(Compositions!$U$25="mol%",Compositions!U30,FO14))</f>
        <v/>
      </c>
      <c r="FO14" s="28" t="str">
        <f t="shared" si="15"/>
        <v/>
      </c>
      <c r="FP14" s="28" t="str">
        <f>IF(Compositions!U30="","",(Compositions!U30/(VLOOKUP(Compositions!S30,'HHV-LHV-MW'!$A$3:$F$40,6,FALSE))))</f>
        <v/>
      </c>
      <c r="FQ14" s="26" t="str">
        <f>IF(FN14="","",((VLOOKUP(Compositions!S30,'HHV-LHV-MW'!$A$3:$F$40,4,FALSE))*(FN14/100)))</f>
        <v/>
      </c>
      <c r="FR14" s="26" t="str">
        <f>IF(FN14="","",((VLOOKUP(Compositions!S30,'HHV-LHV-MW'!$A$3:$F$40,5,FALSE))*(FN14/100)))</f>
        <v/>
      </c>
      <c r="FS14" s="39" t="str">
        <f>IF(FN14="","",((VLOOKUP(Compositions!S30,'HHV-LHV-MW'!$A$3:$F$40,6,FALSE))*(FN14/100)))</f>
        <v/>
      </c>
      <c r="FT14" s="26"/>
      <c r="FU14" s="26"/>
      <c r="FV14" s="26"/>
      <c r="FW14" s="177"/>
      <c r="FX14" s="177"/>
      <c r="FY14" s="177"/>
      <c r="FZ14" s="27" t="str">
        <f>IF(Compositions!V30="","",IF(Compositions!$V$25="mol%",Compositions!V30,GA14))</f>
        <v/>
      </c>
      <c r="GA14" s="27" t="str">
        <f t="shared" si="16"/>
        <v/>
      </c>
      <c r="GB14" s="27" t="str">
        <f>IF(Compositions!V30="","",(Compositions!V30/(VLOOKUP(Compositions!S30,'HHV-LHV-MW'!$A$3:$F$40,6,FALSE))))</f>
        <v/>
      </c>
      <c r="GC14" s="25" t="str">
        <f>IF(FZ14="","",((VLOOKUP(Compositions!S30,'HHV-LHV-MW'!$A$3:$F$40,4,FALSE))*(FZ14/100)))</f>
        <v/>
      </c>
      <c r="GD14" s="25" t="str">
        <f>IF(FZ14="","",((VLOOKUP(Compositions!S30,'HHV-LHV-MW'!$A$3:$F$40,5,FALSE))*(FZ14/100)))</f>
        <v/>
      </c>
      <c r="GE14" s="209" t="str">
        <f>IF(FZ14="","",((VLOOKUP(Compositions!S30,'HHV-LHV-MW'!$A$3:$F$40,6,FALSE))*(FZ14/100)))</f>
        <v/>
      </c>
      <c r="GF14" s="25"/>
      <c r="GG14" s="25"/>
      <c r="GH14" s="25"/>
      <c r="GI14" s="180"/>
      <c r="GJ14" s="180"/>
      <c r="GK14" s="180"/>
      <c r="GL14" s="28" t="str">
        <f>IF(Compositions!W30="","",IF(Compositions!$W$25="mol%",Compositions!W30,GM14))</f>
        <v/>
      </c>
      <c r="GM14" s="28" t="str">
        <f t="shared" si="17"/>
        <v/>
      </c>
      <c r="GN14" s="28" t="str">
        <f>IF(Compositions!W30="","",(Compositions!W30/(VLOOKUP(Compositions!S30,'HHV-LHV-MW'!$A$3:$F$40,6,FALSE))))</f>
        <v/>
      </c>
      <c r="GO14" s="26" t="str">
        <f>IF(GL14="","",((VLOOKUP(Compositions!S30,'HHV-LHV-MW'!$A$3:$F$40,4,FALSE))*(GL14/100)))</f>
        <v/>
      </c>
      <c r="GP14" s="26" t="str">
        <f>IF(GL14="","",((VLOOKUP(Compositions!S30,'HHV-LHV-MW'!$A$3:$F$40,5,FALSE))*(GL14/100)))</f>
        <v/>
      </c>
      <c r="GQ14" s="39" t="str">
        <f>IF(GL14="","",((VLOOKUP(Compositions!S30,'HHV-LHV-MW'!$A$3:$F$40,6,FALSE))*(GL14/100)))</f>
        <v/>
      </c>
      <c r="GR14" s="13"/>
      <c r="GS14" s="13"/>
      <c r="GT14" s="13"/>
      <c r="GU14" s="13"/>
      <c r="GV14" s="13"/>
      <c r="GW14" s="13"/>
      <c r="GY14" s="27" t="str">
        <f>IF(Compositions!Z30="","",IF(Compositions!$Z$25="mol%",Compositions!Z30,GZ14))</f>
        <v/>
      </c>
      <c r="GZ14" s="27" t="str">
        <f t="shared" si="18"/>
        <v/>
      </c>
      <c r="HA14" s="27" t="str">
        <f>IF(Compositions!Z30="","",(Compositions!Z30/(VLOOKUP(Compositions!Y30,'HHV-LHV-MW'!$A$3:$F$40,6,FALSE))))</f>
        <v/>
      </c>
      <c r="HB14" s="25" t="str">
        <f>IF(GY14="","",((VLOOKUP(Compositions!Y30,'HHV-LHV-MW'!$A$3:$F$40,4,FALSE))*(GY14/100)))</f>
        <v/>
      </c>
      <c r="HC14" s="25" t="str">
        <f>IF(GY14="","",((VLOOKUP(Compositions!Y30,'HHV-LHV-MW'!$A$3:$F$40,5,FALSE))*(GY14/100)))</f>
        <v/>
      </c>
      <c r="HD14" s="209" t="str">
        <f>IF(GY14="","",((VLOOKUP(Compositions!Y30,'HHV-LHV-MW'!$A$3:$F$40,6,FALSE))*(GY14/100)))</f>
        <v/>
      </c>
      <c r="HE14" s="25"/>
      <c r="HF14" s="25"/>
      <c r="HG14" s="25"/>
      <c r="HH14" s="180"/>
      <c r="HI14" s="180"/>
      <c r="HJ14" s="180"/>
      <c r="HK14" s="28" t="str">
        <f>IF(Compositions!AA30="","",IF(Compositions!$AA$25="mol%",Compositions!AA30,HL14))</f>
        <v/>
      </c>
      <c r="HL14" s="28" t="str">
        <f t="shared" si="19"/>
        <v/>
      </c>
      <c r="HM14" s="28" t="str">
        <f>IF(Compositions!AA30="","",(Compositions!AA30/(VLOOKUP(Compositions!Y30,'HHV-LHV-MW'!$A$3:$F$40,6,FALSE))))</f>
        <v/>
      </c>
      <c r="HN14" s="26" t="str">
        <f>IF(HK14="","",((VLOOKUP(Compositions!Y30,'HHV-LHV-MW'!$A$3:$F$40,4,FALSE))*(HK14/100)))</f>
        <v/>
      </c>
      <c r="HO14" s="26" t="str">
        <f>IF(HK14="","",((VLOOKUP(Compositions!Y30,'HHV-LHV-MW'!$A$3:$F$40,5,FALSE))*(HK14/100)))</f>
        <v/>
      </c>
      <c r="HP14" s="39" t="str">
        <f>IF(HK14="","",((VLOOKUP(Compositions!Y30,'HHV-LHV-MW'!$A$3:$F$40,6,FALSE))*(HK14/100)))</f>
        <v/>
      </c>
      <c r="HQ14" s="26"/>
      <c r="HR14" s="26"/>
      <c r="HS14" s="26"/>
      <c r="HT14" s="177"/>
      <c r="HU14" s="177"/>
      <c r="HV14" s="177"/>
      <c r="HW14" s="27" t="str">
        <f>IF(Compositions!AB30="","",IF(Compositions!$AB$25="mol%",Compositions!AB30,HX14))</f>
        <v/>
      </c>
      <c r="HX14" s="27" t="str">
        <f t="shared" si="20"/>
        <v/>
      </c>
      <c r="HY14" s="27" t="str">
        <f>IF(Compositions!AB30="","",(Compositions!AB30/(VLOOKUP(Compositions!Y30,'HHV-LHV-MW'!$A$3:$F$40,6,FALSE))))</f>
        <v/>
      </c>
      <c r="HZ14" s="25" t="str">
        <f>IF(HW14="","",((VLOOKUP(Compositions!Y30,'HHV-LHV-MW'!$A$3:$F$40,4,FALSE))*(HW14/100)))</f>
        <v/>
      </c>
      <c r="IA14" s="25" t="str">
        <f>IF(HW14="","",((VLOOKUP(Compositions!Y30,'HHV-LHV-MW'!$A$3:$F$40,5,FALSE))*(HW14/100)))</f>
        <v/>
      </c>
      <c r="IB14" s="209" t="str">
        <f>IF(HW14="","",((VLOOKUP(Compositions!Y30,'HHV-LHV-MW'!$A$3:$F$40,6,FALSE))*(HW14/100)))</f>
        <v/>
      </c>
      <c r="IC14" s="25"/>
      <c r="ID14" s="25"/>
      <c r="IE14" s="25"/>
      <c r="IF14" s="180"/>
      <c r="IG14" s="180"/>
      <c r="IH14" s="180"/>
      <c r="II14" s="28" t="str">
        <f>IF(Compositions!AC30="","",IF(Compositions!$AC$25="mol%",Compositions!AC30,IJ14))</f>
        <v/>
      </c>
      <c r="IJ14" s="28" t="str">
        <f t="shared" si="21"/>
        <v/>
      </c>
      <c r="IK14" s="28" t="str">
        <f>IF(Compositions!AC30="","",(Compositions!AC30/(VLOOKUP(Compositions!Y30,'HHV-LHV-MW'!$A$3:$F$40,6,FALSE))))</f>
        <v/>
      </c>
      <c r="IL14" s="26" t="str">
        <f>IF(II14="","",((VLOOKUP(Compositions!Y30,'HHV-LHV-MW'!$A$3:$F$40,4,FALSE))*(II14/100)))</f>
        <v/>
      </c>
      <c r="IM14" s="26" t="str">
        <f>IF(II14="","",((VLOOKUP(Compositions!Y30,'HHV-LHV-MW'!$A$3:$F$40,5,FALSE))*(II14/100)))</f>
        <v/>
      </c>
      <c r="IN14" s="39" t="str">
        <f>IF(II14="","",((VLOOKUP(Compositions!Y30,'HHV-LHV-MW'!$A$3:$F$40,6,FALSE))*(II14/100)))</f>
        <v/>
      </c>
      <c r="IO14" s="13"/>
      <c r="IP14" s="13"/>
      <c r="IQ14" s="13"/>
      <c r="IR14" s="13"/>
      <c r="IS14" s="13"/>
      <c r="IT14" s="13"/>
      <c r="IV14" s="27" t="str">
        <f>IF(Compositions!AF30="","",IF(Compositions!$AF$25="mol%",Compositions!AF30,IW14))</f>
        <v/>
      </c>
      <c r="IW14" s="27" t="str">
        <f t="shared" si="6"/>
        <v/>
      </c>
      <c r="IX14" s="27" t="str">
        <f>IF(Compositions!AF30="","",(Compositions!AF30/(VLOOKUP(Compositions!AE30,'HHV-LHV-MW'!$A$3:$F$40,6,FALSE))))</f>
        <v/>
      </c>
      <c r="IY14" s="25" t="str">
        <f>IF(IV14="","",((VLOOKUP(Compositions!AE30,'HHV-LHV-MW'!$A$3:$F$40,4,FALSE))*(IV14/100)))</f>
        <v/>
      </c>
      <c r="IZ14" s="25" t="str">
        <f>IF(IV14="","",((VLOOKUP(Compositions!AE30,'HHV-LHV-MW'!$A$3:$F$40,5,FALSE))*(IV14/100)))</f>
        <v/>
      </c>
      <c r="JA14" s="209" t="str">
        <f>IF(IV14="","",((VLOOKUP(Compositions!AE30,'HHV-LHV-MW'!$A$3:$F$40,6,FALSE))*(IV14/100)))</f>
        <v/>
      </c>
      <c r="JB14" s="25"/>
      <c r="JC14" s="25"/>
      <c r="JD14" s="25"/>
      <c r="JE14" s="180"/>
      <c r="JF14" s="180"/>
      <c r="JG14" s="180"/>
      <c r="JH14" s="28" t="str">
        <f>IF(Compositions!AG30="","",IF(Compositions!$AG$25="mol%",Compositions!AG30,JI14))</f>
        <v/>
      </c>
      <c r="JI14" s="28" t="str">
        <f t="shared" si="22"/>
        <v/>
      </c>
      <c r="JJ14" s="28" t="str">
        <f>IF(Compositions!AG30="","",(Compositions!AG30/(VLOOKUP(Compositions!AE30,'HHV-LHV-MW'!$A$3:$F$40,6,FALSE))))</f>
        <v/>
      </c>
      <c r="JK14" s="26" t="str">
        <f>IF(JH14="","",((VLOOKUP(Compositions!AE30,'HHV-LHV-MW'!$A$3:$F$40,4,FALSE))*(JH14/100)))</f>
        <v/>
      </c>
      <c r="JL14" s="26" t="str">
        <f>IF(JH14="","",((VLOOKUP(Compositions!AE30,'HHV-LHV-MW'!$A$3:$F$40,5,FALSE))*(JH14/100)))</f>
        <v/>
      </c>
      <c r="JM14" s="39" t="str">
        <f>IF(JH14="","",((VLOOKUP(Compositions!AE30,'HHV-LHV-MW'!$A$3:$F$40,6,FALSE))*(JH14/100)))</f>
        <v/>
      </c>
      <c r="JN14" s="26"/>
      <c r="JO14" s="26"/>
      <c r="JP14" s="26"/>
      <c r="JQ14" s="177"/>
      <c r="JR14" s="177"/>
      <c r="JS14" s="177"/>
      <c r="JT14" s="27" t="str">
        <f>IF(Compositions!AH30="","",IF(Compositions!$AH$25="mol%",Compositions!AH30,JU14))</f>
        <v/>
      </c>
      <c r="JU14" s="27" t="str">
        <f t="shared" si="23"/>
        <v/>
      </c>
      <c r="JV14" s="27" t="str">
        <f>IF(Compositions!AH30="","",(Compositions!AH30/(VLOOKUP(Compositions!AE30,'HHV-LHV-MW'!$A$3:$F$40,6,FALSE))))</f>
        <v/>
      </c>
      <c r="JW14" s="25" t="str">
        <f>IF(JT14="","",((VLOOKUP(Compositions!AE30,'HHV-LHV-MW'!$A$3:$F$40,4,FALSE))*(JT14/100)))</f>
        <v/>
      </c>
      <c r="JX14" s="25" t="str">
        <f>IF(JT14="","",((VLOOKUP(Compositions!AE30,'HHV-LHV-MW'!$A$3:$F$40,5,FALSE))*(JT14/100)))</f>
        <v/>
      </c>
      <c r="JY14" s="209" t="str">
        <f>IF(JT14="","",((VLOOKUP(Compositions!AE30,'HHV-LHV-MW'!$A$3:$F$40,6,FALSE))*(JT14/100)))</f>
        <v/>
      </c>
      <c r="JZ14" s="25"/>
      <c r="KA14" s="25"/>
      <c r="KB14" s="25"/>
      <c r="KC14" s="180"/>
      <c r="KD14" s="180"/>
      <c r="KE14" s="180"/>
      <c r="KF14" s="28" t="str">
        <f>IF(Compositions!AI30="","",IF(Compositions!$AI$25="mol%",Compositions!AI30,KG14))</f>
        <v/>
      </c>
      <c r="KG14" s="28" t="str">
        <f t="shared" si="24"/>
        <v/>
      </c>
      <c r="KH14" s="28" t="str">
        <f>IF(Compositions!AI30="","",(Compositions!AI30/(VLOOKUP(Compositions!AE30,'HHV-LHV-MW'!$A$3:$F$40,6,FALSE))))</f>
        <v/>
      </c>
      <c r="KI14" s="26" t="str">
        <f>IF(KF14="","",((VLOOKUP(Compositions!AE30,'HHV-LHV-MW'!$A$3:$F$40,4,FALSE))*(KF14/100)))</f>
        <v/>
      </c>
      <c r="KJ14" s="26" t="str">
        <f>IF(KF14="","",((VLOOKUP(Compositions!AE30,'HHV-LHV-MW'!$A$3:$F$40,5,FALSE))*(KF14/100)))</f>
        <v/>
      </c>
      <c r="KK14" s="39" t="str">
        <f>IF(KF14="","",((VLOOKUP(Compositions!AE30,'HHV-LHV-MW'!$A$3:$F$40,6,FALSE))*(KF14/100)))</f>
        <v/>
      </c>
      <c r="KL14" s="13"/>
      <c r="KM14" s="13"/>
      <c r="KN14" s="13"/>
    </row>
    <row r="15" spans="1:300" ht="15.6">
      <c r="A15" s="173" t="s">
        <v>185</v>
      </c>
      <c r="B15" s="19" t="s">
        <v>184</v>
      </c>
      <c r="C15" s="20">
        <v>3</v>
      </c>
      <c r="D15" s="20">
        <v>2.2223999999999999</v>
      </c>
      <c r="E15" s="20">
        <v>2.0432999999999999</v>
      </c>
      <c r="F15" s="20">
        <v>44.096519999999998</v>
      </c>
      <c r="G15" s="20">
        <f t="shared" si="0"/>
        <v>0</v>
      </c>
      <c r="H15" s="20">
        <v>0</v>
      </c>
      <c r="I15" s="170">
        <v>1</v>
      </c>
      <c r="K15" s="27" t="str">
        <f>IF(Compositions!B31="","",IF(Compositions!$B$25="mol%",Compositions!B31,L15))</f>
        <v/>
      </c>
      <c r="L15" s="27" t="str">
        <f t="shared" si="1"/>
        <v/>
      </c>
      <c r="M15" s="27" t="str">
        <f>IF(Compositions!B31="","",(Compositions!B31/(VLOOKUP(Compositions!A31,'HHV-LHV-MW'!$A$3:$F$40,6,FALSE))))</f>
        <v/>
      </c>
      <c r="N15" s="25" t="str">
        <f>IF(K15="","",((VLOOKUP(Compositions!A31,'HHV-LHV-MW'!$A$3:$F$40,4,FALSE))*(K15/100)))</f>
        <v/>
      </c>
      <c r="O15" s="25" t="str">
        <f>IF(K15="","",((VLOOKUP(Compositions!A31,'HHV-LHV-MW'!$A$3:$F$40,5,FALSE))*(K15/100)))</f>
        <v/>
      </c>
      <c r="P15" s="206" t="str">
        <f>IF(K15="","",((VLOOKUP(Compositions!A31,'HHV-LHV-MW'!$A$3:$F$40,6,FALSE))*(K15/100)))</f>
        <v/>
      </c>
      <c r="Q15" s="25"/>
      <c r="R15" s="25"/>
      <c r="S15" s="25"/>
      <c r="T15" s="166"/>
      <c r="U15" s="174"/>
      <c r="V15" s="180"/>
      <c r="W15" s="28" t="str">
        <f>IF(Compositions!C31="","",IF(Compositions!$C$25="mol%",Compositions!C31,X15))</f>
        <v/>
      </c>
      <c r="X15" s="28" t="str">
        <f t="shared" si="2"/>
        <v/>
      </c>
      <c r="Y15" s="28" t="str">
        <f>IF(Compositions!C31="","",(Compositions!C31/(VLOOKUP(Compositions!A31,'HHV-LHV-MW'!$A$3:$F$40,6,FALSE))))</f>
        <v/>
      </c>
      <c r="Z15" s="26" t="str">
        <f>IF(W15="","",((VLOOKUP(Compositions!A31,'HHV-LHV-MW'!$A$3:$F$40,4,FALSE))*(W15/100)))</f>
        <v/>
      </c>
      <c r="AA15" s="26" t="str">
        <f>IF(W15="","",((VLOOKUP(Compositions!A31,'HHV-LHV-MW'!$A$3:$F$40,5,FALSE))*(W15/100)))</f>
        <v/>
      </c>
      <c r="AB15" s="39" t="str">
        <f>IF(W15="","",((VLOOKUP(Compositions!A31,'HHV-LHV-MW'!$A$3:$F$40,6,FALSE))*(W15/100)))</f>
        <v/>
      </c>
      <c r="AC15" s="26"/>
      <c r="AD15" s="26"/>
      <c r="AE15" s="26"/>
      <c r="AF15" s="177"/>
      <c r="AG15" s="177"/>
      <c r="AH15" s="177"/>
      <c r="AI15" s="27" t="str">
        <f>IF(Compositions!D31="","",IF(Compositions!$D$25="mol%",Compositions!D31,AJ15))</f>
        <v/>
      </c>
      <c r="AJ15" s="27" t="str">
        <f t="shared" si="3"/>
        <v/>
      </c>
      <c r="AK15" s="27" t="str">
        <f>IF(Compositions!D31="","",(Compositions!D31/(VLOOKUP(Compositions!A31,'HHV-LHV-MW'!$A$3:$F$40,6,FALSE))))</f>
        <v/>
      </c>
      <c r="AL15" s="25" t="str">
        <f>IF(AI15="","",((VLOOKUP(Compositions!A31,'HHV-LHV-MW'!$A$3:$F$40,4,FALSE))*(AI15/100)))</f>
        <v/>
      </c>
      <c r="AM15" s="25" t="str">
        <f>IF(AI15="","",((VLOOKUP(Compositions!A31,'HHV-LHV-MW'!$A$3:$F$40,5,FALSE))*(AI15/100)))</f>
        <v/>
      </c>
      <c r="AN15" s="209" t="str">
        <f>IF(AI15="","",((VLOOKUP(Compositions!A31,'HHV-LHV-MW'!$A$3:$F$40,6,FALSE))*(AI15/100)))</f>
        <v/>
      </c>
      <c r="AO15" s="25"/>
      <c r="AP15" s="25"/>
      <c r="AQ15" s="25"/>
      <c r="AR15" s="180"/>
      <c r="AS15" s="180"/>
      <c r="AT15" s="180"/>
      <c r="AU15" s="28" t="str">
        <f>IF(Compositions!E31="","",IF(Compositions!$E$25="mol%",Compositions!E31,AV15))</f>
        <v/>
      </c>
      <c r="AV15" s="28" t="str">
        <f t="shared" si="4"/>
        <v/>
      </c>
      <c r="AW15" s="28" t="str">
        <f>IF(Compositions!E31="","",(Compositions!E31/(VLOOKUP(Compositions!A31,'HHV-LHV-MW'!$A$3:$F$40,6,FALSE))))</f>
        <v/>
      </c>
      <c r="AX15" s="26" t="str">
        <f>IF(AU15="","",((VLOOKUP(Compositions!A31,'HHV-LHV-MW'!$A$3:$F$40,4,FALSE))*(AU15/100)))</f>
        <v/>
      </c>
      <c r="AY15" s="26" t="str">
        <f>IF(AU15="","",((VLOOKUP(Compositions!A31,'HHV-LHV-MW'!$A$3:$F$40,5,FALSE))*(AU15/100)))</f>
        <v/>
      </c>
      <c r="AZ15" s="39" t="str">
        <f>IF(AU15="","",((VLOOKUP(Compositions!A31,'HHV-LHV-MW'!$A$3:$F$40,6,FALSE))*(AU15/100)))</f>
        <v/>
      </c>
      <c r="BA15" s="13"/>
      <c r="BB15" s="13"/>
      <c r="BC15" s="13"/>
      <c r="BD15" s="13"/>
      <c r="BE15" s="13"/>
      <c r="BF15" s="13"/>
      <c r="BH15" s="27" t="str">
        <f>IF(Compositions!H31="","",IF(Compositions!$H$25="mol%",Compositions!H31,BI15))</f>
        <v/>
      </c>
      <c r="BI15" s="27" t="str">
        <f t="shared" si="7"/>
        <v/>
      </c>
      <c r="BJ15" s="27" t="str">
        <f>IF(Compositions!H31="","",(Compositions!H31/(VLOOKUP(Compositions!G31,'HHV-LHV-MW'!$A$3:$F$40,6,FALSE))))</f>
        <v/>
      </c>
      <c r="BK15" s="25" t="str">
        <f>IF(BH15="","",((VLOOKUP(Compositions!G31,'HHV-LHV-MW'!$A$3:$F$40,4,FALSE))*(BH15/100)))</f>
        <v/>
      </c>
      <c r="BL15" s="25" t="str">
        <f>IF(BH15="","",((VLOOKUP(Compositions!G31,'HHV-LHV-MW'!$A$3:$F$40,5,FALSE))*(BH15/100)))</f>
        <v/>
      </c>
      <c r="BM15" s="209" t="str">
        <f>IF(BH15="","",((VLOOKUP(Compositions!G31,'HHV-LHV-MW'!$A$3:$F$40,6,FALSE))*(BH15/100)))</f>
        <v/>
      </c>
      <c r="BN15" s="25"/>
      <c r="BO15" s="25"/>
      <c r="BP15" s="25"/>
      <c r="BQ15" s="180"/>
      <c r="BR15" s="180"/>
      <c r="BS15" s="180"/>
      <c r="BT15" s="28" t="str">
        <f>IF(Compositions!I31="","",IF(Compositions!$I$25="mol%",Compositions!I31,BU15))</f>
        <v/>
      </c>
      <c r="BU15" s="28" t="str">
        <f t="shared" si="8"/>
        <v/>
      </c>
      <c r="BV15" s="28" t="str">
        <f>IF(Compositions!I31="","",(Compositions!I31/(VLOOKUP(Compositions!G31,'HHV-LHV-MW'!$A$3:$F$40,6,FALSE))))</f>
        <v/>
      </c>
      <c r="BW15" s="26" t="str">
        <f>IF(BT15="","",((VLOOKUP(Compositions!G31,'HHV-LHV-MW'!$A$3:$F$40,4,FALSE))*(BT15/100)))</f>
        <v/>
      </c>
      <c r="BX15" s="26" t="str">
        <f>IF(BT15="","",((VLOOKUP(Compositions!G31,'HHV-LHV-MW'!$A$3:$F$40,5,FALSE))*(BT15/100)))</f>
        <v/>
      </c>
      <c r="BY15" s="207" t="str">
        <f>IF(BT15="","",((VLOOKUP(Compositions!G31,'HHV-LHV-MW'!$A$3:$F$40,6,FALSE))*(BT15/100)))</f>
        <v/>
      </c>
      <c r="BZ15" s="26"/>
      <c r="CA15" s="26"/>
      <c r="CB15" s="26"/>
      <c r="CC15" s="177"/>
      <c r="CD15" s="177"/>
      <c r="CE15" s="177"/>
      <c r="CF15" s="27" t="str">
        <f>IF(Compositions!J31="","",IF(Compositions!$J$25="mol%",Compositions!J31,CG15))</f>
        <v/>
      </c>
      <c r="CG15" s="27" t="str">
        <f t="shared" si="9"/>
        <v/>
      </c>
      <c r="CH15" s="27" t="str">
        <f>IF(Compositions!J31="","",(Compositions!J31/(VLOOKUP(Compositions!G31,'HHV-LHV-MW'!$A$3:$F$40,6,FALSE))))</f>
        <v/>
      </c>
      <c r="CI15" s="25" t="str">
        <f>IF(CF15="","",((VLOOKUP(Compositions!G31,'HHV-LHV-MW'!$A$3:$F$40,4,FALSE))*(CF15/100)))</f>
        <v/>
      </c>
      <c r="CJ15" s="25" t="str">
        <f>IF(CF15="","",((VLOOKUP(Compositions!G31,'HHV-LHV-MW'!$A$3:$F$40,5,FALSE))*(CF15/100)))</f>
        <v/>
      </c>
      <c r="CK15" s="209" t="str">
        <f>IF(CF15="","",((VLOOKUP(Compositions!G31,'HHV-LHV-MW'!$A$3:$F$40,6,FALSE))*(CF15/100)))</f>
        <v/>
      </c>
      <c r="CL15" s="25"/>
      <c r="CM15" s="25"/>
      <c r="CN15" s="25"/>
      <c r="CO15" s="180"/>
      <c r="CP15" s="180"/>
      <c r="CQ15" s="180"/>
      <c r="CR15" s="28" t="str">
        <f>IF(Compositions!K31="","",IF(Compositions!$K$25="mol%",Compositions!K31,CS15))</f>
        <v/>
      </c>
      <c r="CS15" s="28" t="str">
        <f t="shared" si="10"/>
        <v/>
      </c>
      <c r="CT15" s="28" t="str">
        <f>IF(Compositions!K31="","",(Compositions!K31/(VLOOKUP(Compositions!G31,'HHV-LHV-MW'!$A$3:$F$40,6,FALSE))))</f>
        <v/>
      </c>
      <c r="CU15" s="26" t="str">
        <f>IF(CR15="","",((VLOOKUP(Compositions!G31,'HHV-LHV-MW'!$A$3:$F$40,4,FALSE))*(CR15/100)))</f>
        <v/>
      </c>
      <c r="CV15" s="26" t="str">
        <f>IF(CR15="","",((VLOOKUP(Compositions!G31,'HHV-LHV-MW'!$A$3:$F$40,5,FALSE))*(CR15/100)))</f>
        <v/>
      </c>
      <c r="CW15" s="207" t="str">
        <f>IF(CR15="","",((VLOOKUP(Compositions!G31,'HHV-LHV-MW'!$A$3:$F$40,6,FALSE))*(CR15/100)))</f>
        <v/>
      </c>
      <c r="CX15" s="13"/>
      <c r="CY15" s="13"/>
      <c r="CZ15" s="13"/>
      <c r="DA15" s="13"/>
      <c r="DB15" s="13"/>
      <c r="DC15" s="13"/>
      <c r="DE15" s="27" t="str">
        <f>IF(Compositions!N31="","",IF(Compositions!$N$25="mol%",Compositions!N31,DF15))</f>
        <v/>
      </c>
      <c r="DF15" s="27" t="str">
        <f t="shared" si="5"/>
        <v/>
      </c>
      <c r="DG15" s="27" t="str">
        <f>IF(Compositions!N31="","",(Compositions!N31/(VLOOKUP(Compositions!M31,'HHV-LHV-MW'!$A$3:$F$40,6,FALSE))))</f>
        <v/>
      </c>
      <c r="DH15" s="25" t="str">
        <f>IF(DE15="","",((VLOOKUP(Compositions!M31,'HHV-LHV-MW'!$A$3:$F$40,4,FALSE))*(DE15/100)))</f>
        <v/>
      </c>
      <c r="DI15" s="25" t="str">
        <f>IF(DE15="","",((VLOOKUP(Compositions!M31,'HHV-LHV-MW'!$A$3:$F$40,5,FALSE))*(DE15/100)))</f>
        <v/>
      </c>
      <c r="DJ15" s="209" t="str">
        <f>IF(DE15="","",((VLOOKUP(Compositions!M31,'HHV-LHV-MW'!$A$3:$F$40,6,FALSE))*(DE15/100)))</f>
        <v/>
      </c>
      <c r="DK15" s="25"/>
      <c r="DL15" s="25"/>
      <c r="DM15" s="25"/>
      <c r="DN15" s="180"/>
      <c r="DO15" s="180"/>
      <c r="DP15" s="180"/>
      <c r="DQ15" s="28" t="str">
        <f>IF(Compositions!O31="","",IF(Compositions!$O$25="mol%",Compositions!O31,DR15))</f>
        <v/>
      </c>
      <c r="DR15" s="28" t="str">
        <f t="shared" si="11"/>
        <v/>
      </c>
      <c r="DS15" s="28" t="str">
        <f>IF(Compositions!O31="","",(Compositions!O31/(VLOOKUP(Compositions!M31,'HHV-LHV-MW'!$A$3:$F$40,6,FALSE))))</f>
        <v/>
      </c>
      <c r="DT15" s="26" t="str">
        <f>IF(DQ15="","",((VLOOKUP(Compositions!M31,'HHV-LHV-MW'!$A$3:$F$40,4,FALSE))*(DQ15/100)))</f>
        <v/>
      </c>
      <c r="DU15" s="26" t="str">
        <f>IF(DQ15="","",((VLOOKUP(Compositions!M31,'HHV-LHV-MW'!$A$3:$F$40,5,FALSE))*(DQ15/100)))</f>
        <v/>
      </c>
      <c r="DV15" s="39" t="str">
        <f>IF(DQ15="","",((VLOOKUP(Compositions!M31,'HHV-LHV-MW'!$A$3:$F$40,6,FALSE))*(DQ15/100)))</f>
        <v/>
      </c>
      <c r="DW15" s="26"/>
      <c r="DX15" s="26"/>
      <c r="DY15" s="26"/>
      <c r="DZ15" s="177"/>
      <c r="EA15" s="177"/>
      <c r="EB15" s="177"/>
      <c r="EC15" s="27" t="str">
        <f>IF(Compositions!P31="","",IF(Compositions!$P$25="mol%",Compositions!P31,ED15))</f>
        <v/>
      </c>
      <c r="ED15" s="27" t="str">
        <f t="shared" si="12"/>
        <v/>
      </c>
      <c r="EE15" s="27" t="str">
        <f>IF(Compositions!P31="","",(Compositions!P31/(VLOOKUP(Compositions!M31,'HHV-LHV-MW'!$A$3:$F$40,6,FALSE))))</f>
        <v/>
      </c>
      <c r="EF15" s="25" t="str">
        <f>IF(EC15="","",((VLOOKUP(Compositions!M31,'HHV-LHV-MW'!$A$3:$F$40,4,FALSE))*(EC15/100)))</f>
        <v/>
      </c>
      <c r="EG15" s="25" t="str">
        <f>IF(EC15="","",((VLOOKUP(Compositions!M31,'HHV-LHV-MW'!$A$3:$F$40,5,FALSE))*(EC15/100)))</f>
        <v/>
      </c>
      <c r="EH15" s="209" t="str">
        <f>IF(EC15="","",((VLOOKUP(Compositions!M31,'HHV-LHV-MW'!$A$3:$F$40,6,FALSE))*(EC15/100)))</f>
        <v/>
      </c>
      <c r="EI15" s="25"/>
      <c r="EJ15" s="25"/>
      <c r="EK15" s="25"/>
      <c r="EL15" s="180"/>
      <c r="EM15" s="180"/>
      <c r="EN15" s="180"/>
      <c r="EO15" s="28" t="str">
        <f>IF(Compositions!Q31="","",IF(Compositions!$Q$25="mol%",Compositions!Q31,EP15))</f>
        <v/>
      </c>
      <c r="EP15" s="28" t="str">
        <f t="shared" si="13"/>
        <v/>
      </c>
      <c r="EQ15" s="28" t="str">
        <f>IF(Compositions!Q31="","",(Compositions!Q31/(VLOOKUP(Compositions!M31,'HHV-LHV-MW'!$A$3:$F$40,6,FALSE))))</f>
        <v/>
      </c>
      <c r="ER15" s="26" t="str">
        <f>IF(EO15="","",((VLOOKUP(Compositions!M31,'HHV-LHV-MW'!$A$3:$F$40,4,FALSE))*(EO15/100)))</f>
        <v/>
      </c>
      <c r="ES15" s="26" t="str">
        <f>IF(EO15="","",((VLOOKUP(Compositions!M31,'HHV-LHV-MW'!$A$3:$F$40,5,FALSE))*(EO15/100)))</f>
        <v/>
      </c>
      <c r="ET15" s="39" t="str">
        <f>IF(EO15="","",((VLOOKUP(Compositions!M31,'HHV-LHV-MW'!$A$3:$F$40,6,FALSE))*(EO15/100)))</f>
        <v/>
      </c>
      <c r="EU15" s="13"/>
      <c r="EV15" s="13"/>
      <c r="EW15" s="13"/>
      <c r="EX15" s="13"/>
      <c r="EY15" s="13"/>
      <c r="EZ15" s="13"/>
      <c r="FB15" s="27" t="str">
        <f>IF(Compositions!T31="","",IF(Compositions!$T$25="mol%",Compositions!T31,FC15))</f>
        <v/>
      </c>
      <c r="FC15" s="27" t="str">
        <f t="shared" si="14"/>
        <v/>
      </c>
      <c r="FD15" s="27" t="str">
        <f>IF(Compositions!T31="","",(Compositions!T31/(VLOOKUP(Compositions!S31,'HHV-LHV-MW'!$A$3:$F$40,6,FALSE))))</f>
        <v/>
      </c>
      <c r="FE15" s="25" t="str">
        <f>IF(FB15="","",((VLOOKUP(Compositions!S31,'HHV-LHV-MW'!$A$3:$F$40,4,FALSE))*(FB15/100)))</f>
        <v/>
      </c>
      <c r="FF15" s="25" t="str">
        <f>IF(FB15="","",((VLOOKUP(Compositions!S31,'HHV-LHV-MW'!$A$3:$F$40,5,FALSE))*(FB15/100)))</f>
        <v/>
      </c>
      <c r="FG15" s="209" t="str">
        <f>IF(FB15="","",((VLOOKUP(Compositions!S31,'HHV-LHV-MW'!$A$3:$F$40,6,FALSE))*(FB15/100)))</f>
        <v/>
      </c>
      <c r="FH15" s="25"/>
      <c r="FI15" s="25"/>
      <c r="FJ15" s="25"/>
      <c r="FK15" s="180"/>
      <c r="FL15" s="180"/>
      <c r="FM15" s="180"/>
      <c r="FN15" s="28" t="str">
        <f>IF(Compositions!U31="","",IF(Compositions!$U$25="mol%",Compositions!U31,FO15))</f>
        <v/>
      </c>
      <c r="FO15" s="28" t="str">
        <f t="shared" si="15"/>
        <v/>
      </c>
      <c r="FP15" s="28" t="str">
        <f>IF(Compositions!U31="","",(Compositions!U31/(VLOOKUP(Compositions!S31,'HHV-LHV-MW'!$A$3:$F$40,6,FALSE))))</f>
        <v/>
      </c>
      <c r="FQ15" s="26" t="str">
        <f>IF(FN15="","",((VLOOKUP(Compositions!S31,'HHV-LHV-MW'!$A$3:$F$40,4,FALSE))*(FN15/100)))</f>
        <v/>
      </c>
      <c r="FR15" s="26" t="str">
        <f>IF(FN15="","",((VLOOKUP(Compositions!S31,'HHV-LHV-MW'!$A$3:$F$40,5,FALSE))*(FN15/100)))</f>
        <v/>
      </c>
      <c r="FS15" s="39" t="str">
        <f>IF(FN15="","",((VLOOKUP(Compositions!S31,'HHV-LHV-MW'!$A$3:$F$40,6,FALSE))*(FN15/100)))</f>
        <v/>
      </c>
      <c r="FT15" s="26"/>
      <c r="FU15" s="26"/>
      <c r="FV15" s="26"/>
      <c r="FW15" s="177"/>
      <c r="FX15" s="177"/>
      <c r="FY15" s="177"/>
      <c r="FZ15" s="27" t="str">
        <f>IF(Compositions!V31="","",IF(Compositions!$V$25="mol%",Compositions!V31,GA15))</f>
        <v/>
      </c>
      <c r="GA15" s="27" t="str">
        <f t="shared" si="16"/>
        <v/>
      </c>
      <c r="GB15" s="27" t="str">
        <f>IF(Compositions!V31="","",(Compositions!V31/(VLOOKUP(Compositions!S31,'HHV-LHV-MW'!$A$3:$F$40,6,FALSE))))</f>
        <v/>
      </c>
      <c r="GC15" s="25" t="str">
        <f>IF(FZ15="","",((VLOOKUP(Compositions!S31,'HHV-LHV-MW'!$A$3:$F$40,4,FALSE))*(FZ15/100)))</f>
        <v/>
      </c>
      <c r="GD15" s="25" t="str">
        <f>IF(FZ15="","",((VLOOKUP(Compositions!S31,'HHV-LHV-MW'!$A$3:$F$40,5,FALSE))*(FZ15/100)))</f>
        <v/>
      </c>
      <c r="GE15" s="209" t="str">
        <f>IF(FZ15="","",((VLOOKUP(Compositions!S31,'HHV-LHV-MW'!$A$3:$F$40,6,FALSE))*(FZ15/100)))</f>
        <v/>
      </c>
      <c r="GF15" s="25"/>
      <c r="GG15" s="25"/>
      <c r="GH15" s="25"/>
      <c r="GI15" s="180"/>
      <c r="GJ15" s="180"/>
      <c r="GK15" s="180"/>
      <c r="GL15" s="28" t="str">
        <f>IF(Compositions!W31="","",IF(Compositions!$W$25="mol%",Compositions!W31,GM15))</f>
        <v/>
      </c>
      <c r="GM15" s="28" t="str">
        <f t="shared" si="17"/>
        <v/>
      </c>
      <c r="GN15" s="28" t="str">
        <f>IF(Compositions!W31="","",(Compositions!W31/(VLOOKUP(Compositions!S31,'HHV-LHV-MW'!$A$3:$F$40,6,FALSE))))</f>
        <v/>
      </c>
      <c r="GO15" s="26" t="str">
        <f>IF(GL15="","",((VLOOKUP(Compositions!S31,'HHV-LHV-MW'!$A$3:$F$40,4,FALSE))*(GL15/100)))</f>
        <v/>
      </c>
      <c r="GP15" s="26" t="str">
        <f>IF(GL15="","",((VLOOKUP(Compositions!S31,'HHV-LHV-MW'!$A$3:$F$40,5,FALSE))*(GL15/100)))</f>
        <v/>
      </c>
      <c r="GQ15" s="39" t="str">
        <f>IF(GL15="","",((VLOOKUP(Compositions!S31,'HHV-LHV-MW'!$A$3:$F$40,6,FALSE))*(GL15/100)))</f>
        <v/>
      </c>
      <c r="GR15" s="13"/>
      <c r="GS15" s="13"/>
      <c r="GT15" s="13"/>
      <c r="GU15" s="13"/>
      <c r="GV15" s="13"/>
      <c r="GW15" s="13"/>
      <c r="GY15" s="27" t="str">
        <f>IF(Compositions!Z31="","",IF(Compositions!$Z$25="mol%",Compositions!Z31,GZ15))</f>
        <v/>
      </c>
      <c r="GZ15" s="27" t="str">
        <f t="shared" si="18"/>
        <v/>
      </c>
      <c r="HA15" s="27" t="str">
        <f>IF(Compositions!Z31="","",(Compositions!Z31/(VLOOKUP(Compositions!Y31,'HHV-LHV-MW'!$A$3:$F$40,6,FALSE))))</f>
        <v/>
      </c>
      <c r="HB15" s="25" t="str">
        <f>IF(GY15="","",((VLOOKUP(Compositions!Y31,'HHV-LHV-MW'!$A$3:$F$40,4,FALSE))*(GY15/100)))</f>
        <v/>
      </c>
      <c r="HC15" s="25" t="str">
        <f>IF(GY15="","",((VLOOKUP(Compositions!Y31,'HHV-LHV-MW'!$A$3:$F$40,5,FALSE))*(GY15/100)))</f>
        <v/>
      </c>
      <c r="HD15" s="209" t="str">
        <f>IF(GY15="","",((VLOOKUP(Compositions!Y31,'HHV-LHV-MW'!$A$3:$F$40,6,FALSE))*(GY15/100)))</f>
        <v/>
      </c>
      <c r="HE15" s="25"/>
      <c r="HF15" s="25"/>
      <c r="HG15" s="25"/>
      <c r="HH15" s="180"/>
      <c r="HI15" s="180"/>
      <c r="HJ15" s="180"/>
      <c r="HK15" s="28" t="str">
        <f>IF(Compositions!AA31="","",IF(Compositions!$AA$25="mol%",Compositions!AA31,HL15))</f>
        <v/>
      </c>
      <c r="HL15" s="28" t="str">
        <f t="shared" si="19"/>
        <v/>
      </c>
      <c r="HM15" s="28" t="str">
        <f>IF(Compositions!AA31="","",(Compositions!AA31/(VLOOKUP(Compositions!Y31,'HHV-LHV-MW'!$A$3:$F$40,6,FALSE))))</f>
        <v/>
      </c>
      <c r="HN15" s="26" t="str">
        <f>IF(HK15="","",((VLOOKUP(Compositions!Y31,'HHV-LHV-MW'!$A$3:$F$40,4,FALSE))*(HK15/100)))</f>
        <v/>
      </c>
      <c r="HO15" s="26" t="str">
        <f>IF(HK15="","",((VLOOKUP(Compositions!Y31,'HHV-LHV-MW'!$A$3:$F$40,5,FALSE))*(HK15/100)))</f>
        <v/>
      </c>
      <c r="HP15" s="39" t="str">
        <f>IF(HK15="","",((VLOOKUP(Compositions!Y31,'HHV-LHV-MW'!$A$3:$F$40,6,FALSE))*(HK15/100)))</f>
        <v/>
      </c>
      <c r="HQ15" s="26"/>
      <c r="HR15" s="26"/>
      <c r="HS15" s="26"/>
      <c r="HT15" s="177"/>
      <c r="HU15" s="177"/>
      <c r="HV15" s="177"/>
      <c r="HW15" s="27" t="str">
        <f>IF(Compositions!AB31="","",IF(Compositions!$AB$25="mol%",Compositions!AB31,HX15))</f>
        <v/>
      </c>
      <c r="HX15" s="27" t="str">
        <f t="shared" si="20"/>
        <v/>
      </c>
      <c r="HY15" s="27" t="str">
        <f>IF(Compositions!AB31="","",(Compositions!AB31/(VLOOKUP(Compositions!Y31,'HHV-LHV-MW'!$A$3:$F$40,6,FALSE))))</f>
        <v/>
      </c>
      <c r="HZ15" s="25" t="str">
        <f>IF(HW15="","",((VLOOKUP(Compositions!Y31,'HHV-LHV-MW'!$A$3:$F$40,4,FALSE))*(HW15/100)))</f>
        <v/>
      </c>
      <c r="IA15" s="25" t="str">
        <f>IF(HW15="","",((VLOOKUP(Compositions!Y31,'HHV-LHV-MW'!$A$3:$F$40,5,FALSE))*(HW15/100)))</f>
        <v/>
      </c>
      <c r="IB15" s="209" t="str">
        <f>IF(HW15="","",((VLOOKUP(Compositions!Y31,'HHV-LHV-MW'!$A$3:$F$40,6,FALSE))*(HW15/100)))</f>
        <v/>
      </c>
      <c r="IC15" s="25"/>
      <c r="ID15" s="25"/>
      <c r="IE15" s="25"/>
      <c r="IF15" s="180"/>
      <c r="IG15" s="180"/>
      <c r="IH15" s="180"/>
      <c r="II15" s="28" t="str">
        <f>IF(Compositions!AC31="","",IF(Compositions!$AC$25="mol%",Compositions!AC31,IJ15))</f>
        <v/>
      </c>
      <c r="IJ15" s="28" t="str">
        <f t="shared" si="21"/>
        <v/>
      </c>
      <c r="IK15" s="28" t="str">
        <f>IF(Compositions!AC31="","",(Compositions!AC31/(VLOOKUP(Compositions!Y31,'HHV-LHV-MW'!$A$3:$F$40,6,FALSE))))</f>
        <v/>
      </c>
      <c r="IL15" s="26" t="str">
        <f>IF(II15="","",((VLOOKUP(Compositions!Y31,'HHV-LHV-MW'!$A$3:$F$40,4,FALSE))*(II15/100)))</f>
        <v/>
      </c>
      <c r="IM15" s="26" t="str">
        <f>IF(II15="","",((VLOOKUP(Compositions!Y31,'HHV-LHV-MW'!$A$3:$F$40,5,FALSE))*(II15/100)))</f>
        <v/>
      </c>
      <c r="IN15" s="39" t="str">
        <f>IF(II15="","",((VLOOKUP(Compositions!Y31,'HHV-LHV-MW'!$A$3:$F$40,6,FALSE))*(II15/100)))</f>
        <v/>
      </c>
      <c r="IO15" s="13"/>
      <c r="IP15" s="13"/>
      <c r="IQ15" s="13"/>
      <c r="IR15" s="13"/>
      <c r="IS15" s="13"/>
      <c r="IT15" s="13"/>
      <c r="IV15" s="27" t="str">
        <f>IF(Compositions!AF31="","",IF(Compositions!$AF$25="mol%",Compositions!AF31,IW15))</f>
        <v/>
      </c>
      <c r="IW15" s="27" t="str">
        <f t="shared" si="6"/>
        <v/>
      </c>
      <c r="IX15" s="27" t="str">
        <f>IF(Compositions!AF31="","",(Compositions!AF31/(VLOOKUP(Compositions!AE31,'HHV-LHV-MW'!$A$3:$F$40,6,FALSE))))</f>
        <v/>
      </c>
      <c r="IY15" s="25" t="str">
        <f>IF(IV15="","",((VLOOKUP(Compositions!AE31,'HHV-LHV-MW'!$A$3:$F$40,4,FALSE))*(IV15/100)))</f>
        <v/>
      </c>
      <c r="IZ15" s="25" t="str">
        <f>IF(IV15="","",((VLOOKUP(Compositions!AE31,'HHV-LHV-MW'!$A$3:$F$40,5,FALSE))*(IV15/100)))</f>
        <v/>
      </c>
      <c r="JA15" s="209" t="str">
        <f>IF(IV15="","",((VLOOKUP(Compositions!AE31,'HHV-LHV-MW'!$A$3:$F$40,6,FALSE))*(IV15/100)))</f>
        <v/>
      </c>
      <c r="JB15" s="25"/>
      <c r="JC15" s="25"/>
      <c r="JD15" s="25"/>
      <c r="JE15" s="180"/>
      <c r="JF15" s="180"/>
      <c r="JG15" s="180"/>
      <c r="JH15" s="28" t="str">
        <f>IF(Compositions!AG31="","",IF(Compositions!$AG$25="mol%",Compositions!AG31,JI15))</f>
        <v/>
      </c>
      <c r="JI15" s="28" t="str">
        <f t="shared" si="22"/>
        <v/>
      </c>
      <c r="JJ15" s="28" t="str">
        <f>IF(Compositions!AG31="","",(Compositions!AG31/(VLOOKUP(Compositions!AE31,'HHV-LHV-MW'!$A$3:$F$40,6,FALSE))))</f>
        <v/>
      </c>
      <c r="JK15" s="26" t="str">
        <f>IF(JH15="","",((VLOOKUP(Compositions!AE31,'HHV-LHV-MW'!$A$3:$F$40,4,FALSE))*(JH15/100)))</f>
        <v/>
      </c>
      <c r="JL15" s="26" t="str">
        <f>IF(JH15="","",((VLOOKUP(Compositions!AE31,'HHV-LHV-MW'!$A$3:$F$40,5,FALSE))*(JH15/100)))</f>
        <v/>
      </c>
      <c r="JM15" s="39" t="str">
        <f>IF(JH15="","",((VLOOKUP(Compositions!AE31,'HHV-LHV-MW'!$A$3:$F$40,6,FALSE))*(JH15/100)))</f>
        <v/>
      </c>
      <c r="JN15" s="26"/>
      <c r="JO15" s="26"/>
      <c r="JP15" s="26"/>
      <c r="JQ15" s="177"/>
      <c r="JR15" s="177"/>
      <c r="JS15" s="177"/>
      <c r="JT15" s="27" t="str">
        <f>IF(Compositions!AH31="","",IF(Compositions!$AH$25="mol%",Compositions!AH31,JU15))</f>
        <v/>
      </c>
      <c r="JU15" s="27" t="str">
        <f t="shared" si="23"/>
        <v/>
      </c>
      <c r="JV15" s="27" t="str">
        <f>IF(Compositions!AH31="","",(Compositions!AH31/(VLOOKUP(Compositions!AE31,'HHV-LHV-MW'!$A$3:$F$40,6,FALSE))))</f>
        <v/>
      </c>
      <c r="JW15" s="25" t="str">
        <f>IF(JT15="","",((VLOOKUP(Compositions!AE31,'HHV-LHV-MW'!$A$3:$F$40,4,FALSE))*(JT15/100)))</f>
        <v/>
      </c>
      <c r="JX15" s="25" t="str">
        <f>IF(JT15="","",((VLOOKUP(Compositions!AE31,'HHV-LHV-MW'!$A$3:$F$40,5,FALSE))*(JT15/100)))</f>
        <v/>
      </c>
      <c r="JY15" s="209" t="str">
        <f>IF(JT15="","",((VLOOKUP(Compositions!AE31,'HHV-LHV-MW'!$A$3:$F$40,6,FALSE))*(JT15/100)))</f>
        <v/>
      </c>
      <c r="JZ15" s="25"/>
      <c r="KA15" s="25"/>
      <c r="KB15" s="25"/>
      <c r="KC15" s="180"/>
      <c r="KD15" s="180"/>
      <c r="KE15" s="180"/>
      <c r="KF15" s="28" t="str">
        <f>IF(Compositions!AI31="","",IF(Compositions!$AI$25="mol%",Compositions!AI31,KG15))</f>
        <v/>
      </c>
      <c r="KG15" s="28" t="str">
        <f t="shared" si="24"/>
        <v/>
      </c>
      <c r="KH15" s="28" t="str">
        <f>IF(Compositions!AI31="","",(Compositions!AI31/(VLOOKUP(Compositions!AE31,'HHV-LHV-MW'!$A$3:$F$40,6,FALSE))))</f>
        <v/>
      </c>
      <c r="KI15" s="26" t="str">
        <f>IF(KF15="","",((VLOOKUP(Compositions!AE31,'HHV-LHV-MW'!$A$3:$F$40,4,FALSE))*(KF15/100)))</f>
        <v/>
      </c>
      <c r="KJ15" s="26" t="str">
        <f>IF(KF15="","",((VLOOKUP(Compositions!AE31,'HHV-LHV-MW'!$A$3:$F$40,5,FALSE))*(KF15/100)))</f>
        <v/>
      </c>
      <c r="KK15" s="39" t="str">
        <f>IF(KF15="","",((VLOOKUP(Compositions!AE31,'HHV-LHV-MW'!$A$3:$F$40,6,FALSE))*(KF15/100)))</f>
        <v/>
      </c>
      <c r="KL15" s="13"/>
      <c r="KM15" s="13"/>
      <c r="KN15" s="13"/>
    </row>
    <row r="16" spans="1:300" ht="15.6">
      <c r="A16" s="173" t="s">
        <v>187</v>
      </c>
      <c r="B16" s="19" t="s">
        <v>186</v>
      </c>
      <c r="C16" s="20">
        <v>4</v>
      </c>
      <c r="D16" s="20">
        <v>2.8713000000000002</v>
      </c>
      <c r="E16" s="20">
        <v>2.6484000000000001</v>
      </c>
      <c r="F16" s="20">
        <v>58.123399999999997</v>
      </c>
      <c r="G16" s="20">
        <f t="shared" si="0"/>
        <v>0</v>
      </c>
      <c r="H16" s="20">
        <v>0</v>
      </c>
      <c r="I16" s="170">
        <v>1</v>
      </c>
      <c r="K16" s="27" t="str">
        <f>IF(Compositions!B32="","",IF(Compositions!$B$25="mol%",Compositions!B32,L16))</f>
        <v/>
      </c>
      <c r="L16" s="27" t="str">
        <f t="shared" si="1"/>
        <v/>
      </c>
      <c r="M16" s="27" t="str">
        <f>IF(Compositions!B32="","",(Compositions!B32/(VLOOKUP(Compositions!A32,'HHV-LHV-MW'!$A$3:$F$40,6,FALSE))))</f>
        <v/>
      </c>
      <c r="N16" s="25" t="str">
        <f>IF(K16="","",((VLOOKUP(Compositions!A32,'HHV-LHV-MW'!$A$3:$F$40,4,FALSE))*(K16/100)))</f>
        <v/>
      </c>
      <c r="O16" s="25" t="str">
        <f>IF(K16="","",((VLOOKUP(Compositions!A32,'HHV-LHV-MW'!$A$3:$F$40,5,FALSE))*(K16/100)))</f>
        <v/>
      </c>
      <c r="P16" s="206" t="str">
        <f>IF(K16="","",((VLOOKUP(Compositions!A32,'HHV-LHV-MW'!$A$3:$F$40,6,FALSE))*(K16/100)))</f>
        <v/>
      </c>
      <c r="Q16" s="25"/>
      <c r="R16" s="25"/>
      <c r="S16" s="25"/>
      <c r="T16" s="166"/>
      <c r="U16" s="174"/>
      <c r="V16" s="180"/>
      <c r="W16" s="28" t="str">
        <f>IF(Compositions!C32="","",IF(Compositions!$C$25="mol%",Compositions!C32,X16))</f>
        <v/>
      </c>
      <c r="X16" s="28" t="str">
        <f t="shared" si="2"/>
        <v/>
      </c>
      <c r="Y16" s="28" t="str">
        <f>IF(Compositions!C32="","",(Compositions!C32/(VLOOKUP(Compositions!A32,'HHV-LHV-MW'!$A$3:$F$40,6,FALSE))))</f>
        <v/>
      </c>
      <c r="Z16" s="26" t="str">
        <f>IF(W16="","",((VLOOKUP(Compositions!A32,'HHV-LHV-MW'!$A$3:$F$40,4,FALSE))*(W16/100)))</f>
        <v/>
      </c>
      <c r="AA16" s="26" t="str">
        <f>IF(W16="","",((VLOOKUP(Compositions!A32,'HHV-LHV-MW'!$A$3:$F$40,5,FALSE))*(W16/100)))</f>
        <v/>
      </c>
      <c r="AB16" s="39" t="str">
        <f>IF(W16="","",((VLOOKUP(Compositions!A32,'HHV-LHV-MW'!$A$3:$F$40,6,FALSE))*(W16/100)))</f>
        <v/>
      </c>
      <c r="AC16" s="26"/>
      <c r="AD16" s="26"/>
      <c r="AE16" s="26"/>
      <c r="AF16" s="177"/>
      <c r="AG16" s="177"/>
      <c r="AH16" s="177"/>
      <c r="AI16" s="27" t="str">
        <f>IF(Compositions!D32="","",IF(Compositions!$D$25="mol%",Compositions!D32,AJ16))</f>
        <v/>
      </c>
      <c r="AJ16" s="27" t="str">
        <f t="shared" si="3"/>
        <v/>
      </c>
      <c r="AK16" s="27" t="str">
        <f>IF(Compositions!D32="","",(Compositions!D32/(VLOOKUP(Compositions!A32,'HHV-LHV-MW'!$A$3:$F$40,6,FALSE))))</f>
        <v/>
      </c>
      <c r="AL16" s="25" t="str">
        <f>IF(AI16="","",((VLOOKUP(Compositions!A32,'HHV-LHV-MW'!$A$3:$F$40,4,FALSE))*(AI16/100)))</f>
        <v/>
      </c>
      <c r="AM16" s="25" t="str">
        <f>IF(AI16="","",((VLOOKUP(Compositions!A32,'HHV-LHV-MW'!$A$3:$F$40,5,FALSE))*(AI16/100)))</f>
        <v/>
      </c>
      <c r="AN16" s="209" t="str">
        <f>IF(AI16="","",((VLOOKUP(Compositions!A32,'HHV-LHV-MW'!$A$3:$F$40,6,FALSE))*(AI16/100)))</f>
        <v/>
      </c>
      <c r="AO16" s="25"/>
      <c r="AP16" s="25"/>
      <c r="AQ16" s="25"/>
      <c r="AR16" s="180"/>
      <c r="AS16" s="180"/>
      <c r="AT16" s="180"/>
      <c r="AU16" s="28" t="str">
        <f>IF(Compositions!E32="","",IF(Compositions!$E$25="mol%",Compositions!E32,AV16))</f>
        <v/>
      </c>
      <c r="AV16" s="28" t="str">
        <f t="shared" si="4"/>
        <v/>
      </c>
      <c r="AW16" s="28" t="str">
        <f>IF(Compositions!E32="","",(Compositions!E32/(VLOOKUP(Compositions!A32,'HHV-LHV-MW'!$A$3:$F$40,6,FALSE))))</f>
        <v/>
      </c>
      <c r="AX16" s="26" t="str">
        <f>IF(AU16="","",((VLOOKUP(Compositions!A32,'HHV-LHV-MW'!$A$3:$F$40,4,FALSE))*(AU16/100)))</f>
        <v/>
      </c>
      <c r="AY16" s="26" t="str">
        <f>IF(AU16="","",((VLOOKUP(Compositions!A32,'HHV-LHV-MW'!$A$3:$F$40,5,FALSE))*(AU16/100)))</f>
        <v/>
      </c>
      <c r="AZ16" s="39" t="str">
        <f>IF(AU16="","",((VLOOKUP(Compositions!A32,'HHV-LHV-MW'!$A$3:$F$40,6,FALSE))*(AU16/100)))</f>
        <v/>
      </c>
      <c r="BA16" s="13"/>
      <c r="BB16" s="13"/>
      <c r="BC16" s="13"/>
      <c r="BD16" s="13"/>
      <c r="BE16" s="13"/>
      <c r="BF16" s="13"/>
      <c r="BH16" s="27" t="str">
        <f>IF(Compositions!H32="","",IF(Compositions!$H$25="mol%",Compositions!H32,BI16))</f>
        <v/>
      </c>
      <c r="BI16" s="27" t="str">
        <f t="shared" si="7"/>
        <v/>
      </c>
      <c r="BJ16" s="27" t="str">
        <f>IF(Compositions!H32="","",(Compositions!H32/(VLOOKUP(Compositions!G32,'HHV-LHV-MW'!$A$3:$F$40,6,FALSE))))</f>
        <v/>
      </c>
      <c r="BK16" s="25" t="str">
        <f>IF(BH16="","",((VLOOKUP(Compositions!G32,'HHV-LHV-MW'!$A$3:$F$40,4,FALSE))*(BH16/100)))</f>
        <v/>
      </c>
      <c r="BL16" s="25" t="str">
        <f>IF(BH16="","",((VLOOKUP(Compositions!G32,'HHV-LHV-MW'!$A$3:$F$40,5,FALSE))*(BH16/100)))</f>
        <v/>
      </c>
      <c r="BM16" s="209" t="str">
        <f>IF(BH16="","",((VLOOKUP(Compositions!G32,'HHV-LHV-MW'!$A$3:$F$40,6,FALSE))*(BH16/100)))</f>
        <v/>
      </c>
      <c r="BN16" s="25"/>
      <c r="BO16" s="25"/>
      <c r="BP16" s="25"/>
      <c r="BQ16" s="180"/>
      <c r="BR16" s="180"/>
      <c r="BS16" s="180"/>
      <c r="BT16" s="28" t="str">
        <f>IF(Compositions!I32="","",IF(Compositions!$I$25="mol%",Compositions!I32,BU16))</f>
        <v/>
      </c>
      <c r="BU16" s="28" t="str">
        <f t="shared" si="8"/>
        <v/>
      </c>
      <c r="BV16" s="28" t="str">
        <f>IF(Compositions!I32="","",(Compositions!I32/(VLOOKUP(Compositions!G32,'HHV-LHV-MW'!$A$3:$F$40,6,FALSE))))</f>
        <v/>
      </c>
      <c r="BW16" s="26" t="str">
        <f>IF(BT16="","",((VLOOKUP(Compositions!G32,'HHV-LHV-MW'!$A$3:$F$40,4,FALSE))*(BT16/100)))</f>
        <v/>
      </c>
      <c r="BX16" s="26" t="str">
        <f>IF(BT16="","",((VLOOKUP(Compositions!G32,'HHV-LHV-MW'!$A$3:$F$40,5,FALSE))*(BT16/100)))</f>
        <v/>
      </c>
      <c r="BY16" s="207" t="str">
        <f>IF(BT16="","",((VLOOKUP(Compositions!G32,'HHV-LHV-MW'!$A$3:$F$40,6,FALSE))*(BT16/100)))</f>
        <v/>
      </c>
      <c r="BZ16" s="26"/>
      <c r="CA16" s="26"/>
      <c r="CB16" s="26"/>
      <c r="CC16" s="177"/>
      <c r="CD16" s="177"/>
      <c r="CE16" s="177"/>
      <c r="CF16" s="27" t="str">
        <f>IF(Compositions!J32="","",IF(Compositions!$J$25="mol%",Compositions!J32,CG16))</f>
        <v/>
      </c>
      <c r="CG16" s="27" t="str">
        <f t="shared" si="9"/>
        <v/>
      </c>
      <c r="CH16" s="27" t="str">
        <f>IF(Compositions!J32="","",(Compositions!J32/(VLOOKUP(Compositions!G32,'HHV-LHV-MW'!$A$3:$F$40,6,FALSE))))</f>
        <v/>
      </c>
      <c r="CI16" s="25" t="str">
        <f>IF(CF16="","",((VLOOKUP(Compositions!G32,'HHV-LHV-MW'!$A$3:$F$40,4,FALSE))*(CF16/100)))</f>
        <v/>
      </c>
      <c r="CJ16" s="25" t="str">
        <f>IF(CF16="","",((VLOOKUP(Compositions!G32,'HHV-LHV-MW'!$A$3:$F$40,5,FALSE))*(CF16/100)))</f>
        <v/>
      </c>
      <c r="CK16" s="209" t="str">
        <f>IF(CF16="","",((VLOOKUP(Compositions!G32,'HHV-LHV-MW'!$A$3:$F$40,6,FALSE))*(CF16/100)))</f>
        <v/>
      </c>
      <c r="CL16" s="25"/>
      <c r="CM16" s="25"/>
      <c r="CN16" s="25"/>
      <c r="CO16" s="180"/>
      <c r="CP16" s="180"/>
      <c r="CQ16" s="180"/>
      <c r="CR16" s="28" t="str">
        <f>IF(Compositions!K32="","",IF(Compositions!$K$25="mol%",Compositions!K32,CS16))</f>
        <v/>
      </c>
      <c r="CS16" s="28" t="str">
        <f t="shared" si="10"/>
        <v/>
      </c>
      <c r="CT16" s="28" t="str">
        <f>IF(Compositions!K32="","",(Compositions!K32/(VLOOKUP(Compositions!G32,'HHV-LHV-MW'!$A$3:$F$40,6,FALSE))))</f>
        <v/>
      </c>
      <c r="CU16" s="26" t="str">
        <f>IF(CR16="","",((VLOOKUP(Compositions!G32,'HHV-LHV-MW'!$A$3:$F$40,4,FALSE))*(CR16/100)))</f>
        <v/>
      </c>
      <c r="CV16" s="26" t="str">
        <f>IF(CR16="","",((VLOOKUP(Compositions!G32,'HHV-LHV-MW'!$A$3:$F$40,5,FALSE))*(CR16/100)))</f>
        <v/>
      </c>
      <c r="CW16" s="207" t="str">
        <f>IF(CR16="","",((VLOOKUP(Compositions!G32,'HHV-LHV-MW'!$A$3:$F$40,6,FALSE))*(CR16/100)))</f>
        <v/>
      </c>
      <c r="CX16" s="13"/>
      <c r="CY16" s="13"/>
      <c r="CZ16" s="13"/>
      <c r="DA16" s="13"/>
      <c r="DB16" s="13"/>
      <c r="DC16" s="13"/>
      <c r="DE16" s="27" t="str">
        <f>IF(Compositions!N32="","",IF(Compositions!$N$25="mol%",Compositions!N32,DF16))</f>
        <v/>
      </c>
      <c r="DF16" s="27" t="str">
        <f t="shared" si="5"/>
        <v/>
      </c>
      <c r="DG16" s="27" t="str">
        <f>IF(Compositions!N32="","",(Compositions!N32/(VLOOKUP(Compositions!M32,'HHV-LHV-MW'!$A$3:$F$40,6,FALSE))))</f>
        <v/>
      </c>
      <c r="DH16" s="25" t="str">
        <f>IF(DE16="","",((VLOOKUP(Compositions!M32,'HHV-LHV-MW'!$A$3:$F$40,4,FALSE))*(DE16/100)))</f>
        <v/>
      </c>
      <c r="DI16" s="25" t="str">
        <f>IF(DE16="","",((VLOOKUP(Compositions!M32,'HHV-LHV-MW'!$A$3:$F$40,5,FALSE))*(DE16/100)))</f>
        <v/>
      </c>
      <c r="DJ16" s="209" t="str">
        <f>IF(DE16="","",((VLOOKUP(Compositions!M32,'HHV-LHV-MW'!$A$3:$F$40,6,FALSE))*(DE16/100)))</f>
        <v/>
      </c>
      <c r="DK16" s="25"/>
      <c r="DL16" s="25"/>
      <c r="DM16" s="25"/>
      <c r="DN16" s="180"/>
      <c r="DO16" s="180"/>
      <c r="DP16" s="180"/>
      <c r="DQ16" s="28" t="str">
        <f>IF(Compositions!O32="","",IF(Compositions!$O$25="mol%",Compositions!O32,DR16))</f>
        <v/>
      </c>
      <c r="DR16" s="28" t="str">
        <f t="shared" si="11"/>
        <v/>
      </c>
      <c r="DS16" s="28" t="str">
        <f>IF(Compositions!O32="","",(Compositions!O32/(VLOOKUP(Compositions!M32,'HHV-LHV-MW'!$A$3:$F$40,6,FALSE))))</f>
        <v/>
      </c>
      <c r="DT16" s="26" t="str">
        <f>IF(DQ16="","",((VLOOKUP(Compositions!M32,'HHV-LHV-MW'!$A$3:$F$40,4,FALSE))*(DQ16/100)))</f>
        <v/>
      </c>
      <c r="DU16" s="26" t="str">
        <f>IF(DQ16="","",((VLOOKUP(Compositions!M32,'HHV-LHV-MW'!$A$3:$F$40,5,FALSE))*(DQ16/100)))</f>
        <v/>
      </c>
      <c r="DV16" s="39" t="str">
        <f>IF(DQ16="","",((VLOOKUP(Compositions!M32,'HHV-LHV-MW'!$A$3:$F$40,6,FALSE))*(DQ16/100)))</f>
        <v/>
      </c>
      <c r="DW16" s="26"/>
      <c r="DX16" s="26"/>
      <c r="DY16" s="26"/>
      <c r="DZ16" s="177"/>
      <c r="EA16" s="177"/>
      <c r="EB16" s="177"/>
      <c r="EC16" s="27" t="str">
        <f>IF(Compositions!P32="","",IF(Compositions!$P$25="mol%",Compositions!P32,ED16))</f>
        <v/>
      </c>
      <c r="ED16" s="27" t="str">
        <f t="shared" si="12"/>
        <v/>
      </c>
      <c r="EE16" s="27" t="str">
        <f>IF(Compositions!P32="","",(Compositions!P32/(VLOOKUP(Compositions!M32,'HHV-LHV-MW'!$A$3:$F$40,6,FALSE))))</f>
        <v/>
      </c>
      <c r="EF16" s="25" t="str">
        <f>IF(EC16="","",((VLOOKUP(Compositions!M32,'HHV-LHV-MW'!$A$3:$F$40,4,FALSE))*(EC16/100)))</f>
        <v/>
      </c>
      <c r="EG16" s="25" t="str">
        <f>IF(EC16="","",((VLOOKUP(Compositions!M32,'HHV-LHV-MW'!$A$3:$F$40,5,FALSE))*(EC16/100)))</f>
        <v/>
      </c>
      <c r="EH16" s="209" t="str">
        <f>IF(EC16="","",((VLOOKUP(Compositions!M32,'HHV-LHV-MW'!$A$3:$F$40,6,FALSE))*(EC16/100)))</f>
        <v/>
      </c>
      <c r="EI16" s="25"/>
      <c r="EJ16" s="25"/>
      <c r="EK16" s="25"/>
      <c r="EL16" s="180"/>
      <c r="EM16" s="180"/>
      <c r="EN16" s="180"/>
      <c r="EO16" s="28" t="str">
        <f>IF(Compositions!Q32="","",IF(Compositions!$Q$25="mol%",Compositions!Q32,EP16))</f>
        <v/>
      </c>
      <c r="EP16" s="28" t="str">
        <f t="shared" si="13"/>
        <v/>
      </c>
      <c r="EQ16" s="28" t="str">
        <f>IF(Compositions!Q32="","",(Compositions!Q32/(VLOOKUP(Compositions!M32,'HHV-LHV-MW'!$A$3:$F$40,6,FALSE))))</f>
        <v/>
      </c>
      <c r="ER16" s="26" t="str">
        <f>IF(EO16="","",((VLOOKUP(Compositions!M32,'HHV-LHV-MW'!$A$3:$F$40,4,FALSE))*(EO16/100)))</f>
        <v/>
      </c>
      <c r="ES16" s="26" t="str">
        <f>IF(EO16="","",((VLOOKUP(Compositions!M32,'HHV-LHV-MW'!$A$3:$F$40,5,FALSE))*(EO16/100)))</f>
        <v/>
      </c>
      <c r="ET16" s="39" t="str">
        <f>IF(EO16="","",((VLOOKUP(Compositions!M32,'HHV-LHV-MW'!$A$3:$F$40,6,FALSE))*(EO16/100)))</f>
        <v/>
      </c>
      <c r="EU16" s="13"/>
      <c r="EV16" s="13"/>
      <c r="EW16" s="13"/>
      <c r="EX16" s="13"/>
      <c r="EY16" s="13"/>
      <c r="EZ16" s="13"/>
      <c r="FB16" s="27" t="str">
        <f>IF(Compositions!T32="","",IF(Compositions!$T$25="mol%",Compositions!T32,FC16))</f>
        <v/>
      </c>
      <c r="FC16" s="27" t="str">
        <f t="shared" si="14"/>
        <v/>
      </c>
      <c r="FD16" s="27" t="str">
        <f>IF(Compositions!T32="","",(Compositions!T32/(VLOOKUP(Compositions!S32,'HHV-LHV-MW'!$A$3:$F$40,6,FALSE))))</f>
        <v/>
      </c>
      <c r="FE16" s="25" t="str">
        <f>IF(FB16="","",((VLOOKUP(Compositions!S32,'HHV-LHV-MW'!$A$3:$F$40,4,FALSE))*(FB16/100)))</f>
        <v/>
      </c>
      <c r="FF16" s="25" t="str">
        <f>IF(FB16="","",((VLOOKUP(Compositions!S32,'HHV-LHV-MW'!$A$3:$F$40,5,FALSE))*(FB16/100)))</f>
        <v/>
      </c>
      <c r="FG16" s="209" t="str">
        <f>IF(FB16="","",((VLOOKUP(Compositions!S32,'HHV-LHV-MW'!$A$3:$F$40,6,FALSE))*(FB16/100)))</f>
        <v/>
      </c>
      <c r="FH16" s="25"/>
      <c r="FI16" s="25"/>
      <c r="FJ16" s="25"/>
      <c r="FK16" s="180"/>
      <c r="FL16" s="180"/>
      <c r="FM16" s="180"/>
      <c r="FN16" s="28" t="str">
        <f>IF(Compositions!U32="","",IF(Compositions!$U$25="mol%",Compositions!U32,FO16))</f>
        <v/>
      </c>
      <c r="FO16" s="28" t="str">
        <f t="shared" si="15"/>
        <v/>
      </c>
      <c r="FP16" s="28" t="str">
        <f>IF(Compositions!U32="","",(Compositions!U32/(VLOOKUP(Compositions!S32,'HHV-LHV-MW'!$A$3:$F$40,6,FALSE))))</f>
        <v/>
      </c>
      <c r="FQ16" s="26" t="str">
        <f>IF(FN16="","",((VLOOKUP(Compositions!S32,'HHV-LHV-MW'!$A$3:$F$40,4,FALSE))*(FN16/100)))</f>
        <v/>
      </c>
      <c r="FR16" s="26" t="str">
        <f>IF(FN16="","",((VLOOKUP(Compositions!S32,'HHV-LHV-MW'!$A$3:$F$40,5,FALSE))*(FN16/100)))</f>
        <v/>
      </c>
      <c r="FS16" s="39" t="str">
        <f>IF(FN16="","",((VLOOKUP(Compositions!S32,'HHV-LHV-MW'!$A$3:$F$40,6,FALSE))*(FN16/100)))</f>
        <v/>
      </c>
      <c r="FT16" s="26"/>
      <c r="FU16" s="26"/>
      <c r="FV16" s="26"/>
      <c r="FW16" s="177"/>
      <c r="FX16" s="177"/>
      <c r="FY16" s="177"/>
      <c r="FZ16" s="27" t="str">
        <f>IF(Compositions!V32="","",IF(Compositions!$V$25="mol%",Compositions!V32,GA16))</f>
        <v/>
      </c>
      <c r="GA16" s="27" t="str">
        <f t="shared" si="16"/>
        <v/>
      </c>
      <c r="GB16" s="27" t="str">
        <f>IF(Compositions!V32="","",(Compositions!V32/(VLOOKUP(Compositions!S32,'HHV-LHV-MW'!$A$3:$F$40,6,FALSE))))</f>
        <v/>
      </c>
      <c r="GC16" s="25" t="str">
        <f>IF(FZ16="","",((VLOOKUP(Compositions!S32,'HHV-LHV-MW'!$A$3:$F$40,4,FALSE))*(FZ16/100)))</f>
        <v/>
      </c>
      <c r="GD16" s="25" t="str">
        <f>IF(FZ16="","",((VLOOKUP(Compositions!S32,'HHV-LHV-MW'!$A$3:$F$40,5,FALSE))*(FZ16/100)))</f>
        <v/>
      </c>
      <c r="GE16" s="209" t="str">
        <f>IF(FZ16="","",((VLOOKUP(Compositions!S32,'HHV-LHV-MW'!$A$3:$F$40,6,FALSE))*(FZ16/100)))</f>
        <v/>
      </c>
      <c r="GF16" s="25"/>
      <c r="GG16" s="25"/>
      <c r="GH16" s="25"/>
      <c r="GI16" s="180"/>
      <c r="GJ16" s="180"/>
      <c r="GK16" s="180"/>
      <c r="GL16" s="28" t="str">
        <f>IF(Compositions!W32="","",IF(Compositions!$W$25="mol%",Compositions!W32,GM16))</f>
        <v/>
      </c>
      <c r="GM16" s="28" t="str">
        <f t="shared" si="17"/>
        <v/>
      </c>
      <c r="GN16" s="28" t="str">
        <f>IF(Compositions!W32="","",(Compositions!W32/(VLOOKUP(Compositions!S32,'HHV-LHV-MW'!$A$3:$F$40,6,FALSE))))</f>
        <v/>
      </c>
      <c r="GO16" s="26" t="str">
        <f>IF(GL16="","",((VLOOKUP(Compositions!S32,'HHV-LHV-MW'!$A$3:$F$40,4,FALSE))*(GL16/100)))</f>
        <v/>
      </c>
      <c r="GP16" s="26" t="str">
        <f>IF(GL16="","",((VLOOKUP(Compositions!S32,'HHV-LHV-MW'!$A$3:$F$40,5,FALSE))*(GL16/100)))</f>
        <v/>
      </c>
      <c r="GQ16" s="39" t="str">
        <f>IF(GL16="","",((VLOOKUP(Compositions!S32,'HHV-LHV-MW'!$A$3:$F$40,6,FALSE))*(GL16/100)))</f>
        <v/>
      </c>
      <c r="GR16" s="13"/>
      <c r="GS16" s="13"/>
      <c r="GT16" s="13"/>
      <c r="GU16" s="13"/>
      <c r="GV16" s="13"/>
      <c r="GW16" s="13"/>
      <c r="GY16" s="27" t="str">
        <f>IF(Compositions!Z32="","",IF(Compositions!$Z$25="mol%",Compositions!Z32,GZ16))</f>
        <v/>
      </c>
      <c r="GZ16" s="27" t="str">
        <f t="shared" si="18"/>
        <v/>
      </c>
      <c r="HA16" s="27" t="str">
        <f>IF(Compositions!Z32="","",(Compositions!Z32/(VLOOKUP(Compositions!Y32,'HHV-LHV-MW'!$A$3:$F$40,6,FALSE))))</f>
        <v/>
      </c>
      <c r="HB16" s="25" t="str">
        <f>IF(GY16="","",((VLOOKUP(Compositions!Y32,'HHV-LHV-MW'!$A$3:$F$40,4,FALSE))*(GY16/100)))</f>
        <v/>
      </c>
      <c r="HC16" s="25" t="str">
        <f>IF(GY16="","",((VLOOKUP(Compositions!Y32,'HHV-LHV-MW'!$A$3:$F$40,5,FALSE))*(GY16/100)))</f>
        <v/>
      </c>
      <c r="HD16" s="209" t="str">
        <f>IF(GY16="","",((VLOOKUP(Compositions!Y32,'HHV-LHV-MW'!$A$3:$F$40,6,FALSE))*(GY16/100)))</f>
        <v/>
      </c>
      <c r="HE16" s="25"/>
      <c r="HF16" s="25"/>
      <c r="HG16" s="25"/>
      <c r="HH16" s="180"/>
      <c r="HI16" s="180"/>
      <c r="HJ16" s="180"/>
      <c r="HK16" s="28" t="str">
        <f>IF(Compositions!AA32="","",IF(Compositions!$AA$25="mol%",Compositions!AA32,HL16))</f>
        <v/>
      </c>
      <c r="HL16" s="28" t="str">
        <f t="shared" si="19"/>
        <v/>
      </c>
      <c r="HM16" s="28" t="str">
        <f>IF(Compositions!AA32="","",(Compositions!AA32/(VLOOKUP(Compositions!Y32,'HHV-LHV-MW'!$A$3:$F$40,6,FALSE))))</f>
        <v/>
      </c>
      <c r="HN16" s="26" t="str">
        <f>IF(HK16="","",((VLOOKUP(Compositions!Y32,'HHV-LHV-MW'!$A$3:$F$40,4,FALSE))*(HK16/100)))</f>
        <v/>
      </c>
      <c r="HO16" s="26" t="str">
        <f>IF(HK16="","",((VLOOKUP(Compositions!Y32,'HHV-LHV-MW'!$A$3:$F$40,5,FALSE))*(HK16/100)))</f>
        <v/>
      </c>
      <c r="HP16" s="39" t="str">
        <f>IF(HK16="","",((VLOOKUP(Compositions!Y32,'HHV-LHV-MW'!$A$3:$F$40,6,FALSE))*(HK16/100)))</f>
        <v/>
      </c>
      <c r="HQ16" s="26"/>
      <c r="HR16" s="26"/>
      <c r="HS16" s="26"/>
      <c r="HT16" s="177"/>
      <c r="HU16" s="177"/>
      <c r="HV16" s="177"/>
      <c r="HW16" s="27" t="str">
        <f>IF(Compositions!AB32="","",IF(Compositions!$AB$25="mol%",Compositions!AB32,HX16))</f>
        <v/>
      </c>
      <c r="HX16" s="27" t="str">
        <f t="shared" si="20"/>
        <v/>
      </c>
      <c r="HY16" s="27" t="str">
        <f>IF(Compositions!AB32="","",(Compositions!AB32/(VLOOKUP(Compositions!Y32,'HHV-LHV-MW'!$A$3:$F$40,6,FALSE))))</f>
        <v/>
      </c>
      <c r="HZ16" s="25" t="str">
        <f>IF(HW16="","",((VLOOKUP(Compositions!Y32,'HHV-LHV-MW'!$A$3:$F$40,4,FALSE))*(HW16/100)))</f>
        <v/>
      </c>
      <c r="IA16" s="25" t="str">
        <f>IF(HW16="","",((VLOOKUP(Compositions!Y32,'HHV-LHV-MW'!$A$3:$F$40,5,FALSE))*(HW16/100)))</f>
        <v/>
      </c>
      <c r="IB16" s="209" t="str">
        <f>IF(HW16="","",((VLOOKUP(Compositions!Y32,'HHV-LHV-MW'!$A$3:$F$40,6,FALSE))*(HW16/100)))</f>
        <v/>
      </c>
      <c r="IC16" s="25"/>
      <c r="ID16" s="25"/>
      <c r="IE16" s="25"/>
      <c r="IF16" s="180"/>
      <c r="IG16" s="180"/>
      <c r="IH16" s="180"/>
      <c r="II16" s="28" t="str">
        <f>IF(Compositions!AC32="","",IF(Compositions!$AC$25="mol%",Compositions!AC32,IJ16))</f>
        <v/>
      </c>
      <c r="IJ16" s="28" t="str">
        <f t="shared" si="21"/>
        <v/>
      </c>
      <c r="IK16" s="28" t="str">
        <f>IF(Compositions!AC32="","",(Compositions!AC32/(VLOOKUP(Compositions!Y32,'HHV-LHV-MW'!$A$3:$F$40,6,FALSE))))</f>
        <v/>
      </c>
      <c r="IL16" s="26" t="str">
        <f>IF(II16="","",((VLOOKUP(Compositions!Y32,'HHV-LHV-MW'!$A$3:$F$40,4,FALSE))*(II16/100)))</f>
        <v/>
      </c>
      <c r="IM16" s="26" t="str">
        <f>IF(II16="","",((VLOOKUP(Compositions!Y32,'HHV-LHV-MW'!$A$3:$F$40,5,FALSE))*(II16/100)))</f>
        <v/>
      </c>
      <c r="IN16" s="39" t="str">
        <f>IF(II16="","",((VLOOKUP(Compositions!Y32,'HHV-LHV-MW'!$A$3:$F$40,6,FALSE))*(II16/100)))</f>
        <v/>
      </c>
      <c r="IO16" s="13"/>
      <c r="IP16" s="13"/>
      <c r="IQ16" s="13"/>
      <c r="IR16" s="13"/>
      <c r="IS16" s="13"/>
      <c r="IT16" s="13"/>
      <c r="IV16" s="27" t="str">
        <f>IF(Compositions!AF32="","",IF(Compositions!$AF$25="mol%",Compositions!AF32,IW16))</f>
        <v/>
      </c>
      <c r="IW16" s="27" t="str">
        <f t="shared" si="6"/>
        <v/>
      </c>
      <c r="IX16" s="27" t="str">
        <f>IF(Compositions!AF32="","",(Compositions!AF32/(VLOOKUP(Compositions!AE32,'HHV-LHV-MW'!$A$3:$F$40,6,FALSE))))</f>
        <v/>
      </c>
      <c r="IY16" s="25" t="str">
        <f>IF(IV16="","",((VLOOKUP(Compositions!AE32,'HHV-LHV-MW'!$A$3:$F$40,4,FALSE))*(IV16/100)))</f>
        <v/>
      </c>
      <c r="IZ16" s="25" t="str">
        <f>IF(IV16="","",((VLOOKUP(Compositions!AE32,'HHV-LHV-MW'!$A$3:$F$40,5,FALSE))*(IV16/100)))</f>
        <v/>
      </c>
      <c r="JA16" s="209" t="str">
        <f>IF(IV16="","",((VLOOKUP(Compositions!AE32,'HHV-LHV-MW'!$A$3:$F$40,6,FALSE))*(IV16/100)))</f>
        <v/>
      </c>
      <c r="JB16" s="25"/>
      <c r="JC16" s="25"/>
      <c r="JD16" s="25"/>
      <c r="JE16" s="180"/>
      <c r="JF16" s="180"/>
      <c r="JG16" s="180"/>
      <c r="JH16" s="28" t="str">
        <f>IF(Compositions!AG32="","",IF(Compositions!$AG$25="mol%",Compositions!AG32,JI16))</f>
        <v/>
      </c>
      <c r="JI16" s="28" t="str">
        <f t="shared" si="22"/>
        <v/>
      </c>
      <c r="JJ16" s="28" t="str">
        <f>IF(Compositions!AG32="","",(Compositions!AG32/(VLOOKUP(Compositions!AE32,'HHV-LHV-MW'!$A$3:$F$40,6,FALSE))))</f>
        <v/>
      </c>
      <c r="JK16" s="26" t="str">
        <f>IF(JH16="","",((VLOOKUP(Compositions!AE32,'HHV-LHV-MW'!$A$3:$F$40,4,FALSE))*(JH16/100)))</f>
        <v/>
      </c>
      <c r="JL16" s="26" t="str">
        <f>IF(JH16="","",((VLOOKUP(Compositions!AE32,'HHV-LHV-MW'!$A$3:$F$40,5,FALSE))*(JH16/100)))</f>
        <v/>
      </c>
      <c r="JM16" s="39" t="str">
        <f>IF(JH16="","",((VLOOKUP(Compositions!AE32,'HHV-LHV-MW'!$A$3:$F$40,6,FALSE))*(JH16/100)))</f>
        <v/>
      </c>
      <c r="JN16" s="26"/>
      <c r="JO16" s="26"/>
      <c r="JP16" s="26"/>
      <c r="JQ16" s="177"/>
      <c r="JR16" s="177"/>
      <c r="JS16" s="177"/>
      <c r="JT16" s="27" t="str">
        <f>IF(Compositions!AH32="","",IF(Compositions!$AH$25="mol%",Compositions!AH32,JU16))</f>
        <v/>
      </c>
      <c r="JU16" s="27" t="str">
        <f t="shared" si="23"/>
        <v/>
      </c>
      <c r="JV16" s="27" t="str">
        <f>IF(Compositions!AH32="","",(Compositions!AH32/(VLOOKUP(Compositions!AE32,'HHV-LHV-MW'!$A$3:$F$40,6,FALSE))))</f>
        <v/>
      </c>
      <c r="JW16" s="25" t="str">
        <f>IF(JT16="","",((VLOOKUP(Compositions!AE32,'HHV-LHV-MW'!$A$3:$F$40,4,FALSE))*(JT16/100)))</f>
        <v/>
      </c>
      <c r="JX16" s="25" t="str">
        <f>IF(JT16="","",((VLOOKUP(Compositions!AE32,'HHV-LHV-MW'!$A$3:$F$40,5,FALSE))*(JT16/100)))</f>
        <v/>
      </c>
      <c r="JY16" s="209" t="str">
        <f>IF(JT16="","",((VLOOKUP(Compositions!AE32,'HHV-LHV-MW'!$A$3:$F$40,6,FALSE))*(JT16/100)))</f>
        <v/>
      </c>
      <c r="JZ16" s="25"/>
      <c r="KA16" s="25"/>
      <c r="KB16" s="25"/>
      <c r="KC16" s="180"/>
      <c r="KD16" s="180"/>
      <c r="KE16" s="180"/>
      <c r="KF16" s="28" t="str">
        <f>IF(Compositions!AI32="","",IF(Compositions!$AI$25="mol%",Compositions!AI32,KG16))</f>
        <v/>
      </c>
      <c r="KG16" s="28" t="str">
        <f t="shared" si="24"/>
        <v/>
      </c>
      <c r="KH16" s="28" t="str">
        <f>IF(Compositions!AI32="","",(Compositions!AI32/(VLOOKUP(Compositions!AE32,'HHV-LHV-MW'!$A$3:$F$40,6,FALSE))))</f>
        <v/>
      </c>
      <c r="KI16" s="26" t="str">
        <f>IF(KF16="","",((VLOOKUP(Compositions!AE32,'HHV-LHV-MW'!$A$3:$F$40,4,FALSE))*(KF16/100)))</f>
        <v/>
      </c>
      <c r="KJ16" s="26" t="str">
        <f>IF(KF16="","",((VLOOKUP(Compositions!AE32,'HHV-LHV-MW'!$A$3:$F$40,5,FALSE))*(KF16/100)))</f>
        <v/>
      </c>
      <c r="KK16" s="39" t="str">
        <f>IF(KF16="","",((VLOOKUP(Compositions!AE32,'HHV-LHV-MW'!$A$3:$F$40,6,FALSE))*(KF16/100)))</f>
        <v/>
      </c>
      <c r="KL16" s="13"/>
      <c r="KM16" s="13"/>
      <c r="KN16" s="13"/>
    </row>
    <row r="17" spans="1:300" ht="15.6">
      <c r="A17" s="173" t="s">
        <v>188</v>
      </c>
      <c r="B17" s="19" t="s">
        <v>186</v>
      </c>
      <c r="C17" s="20">
        <v>4</v>
      </c>
      <c r="D17" s="20">
        <v>2.8771</v>
      </c>
      <c r="E17" s="20">
        <v>2.6576</v>
      </c>
      <c r="F17" s="20">
        <v>58.123399999999997</v>
      </c>
      <c r="G17" s="20">
        <f t="shared" si="0"/>
        <v>0</v>
      </c>
      <c r="H17" s="20">
        <v>0</v>
      </c>
      <c r="I17" s="170">
        <v>1</v>
      </c>
      <c r="K17" s="27" t="str">
        <f>IF(Compositions!B33="","",IF(Compositions!$B$25="mol%",Compositions!B33,L17))</f>
        <v/>
      </c>
      <c r="L17" s="27" t="str">
        <f t="shared" si="1"/>
        <v/>
      </c>
      <c r="M17" s="27" t="str">
        <f>IF(Compositions!B33="","",(Compositions!B33/(VLOOKUP(Compositions!A33,'HHV-LHV-MW'!$A$3:$F$40,6,FALSE))))</f>
        <v/>
      </c>
      <c r="N17" s="25" t="str">
        <f>IF(K17="","",((VLOOKUP(Compositions!A33,'HHV-LHV-MW'!$A$3:$F$40,4,FALSE))*(K17/100)))</f>
        <v/>
      </c>
      <c r="O17" s="25" t="str">
        <f>IF(K17="","",((VLOOKUP(Compositions!A33,'HHV-LHV-MW'!$A$3:$F$40,5,FALSE))*(K17/100)))</f>
        <v/>
      </c>
      <c r="P17" s="206" t="str">
        <f>IF(K17="","",((VLOOKUP(Compositions!A33,'HHV-LHV-MW'!$A$3:$F$40,6,FALSE))*(K17/100)))</f>
        <v/>
      </c>
      <c r="Q17" s="25"/>
      <c r="R17" s="25"/>
      <c r="S17" s="25"/>
      <c r="T17" s="166"/>
      <c r="U17" s="174"/>
      <c r="V17" s="180"/>
      <c r="W17" s="28" t="str">
        <f>IF(Compositions!C33="","",IF(Compositions!$C$25="mol%",Compositions!C33,X17))</f>
        <v/>
      </c>
      <c r="X17" s="28" t="str">
        <f t="shared" si="2"/>
        <v/>
      </c>
      <c r="Y17" s="28" t="str">
        <f>IF(Compositions!C33="","",(Compositions!C33/(VLOOKUP(Compositions!A33,'HHV-LHV-MW'!$A$3:$F$40,6,FALSE))))</f>
        <v/>
      </c>
      <c r="Z17" s="26" t="str">
        <f>IF(W17="","",((VLOOKUP(Compositions!A33,'HHV-LHV-MW'!$A$3:$F$40,4,FALSE))*(W17/100)))</f>
        <v/>
      </c>
      <c r="AA17" s="26" t="str">
        <f>IF(W17="","",((VLOOKUP(Compositions!A33,'HHV-LHV-MW'!$A$3:$F$40,5,FALSE))*(W17/100)))</f>
        <v/>
      </c>
      <c r="AB17" s="39" t="str">
        <f>IF(W17="","",((VLOOKUP(Compositions!A33,'HHV-LHV-MW'!$A$3:$F$40,6,FALSE))*(W17/100)))</f>
        <v/>
      </c>
      <c r="AC17" s="26"/>
      <c r="AD17" s="26"/>
      <c r="AE17" s="26"/>
      <c r="AF17" s="177"/>
      <c r="AG17" s="177"/>
      <c r="AH17" s="177"/>
      <c r="AI17" s="27" t="str">
        <f>IF(Compositions!D33="","",IF(Compositions!$D$25="mol%",Compositions!D33,AJ17))</f>
        <v/>
      </c>
      <c r="AJ17" s="27" t="str">
        <f t="shared" si="3"/>
        <v/>
      </c>
      <c r="AK17" s="27" t="str">
        <f>IF(Compositions!D33="","",(Compositions!D33/(VLOOKUP(Compositions!A33,'HHV-LHV-MW'!$A$3:$F$40,6,FALSE))))</f>
        <v/>
      </c>
      <c r="AL17" s="25" t="str">
        <f>IF(AI17="","",((VLOOKUP(Compositions!A33,'HHV-LHV-MW'!$A$3:$F$40,4,FALSE))*(AI17/100)))</f>
        <v/>
      </c>
      <c r="AM17" s="25" t="str">
        <f>IF(AI17="","",((VLOOKUP(Compositions!A33,'HHV-LHV-MW'!$A$3:$F$40,5,FALSE))*(AI17/100)))</f>
        <v/>
      </c>
      <c r="AN17" s="209" t="str">
        <f>IF(AI17="","",((VLOOKUP(Compositions!A33,'HHV-LHV-MW'!$A$3:$F$40,6,FALSE))*(AI17/100)))</f>
        <v/>
      </c>
      <c r="AO17" s="25"/>
      <c r="AP17" s="25"/>
      <c r="AQ17" s="25"/>
      <c r="AR17" s="180"/>
      <c r="AS17" s="180"/>
      <c r="AT17" s="180"/>
      <c r="AU17" s="28" t="str">
        <f>IF(Compositions!E33="","",IF(Compositions!$E$25="mol%",Compositions!E33,AV17))</f>
        <v/>
      </c>
      <c r="AV17" s="28" t="str">
        <f t="shared" si="4"/>
        <v/>
      </c>
      <c r="AW17" s="28" t="str">
        <f>IF(Compositions!E33="","",(Compositions!E33/(VLOOKUP(Compositions!A33,'HHV-LHV-MW'!$A$3:$F$40,6,FALSE))))</f>
        <v/>
      </c>
      <c r="AX17" s="26" t="str">
        <f>IF(AU17="","",((VLOOKUP(Compositions!A33,'HHV-LHV-MW'!$A$3:$F$40,4,FALSE))*(AU17/100)))</f>
        <v/>
      </c>
      <c r="AY17" s="26" t="str">
        <f>IF(AU17="","",((VLOOKUP(Compositions!A33,'HHV-LHV-MW'!$A$3:$F$40,5,FALSE))*(AU17/100)))</f>
        <v/>
      </c>
      <c r="AZ17" s="39" t="str">
        <f>IF(AU17="","",((VLOOKUP(Compositions!A33,'HHV-LHV-MW'!$A$3:$F$40,6,FALSE))*(AU17/100)))</f>
        <v/>
      </c>
      <c r="BA17" s="13"/>
      <c r="BB17" s="13"/>
      <c r="BC17" s="13"/>
      <c r="BD17" s="13"/>
      <c r="BE17" s="13"/>
      <c r="BF17" s="13"/>
      <c r="BH17" s="27" t="str">
        <f>IF(Compositions!H33="","",IF(Compositions!$H$25="mol%",Compositions!H33,BI17))</f>
        <v/>
      </c>
      <c r="BI17" s="27" t="str">
        <f t="shared" si="7"/>
        <v/>
      </c>
      <c r="BJ17" s="27" t="str">
        <f>IF(Compositions!H33="","",(Compositions!H33/(VLOOKUP(Compositions!G33,'HHV-LHV-MW'!$A$3:$F$40,6,FALSE))))</f>
        <v/>
      </c>
      <c r="BK17" s="25" t="str">
        <f>IF(BH17="","",((VLOOKUP(Compositions!G33,'HHV-LHV-MW'!$A$3:$F$40,4,FALSE))*(BH17/100)))</f>
        <v/>
      </c>
      <c r="BL17" s="25" t="str">
        <f>IF(BH17="","",((VLOOKUP(Compositions!G33,'HHV-LHV-MW'!$A$3:$F$40,5,FALSE))*(BH17/100)))</f>
        <v/>
      </c>
      <c r="BM17" s="209" t="str">
        <f>IF(BH17="","",((VLOOKUP(Compositions!G33,'HHV-LHV-MW'!$A$3:$F$40,6,FALSE))*(BH17/100)))</f>
        <v/>
      </c>
      <c r="BN17" s="25"/>
      <c r="BO17" s="25"/>
      <c r="BP17" s="25"/>
      <c r="BQ17" s="180"/>
      <c r="BR17" s="180"/>
      <c r="BS17" s="180"/>
      <c r="BT17" s="28" t="str">
        <f>IF(Compositions!I33="","",IF(Compositions!$I$25="mol%",Compositions!I33,BU17))</f>
        <v/>
      </c>
      <c r="BU17" s="28" t="str">
        <f t="shared" si="8"/>
        <v/>
      </c>
      <c r="BV17" s="28" t="str">
        <f>IF(Compositions!I33="","",(Compositions!I33/(VLOOKUP(Compositions!G33,'HHV-LHV-MW'!$A$3:$F$40,6,FALSE))))</f>
        <v/>
      </c>
      <c r="BW17" s="26" t="str">
        <f>IF(BT17="","",((VLOOKUP(Compositions!G33,'HHV-LHV-MW'!$A$3:$F$40,4,FALSE))*(BT17/100)))</f>
        <v/>
      </c>
      <c r="BX17" s="26" t="str">
        <f>IF(BT17="","",((VLOOKUP(Compositions!G33,'HHV-LHV-MW'!$A$3:$F$40,5,FALSE))*(BT17/100)))</f>
        <v/>
      </c>
      <c r="BY17" s="207" t="str">
        <f>IF(BT17="","",((VLOOKUP(Compositions!G33,'HHV-LHV-MW'!$A$3:$F$40,6,FALSE))*(BT17/100)))</f>
        <v/>
      </c>
      <c r="BZ17" s="26"/>
      <c r="CA17" s="26"/>
      <c r="CB17" s="26"/>
      <c r="CC17" s="177"/>
      <c r="CD17" s="177"/>
      <c r="CE17" s="177"/>
      <c r="CF17" s="27" t="str">
        <f>IF(Compositions!J33="","",IF(Compositions!$J$25="mol%",Compositions!J33,CG17))</f>
        <v/>
      </c>
      <c r="CG17" s="27" t="str">
        <f t="shared" si="9"/>
        <v/>
      </c>
      <c r="CH17" s="27" t="str">
        <f>IF(Compositions!J33="","",(Compositions!J33/(VLOOKUP(Compositions!G33,'HHV-LHV-MW'!$A$3:$F$40,6,FALSE))))</f>
        <v/>
      </c>
      <c r="CI17" s="25" t="str">
        <f>IF(CF17="","",((VLOOKUP(Compositions!G33,'HHV-LHV-MW'!$A$3:$F$40,4,FALSE))*(CF17/100)))</f>
        <v/>
      </c>
      <c r="CJ17" s="25" t="str">
        <f>IF(CF17="","",((VLOOKUP(Compositions!G33,'HHV-LHV-MW'!$A$3:$F$40,5,FALSE))*(CF17/100)))</f>
        <v/>
      </c>
      <c r="CK17" s="209" t="str">
        <f>IF(CF17="","",((VLOOKUP(Compositions!G33,'HHV-LHV-MW'!$A$3:$F$40,6,FALSE))*(CF17/100)))</f>
        <v/>
      </c>
      <c r="CL17" s="25"/>
      <c r="CM17" s="25"/>
      <c r="CN17" s="25"/>
      <c r="CO17" s="180"/>
      <c r="CP17" s="180"/>
      <c r="CQ17" s="180"/>
      <c r="CR17" s="28" t="str">
        <f>IF(Compositions!K33="","",IF(Compositions!$K$25="mol%",Compositions!K33,CS17))</f>
        <v/>
      </c>
      <c r="CS17" s="28" t="str">
        <f t="shared" si="10"/>
        <v/>
      </c>
      <c r="CT17" s="28" t="str">
        <f>IF(Compositions!K33="","",(Compositions!K33/(VLOOKUP(Compositions!G33,'HHV-LHV-MW'!$A$3:$F$40,6,FALSE))))</f>
        <v/>
      </c>
      <c r="CU17" s="26" t="str">
        <f>IF(CR17="","",((VLOOKUP(Compositions!G33,'HHV-LHV-MW'!$A$3:$F$40,4,FALSE))*(CR17/100)))</f>
        <v/>
      </c>
      <c r="CV17" s="26" t="str">
        <f>IF(CR17="","",((VLOOKUP(Compositions!G33,'HHV-LHV-MW'!$A$3:$F$40,5,FALSE))*(CR17/100)))</f>
        <v/>
      </c>
      <c r="CW17" s="207" t="str">
        <f>IF(CR17="","",((VLOOKUP(Compositions!G33,'HHV-LHV-MW'!$A$3:$F$40,6,FALSE))*(CR17/100)))</f>
        <v/>
      </c>
      <c r="CX17" s="13"/>
      <c r="CY17" s="13"/>
      <c r="CZ17" s="13"/>
      <c r="DA17" s="13"/>
      <c r="DB17" s="13"/>
      <c r="DC17" s="13"/>
      <c r="DE17" s="27" t="str">
        <f>IF(Compositions!N33="","",IF(Compositions!$N$25="mol%",Compositions!N33,DF17))</f>
        <v/>
      </c>
      <c r="DF17" s="27" t="str">
        <f t="shared" si="5"/>
        <v/>
      </c>
      <c r="DG17" s="27" t="str">
        <f>IF(Compositions!N33="","",(Compositions!N33/(VLOOKUP(Compositions!M33,'HHV-LHV-MW'!$A$3:$F$40,6,FALSE))))</f>
        <v/>
      </c>
      <c r="DH17" s="25" t="str">
        <f>IF(DE17="","",((VLOOKUP(Compositions!M33,'HHV-LHV-MW'!$A$3:$F$40,4,FALSE))*(DE17/100)))</f>
        <v/>
      </c>
      <c r="DI17" s="25" t="str">
        <f>IF(DE17="","",((VLOOKUP(Compositions!M33,'HHV-LHV-MW'!$A$3:$F$40,5,FALSE))*(DE17/100)))</f>
        <v/>
      </c>
      <c r="DJ17" s="209" t="str">
        <f>IF(DE17="","",((VLOOKUP(Compositions!M33,'HHV-LHV-MW'!$A$3:$F$40,6,FALSE))*(DE17/100)))</f>
        <v/>
      </c>
      <c r="DK17" s="25"/>
      <c r="DL17" s="25"/>
      <c r="DM17" s="25"/>
      <c r="DN17" s="180"/>
      <c r="DO17" s="180"/>
      <c r="DP17" s="180"/>
      <c r="DQ17" s="28" t="str">
        <f>IF(Compositions!O33="","",IF(Compositions!$O$25="mol%",Compositions!O33,DR17))</f>
        <v/>
      </c>
      <c r="DR17" s="28" t="str">
        <f t="shared" si="11"/>
        <v/>
      </c>
      <c r="DS17" s="28" t="str">
        <f>IF(Compositions!O33="","",(Compositions!O33/(VLOOKUP(Compositions!M33,'HHV-LHV-MW'!$A$3:$F$40,6,FALSE))))</f>
        <v/>
      </c>
      <c r="DT17" s="26" t="str">
        <f>IF(DQ17="","",((VLOOKUP(Compositions!M33,'HHV-LHV-MW'!$A$3:$F$40,4,FALSE))*(DQ17/100)))</f>
        <v/>
      </c>
      <c r="DU17" s="26" t="str">
        <f>IF(DQ17="","",((VLOOKUP(Compositions!M33,'HHV-LHV-MW'!$A$3:$F$40,5,FALSE))*(DQ17/100)))</f>
        <v/>
      </c>
      <c r="DV17" s="39" t="str">
        <f>IF(DQ17="","",((VLOOKUP(Compositions!M33,'HHV-LHV-MW'!$A$3:$F$40,6,FALSE))*(DQ17/100)))</f>
        <v/>
      </c>
      <c r="DW17" s="26"/>
      <c r="DX17" s="26"/>
      <c r="DY17" s="26"/>
      <c r="DZ17" s="177"/>
      <c r="EA17" s="177"/>
      <c r="EB17" s="177"/>
      <c r="EC17" s="27" t="str">
        <f>IF(Compositions!P33="","",IF(Compositions!$P$25="mol%",Compositions!P33,ED17))</f>
        <v/>
      </c>
      <c r="ED17" s="27" t="str">
        <f t="shared" si="12"/>
        <v/>
      </c>
      <c r="EE17" s="27" t="str">
        <f>IF(Compositions!P33="","",(Compositions!P33/(VLOOKUP(Compositions!M33,'HHV-LHV-MW'!$A$3:$F$40,6,FALSE))))</f>
        <v/>
      </c>
      <c r="EF17" s="25" t="str">
        <f>IF(EC17="","",((VLOOKUP(Compositions!M33,'HHV-LHV-MW'!$A$3:$F$40,4,FALSE))*(EC17/100)))</f>
        <v/>
      </c>
      <c r="EG17" s="25" t="str">
        <f>IF(EC17="","",((VLOOKUP(Compositions!M33,'HHV-LHV-MW'!$A$3:$F$40,5,FALSE))*(EC17/100)))</f>
        <v/>
      </c>
      <c r="EH17" s="209" t="str">
        <f>IF(EC17="","",((VLOOKUP(Compositions!M33,'HHV-LHV-MW'!$A$3:$F$40,6,FALSE))*(EC17/100)))</f>
        <v/>
      </c>
      <c r="EI17" s="25"/>
      <c r="EJ17" s="25"/>
      <c r="EK17" s="25"/>
      <c r="EL17" s="180"/>
      <c r="EM17" s="180"/>
      <c r="EN17" s="180"/>
      <c r="EO17" s="28" t="str">
        <f>IF(Compositions!Q33="","",IF(Compositions!$Q$25="mol%",Compositions!Q33,EP17))</f>
        <v/>
      </c>
      <c r="EP17" s="28" t="str">
        <f t="shared" si="13"/>
        <v/>
      </c>
      <c r="EQ17" s="28" t="str">
        <f>IF(Compositions!Q33="","",(Compositions!Q33/(VLOOKUP(Compositions!M33,'HHV-LHV-MW'!$A$3:$F$40,6,FALSE))))</f>
        <v/>
      </c>
      <c r="ER17" s="26" t="str">
        <f>IF(EO17="","",((VLOOKUP(Compositions!M33,'HHV-LHV-MW'!$A$3:$F$40,4,FALSE))*(EO17/100)))</f>
        <v/>
      </c>
      <c r="ES17" s="26" t="str">
        <f>IF(EO17="","",((VLOOKUP(Compositions!M33,'HHV-LHV-MW'!$A$3:$F$40,5,FALSE))*(EO17/100)))</f>
        <v/>
      </c>
      <c r="ET17" s="39" t="str">
        <f>IF(EO17="","",((VLOOKUP(Compositions!M33,'HHV-LHV-MW'!$A$3:$F$40,6,FALSE))*(EO17/100)))</f>
        <v/>
      </c>
      <c r="EU17" s="13"/>
      <c r="EV17" s="13"/>
      <c r="EW17" s="13"/>
      <c r="EX17" s="13"/>
      <c r="EY17" s="13"/>
      <c r="EZ17" s="13"/>
      <c r="FB17" s="27" t="str">
        <f>IF(Compositions!T33="","",IF(Compositions!$T$25="mol%",Compositions!T33,FC17))</f>
        <v/>
      </c>
      <c r="FC17" s="27" t="str">
        <f t="shared" si="14"/>
        <v/>
      </c>
      <c r="FD17" s="27" t="str">
        <f>IF(Compositions!T33="","",(Compositions!T33/(VLOOKUP(Compositions!S33,'HHV-LHV-MW'!$A$3:$F$40,6,FALSE))))</f>
        <v/>
      </c>
      <c r="FE17" s="25" t="str">
        <f>IF(FB17="","",((VLOOKUP(Compositions!S33,'HHV-LHV-MW'!$A$3:$F$40,4,FALSE))*(FB17/100)))</f>
        <v/>
      </c>
      <c r="FF17" s="25" t="str">
        <f>IF(FB17="","",((VLOOKUP(Compositions!S33,'HHV-LHV-MW'!$A$3:$F$40,5,FALSE))*(FB17/100)))</f>
        <v/>
      </c>
      <c r="FG17" s="209" t="str">
        <f>IF(FB17="","",((VLOOKUP(Compositions!S33,'HHV-LHV-MW'!$A$3:$F$40,6,FALSE))*(FB17/100)))</f>
        <v/>
      </c>
      <c r="FH17" s="25"/>
      <c r="FI17" s="25"/>
      <c r="FJ17" s="25"/>
      <c r="FK17" s="180"/>
      <c r="FL17" s="180"/>
      <c r="FM17" s="180"/>
      <c r="FN17" s="28" t="str">
        <f>IF(Compositions!U33="","",IF(Compositions!$U$25="mol%",Compositions!U33,FO17))</f>
        <v/>
      </c>
      <c r="FO17" s="28" t="str">
        <f t="shared" si="15"/>
        <v/>
      </c>
      <c r="FP17" s="28" t="str">
        <f>IF(Compositions!U33="","",(Compositions!U33/(VLOOKUP(Compositions!S33,'HHV-LHV-MW'!$A$3:$F$40,6,FALSE))))</f>
        <v/>
      </c>
      <c r="FQ17" s="26" t="str">
        <f>IF(FN17="","",((VLOOKUP(Compositions!S33,'HHV-LHV-MW'!$A$3:$F$40,4,FALSE))*(FN17/100)))</f>
        <v/>
      </c>
      <c r="FR17" s="26" t="str">
        <f>IF(FN17="","",((VLOOKUP(Compositions!S33,'HHV-LHV-MW'!$A$3:$F$40,5,FALSE))*(FN17/100)))</f>
        <v/>
      </c>
      <c r="FS17" s="39" t="str">
        <f>IF(FN17="","",((VLOOKUP(Compositions!S33,'HHV-LHV-MW'!$A$3:$F$40,6,FALSE))*(FN17/100)))</f>
        <v/>
      </c>
      <c r="FT17" s="26"/>
      <c r="FU17" s="26"/>
      <c r="FV17" s="26"/>
      <c r="FW17" s="177"/>
      <c r="FX17" s="177"/>
      <c r="FY17" s="177"/>
      <c r="FZ17" s="27" t="str">
        <f>IF(Compositions!V33="","",IF(Compositions!$V$25="mol%",Compositions!V33,GA17))</f>
        <v/>
      </c>
      <c r="GA17" s="27" t="str">
        <f t="shared" si="16"/>
        <v/>
      </c>
      <c r="GB17" s="27" t="str">
        <f>IF(Compositions!V33="","",(Compositions!V33/(VLOOKUP(Compositions!S33,'HHV-LHV-MW'!$A$3:$F$40,6,FALSE))))</f>
        <v/>
      </c>
      <c r="GC17" s="25" t="str">
        <f>IF(FZ17="","",((VLOOKUP(Compositions!S33,'HHV-LHV-MW'!$A$3:$F$40,4,FALSE))*(FZ17/100)))</f>
        <v/>
      </c>
      <c r="GD17" s="25" t="str">
        <f>IF(FZ17="","",((VLOOKUP(Compositions!S33,'HHV-LHV-MW'!$A$3:$F$40,5,FALSE))*(FZ17/100)))</f>
        <v/>
      </c>
      <c r="GE17" s="209" t="str">
        <f>IF(FZ17="","",((VLOOKUP(Compositions!S33,'HHV-LHV-MW'!$A$3:$F$40,6,FALSE))*(FZ17/100)))</f>
        <v/>
      </c>
      <c r="GF17" s="25"/>
      <c r="GG17" s="25"/>
      <c r="GH17" s="25"/>
      <c r="GI17" s="180"/>
      <c r="GJ17" s="180"/>
      <c r="GK17" s="180"/>
      <c r="GL17" s="28" t="str">
        <f>IF(Compositions!W33="","",IF(Compositions!$W$25="mol%",Compositions!W33,GM17))</f>
        <v/>
      </c>
      <c r="GM17" s="28" t="str">
        <f t="shared" si="17"/>
        <v/>
      </c>
      <c r="GN17" s="28" t="str">
        <f>IF(Compositions!W33="","",(Compositions!W33/(VLOOKUP(Compositions!S33,'HHV-LHV-MW'!$A$3:$F$40,6,FALSE))))</f>
        <v/>
      </c>
      <c r="GO17" s="26" t="str">
        <f>IF(GL17="","",((VLOOKUP(Compositions!S33,'HHV-LHV-MW'!$A$3:$F$40,4,FALSE))*(GL17/100)))</f>
        <v/>
      </c>
      <c r="GP17" s="26" t="str">
        <f>IF(GL17="","",((VLOOKUP(Compositions!S33,'HHV-LHV-MW'!$A$3:$F$40,5,FALSE))*(GL17/100)))</f>
        <v/>
      </c>
      <c r="GQ17" s="39" t="str">
        <f>IF(GL17="","",((VLOOKUP(Compositions!S33,'HHV-LHV-MW'!$A$3:$F$40,6,FALSE))*(GL17/100)))</f>
        <v/>
      </c>
      <c r="GR17" s="13"/>
      <c r="GS17" s="13"/>
      <c r="GT17" s="13"/>
      <c r="GU17" s="13"/>
      <c r="GV17" s="13"/>
      <c r="GW17" s="13"/>
      <c r="GY17" s="27" t="str">
        <f>IF(Compositions!Z33="","",IF(Compositions!$Z$25="mol%",Compositions!Z33,GZ17))</f>
        <v/>
      </c>
      <c r="GZ17" s="27" t="str">
        <f t="shared" si="18"/>
        <v/>
      </c>
      <c r="HA17" s="27" t="str">
        <f>IF(Compositions!Z33="","",(Compositions!Z33/(VLOOKUP(Compositions!Y33,'HHV-LHV-MW'!$A$3:$F$40,6,FALSE))))</f>
        <v/>
      </c>
      <c r="HB17" s="25" t="str">
        <f>IF(GY17="","",((VLOOKUP(Compositions!Y33,'HHV-LHV-MW'!$A$3:$F$40,4,FALSE))*(GY17/100)))</f>
        <v/>
      </c>
      <c r="HC17" s="25" t="str">
        <f>IF(GY17="","",((VLOOKUP(Compositions!Y33,'HHV-LHV-MW'!$A$3:$F$40,5,FALSE))*(GY17/100)))</f>
        <v/>
      </c>
      <c r="HD17" s="209" t="str">
        <f>IF(GY17="","",((VLOOKUP(Compositions!Y33,'HHV-LHV-MW'!$A$3:$F$40,6,FALSE))*(GY17/100)))</f>
        <v/>
      </c>
      <c r="HE17" s="25"/>
      <c r="HF17" s="25"/>
      <c r="HG17" s="25"/>
      <c r="HH17" s="180"/>
      <c r="HI17" s="180"/>
      <c r="HJ17" s="180"/>
      <c r="HK17" s="28" t="str">
        <f>IF(Compositions!AA33="","",IF(Compositions!$AA$25="mol%",Compositions!AA33,HL17))</f>
        <v/>
      </c>
      <c r="HL17" s="28" t="str">
        <f t="shared" si="19"/>
        <v/>
      </c>
      <c r="HM17" s="28" t="str">
        <f>IF(Compositions!AA33="","",(Compositions!AA33/(VLOOKUP(Compositions!Y33,'HHV-LHV-MW'!$A$3:$F$40,6,FALSE))))</f>
        <v/>
      </c>
      <c r="HN17" s="26" t="str">
        <f>IF(HK17="","",((VLOOKUP(Compositions!Y33,'HHV-LHV-MW'!$A$3:$F$40,4,FALSE))*(HK17/100)))</f>
        <v/>
      </c>
      <c r="HO17" s="26" t="str">
        <f>IF(HK17="","",((VLOOKUP(Compositions!Y33,'HHV-LHV-MW'!$A$3:$F$40,5,FALSE))*(HK17/100)))</f>
        <v/>
      </c>
      <c r="HP17" s="39" t="str">
        <f>IF(HK17="","",((VLOOKUP(Compositions!Y33,'HHV-LHV-MW'!$A$3:$F$40,6,FALSE))*(HK17/100)))</f>
        <v/>
      </c>
      <c r="HQ17" s="26"/>
      <c r="HR17" s="26"/>
      <c r="HS17" s="26"/>
      <c r="HT17" s="177"/>
      <c r="HU17" s="177"/>
      <c r="HV17" s="177"/>
      <c r="HW17" s="27" t="str">
        <f>IF(Compositions!AB33="","",IF(Compositions!$AB$25="mol%",Compositions!AB33,HX17))</f>
        <v/>
      </c>
      <c r="HX17" s="27" t="str">
        <f t="shared" si="20"/>
        <v/>
      </c>
      <c r="HY17" s="27" t="str">
        <f>IF(Compositions!AB33="","",(Compositions!AB33/(VLOOKUP(Compositions!Y33,'HHV-LHV-MW'!$A$3:$F$40,6,FALSE))))</f>
        <v/>
      </c>
      <c r="HZ17" s="25" t="str">
        <f>IF(HW17="","",((VLOOKUP(Compositions!Y33,'HHV-LHV-MW'!$A$3:$F$40,4,FALSE))*(HW17/100)))</f>
        <v/>
      </c>
      <c r="IA17" s="25" t="str">
        <f>IF(HW17="","",((VLOOKUP(Compositions!Y33,'HHV-LHV-MW'!$A$3:$F$40,5,FALSE))*(HW17/100)))</f>
        <v/>
      </c>
      <c r="IB17" s="209" t="str">
        <f>IF(HW17="","",((VLOOKUP(Compositions!Y33,'HHV-LHV-MW'!$A$3:$F$40,6,FALSE))*(HW17/100)))</f>
        <v/>
      </c>
      <c r="IC17" s="25"/>
      <c r="ID17" s="25"/>
      <c r="IE17" s="25"/>
      <c r="IF17" s="180"/>
      <c r="IG17" s="180"/>
      <c r="IH17" s="180"/>
      <c r="II17" s="28" t="str">
        <f>IF(Compositions!AC33="","",IF(Compositions!$AC$25="mol%",Compositions!AC33,IJ17))</f>
        <v/>
      </c>
      <c r="IJ17" s="28" t="str">
        <f t="shared" si="21"/>
        <v/>
      </c>
      <c r="IK17" s="28" t="str">
        <f>IF(Compositions!AC33="","",(Compositions!AC33/(VLOOKUP(Compositions!Y33,'HHV-LHV-MW'!$A$3:$F$40,6,FALSE))))</f>
        <v/>
      </c>
      <c r="IL17" s="26" t="str">
        <f>IF(II17="","",((VLOOKUP(Compositions!Y33,'HHV-LHV-MW'!$A$3:$F$40,4,FALSE))*(II17/100)))</f>
        <v/>
      </c>
      <c r="IM17" s="26" t="str">
        <f>IF(II17="","",((VLOOKUP(Compositions!Y33,'HHV-LHV-MW'!$A$3:$F$40,5,FALSE))*(II17/100)))</f>
        <v/>
      </c>
      <c r="IN17" s="39" t="str">
        <f>IF(II17="","",((VLOOKUP(Compositions!Y33,'HHV-LHV-MW'!$A$3:$F$40,6,FALSE))*(II17/100)))</f>
        <v/>
      </c>
      <c r="IO17" s="13"/>
      <c r="IP17" s="13"/>
      <c r="IQ17" s="13"/>
      <c r="IR17" s="13"/>
      <c r="IS17" s="13"/>
      <c r="IT17" s="13"/>
      <c r="IV17" s="27" t="str">
        <f>IF(Compositions!AF33="","",IF(Compositions!$AF$25="mol%",Compositions!AF33,IW17))</f>
        <v/>
      </c>
      <c r="IW17" s="27" t="str">
        <f t="shared" si="6"/>
        <v/>
      </c>
      <c r="IX17" s="27" t="str">
        <f>IF(Compositions!AF33="","",(Compositions!AF33/(VLOOKUP(Compositions!AE33,'HHV-LHV-MW'!$A$3:$F$40,6,FALSE))))</f>
        <v/>
      </c>
      <c r="IY17" s="25" t="str">
        <f>IF(IV17="","",((VLOOKUP(Compositions!AE33,'HHV-LHV-MW'!$A$3:$F$40,4,FALSE))*(IV17/100)))</f>
        <v/>
      </c>
      <c r="IZ17" s="25" t="str">
        <f>IF(IV17="","",((VLOOKUP(Compositions!AE33,'HHV-LHV-MW'!$A$3:$F$40,5,FALSE))*(IV17/100)))</f>
        <v/>
      </c>
      <c r="JA17" s="209" t="str">
        <f>IF(IV17="","",((VLOOKUP(Compositions!AE33,'HHV-LHV-MW'!$A$3:$F$40,6,FALSE))*(IV17/100)))</f>
        <v/>
      </c>
      <c r="JB17" s="25"/>
      <c r="JC17" s="25"/>
      <c r="JD17" s="25"/>
      <c r="JE17" s="180"/>
      <c r="JF17" s="180"/>
      <c r="JG17" s="180"/>
      <c r="JH17" s="28" t="str">
        <f>IF(Compositions!AG33="","",IF(Compositions!$AG$25="mol%",Compositions!AG33,JI17))</f>
        <v/>
      </c>
      <c r="JI17" s="28" t="str">
        <f t="shared" si="22"/>
        <v/>
      </c>
      <c r="JJ17" s="28" t="str">
        <f>IF(Compositions!AG33="","",(Compositions!AG33/(VLOOKUP(Compositions!AE33,'HHV-LHV-MW'!$A$3:$F$40,6,FALSE))))</f>
        <v/>
      </c>
      <c r="JK17" s="26" t="str">
        <f>IF(JH17="","",((VLOOKUP(Compositions!AE33,'HHV-LHV-MW'!$A$3:$F$40,4,FALSE))*(JH17/100)))</f>
        <v/>
      </c>
      <c r="JL17" s="26" t="str">
        <f>IF(JH17="","",((VLOOKUP(Compositions!AE33,'HHV-LHV-MW'!$A$3:$F$40,5,FALSE))*(JH17/100)))</f>
        <v/>
      </c>
      <c r="JM17" s="39" t="str">
        <f>IF(JH17="","",((VLOOKUP(Compositions!AE33,'HHV-LHV-MW'!$A$3:$F$40,6,FALSE))*(JH17/100)))</f>
        <v/>
      </c>
      <c r="JN17" s="26"/>
      <c r="JO17" s="26"/>
      <c r="JP17" s="26"/>
      <c r="JQ17" s="177"/>
      <c r="JR17" s="177"/>
      <c r="JS17" s="177"/>
      <c r="JT17" s="27" t="str">
        <f>IF(Compositions!AH33="","",IF(Compositions!$AH$25="mol%",Compositions!AH33,JU17))</f>
        <v/>
      </c>
      <c r="JU17" s="27" t="str">
        <f t="shared" si="23"/>
        <v/>
      </c>
      <c r="JV17" s="27" t="str">
        <f>IF(Compositions!AH33="","",(Compositions!AH33/(VLOOKUP(Compositions!AE33,'HHV-LHV-MW'!$A$3:$F$40,6,FALSE))))</f>
        <v/>
      </c>
      <c r="JW17" s="25" t="str">
        <f>IF(JT17="","",((VLOOKUP(Compositions!AE33,'HHV-LHV-MW'!$A$3:$F$40,4,FALSE))*(JT17/100)))</f>
        <v/>
      </c>
      <c r="JX17" s="25" t="str">
        <f>IF(JT17="","",((VLOOKUP(Compositions!AE33,'HHV-LHV-MW'!$A$3:$F$40,5,FALSE))*(JT17/100)))</f>
        <v/>
      </c>
      <c r="JY17" s="209" t="str">
        <f>IF(JT17="","",((VLOOKUP(Compositions!AE33,'HHV-LHV-MW'!$A$3:$F$40,6,FALSE))*(JT17/100)))</f>
        <v/>
      </c>
      <c r="JZ17" s="25"/>
      <c r="KA17" s="25"/>
      <c r="KB17" s="25"/>
      <c r="KC17" s="180"/>
      <c r="KD17" s="180"/>
      <c r="KE17" s="180"/>
      <c r="KF17" s="28" t="str">
        <f>IF(Compositions!AI33="","",IF(Compositions!$AI$25="mol%",Compositions!AI33,KG17))</f>
        <v/>
      </c>
      <c r="KG17" s="28" t="str">
        <f t="shared" si="24"/>
        <v/>
      </c>
      <c r="KH17" s="28" t="str">
        <f>IF(Compositions!AI33="","",(Compositions!AI33/(VLOOKUP(Compositions!AE33,'HHV-LHV-MW'!$A$3:$F$40,6,FALSE))))</f>
        <v/>
      </c>
      <c r="KI17" s="26" t="str">
        <f>IF(KF17="","",((VLOOKUP(Compositions!AE33,'HHV-LHV-MW'!$A$3:$F$40,4,FALSE))*(KF17/100)))</f>
        <v/>
      </c>
      <c r="KJ17" s="26" t="str">
        <f>IF(KF17="","",((VLOOKUP(Compositions!AE33,'HHV-LHV-MW'!$A$3:$F$40,5,FALSE))*(KF17/100)))</f>
        <v/>
      </c>
      <c r="KK17" s="39" t="str">
        <f>IF(KF17="","",((VLOOKUP(Compositions!AE33,'HHV-LHV-MW'!$A$3:$F$40,6,FALSE))*(KF17/100)))</f>
        <v/>
      </c>
      <c r="KL17" s="13"/>
      <c r="KM17" s="13"/>
      <c r="KN17" s="13"/>
    </row>
    <row r="18" spans="1:300" ht="15.6">
      <c r="A18" s="173" t="s">
        <v>190</v>
      </c>
      <c r="B18" s="19" t="s">
        <v>189</v>
      </c>
      <c r="C18" s="20">
        <v>5</v>
      </c>
      <c r="D18" s="20">
        <v>3.5065</v>
      </c>
      <c r="E18" s="20">
        <v>3.2650000000000001</v>
      </c>
      <c r="F18" s="20">
        <v>72.150279999999995</v>
      </c>
      <c r="G18" s="20">
        <f t="shared" si="0"/>
        <v>0</v>
      </c>
      <c r="H18" s="20">
        <v>0</v>
      </c>
      <c r="I18" s="170">
        <v>1</v>
      </c>
      <c r="K18" s="27" t="str">
        <f>IF(Compositions!B34="","",IF(Compositions!$B$25="mol%",Compositions!B34,L18))</f>
        <v/>
      </c>
      <c r="L18" s="27" t="str">
        <f t="shared" si="1"/>
        <v/>
      </c>
      <c r="M18" s="27" t="str">
        <f>IF(Compositions!B34="","",(Compositions!B34/(VLOOKUP(Compositions!A34,'HHV-LHV-MW'!$A$3:$F$40,6,FALSE))))</f>
        <v/>
      </c>
      <c r="N18" s="25" t="str">
        <f>IF(K18="","",((VLOOKUP(Compositions!A34,'HHV-LHV-MW'!$A$3:$F$40,4,FALSE))*(K18/100)))</f>
        <v/>
      </c>
      <c r="O18" s="25" t="str">
        <f>IF(K18="","",((VLOOKUP(Compositions!A34,'HHV-LHV-MW'!$A$3:$F$40,5,FALSE))*(K18/100)))</f>
        <v/>
      </c>
      <c r="P18" s="206" t="str">
        <f>IF(K18="","",((VLOOKUP(Compositions!A34,'HHV-LHV-MW'!$A$3:$F$40,6,FALSE))*(K18/100)))</f>
        <v/>
      </c>
      <c r="Q18" s="25"/>
      <c r="R18" s="25"/>
      <c r="S18" s="25"/>
      <c r="T18" s="166"/>
      <c r="U18" s="174"/>
      <c r="V18" s="180"/>
      <c r="W18" s="28" t="str">
        <f>IF(Compositions!C34="","",IF(Compositions!$C$25="mol%",Compositions!C34,X18))</f>
        <v/>
      </c>
      <c r="X18" s="28" t="str">
        <f t="shared" si="2"/>
        <v/>
      </c>
      <c r="Y18" s="28" t="str">
        <f>IF(Compositions!C34="","",(Compositions!C34/(VLOOKUP(Compositions!A34,'HHV-LHV-MW'!$A$3:$F$40,6,FALSE))))</f>
        <v/>
      </c>
      <c r="Z18" s="26" t="str">
        <f>IF(W18="","",((VLOOKUP(Compositions!A34,'HHV-LHV-MW'!$A$3:$F$40,4,FALSE))*(W18/100)))</f>
        <v/>
      </c>
      <c r="AA18" s="26" t="str">
        <f>IF(W18="","",((VLOOKUP(Compositions!A34,'HHV-LHV-MW'!$A$3:$F$40,5,FALSE))*(W18/100)))</f>
        <v/>
      </c>
      <c r="AB18" s="39" t="str">
        <f>IF(W18="","",((VLOOKUP(Compositions!A34,'HHV-LHV-MW'!$A$3:$F$40,6,FALSE))*(W18/100)))</f>
        <v/>
      </c>
      <c r="AC18" s="26"/>
      <c r="AD18" s="26"/>
      <c r="AE18" s="26"/>
      <c r="AF18" s="177"/>
      <c r="AG18" s="177"/>
      <c r="AH18" s="177"/>
      <c r="AI18" s="27" t="str">
        <f>IF(Compositions!D34="","",IF(Compositions!$D$25="mol%",Compositions!D34,AJ18))</f>
        <v/>
      </c>
      <c r="AJ18" s="27" t="str">
        <f t="shared" si="3"/>
        <v/>
      </c>
      <c r="AK18" s="27" t="str">
        <f>IF(Compositions!D34="","",(Compositions!D34/(VLOOKUP(Compositions!A34,'HHV-LHV-MW'!$A$3:$F$40,6,FALSE))))</f>
        <v/>
      </c>
      <c r="AL18" s="25" t="str">
        <f>IF(AI18="","",((VLOOKUP(Compositions!A34,'HHV-LHV-MW'!$A$3:$F$40,4,FALSE))*(AI18/100)))</f>
        <v/>
      </c>
      <c r="AM18" s="25" t="str">
        <f>IF(AI18="","",((VLOOKUP(Compositions!A34,'HHV-LHV-MW'!$A$3:$F$40,5,FALSE))*(AI18/100)))</f>
        <v/>
      </c>
      <c r="AN18" s="209" t="str">
        <f>IF(AI18="","",((VLOOKUP(Compositions!A34,'HHV-LHV-MW'!$A$3:$F$40,6,FALSE))*(AI18/100)))</f>
        <v/>
      </c>
      <c r="AO18" s="25"/>
      <c r="AP18" s="25"/>
      <c r="AQ18" s="25"/>
      <c r="AR18" s="180"/>
      <c r="AS18" s="180"/>
      <c r="AT18" s="180"/>
      <c r="AU18" s="28" t="str">
        <f>IF(Compositions!E34="","",IF(Compositions!$E$25="mol%",Compositions!E34,AV18))</f>
        <v/>
      </c>
      <c r="AV18" s="28" t="str">
        <f t="shared" si="4"/>
        <v/>
      </c>
      <c r="AW18" s="28" t="str">
        <f>IF(Compositions!E34="","",(Compositions!E34/(VLOOKUP(Compositions!A34,'HHV-LHV-MW'!$A$3:$F$40,6,FALSE))))</f>
        <v/>
      </c>
      <c r="AX18" s="26" t="str">
        <f>IF(AU18="","",((VLOOKUP(Compositions!A34,'HHV-LHV-MW'!$A$3:$F$40,4,FALSE))*(AU18/100)))</f>
        <v/>
      </c>
      <c r="AY18" s="26" t="str">
        <f>IF(AU18="","",((VLOOKUP(Compositions!A34,'HHV-LHV-MW'!$A$3:$F$40,5,FALSE))*(AU18/100)))</f>
        <v/>
      </c>
      <c r="AZ18" s="39" t="str">
        <f>IF(AU18="","",((VLOOKUP(Compositions!A34,'HHV-LHV-MW'!$A$3:$F$40,6,FALSE))*(AU18/100)))</f>
        <v/>
      </c>
      <c r="BA18" s="13"/>
      <c r="BB18" s="13"/>
      <c r="BC18" s="13"/>
      <c r="BD18" s="13"/>
      <c r="BE18" s="13"/>
      <c r="BF18" s="13"/>
      <c r="BH18" s="27" t="str">
        <f>IF(Compositions!H34="","",IF(Compositions!$H$25="mol%",Compositions!H34,BI18))</f>
        <v/>
      </c>
      <c r="BI18" s="27" t="str">
        <f t="shared" si="7"/>
        <v/>
      </c>
      <c r="BJ18" s="27" t="str">
        <f>IF(Compositions!H34="","",(Compositions!H34/(VLOOKUP(Compositions!G34,'HHV-LHV-MW'!$A$3:$F$40,6,FALSE))))</f>
        <v/>
      </c>
      <c r="BK18" s="25" t="str">
        <f>IF(BH18="","",((VLOOKUP(Compositions!G34,'HHV-LHV-MW'!$A$3:$F$40,4,FALSE))*(BH18/100)))</f>
        <v/>
      </c>
      <c r="BL18" s="25" t="str">
        <f>IF(BH18="","",((VLOOKUP(Compositions!G34,'HHV-LHV-MW'!$A$3:$F$40,5,FALSE))*(BH18/100)))</f>
        <v/>
      </c>
      <c r="BM18" s="209" t="str">
        <f>IF(BH18="","",((VLOOKUP(Compositions!G34,'HHV-LHV-MW'!$A$3:$F$40,6,FALSE))*(BH18/100)))</f>
        <v/>
      </c>
      <c r="BN18" s="25"/>
      <c r="BO18" s="25"/>
      <c r="BP18" s="25"/>
      <c r="BQ18" s="180"/>
      <c r="BR18" s="180"/>
      <c r="BS18" s="180"/>
      <c r="BT18" s="28" t="str">
        <f>IF(Compositions!I34="","",IF(Compositions!$I$25="mol%",Compositions!I34,BU18))</f>
        <v/>
      </c>
      <c r="BU18" s="28" t="str">
        <f t="shared" si="8"/>
        <v/>
      </c>
      <c r="BV18" s="28" t="str">
        <f>IF(Compositions!I34="","",(Compositions!I34/(VLOOKUP(Compositions!G34,'HHV-LHV-MW'!$A$3:$F$40,6,FALSE))))</f>
        <v/>
      </c>
      <c r="BW18" s="26" t="str">
        <f>IF(BT18="","",((VLOOKUP(Compositions!G34,'HHV-LHV-MW'!$A$3:$F$40,4,FALSE))*(BT18/100)))</f>
        <v/>
      </c>
      <c r="BX18" s="26" t="str">
        <f>IF(BT18="","",((VLOOKUP(Compositions!G34,'HHV-LHV-MW'!$A$3:$F$40,5,FALSE))*(BT18/100)))</f>
        <v/>
      </c>
      <c r="BY18" s="207" t="str">
        <f>IF(BT18="","",((VLOOKUP(Compositions!G34,'HHV-LHV-MW'!$A$3:$F$40,6,FALSE))*(BT18/100)))</f>
        <v/>
      </c>
      <c r="BZ18" s="26"/>
      <c r="CA18" s="26"/>
      <c r="CB18" s="26"/>
      <c r="CC18" s="177"/>
      <c r="CD18" s="177"/>
      <c r="CE18" s="177"/>
      <c r="CF18" s="27" t="str">
        <f>IF(Compositions!J34="","",IF(Compositions!$J$25="mol%",Compositions!J34,CG18))</f>
        <v/>
      </c>
      <c r="CG18" s="27" t="str">
        <f t="shared" si="9"/>
        <v/>
      </c>
      <c r="CH18" s="27" t="str">
        <f>IF(Compositions!J34="","",(Compositions!J34/(VLOOKUP(Compositions!G34,'HHV-LHV-MW'!$A$3:$F$40,6,FALSE))))</f>
        <v/>
      </c>
      <c r="CI18" s="25" t="str">
        <f>IF(CF18="","",((VLOOKUP(Compositions!G34,'HHV-LHV-MW'!$A$3:$F$40,4,FALSE))*(CF18/100)))</f>
        <v/>
      </c>
      <c r="CJ18" s="25" t="str">
        <f>IF(CF18="","",((VLOOKUP(Compositions!G34,'HHV-LHV-MW'!$A$3:$F$40,5,FALSE))*(CF18/100)))</f>
        <v/>
      </c>
      <c r="CK18" s="209" t="str">
        <f>IF(CF18="","",((VLOOKUP(Compositions!G34,'HHV-LHV-MW'!$A$3:$F$40,6,FALSE))*(CF18/100)))</f>
        <v/>
      </c>
      <c r="CL18" s="25"/>
      <c r="CM18" s="25"/>
      <c r="CN18" s="25"/>
      <c r="CO18" s="180"/>
      <c r="CP18" s="180"/>
      <c r="CQ18" s="180"/>
      <c r="CR18" s="28" t="str">
        <f>IF(Compositions!K34="","",IF(Compositions!$K$25="mol%",Compositions!K34,CS18))</f>
        <v/>
      </c>
      <c r="CS18" s="28" t="str">
        <f t="shared" si="10"/>
        <v/>
      </c>
      <c r="CT18" s="28" t="str">
        <f>IF(Compositions!K34="","",(Compositions!K34/(VLOOKUP(Compositions!G34,'HHV-LHV-MW'!$A$3:$F$40,6,FALSE))))</f>
        <v/>
      </c>
      <c r="CU18" s="26" t="str">
        <f>IF(CR18="","",((VLOOKUP(Compositions!G34,'HHV-LHV-MW'!$A$3:$F$40,4,FALSE))*(CR18/100)))</f>
        <v/>
      </c>
      <c r="CV18" s="26" t="str">
        <f>IF(CR18="","",((VLOOKUP(Compositions!G34,'HHV-LHV-MW'!$A$3:$F$40,5,FALSE))*(CR18/100)))</f>
        <v/>
      </c>
      <c r="CW18" s="207" t="str">
        <f>IF(CR18="","",((VLOOKUP(Compositions!G34,'HHV-LHV-MW'!$A$3:$F$40,6,FALSE))*(CR18/100)))</f>
        <v/>
      </c>
      <c r="CX18" s="13"/>
      <c r="CY18" s="13"/>
      <c r="CZ18" s="13"/>
      <c r="DA18" s="13"/>
      <c r="DB18" s="13"/>
      <c r="DC18" s="13"/>
      <c r="DE18" s="27" t="str">
        <f>IF(Compositions!N34="","",IF(Compositions!$N$25="mol%",Compositions!N34,DF18))</f>
        <v/>
      </c>
      <c r="DF18" s="27" t="str">
        <f t="shared" si="5"/>
        <v/>
      </c>
      <c r="DG18" s="27" t="str">
        <f>IF(Compositions!N34="","",(Compositions!N34/(VLOOKUP(Compositions!M34,'HHV-LHV-MW'!$A$3:$F$40,6,FALSE))))</f>
        <v/>
      </c>
      <c r="DH18" s="25" t="str">
        <f>IF(DE18="","",((VLOOKUP(Compositions!M34,'HHV-LHV-MW'!$A$3:$F$40,4,FALSE))*(DE18/100)))</f>
        <v/>
      </c>
      <c r="DI18" s="25" t="str">
        <f>IF(DE18="","",((VLOOKUP(Compositions!M34,'HHV-LHV-MW'!$A$3:$F$40,5,FALSE))*(DE18/100)))</f>
        <v/>
      </c>
      <c r="DJ18" s="209" t="str">
        <f>IF(DE18="","",((VLOOKUP(Compositions!M34,'HHV-LHV-MW'!$A$3:$F$40,6,FALSE))*(DE18/100)))</f>
        <v/>
      </c>
      <c r="DK18" s="25"/>
      <c r="DL18" s="25"/>
      <c r="DM18" s="25"/>
      <c r="DN18" s="180"/>
      <c r="DO18" s="180"/>
      <c r="DP18" s="180"/>
      <c r="DQ18" s="28" t="str">
        <f>IF(Compositions!O34="","",IF(Compositions!$O$25="mol%",Compositions!O34,DR18))</f>
        <v/>
      </c>
      <c r="DR18" s="28" t="str">
        <f t="shared" si="11"/>
        <v/>
      </c>
      <c r="DS18" s="28" t="str">
        <f>IF(Compositions!O34="","",(Compositions!O34/(VLOOKUP(Compositions!M34,'HHV-LHV-MW'!$A$3:$F$40,6,FALSE))))</f>
        <v/>
      </c>
      <c r="DT18" s="26" t="str">
        <f>IF(DQ18="","",((VLOOKUP(Compositions!M34,'HHV-LHV-MW'!$A$3:$F$40,4,FALSE))*(DQ18/100)))</f>
        <v/>
      </c>
      <c r="DU18" s="26" t="str">
        <f>IF(DQ18="","",((VLOOKUP(Compositions!M34,'HHV-LHV-MW'!$A$3:$F$40,5,FALSE))*(DQ18/100)))</f>
        <v/>
      </c>
      <c r="DV18" s="39" t="str">
        <f>IF(DQ18="","",((VLOOKUP(Compositions!M34,'HHV-LHV-MW'!$A$3:$F$40,6,FALSE))*(DQ18/100)))</f>
        <v/>
      </c>
      <c r="DW18" s="26"/>
      <c r="DX18" s="26"/>
      <c r="DY18" s="26"/>
      <c r="DZ18" s="177"/>
      <c r="EA18" s="177"/>
      <c r="EB18" s="177"/>
      <c r="EC18" s="27" t="str">
        <f>IF(Compositions!P34="","",IF(Compositions!$P$25="mol%",Compositions!P34,ED18))</f>
        <v/>
      </c>
      <c r="ED18" s="27" t="str">
        <f t="shared" si="12"/>
        <v/>
      </c>
      <c r="EE18" s="27" t="str">
        <f>IF(Compositions!P34="","",(Compositions!P34/(VLOOKUP(Compositions!M34,'HHV-LHV-MW'!$A$3:$F$40,6,FALSE))))</f>
        <v/>
      </c>
      <c r="EF18" s="25" t="str">
        <f>IF(EC18="","",((VLOOKUP(Compositions!M34,'HHV-LHV-MW'!$A$3:$F$40,4,FALSE))*(EC18/100)))</f>
        <v/>
      </c>
      <c r="EG18" s="25" t="str">
        <f>IF(EC18="","",((VLOOKUP(Compositions!M34,'HHV-LHV-MW'!$A$3:$F$40,5,FALSE))*(EC18/100)))</f>
        <v/>
      </c>
      <c r="EH18" s="209" t="str">
        <f>IF(EC18="","",((VLOOKUP(Compositions!M34,'HHV-LHV-MW'!$A$3:$F$40,6,FALSE))*(EC18/100)))</f>
        <v/>
      </c>
      <c r="EI18" s="25"/>
      <c r="EJ18" s="25"/>
      <c r="EK18" s="25"/>
      <c r="EL18" s="180"/>
      <c r="EM18" s="180"/>
      <c r="EN18" s="180"/>
      <c r="EO18" s="28" t="str">
        <f>IF(Compositions!Q34="","",IF(Compositions!$Q$25="mol%",Compositions!Q34,EP18))</f>
        <v/>
      </c>
      <c r="EP18" s="28" t="str">
        <f t="shared" si="13"/>
        <v/>
      </c>
      <c r="EQ18" s="28" t="str">
        <f>IF(Compositions!Q34="","",(Compositions!Q34/(VLOOKUP(Compositions!M34,'HHV-LHV-MW'!$A$3:$F$40,6,FALSE))))</f>
        <v/>
      </c>
      <c r="ER18" s="26" t="str">
        <f>IF(EO18="","",((VLOOKUP(Compositions!M34,'HHV-LHV-MW'!$A$3:$F$40,4,FALSE))*(EO18/100)))</f>
        <v/>
      </c>
      <c r="ES18" s="26" t="str">
        <f>IF(EO18="","",((VLOOKUP(Compositions!M34,'HHV-LHV-MW'!$A$3:$F$40,5,FALSE))*(EO18/100)))</f>
        <v/>
      </c>
      <c r="ET18" s="39" t="str">
        <f>IF(EO18="","",((VLOOKUP(Compositions!M34,'HHV-LHV-MW'!$A$3:$F$40,6,FALSE))*(EO18/100)))</f>
        <v/>
      </c>
      <c r="EU18" s="13"/>
      <c r="EV18" s="13"/>
      <c r="EW18" s="13"/>
      <c r="EX18" s="13"/>
      <c r="EY18" s="13"/>
      <c r="EZ18" s="13"/>
      <c r="FB18" s="27" t="str">
        <f>IF(Compositions!T34="","",IF(Compositions!$T$25="mol%",Compositions!T34,FC18))</f>
        <v/>
      </c>
      <c r="FC18" s="27" t="str">
        <f t="shared" si="14"/>
        <v/>
      </c>
      <c r="FD18" s="27" t="str">
        <f>IF(Compositions!T34="","",(Compositions!T34/(VLOOKUP(Compositions!S34,'HHV-LHV-MW'!$A$3:$F$40,6,FALSE))))</f>
        <v/>
      </c>
      <c r="FE18" s="25" t="str">
        <f>IF(FB18="","",((VLOOKUP(Compositions!S34,'HHV-LHV-MW'!$A$3:$F$40,4,FALSE))*(FB18/100)))</f>
        <v/>
      </c>
      <c r="FF18" s="25" t="str">
        <f>IF(FB18="","",((VLOOKUP(Compositions!S34,'HHV-LHV-MW'!$A$3:$F$40,5,FALSE))*(FB18/100)))</f>
        <v/>
      </c>
      <c r="FG18" s="209" t="str">
        <f>IF(FB18="","",((VLOOKUP(Compositions!S34,'HHV-LHV-MW'!$A$3:$F$40,6,FALSE))*(FB18/100)))</f>
        <v/>
      </c>
      <c r="FH18" s="25"/>
      <c r="FI18" s="25"/>
      <c r="FJ18" s="25"/>
      <c r="FK18" s="180"/>
      <c r="FL18" s="180"/>
      <c r="FM18" s="180"/>
      <c r="FN18" s="28" t="str">
        <f>IF(Compositions!U34="","",IF(Compositions!$U$25="mol%",Compositions!U34,FO18))</f>
        <v/>
      </c>
      <c r="FO18" s="28" t="str">
        <f t="shared" si="15"/>
        <v/>
      </c>
      <c r="FP18" s="28" t="str">
        <f>IF(Compositions!U34="","",(Compositions!U34/(VLOOKUP(Compositions!S34,'HHV-LHV-MW'!$A$3:$F$40,6,FALSE))))</f>
        <v/>
      </c>
      <c r="FQ18" s="26" t="str">
        <f>IF(FN18="","",((VLOOKUP(Compositions!S34,'HHV-LHV-MW'!$A$3:$F$40,4,FALSE))*(FN18/100)))</f>
        <v/>
      </c>
      <c r="FR18" s="26" t="str">
        <f>IF(FN18="","",((VLOOKUP(Compositions!S34,'HHV-LHV-MW'!$A$3:$F$40,5,FALSE))*(FN18/100)))</f>
        <v/>
      </c>
      <c r="FS18" s="39" t="str">
        <f>IF(FN18="","",((VLOOKUP(Compositions!S34,'HHV-LHV-MW'!$A$3:$F$40,6,FALSE))*(FN18/100)))</f>
        <v/>
      </c>
      <c r="FT18" s="26"/>
      <c r="FU18" s="26"/>
      <c r="FV18" s="26"/>
      <c r="FW18" s="177"/>
      <c r="FX18" s="177"/>
      <c r="FY18" s="177"/>
      <c r="FZ18" s="27" t="str">
        <f>IF(Compositions!V34="","",IF(Compositions!$V$25="mol%",Compositions!V34,GA18))</f>
        <v/>
      </c>
      <c r="GA18" s="27" t="str">
        <f t="shared" si="16"/>
        <v/>
      </c>
      <c r="GB18" s="27" t="str">
        <f>IF(Compositions!V34="","",(Compositions!V34/(VLOOKUP(Compositions!S34,'HHV-LHV-MW'!$A$3:$F$40,6,FALSE))))</f>
        <v/>
      </c>
      <c r="GC18" s="25" t="str">
        <f>IF(FZ18="","",((VLOOKUP(Compositions!S34,'HHV-LHV-MW'!$A$3:$F$40,4,FALSE))*(FZ18/100)))</f>
        <v/>
      </c>
      <c r="GD18" s="25" t="str">
        <f>IF(FZ18="","",((VLOOKUP(Compositions!S34,'HHV-LHV-MW'!$A$3:$F$40,5,FALSE))*(FZ18/100)))</f>
        <v/>
      </c>
      <c r="GE18" s="209" t="str">
        <f>IF(FZ18="","",((VLOOKUP(Compositions!S34,'HHV-LHV-MW'!$A$3:$F$40,6,FALSE))*(FZ18/100)))</f>
        <v/>
      </c>
      <c r="GF18" s="25"/>
      <c r="GG18" s="25"/>
      <c r="GH18" s="25"/>
      <c r="GI18" s="180"/>
      <c r="GJ18" s="180"/>
      <c r="GK18" s="180"/>
      <c r="GL18" s="28" t="str">
        <f>IF(Compositions!W34="","",IF(Compositions!$W$25="mol%",Compositions!W34,GM18))</f>
        <v/>
      </c>
      <c r="GM18" s="28" t="str">
        <f t="shared" si="17"/>
        <v/>
      </c>
      <c r="GN18" s="28" t="str">
        <f>IF(Compositions!W34="","",(Compositions!W34/(VLOOKUP(Compositions!S34,'HHV-LHV-MW'!$A$3:$F$40,6,FALSE))))</f>
        <v/>
      </c>
      <c r="GO18" s="26" t="str">
        <f>IF(GL18="","",((VLOOKUP(Compositions!S34,'HHV-LHV-MW'!$A$3:$F$40,4,FALSE))*(GL18/100)))</f>
        <v/>
      </c>
      <c r="GP18" s="26" t="str">
        <f>IF(GL18="","",((VLOOKUP(Compositions!S34,'HHV-LHV-MW'!$A$3:$F$40,5,FALSE))*(GL18/100)))</f>
        <v/>
      </c>
      <c r="GQ18" s="39" t="str">
        <f>IF(GL18="","",((VLOOKUP(Compositions!S34,'HHV-LHV-MW'!$A$3:$F$40,6,FALSE))*(GL18/100)))</f>
        <v/>
      </c>
      <c r="GR18" s="13"/>
      <c r="GS18" s="13"/>
      <c r="GT18" s="13"/>
      <c r="GU18" s="13"/>
      <c r="GV18" s="13"/>
      <c r="GW18" s="13"/>
      <c r="GY18" s="27" t="str">
        <f>IF(Compositions!Z34="","",IF(Compositions!$Z$25="mol%",Compositions!Z34,GZ18))</f>
        <v/>
      </c>
      <c r="GZ18" s="27" t="str">
        <f t="shared" si="18"/>
        <v/>
      </c>
      <c r="HA18" s="27" t="str">
        <f>IF(Compositions!Z34="","",(Compositions!Z34/(VLOOKUP(Compositions!Y34,'HHV-LHV-MW'!$A$3:$F$40,6,FALSE))))</f>
        <v/>
      </c>
      <c r="HB18" s="25" t="str">
        <f>IF(GY18="","",((VLOOKUP(Compositions!Y34,'HHV-LHV-MW'!$A$3:$F$40,4,FALSE))*(GY18/100)))</f>
        <v/>
      </c>
      <c r="HC18" s="25" t="str">
        <f>IF(GY18="","",((VLOOKUP(Compositions!Y34,'HHV-LHV-MW'!$A$3:$F$40,5,FALSE))*(GY18/100)))</f>
        <v/>
      </c>
      <c r="HD18" s="209" t="str">
        <f>IF(GY18="","",((VLOOKUP(Compositions!Y34,'HHV-LHV-MW'!$A$3:$F$40,6,FALSE))*(GY18/100)))</f>
        <v/>
      </c>
      <c r="HE18" s="25"/>
      <c r="HF18" s="25"/>
      <c r="HG18" s="25"/>
      <c r="HH18" s="180"/>
      <c r="HI18" s="180"/>
      <c r="HJ18" s="180"/>
      <c r="HK18" s="28" t="str">
        <f>IF(Compositions!AA34="","",IF(Compositions!$AA$25="mol%",Compositions!AA34,HL18))</f>
        <v/>
      </c>
      <c r="HL18" s="28" t="str">
        <f t="shared" si="19"/>
        <v/>
      </c>
      <c r="HM18" s="28" t="str">
        <f>IF(Compositions!AA34="","",(Compositions!AA34/(VLOOKUP(Compositions!Y34,'HHV-LHV-MW'!$A$3:$F$40,6,FALSE))))</f>
        <v/>
      </c>
      <c r="HN18" s="26" t="str">
        <f>IF(HK18="","",((VLOOKUP(Compositions!Y34,'HHV-LHV-MW'!$A$3:$F$40,4,FALSE))*(HK18/100)))</f>
        <v/>
      </c>
      <c r="HO18" s="26" t="str">
        <f>IF(HK18="","",((VLOOKUP(Compositions!Y34,'HHV-LHV-MW'!$A$3:$F$40,5,FALSE))*(HK18/100)))</f>
        <v/>
      </c>
      <c r="HP18" s="39" t="str">
        <f>IF(HK18="","",((VLOOKUP(Compositions!Y34,'HHV-LHV-MW'!$A$3:$F$40,6,FALSE))*(HK18/100)))</f>
        <v/>
      </c>
      <c r="HQ18" s="26"/>
      <c r="HR18" s="26"/>
      <c r="HS18" s="26"/>
      <c r="HT18" s="177"/>
      <c r="HU18" s="177"/>
      <c r="HV18" s="177"/>
      <c r="HW18" s="27" t="str">
        <f>IF(Compositions!AB34="","",IF(Compositions!$AB$25="mol%",Compositions!AB34,HX18))</f>
        <v/>
      </c>
      <c r="HX18" s="27" t="str">
        <f t="shared" si="20"/>
        <v/>
      </c>
      <c r="HY18" s="27" t="str">
        <f>IF(Compositions!AB34="","",(Compositions!AB34/(VLOOKUP(Compositions!Y34,'HHV-LHV-MW'!$A$3:$F$40,6,FALSE))))</f>
        <v/>
      </c>
      <c r="HZ18" s="25" t="str">
        <f>IF(HW18="","",((VLOOKUP(Compositions!Y34,'HHV-LHV-MW'!$A$3:$F$40,4,FALSE))*(HW18/100)))</f>
        <v/>
      </c>
      <c r="IA18" s="25" t="str">
        <f>IF(HW18="","",((VLOOKUP(Compositions!Y34,'HHV-LHV-MW'!$A$3:$F$40,5,FALSE))*(HW18/100)))</f>
        <v/>
      </c>
      <c r="IB18" s="209" t="str">
        <f>IF(HW18="","",((VLOOKUP(Compositions!Y34,'HHV-LHV-MW'!$A$3:$F$40,6,FALSE))*(HW18/100)))</f>
        <v/>
      </c>
      <c r="IC18" s="25"/>
      <c r="ID18" s="25"/>
      <c r="IE18" s="25"/>
      <c r="IF18" s="180"/>
      <c r="IG18" s="180"/>
      <c r="IH18" s="180"/>
      <c r="II18" s="28" t="str">
        <f>IF(Compositions!AC34="","",IF(Compositions!$AC$25="mol%",Compositions!AC34,IJ18))</f>
        <v/>
      </c>
      <c r="IJ18" s="28" t="str">
        <f t="shared" si="21"/>
        <v/>
      </c>
      <c r="IK18" s="28" t="str">
        <f>IF(Compositions!AC34="","",(Compositions!AC34/(VLOOKUP(Compositions!Y34,'HHV-LHV-MW'!$A$3:$F$40,6,FALSE))))</f>
        <v/>
      </c>
      <c r="IL18" s="26" t="str">
        <f>IF(II18="","",((VLOOKUP(Compositions!Y34,'HHV-LHV-MW'!$A$3:$F$40,4,FALSE))*(II18/100)))</f>
        <v/>
      </c>
      <c r="IM18" s="26" t="str">
        <f>IF(II18="","",((VLOOKUP(Compositions!Y34,'HHV-LHV-MW'!$A$3:$F$40,5,FALSE))*(II18/100)))</f>
        <v/>
      </c>
      <c r="IN18" s="39" t="str">
        <f>IF(II18="","",((VLOOKUP(Compositions!Y34,'HHV-LHV-MW'!$A$3:$F$40,6,FALSE))*(II18/100)))</f>
        <v/>
      </c>
      <c r="IO18" s="13"/>
      <c r="IP18" s="13"/>
      <c r="IQ18" s="13"/>
      <c r="IR18" s="13"/>
      <c r="IS18" s="13"/>
      <c r="IT18" s="13"/>
      <c r="IV18" s="27" t="str">
        <f>IF(Compositions!AF34="","",IF(Compositions!$AF$25="mol%",Compositions!AF34,IW18))</f>
        <v/>
      </c>
      <c r="IW18" s="27" t="str">
        <f t="shared" si="6"/>
        <v/>
      </c>
      <c r="IX18" s="27" t="str">
        <f>IF(Compositions!AF34="","",(Compositions!AF34/(VLOOKUP(Compositions!AE34,'HHV-LHV-MW'!$A$3:$F$40,6,FALSE))))</f>
        <v/>
      </c>
      <c r="IY18" s="25" t="str">
        <f>IF(IV18="","",((VLOOKUP(Compositions!AE34,'HHV-LHV-MW'!$A$3:$F$40,4,FALSE))*(IV18/100)))</f>
        <v/>
      </c>
      <c r="IZ18" s="25" t="str">
        <f>IF(IV18="","",((VLOOKUP(Compositions!AE34,'HHV-LHV-MW'!$A$3:$F$40,5,FALSE))*(IV18/100)))</f>
        <v/>
      </c>
      <c r="JA18" s="209" t="str">
        <f>IF(IV18="","",((VLOOKUP(Compositions!AE34,'HHV-LHV-MW'!$A$3:$F$40,6,FALSE))*(IV18/100)))</f>
        <v/>
      </c>
      <c r="JB18" s="25"/>
      <c r="JC18" s="25"/>
      <c r="JD18" s="25"/>
      <c r="JE18" s="180"/>
      <c r="JF18" s="180"/>
      <c r="JG18" s="180"/>
      <c r="JH18" s="28" t="str">
        <f>IF(Compositions!AG34="","",IF(Compositions!$AG$25="mol%",Compositions!AG34,JI18))</f>
        <v/>
      </c>
      <c r="JI18" s="28" t="str">
        <f t="shared" si="22"/>
        <v/>
      </c>
      <c r="JJ18" s="28" t="str">
        <f>IF(Compositions!AG34="","",(Compositions!AG34/(VLOOKUP(Compositions!AE34,'HHV-LHV-MW'!$A$3:$F$40,6,FALSE))))</f>
        <v/>
      </c>
      <c r="JK18" s="26" t="str">
        <f>IF(JH18="","",((VLOOKUP(Compositions!AE34,'HHV-LHV-MW'!$A$3:$F$40,4,FALSE))*(JH18/100)))</f>
        <v/>
      </c>
      <c r="JL18" s="26" t="str">
        <f>IF(JH18="","",((VLOOKUP(Compositions!AE34,'HHV-LHV-MW'!$A$3:$F$40,5,FALSE))*(JH18/100)))</f>
        <v/>
      </c>
      <c r="JM18" s="39" t="str">
        <f>IF(JH18="","",((VLOOKUP(Compositions!AE34,'HHV-LHV-MW'!$A$3:$F$40,6,FALSE))*(JH18/100)))</f>
        <v/>
      </c>
      <c r="JN18" s="26"/>
      <c r="JO18" s="26"/>
      <c r="JP18" s="26"/>
      <c r="JQ18" s="177"/>
      <c r="JR18" s="177"/>
      <c r="JS18" s="177"/>
      <c r="JT18" s="27" t="str">
        <f>IF(Compositions!AH34="","",IF(Compositions!$AH$25="mol%",Compositions!AH34,JU18))</f>
        <v/>
      </c>
      <c r="JU18" s="27" t="str">
        <f t="shared" si="23"/>
        <v/>
      </c>
      <c r="JV18" s="27" t="str">
        <f>IF(Compositions!AH34="","",(Compositions!AH34/(VLOOKUP(Compositions!AE34,'HHV-LHV-MW'!$A$3:$F$40,6,FALSE))))</f>
        <v/>
      </c>
      <c r="JW18" s="25" t="str">
        <f>IF(JT18="","",((VLOOKUP(Compositions!AE34,'HHV-LHV-MW'!$A$3:$F$40,4,FALSE))*(JT18/100)))</f>
        <v/>
      </c>
      <c r="JX18" s="25" t="str">
        <f>IF(JT18="","",((VLOOKUP(Compositions!AE34,'HHV-LHV-MW'!$A$3:$F$40,5,FALSE))*(JT18/100)))</f>
        <v/>
      </c>
      <c r="JY18" s="209" t="str">
        <f>IF(JT18="","",((VLOOKUP(Compositions!AE34,'HHV-LHV-MW'!$A$3:$F$40,6,FALSE))*(JT18/100)))</f>
        <v/>
      </c>
      <c r="JZ18" s="25"/>
      <c r="KA18" s="25"/>
      <c r="KB18" s="25"/>
      <c r="KC18" s="180"/>
      <c r="KD18" s="180"/>
      <c r="KE18" s="180"/>
      <c r="KF18" s="28" t="str">
        <f>IF(Compositions!AI34="","",IF(Compositions!$AI$25="mol%",Compositions!AI34,KG18))</f>
        <v/>
      </c>
      <c r="KG18" s="28" t="str">
        <f t="shared" si="24"/>
        <v/>
      </c>
      <c r="KH18" s="28" t="str">
        <f>IF(Compositions!AI34="","",(Compositions!AI34/(VLOOKUP(Compositions!AE34,'HHV-LHV-MW'!$A$3:$F$40,6,FALSE))))</f>
        <v/>
      </c>
      <c r="KI18" s="26" t="str">
        <f>IF(KF18="","",((VLOOKUP(Compositions!AE34,'HHV-LHV-MW'!$A$3:$F$40,4,FALSE))*(KF18/100)))</f>
        <v/>
      </c>
      <c r="KJ18" s="26" t="str">
        <f>IF(KF18="","",((VLOOKUP(Compositions!AE34,'HHV-LHV-MW'!$A$3:$F$40,5,FALSE))*(KF18/100)))</f>
        <v/>
      </c>
      <c r="KK18" s="39" t="str">
        <f>IF(KF18="","",((VLOOKUP(Compositions!AE34,'HHV-LHV-MW'!$A$3:$F$40,6,FALSE))*(KF18/100)))</f>
        <v/>
      </c>
      <c r="KL18" s="13"/>
      <c r="KM18" s="13"/>
      <c r="KN18" s="13"/>
    </row>
    <row r="19" spans="1:300" ht="15.6">
      <c r="A19" s="173" t="s">
        <v>191</v>
      </c>
      <c r="B19" s="19" t="s">
        <v>189</v>
      </c>
      <c r="C19" s="20">
        <v>5</v>
      </c>
      <c r="D19" s="20">
        <v>3.5087999999999999</v>
      </c>
      <c r="E19" s="20">
        <v>3.2692999999999999</v>
      </c>
      <c r="F19" s="20">
        <v>72.150279999999995</v>
      </c>
      <c r="G19" s="20">
        <f t="shared" si="0"/>
        <v>0</v>
      </c>
      <c r="H19" s="20">
        <v>0</v>
      </c>
      <c r="I19" s="170">
        <v>1</v>
      </c>
      <c r="K19" s="27" t="str">
        <f>IF(Compositions!B35="","",IF(Compositions!$B$25="mol%",Compositions!B35,L19))</f>
        <v/>
      </c>
      <c r="L19" s="27" t="str">
        <f t="shared" si="1"/>
        <v/>
      </c>
      <c r="M19" s="27" t="str">
        <f>IF(Compositions!B35="","",(Compositions!B35/(VLOOKUP(Compositions!A35,'HHV-LHV-MW'!$A$3:$F$40,6,FALSE))))</f>
        <v/>
      </c>
      <c r="N19" s="25" t="str">
        <f>IF(K19="","",((VLOOKUP(Compositions!A35,'HHV-LHV-MW'!$A$3:$F$40,4,FALSE))*(K19/100)))</f>
        <v/>
      </c>
      <c r="O19" s="25" t="str">
        <f>IF(K19="","",((VLOOKUP(Compositions!A35,'HHV-LHV-MW'!$A$3:$F$40,5,FALSE))*(K19/100)))</f>
        <v/>
      </c>
      <c r="P19" s="206" t="str">
        <f>IF(K19="","",((VLOOKUP(Compositions!A35,'HHV-LHV-MW'!$A$3:$F$40,6,FALSE))*(K19/100)))</f>
        <v/>
      </c>
      <c r="Q19" s="25"/>
      <c r="R19" s="25"/>
      <c r="S19" s="25"/>
      <c r="T19" s="166"/>
      <c r="U19" s="174"/>
      <c r="V19" s="180"/>
      <c r="W19" s="28" t="str">
        <f>IF(Compositions!C35="","",IF(Compositions!$C$25="mol%",Compositions!C35,X19))</f>
        <v/>
      </c>
      <c r="X19" s="28" t="str">
        <f t="shared" si="2"/>
        <v/>
      </c>
      <c r="Y19" s="28" t="str">
        <f>IF(Compositions!C35="","",(Compositions!C35/(VLOOKUP(Compositions!A35,'HHV-LHV-MW'!$A$3:$F$40,6,FALSE))))</f>
        <v/>
      </c>
      <c r="Z19" s="26" t="str">
        <f>IF(W19="","",((VLOOKUP(Compositions!A35,'HHV-LHV-MW'!$A$3:$F$40,4,FALSE))*(W19/100)))</f>
        <v/>
      </c>
      <c r="AA19" s="26" t="str">
        <f>IF(W19="","",((VLOOKUP(Compositions!A35,'HHV-LHV-MW'!$A$3:$F$40,5,FALSE))*(W19/100)))</f>
        <v/>
      </c>
      <c r="AB19" s="39" t="str">
        <f>IF(W19="","",((VLOOKUP(Compositions!A35,'HHV-LHV-MW'!$A$3:$F$40,6,FALSE))*(W19/100)))</f>
        <v/>
      </c>
      <c r="AC19" s="26"/>
      <c r="AD19" s="26"/>
      <c r="AE19" s="26"/>
      <c r="AF19" s="177"/>
      <c r="AG19" s="177"/>
      <c r="AH19" s="177"/>
      <c r="AI19" s="27" t="str">
        <f>IF(Compositions!D35="","",IF(Compositions!$D$25="mol%",Compositions!D35,AJ19))</f>
        <v/>
      </c>
      <c r="AJ19" s="27" t="str">
        <f t="shared" si="3"/>
        <v/>
      </c>
      <c r="AK19" s="27" t="str">
        <f>IF(Compositions!D35="","",(Compositions!D35/(VLOOKUP(Compositions!A35,'HHV-LHV-MW'!$A$3:$F$40,6,FALSE))))</f>
        <v/>
      </c>
      <c r="AL19" s="25" t="str">
        <f>IF(AI19="","",((VLOOKUP(Compositions!A35,'HHV-LHV-MW'!$A$3:$F$40,4,FALSE))*(AI19/100)))</f>
        <v/>
      </c>
      <c r="AM19" s="25" t="str">
        <f>IF(AI19="","",((VLOOKUP(Compositions!A35,'HHV-LHV-MW'!$A$3:$F$40,5,FALSE))*(AI19/100)))</f>
        <v/>
      </c>
      <c r="AN19" s="209" t="str">
        <f>IF(AI19="","",((VLOOKUP(Compositions!A35,'HHV-LHV-MW'!$A$3:$F$40,6,FALSE))*(AI19/100)))</f>
        <v/>
      </c>
      <c r="AO19" s="25"/>
      <c r="AP19" s="25"/>
      <c r="AQ19" s="25"/>
      <c r="AR19" s="180"/>
      <c r="AS19" s="180"/>
      <c r="AT19" s="180"/>
      <c r="AU19" s="28" t="str">
        <f>IF(Compositions!E35="","",IF(Compositions!$E$25="mol%",Compositions!E35,AV19))</f>
        <v/>
      </c>
      <c r="AV19" s="28" t="str">
        <f t="shared" si="4"/>
        <v/>
      </c>
      <c r="AW19" s="28" t="str">
        <f>IF(Compositions!E35="","",(Compositions!E35/(VLOOKUP(Compositions!A35,'HHV-LHV-MW'!$A$3:$F$40,6,FALSE))))</f>
        <v/>
      </c>
      <c r="AX19" s="26" t="str">
        <f>IF(AU19="","",((VLOOKUP(Compositions!A35,'HHV-LHV-MW'!$A$3:$F$40,4,FALSE))*(AU19/100)))</f>
        <v/>
      </c>
      <c r="AY19" s="26" t="str">
        <f>IF(AU19="","",((VLOOKUP(Compositions!A35,'HHV-LHV-MW'!$A$3:$F$40,5,FALSE))*(AU19/100)))</f>
        <v/>
      </c>
      <c r="AZ19" s="39" t="str">
        <f>IF(AU19="","",((VLOOKUP(Compositions!A35,'HHV-LHV-MW'!$A$3:$F$40,6,FALSE))*(AU19/100)))</f>
        <v/>
      </c>
      <c r="BA19" s="13"/>
      <c r="BB19" s="13"/>
      <c r="BC19" s="13"/>
      <c r="BD19" s="13"/>
      <c r="BE19" s="13"/>
      <c r="BF19" s="13"/>
      <c r="BH19" s="27" t="str">
        <f>IF(Compositions!H35="","",IF(Compositions!$H$25="mol%",Compositions!H35,BI19))</f>
        <v/>
      </c>
      <c r="BI19" s="27" t="str">
        <f t="shared" si="7"/>
        <v/>
      </c>
      <c r="BJ19" s="27" t="str">
        <f>IF(Compositions!H35="","",(Compositions!H35/(VLOOKUP(Compositions!G35,'HHV-LHV-MW'!$A$3:$F$40,6,FALSE))))</f>
        <v/>
      </c>
      <c r="BK19" s="25" t="str">
        <f>IF(BH19="","",((VLOOKUP(Compositions!G35,'HHV-LHV-MW'!$A$3:$F$40,4,FALSE))*(BH19/100)))</f>
        <v/>
      </c>
      <c r="BL19" s="25" t="str">
        <f>IF(BH19="","",((VLOOKUP(Compositions!G35,'HHV-LHV-MW'!$A$3:$F$40,5,FALSE))*(BH19/100)))</f>
        <v/>
      </c>
      <c r="BM19" s="209" t="str">
        <f>IF(BH19="","",((VLOOKUP(Compositions!G35,'HHV-LHV-MW'!$A$3:$F$40,6,FALSE))*(BH19/100)))</f>
        <v/>
      </c>
      <c r="BN19" s="25"/>
      <c r="BO19" s="25"/>
      <c r="BP19" s="25"/>
      <c r="BQ19" s="180"/>
      <c r="BR19" s="180"/>
      <c r="BS19" s="180"/>
      <c r="BT19" s="28" t="str">
        <f>IF(Compositions!I35="","",IF(Compositions!$I$25="mol%",Compositions!I35,BU19))</f>
        <v/>
      </c>
      <c r="BU19" s="28" t="str">
        <f t="shared" si="8"/>
        <v/>
      </c>
      <c r="BV19" s="28" t="str">
        <f>IF(Compositions!I35="","",(Compositions!I35/(VLOOKUP(Compositions!G35,'HHV-LHV-MW'!$A$3:$F$40,6,FALSE))))</f>
        <v/>
      </c>
      <c r="BW19" s="26" t="str">
        <f>IF(BT19="","",((VLOOKUP(Compositions!G35,'HHV-LHV-MW'!$A$3:$F$40,4,FALSE))*(BT19/100)))</f>
        <v/>
      </c>
      <c r="BX19" s="26" t="str">
        <f>IF(BT19="","",((VLOOKUP(Compositions!G35,'HHV-LHV-MW'!$A$3:$F$40,5,FALSE))*(BT19/100)))</f>
        <v/>
      </c>
      <c r="BY19" s="207" t="str">
        <f>IF(BT19="","",((VLOOKUP(Compositions!G35,'HHV-LHV-MW'!$A$3:$F$40,6,FALSE))*(BT19/100)))</f>
        <v/>
      </c>
      <c r="BZ19" s="26"/>
      <c r="CA19" s="26"/>
      <c r="CB19" s="26"/>
      <c r="CC19" s="177"/>
      <c r="CD19" s="177"/>
      <c r="CE19" s="177"/>
      <c r="CF19" s="27" t="str">
        <f>IF(Compositions!J35="","",IF(Compositions!$J$25="mol%",Compositions!J35,CG19))</f>
        <v/>
      </c>
      <c r="CG19" s="27" t="str">
        <f t="shared" si="9"/>
        <v/>
      </c>
      <c r="CH19" s="27" t="str">
        <f>IF(Compositions!J35="","",(Compositions!J35/(VLOOKUP(Compositions!G35,'HHV-LHV-MW'!$A$3:$F$40,6,FALSE))))</f>
        <v/>
      </c>
      <c r="CI19" s="25" t="str">
        <f>IF(CF19="","",((VLOOKUP(Compositions!G35,'HHV-LHV-MW'!$A$3:$F$40,4,FALSE))*(CF19/100)))</f>
        <v/>
      </c>
      <c r="CJ19" s="25" t="str">
        <f>IF(CF19="","",((VLOOKUP(Compositions!G35,'HHV-LHV-MW'!$A$3:$F$40,5,FALSE))*(CF19/100)))</f>
        <v/>
      </c>
      <c r="CK19" s="209" t="str">
        <f>IF(CF19="","",((VLOOKUP(Compositions!G35,'HHV-LHV-MW'!$A$3:$F$40,6,FALSE))*(CF19/100)))</f>
        <v/>
      </c>
      <c r="CL19" s="25"/>
      <c r="CM19" s="25"/>
      <c r="CN19" s="25"/>
      <c r="CO19" s="180"/>
      <c r="CP19" s="180"/>
      <c r="CQ19" s="180"/>
      <c r="CR19" s="28" t="str">
        <f>IF(Compositions!K35="","",IF(Compositions!$K$25="mol%",Compositions!K35,CS19))</f>
        <v/>
      </c>
      <c r="CS19" s="28" t="str">
        <f t="shared" si="10"/>
        <v/>
      </c>
      <c r="CT19" s="28" t="str">
        <f>IF(Compositions!K35="","",(Compositions!K35/(VLOOKUP(Compositions!G35,'HHV-LHV-MW'!$A$3:$F$40,6,FALSE))))</f>
        <v/>
      </c>
      <c r="CU19" s="26" t="str">
        <f>IF(CR19="","",((VLOOKUP(Compositions!G35,'HHV-LHV-MW'!$A$3:$F$40,4,FALSE))*(CR19/100)))</f>
        <v/>
      </c>
      <c r="CV19" s="26" t="str">
        <f>IF(CR19="","",((VLOOKUP(Compositions!G35,'HHV-LHV-MW'!$A$3:$F$40,5,FALSE))*(CR19/100)))</f>
        <v/>
      </c>
      <c r="CW19" s="207" t="str">
        <f>IF(CR19="","",((VLOOKUP(Compositions!G35,'HHV-LHV-MW'!$A$3:$F$40,6,FALSE))*(CR19/100)))</f>
        <v/>
      </c>
      <c r="CX19" s="13"/>
      <c r="CY19" s="13"/>
      <c r="CZ19" s="13"/>
      <c r="DA19" s="13"/>
      <c r="DB19" s="13"/>
      <c r="DC19" s="13"/>
      <c r="DE19" s="27" t="str">
        <f>IF(Compositions!N35="","",IF(Compositions!$N$25="mol%",Compositions!N35,DF19))</f>
        <v/>
      </c>
      <c r="DF19" s="27" t="str">
        <f t="shared" si="5"/>
        <v/>
      </c>
      <c r="DG19" s="27" t="str">
        <f>IF(Compositions!N35="","",(Compositions!N35/(VLOOKUP(Compositions!M35,'HHV-LHV-MW'!$A$3:$F$40,6,FALSE))))</f>
        <v/>
      </c>
      <c r="DH19" s="25" t="str">
        <f>IF(DE19="","",((VLOOKUP(Compositions!M35,'HHV-LHV-MW'!$A$3:$F$40,4,FALSE))*(DE19/100)))</f>
        <v/>
      </c>
      <c r="DI19" s="25" t="str">
        <f>IF(DE19="","",((VLOOKUP(Compositions!M35,'HHV-LHV-MW'!$A$3:$F$40,5,FALSE))*(DE19/100)))</f>
        <v/>
      </c>
      <c r="DJ19" s="209" t="str">
        <f>IF(DE19="","",((VLOOKUP(Compositions!M35,'HHV-LHV-MW'!$A$3:$F$40,6,FALSE))*(DE19/100)))</f>
        <v/>
      </c>
      <c r="DK19" s="25"/>
      <c r="DL19" s="25"/>
      <c r="DM19" s="25"/>
      <c r="DN19" s="180"/>
      <c r="DO19" s="180"/>
      <c r="DP19" s="180"/>
      <c r="DQ19" s="28" t="str">
        <f>IF(Compositions!O35="","",IF(Compositions!$O$25="mol%",Compositions!O35,DR19))</f>
        <v/>
      </c>
      <c r="DR19" s="28" t="str">
        <f t="shared" si="11"/>
        <v/>
      </c>
      <c r="DS19" s="28" t="str">
        <f>IF(Compositions!O35="","",(Compositions!O35/(VLOOKUP(Compositions!M35,'HHV-LHV-MW'!$A$3:$F$40,6,FALSE))))</f>
        <v/>
      </c>
      <c r="DT19" s="26" t="str">
        <f>IF(DQ19="","",((VLOOKUP(Compositions!M35,'HHV-LHV-MW'!$A$3:$F$40,4,FALSE))*(DQ19/100)))</f>
        <v/>
      </c>
      <c r="DU19" s="26" t="str">
        <f>IF(DQ19="","",((VLOOKUP(Compositions!M35,'HHV-LHV-MW'!$A$3:$F$40,5,FALSE))*(DQ19/100)))</f>
        <v/>
      </c>
      <c r="DV19" s="39" t="str">
        <f>IF(DQ19="","",((VLOOKUP(Compositions!M35,'HHV-LHV-MW'!$A$3:$F$40,6,FALSE))*(DQ19/100)))</f>
        <v/>
      </c>
      <c r="DW19" s="26"/>
      <c r="DX19" s="26"/>
      <c r="DY19" s="26"/>
      <c r="DZ19" s="177"/>
      <c r="EA19" s="177"/>
      <c r="EB19" s="177"/>
      <c r="EC19" s="27" t="str">
        <f>IF(Compositions!P35="","",IF(Compositions!$P$25="mol%",Compositions!P35,ED19))</f>
        <v/>
      </c>
      <c r="ED19" s="27" t="str">
        <f t="shared" si="12"/>
        <v/>
      </c>
      <c r="EE19" s="27" t="str">
        <f>IF(Compositions!P35="","",(Compositions!P35/(VLOOKUP(Compositions!M35,'HHV-LHV-MW'!$A$3:$F$40,6,FALSE))))</f>
        <v/>
      </c>
      <c r="EF19" s="25" t="str">
        <f>IF(EC19="","",((VLOOKUP(Compositions!M35,'HHV-LHV-MW'!$A$3:$F$40,4,FALSE))*(EC19/100)))</f>
        <v/>
      </c>
      <c r="EG19" s="25" t="str">
        <f>IF(EC19="","",((VLOOKUP(Compositions!M35,'HHV-LHV-MW'!$A$3:$F$40,5,FALSE))*(EC19/100)))</f>
        <v/>
      </c>
      <c r="EH19" s="209" t="str">
        <f>IF(EC19="","",((VLOOKUP(Compositions!M35,'HHV-LHV-MW'!$A$3:$F$40,6,FALSE))*(EC19/100)))</f>
        <v/>
      </c>
      <c r="EI19" s="25"/>
      <c r="EJ19" s="25"/>
      <c r="EK19" s="25"/>
      <c r="EL19" s="180"/>
      <c r="EM19" s="180"/>
      <c r="EN19" s="180"/>
      <c r="EO19" s="28" t="str">
        <f>IF(Compositions!Q35="","",IF(Compositions!$Q$25="mol%",Compositions!Q35,EP19))</f>
        <v/>
      </c>
      <c r="EP19" s="28" t="str">
        <f t="shared" si="13"/>
        <v/>
      </c>
      <c r="EQ19" s="28" t="str">
        <f>IF(Compositions!Q35="","",(Compositions!Q35/(VLOOKUP(Compositions!M35,'HHV-LHV-MW'!$A$3:$F$40,6,FALSE))))</f>
        <v/>
      </c>
      <c r="ER19" s="26" t="str">
        <f>IF(EO19="","",((VLOOKUP(Compositions!M35,'HHV-LHV-MW'!$A$3:$F$40,4,FALSE))*(EO19/100)))</f>
        <v/>
      </c>
      <c r="ES19" s="26" t="str">
        <f>IF(EO19="","",((VLOOKUP(Compositions!M35,'HHV-LHV-MW'!$A$3:$F$40,5,FALSE))*(EO19/100)))</f>
        <v/>
      </c>
      <c r="ET19" s="39" t="str">
        <f>IF(EO19="","",((VLOOKUP(Compositions!M35,'HHV-LHV-MW'!$A$3:$F$40,6,FALSE))*(EO19/100)))</f>
        <v/>
      </c>
      <c r="EU19" s="13"/>
      <c r="EV19" s="13"/>
      <c r="EW19" s="13"/>
      <c r="EX19" s="13"/>
      <c r="EY19" s="13"/>
      <c r="EZ19" s="13"/>
      <c r="FB19" s="27" t="str">
        <f>IF(Compositions!T35="","",IF(Compositions!$T$25="mol%",Compositions!T35,FC19))</f>
        <v/>
      </c>
      <c r="FC19" s="27" t="str">
        <f t="shared" si="14"/>
        <v/>
      </c>
      <c r="FD19" s="27" t="str">
        <f>IF(Compositions!T35="","",(Compositions!T35/(VLOOKUP(Compositions!S35,'HHV-LHV-MW'!$A$3:$F$40,6,FALSE))))</f>
        <v/>
      </c>
      <c r="FE19" s="25" t="str">
        <f>IF(FB19="","",((VLOOKUP(Compositions!S35,'HHV-LHV-MW'!$A$3:$F$40,4,FALSE))*(FB19/100)))</f>
        <v/>
      </c>
      <c r="FF19" s="25" t="str">
        <f>IF(FB19="","",((VLOOKUP(Compositions!S35,'HHV-LHV-MW'!$A$3:$F$40,5,FALSE))*(FB19/100)))</f>
        <v/>
      </c>
      <c r="FG19" s="209" t="str">
        <f>IF(FB19="","",((VLOOKUP(Compositions!S35,'HHV-LHV-MW'!$A$3:$F$40,6,FALSE))*(FB19/100)))</f>
        <v/>
      </c>
      <c r="FH19" s="25"/>
      <c r="FI19" s="25"/>
      <c r="FJ19" s="25"/>
      <c r="FK19" s="180"/>
      <c r="FL19" s="180"/>
      <c r="FM19" s="180"/>
      <c r="FN19" s="28" t="str">
        <f>IF(Compositions!U35="","",IF(Compositions!$U$25="mol%",Compositions!U35,FO19))</f>
        <v/>
      </c>
      <c r="FO19" s="28" t="str">
        <f t="shared" si="15"/>
        <v/>
      </c>
      <c r="FP19" s="28" t="str">
        <f>IF(Compositions!U35="","",(Compositions!U35/(VLOOKUP(Compositions!S35,'HHV-LHV-MW'!$A$3:$F$40,6,FALSE))))</f>
        <v/>
      </c>
      <c r="FQ19" s="26" t="str">
        <f>IF(FN19="","",((VLOOKUP(Compositions!S35,'HHV-LHV-MW'!$A$3:$F$40,4,FALSE))*(FN19/100)))</f>
        <v/>
      </c>
      <c r="FR19" s="26" t="str">
        <f>IF(FN19="","",((VLOOKUP(Compositions!S35,'HHV-LHV-MW'!$A$3:$F$40,5,FALSE))*(FN19/100)))</f>
        <v/>
      </c>
      <c r="FS19" s="39" t="str">
        <f>IF(FN19="","",((VLOOKUP(Compositions!S35,'HHV-LHV-MW'!$A$3:$F$40,6,FALSE))*(FN19/100)))</f>
        <v/>
      </c>
      <c r="FT19" s="26"/>
      <c r="FU19" s="26"/>
      <c r="FV19" s="26"/>
      <c r="FW19" s="177"/>
      <c r="FX19" s="177"/>
      <c r="FY19" s="177"/>
      <c r="FZ19" s="27" t="str">
        <f>IF(Compositions!V35="","",IF(Compositions!$V$25="mol%",Compositions!V35,GA19))</f>
        <v/>
      </c>
      <c r="GA19" s="27" t="str">
        <f t="shared" si="16"/>
        <v/>
      </c>
      <c r="GB19" s="27" t="str">
        <f>IF(Compositions!V35="","",(Compositions!V35/(VLOOKUP(Compositions!S35,'HHV-LHV-MW'!$A$3:$F$40,6,FALSE))))</f>
        <v/>
      </c>
      <c r="GC19" s="25" t="str">
        <f>IF(FZ19="","",((VLOOKUP(Compositions!S35,'HHV-LHV-MW'!$A$3:$F$40,4,FALSE))*(FZ19/100)))</f>
        <v/>
      </c>
      <c r="GD19" s="25" t="str">
        <f>IF(FZ19="","",((VLOOKUP(Compositions!S35,'HHV-LHV-MW'!$A$3:$F$40,5,FALSE))*(FZ19/100)))</f>
        <v/>
      </c>
      <c r="GE19" s="209" t="str">
        <f>IF(FZ19="","",((VLOOKUP(Compositions!S35,'HHV-LHV-MW'!$A$3:$F$40,6,FALSE))*(FZ19/100)))</f>
        <v/>
      </c>
      <c r="GF19" s="25"/>
      <c r="GG19" s="25"/>
      <c r="GH19" s="25"/>
      <c r="GI19" s="180"/>
      <c r="GJ19" s="180"/>
      <c r="GK19" s="180"/>
      <c r="GL19" s="28" t="str">
        <f>IF(Compositions!W35="","",IF(Compositions!$W$25="mol%",Compositions!W35,GM19))</f>
        <v/>
      </c>
      <c r="GM19" s="28" t="str">
        <f t="shared" si="17"/>
        <v/>
      </c>
      <c r="GN19" s="28" t="str">
        <f>IF(Compositions!W35="","",(Compositions!W35/(VLOOKUP(Compositions!S35,'HHV-LHV-MW'!$A$3:$F$40,6,FALSE))))</f>
        <v/>
      </c>
      <c r="GO19" s="26" t="str">
        <f>IF(GL19="","",((VLOOKUP(Compositions!S35,'HHV-LHV-MW'!$A$3:$F$40,4,FALSE))*(GL19/100)))</f>
        <v/>
      </c>
      <c r="GP19" s="26" t="str">
        <f>IF(GL19="","",((VLOOKUP(Compositions!S35,'HHV-LHV-MW'!$A$3:$F$40,5,FALSE))*(GL19/100)))</f>
        <v/>
      </c>
      <c r="GQ19" s="39" t="str">
        <f>IF(GL19="","",((VLOOKUP(Compositions!S35,'HHV-LHV-MW'!$A$3:$F$40,6,FALSE))*(GL19/100)))</f>
        <v/>
      </c>
      <c r="GR19" s="13"/>
      <c r="GS19" s="13"/>
      <c r="GT19" s="13"/>
      <c r="GU19" s="13"/>
      <c r="GV19" s="13"/>
      <c r="GW19" s="13"/>
      <c r="GY19" s="27" t="str">
        <f>IF(Compositions!Z35="","",IF(Compositions!$Z$25="mol%",Compositions!Z35,GZ19))</f>
        <v/>
      </c>
      <c r="GZ19" s="27" t="str">
        <f t="shared" si="18"/>
        <v/>
      </c>
      <c r="HA19" s="27" t="str">
        <f>IF(Compositions!Z35="","",(Compositions!Z35/(VLOOKUP(Compositions!Y35,'HHV-LHV-MW'!$A$3:$F$40,6,FALSE))))</f>
        <v/>
      </c>
      <c r="HB19" s="25" t="str">
        <f>IF(GY19="","",((VLOOKUP(Compositions!Y35,'HHV-LHV-MW'!$A$3:$F$40,4,FALSE))*(GY19/100)))</f>
        <v/>
      </c>
      <c r="HC19" s="25" t="str">
        <f>IF(GY19="","",((VLOOKUP(Compositions!Y35,'HHV-LHV-MW'!$A$3:$F$40,5,FALSE))*(GY19/100)))</f>
        <v/>
      </c>
      <c r="HD19" s="209" t="str">
        <f>IF(GY19="","",((VLOOKUP(Compositions!Y35,'HHV-LHV-MW'!$A$3:$F$40,6,FALSE))*(GY19/100)))</f>
        <v/>
      </c>
      <c r="HE19" s="25"/>
      <c r="HF19" s="25"/>
      <c r="HG19" s="25"/>
      <c r="HH19" s="180"/>
      <c r="HI19" s="180"/>
      <c r="HJ19" s="180"/>
      <c r="HK19" s="28" t="str">
        <f>IF(Compositions!AA35="","",IF(Compositions!$AA$25="mol%",Compositions!AA35,HL19))</f>
        <v/>
      </c>
      <c r="HL19" s="28" t="str">
        <f t="shared" si="19"/>
        <v/>
      </c>
      <c r="HM19" s="28" t="str">
        <f>IF(Compositions!AA35="","",(Compositions!AA35/(VLOOKUP(Compositions!Y35,'HHV-LHV-MW'!$A$3:$F$40,6,FALSE))))</f>
        <v/>
      </c>
      <c r="HN19" s="26" t="str">
        <f>IF(HK19="","",((VLOOKUP(Compositions!Y35,'HHV-LHV-MW'!$A$3:$F$40,4,FALSE))*(HK19/100)))</f>
        <v/>
      </c>
      <c r="HO19" s="26" t="str">
        <f>IF(HK19="","",((VLOOKUP(Compositions!Y35,'HHV-LHV-MW'!$A$3:$F$40,5,FALSE))*(HK19/100)))</f>
        <v/>
      </c>
      <c r="HP19" s="39" t="str">
        <f>IF(HK19="","",((VLOOKUP(Compositions!Y35,'HHV-LHV-MW'!$A$3:$F$40,6,FALSE))*(HK19/100)))</f>
        <v/>
      </c>
      <c r="HQ19" s="26"/>
      <c r="HR19" s="26"/>
      <c r="HS19" s="26"/>
      <c r="HT19" s="177"/>
      <c r="HU19" s="177"/>
      <c r="HV19" s="177"/>
      <c r="HW19" s="27" t="str">
        <f>IF(Compositions!AB35="","",IF(Compositions!$AB$25="mol%",Compositions!AB35,HX19))</f>
        <v/>
      </c>
      <c r="HX19" s="27" t="str">
        <f t="shared" si="20"/>
        <v/>
      </c>
      <c r="HY19" s="27" t="str">
        <f>IF(Compositions!AB35="","",(Compositions!AB35/(VLOOKUP(Compositions!Y35,'HHV-LHV-MW'!$A$3:$F$40,6,FALSE))))</f>
        <v/>
      </c>
      <c r="HZ19" s="25" t="str">
        <f>IF(HW19="","",((VLOOKUP(Compositions!Y35,'HHV-LHV-MW'!$A$3:$F$40,4,FALSE))*(HW19/100)))</f>
        <v/>
      </c>
      <c r="IA19" s="25" t="str">
        <f>IF(HW19="","",((VLOOKUP(Compositions!Y35,'HHV-LHV-MW'!$A$3:$F$40,5,FALSE))*(HW19/100)))</f>
        <v/>
      </c>
      <c r="IB19" s="209" t="str">
        <f>IF(HW19="","",((VLOOKUP(Compositions!Y35,'HHV-LHV-MW'!$A$3:$F$40,6,FALSE))*(HW19/100)))</f>
        <v/>
      </c>
      <c r="IC19" s="25"/>
      <c r="ID19" s="25"/>
      <c r="IE19" s="25"/>
      <c r="IF19" s="180"/>
      <c r="IG19" s="180"/>
      <c r="IH19" s="180"/>
      <c r="II19" s="28" t="str">
        <f>IF(Compositions!AC35="","",IF(Compositions!$AC$25="mol%",Compositions!AC35,IJ19))</f>
        <v/>
      </c>
      <c r="IJ19" s="28" t="str">
        <f t="shared" si="21"/>
        <v/>
      </c>
      <c r="IK19" s="28" t="str">
        <f>IF(Compositions!AC35="","",(Compositions!AC35/(VLOOKUP(Compositions!Y35,'HHV-LHV-MW'!$A$3:$F$40,6,FALSE))))</f>
        <v/>
      </c>
      <c r="IL19" s="26" t="str">
        <f>IF(II19="","",((VLOOKUP(Compositions!Y35,'HHV-LHV-MW'!$A$3:$F$40,4,FALSE))*(II19/100)))</f>
        <v/>
      </c>
      <c r="IM19" s="26" t="str">
        <f>IF(II19="","",((VLOOKUP(Compositions!Y35,'HHV-LHV-MW'!$A$3:$F$40,5,FALSE))*(II19/100)))</f>
        <v/>
      </c>
      <c r="IN19" s="39" t="str">
        <f>IF(II19="","",((VLOOKUP(Compositions!Y35,'HHV-LHV-MW'!$A$3:$F$40,6,FALSE))*(II19/100)))</f>
        <v/>
      </c>
      <c r="IO19" s="13"/>
      <c r="IP19" s="13"/>
      <c r="IQ19" s="13"/>
      <c r="IR19" s="13"/>
      <c r="IS19" s="13"/>
      <c r="IT19" s="13"/>
      <c r="IV19" s="27" t="str">
        <f>IF(Compositions!AF35="","",IF(Compositions!$AF$25="mol%",Compositions!AF35,IW19))</f>
        <v/>
      </c>
      <c r="IW19" s="27" t="str">
        <f t="shared" si="6"/>
        <v/>
      </c>
      <c r="IX19" s="27" t="str">
        <f>IF(Compositions!AF35="","",(Compositions!AF35/(VLOOKUP(Compositions!AE35,'HHV-LHV-MW'!$A$3:$F$40,6,FALSE))))</f>
        <v/>
      </c>
      <c r="IY19" s="25" t="str">
        <f>IF(IV19="","",((VLOOKUP(Compositions!AE35,'HHV-LHV-MW'!$A$3:$F$40,4,FALSE))*(IV19/100)))</f>
        <v/>
      </c>
      <c r="IZ19" s="25" t="str">
        <f>IF(IV19="","",((VLOOKUP(Compositions!AE35,'HHV-LHV-MW'!$A$3:$F$40,5,FALSE))*(IV19/100)))</f>
        <v/>
      </c>
      <c r="JA19" s="209" t="str">
        <f>IF(IV19="","",((VLOOKUP(Compositions!AE35,'HHV-LHV-MW'!$A$3:$F$40,6,FALSE))*(IV19/100)))</f>
        <v/>
      </c>
      <c r="JB19" s="25"/>
      <c r="JC19" s="25"/>
      <c r="JD19" s="25"/>
      <c r="JE19" s="180"/>
      <c r="JF19" s="180"/>
      <c r="JG19" s="180"/>
      <c r="JH19" s="28" t="str">
        <f>IF(Compositions!AG35="","",IF(Compositions!$AG$25="mol%",Compositions!AG35,JI19))</f>
        <v/>
      </c>
      <c r="JI19" s="28" t="str">
        <f t="shared" si="22"/>
        <v/>
      </c>
      <c r="JJ19" s="28" t="str">
        <f>IF(Compositions!AG35="","",(Compositions!AG35/(VLOOKUP(Compositions!AE35,'HHV-LHV-MW'!$A$3:$F$40,6,FALSE))))</f>
        <v/>
      </c>
      <c r="JK19" s="26" t="str">
        <f>IF(JH19="","",((VLOOKUP(Compositions!AE35,'HHV-LHV-MW'!$A$3:$F$40,4,FALSE))*(JH19/100)))</f>
        <v/>
      </c>
      <c r="JL19" s="26" t="str">
        <f>IF(JH19="","",((VLOOKUP(Compositions!AE35,'HHV-LHV-MW'!$A$3:$F$40,5,FALSE))*(JH19/100)))</f>
        <v/>
      </c>
      <c r="JM19" s="39" t="str">
        <f>IF(JH19="","",((VLOOKUP(Compositions!AE35,'HHV-LHV-MW'!$A$3:$F$40,6,FALSE))*(JH19/100)))</f>
        <v/>
      </c>
      <c r="JN19" s="26"/>
      <c r="JO19" s="26"/>
      <c r="JP19" s="26"/>
      <c r="JQ19" s="177"/>
      <c r="JR19" s="177"/>
      <c r="JS19" s="177"/>
      <c r="JT19" s="27" t="str">
        <f>IF(Compositions!AH35="","",IF(Compositions!$AH$25="mol%",Compositions!AH35,JU19))</f>
        <v/>
      </c>
      <c r="JU19" s="27" t="str">
        <f t="shared" si="23"/>
        <v/>
      </c>
      <c r="JV19" s="27" t="str">
        <f>IF(Compositions!AH35="","",(Compositions!AH35/(VLOOKUP(Compositions!AE35,'HHV-LHV-MW'!$A$3:$F$40,6,FALSE))))</f>
        <v/>
      </c>
      <c r="JW19" s="25" t="str">
        <f>IF(JT19="","",((VLOOKUP(Compositions!AE35,'HHV-LHV-MW'!$A$3:$F$40,4,FALSE))*(JT19/100)))</f>
        <v/>
      </c>
      <c r="JX19" s="25" t="str">
        <f>IF(JT19="","",((VLOOKUP(Compositions!AE35,'HHV-LHV-MW'!$A$3:$F$40,5,FALSE))*(JT19/100)))</f>
        <v/>
      </c>
      <c r="JY19" s="209" t="str">
        <f>IF(JT19="","",((VLOOKUP(Compositions!AE35,'HHV-LHV-MW'!$A$3:$F$40,6,FALSE))*(JT19/100)))</f>
        <v/>
      </c>
      <c r="JZ19" s="25"/>
      <c r="KA19" s="25"/>
      <c r="KB19" s="25"/>
      <c r="KC19" s="180"/>
      <c r="KD19" s="180"/>
      <c r="KE19" s="180"/>
      <c r="KF19" s="28" t="str">
        <f>IF(Compositions!AI35="","",IF(Compositions!$AI$25="mol%",Compositions!AI35,KG19))</f>
        <v/>
      </c>
      <c r="KG19" s="28" t="str">
        <f t="shared" si="24"/>
        <v/>
      </c>
      <c r="KH19" s="28" t="str">
        <f>IF(Compositions!AI35="","",(Compositions!AI35/(VLOOKUP(Compositions!AE35,'HHV-LHV-MW'!$A$3:$F$40,6,FALSE))))</f>
        <v/>
      </c>
      <c r="KI19" s="26" t="str">
        <f>IF(KF19="","",((VLOOKUP(Compositions!AE35,'HHV-LHV-MW'!$A$3:$F$40,4,FALSE))*(KF19/100)))</f>
        <v/>
      </c>
      <c r="KJ19" s="26" t="str">
        <f>IF(KF19="","",((VLOOKUP(Compositions!AE35,'HHV-LHV-MW'!$A$3:$F$40,5,FALSE))*(KF19/100)))</f>
        <v/>
      </c>
      <c r="KK19" s="39" t="str">
        <f>IF(KF19="","",((VLOOKUP(Compositions!AE35,'HHV-LHV-MW'!$A$3:$F$40,6,FALSE))*(KF19/100)))</f>
        <v/>
      </c>
      <c r="KL19" s="13"/>
      <c r="KM19" s="13"/>
      <c r="KN19" s="13"/>
    </row>
    <row r="20" spans="1:300" ht="15.6">
      <c r="A20" s="173" t="s">
        <v>193</v>
      </c>
      <c r="B20" s="19" t="s">
        <v>192</v>
      </c>
      <c r="C20" s="20">
        <v>6</v>
      </c>
      <c r="D20" s="20">
        <v>4.1143000000000001</v>
      </c>
      <c r="E20" s="20">
        <v>3.8872</v>
      </c>
      <c r="F20" s="20">
        <v>86.177160000000001</v>
      </c>
      <c r="G20" s="20">
        <f t="shared" si="0"/>
        <v>0</v>
      </c>
      <c r="H20" s="20">
        <v>0</v>
      </c>
      <c r="I20" s="170">
        <v>1</v>
      </c>
      <c r="K20" s="27" t="str">
        <f>IF(Compositions!B36="","",IF(Compositions!$B$25="mol%",Compositions!B36,L20))</f>
        <v/>
      </c>
      <c r="L20" s="27" t="str">
        <f t="shared" si="1"/>
        <v/>
      </c>
      <c r="M20" s="27" t="str">
        <f>IF(Compositions!B36="","",(Compositions!B36/(VLOOKUP(Compositions!A36,'HHV-LHV-MW'!$A$3:$F$40,6,FALSE))))</f>
        <v/>
      </c>
      <c r="N20" s="25" t="str">
        <f>IF(K20="","",((VLOOKUP(Compositions!A36,'HHV-LHV-MW'!$A$3:$F$40,4,FALSE))*(K20/100)))</f>
        <v/>
      </c>
      <c r="O20" s="25" t="str">
        <f>IF(K20="","",((VLOOKUP(Compositions!A36,'HHV-LHV-MW'!$A$3:$F$40,5,FALSE))*(K20/100)))</f>
        <v/>
      </c>
      <c r="P20" s="206" t="str">
        <f>IF(K20="","",((VLOOKUP(Compositions!A36,'HHV-LHV-MW'!$A$3:$F$40,6,FALSE))*(K20/100)))</f>
        <v/>
      </c>
      <c r="Q20" s="25"/>
      <c r="R20" s="25"/>
      <c r="S20" s="25"/>
      <c r="T20" s="166"/>
      <c r="U20" s="174"/>
      <c r="V20" s="180"/>
      <c r="W20" s="28" t="str">
        <f>IF(Compositions!C36="","",IF(Compositions!$C$25="mol%",Compositions!C36,X20))</f>
        <v/>
      </c>
      <c r="X20" s="28" t="str">
        <f t="shared" si="2"/>
        <v/>
      </c>
      <c r="Y20" s="28" t="str">
        <f>IF(Compositions!C36="","",(Compositions!C36/(VLOOKUP(Compositions!A36,'HHV-LHV-MW'!$A$3:$F$40,6,FALSE))))</f>
        <v/>
      </c>
      <c r="Z20" s="26" t="str">
        <f>IF(W20="","",((VLOOKUP(Compositions!A36,'HHV-LHV-MW'!$A$3:$F$40,4,FALSE))*(W20/100)))</f>
        <v/>
      </c>
      <c r="AA20" s="26" t="str">
        <f>IF(W20="","",((VLOOKUP(Compositions!A36,'HHV-LHV-MW'!$A$3:$F$40,5,FALSE))*(W20/100)))</f>
        <v/>
      </c>
      <c r="AB20" s="39" t="str">
        <f>IF(W20="","",((VLOOKUP(Compositions!A36,'HHV-LHV-MW'!$A$3:$F$40,6,FALSE))*(W20/100)))</f>
        <v/>
      </c>
      <c r="AC20" s="26"/>
      <c r="AD20" s="26"/>
      <c r="AE20" s="26"/>
      <c r="AF20" s="177"/>
      <c r="AG20" s="177"/>
      <c r="AH20" s="177"/>
      <c r="AI20" s="27" t="str">
        <f>IF(Compositions!D36="","",IF(Compositions!$D$25="mol%",Compositions!D36,AJ20))</f>
        <v/>
      </c>
      <c r="AJ20" s="27" t="str">
        <f t="shared" si="3"/>
        <v/>
      </c>
      <c r="AK20" s="27" t="str">
        <f>IF(Compositions!D36="","",(Compositions!D36/(VLOOKUP(Compositions!A36,'HHV-LHV-MW'!$A$3:$F$40,6,FALSE))))</f>
        <v/>
      </c>
      <c r="AL20" s="25" t="str">
        <f>IF(AI20="","",((VLOOKUP(Compositions!A36,'HHV-LHV-MW'!$A$3:$F$40,4,FALSE))*(AI20/100)))</f>
        <v/>
      </c>
      <c r="AM20" s="25" t="str">
        <f>IF(AI20="","",((VLOOKUP(Compositions!A36,'HHV-LHV-MW'!$A$3:$F$40,5,FALSE))*(AI20/100)))</f>
        <v/>
      </c>
      <c r="AN20" s="209" t="str">
        <f>IF(AI20="","",((VLOOKUP(Compositions!A36,'HHV-LHV-MW'!$A$3:$F$40,6,FALSE))*(AI20/100)))</f>
        <v/>
      </c>
      <c r="AO20" s="25"/>
      <c r="AP20" s="25"/>
      <c r="AQ20" s="25"/>
      <c r="AR20" s="180"/>
      <c r="AS20" s="180"/>
      <c r="AT20" s="180"/>
      <c r="AU20" s="28" t="str">
        <f>IF(Compositions!E36="","",IF(Compositions!$E$25="mol%",Compositions!E36,AV20))</f>
        <v/>
      </c>
      <c r="AV20" s="28" t="str">
        <f t="shared" si="4"/>
        <v/>
      </c>
      <c r="AW20" s="28" t="str">
        <f>IF(Compositions!E36="","",(Compositions!E36/(VLOOKUP(Compositions!A36,'HHV-LHV-MW'!$A$3:$F$40,6,FALSE))))</f>
        <v/>
      </c>
      <c r="AX20" s="26" t="str">
        <f>IF(AU20="","",((VLOOKUP(Compositions!A36,'HHV-LHV-MW'!$A$3:$F$40,4,FALSE))*(AU20/100)))</f>
        <v/>
      </c>
      <c r="AY20" s="26" t="str">
        <f>IF(AU20="","",((VLOOKUP(Compositions!A36,'HHV-LHV-MW'!$A$3:$F$40,5,FALSE))*(AU20/100)))</f>
        <v/>
      </c>
      <c r="AZ20" s="39" t="str">
        <f>IF(AU20="","",((VLOOKUP(Compositions!A36,'HHV-LHV-MW'!$A$3:$F$40,6,FALSE))*(AU20/100)))</f>
        <v/>
      </c>
      <c r="BA20" s="13"/>
      <c r="BB20" s="13"/>
      <c r="BC20" s="13"/>
      <c r="BD20" s="13"/>
      <c r="BE20" s="13"/>
      <c r="BF20" s="13"/>
      <c r="BH20" s="27" t="str">
        <f>IF(Compositions!H36="","",IF(Compositions!$H$25="mol%",Compositions!H36,BI20))</f>
        <v/>
      </c>
      <c r="BI20" s="27" t="str">
        <f t="shared" si="7"/>
        <v/>
      </c>
      <c r="BJ20" s="27" t="str">
        <f>IF(Compositions!H36="","",(Compositions!H36/(VLOOKUP(Compositions!G36,'HHV-LHV-MW'!$A$3:$F$40,6,FALSE))))</f>
        <v/>
      </c>
      <c r="BK20" s="25" t="str">
        <f>IF(BH20="","",((VLOOKUP(Compositions!G36,'HHV-LHV-MW'!$A$3:$F$40,4,FALSE))*(BH20/100)))</f>
        <v/>
      </c>
      <c r="BL20" s="25" t="str">
        <f>IF(BH20="","",((VLOOKUP(Compositions!G36,'HHV-LHV-MW'!$A$3:$F$40,5,FALSE))*(BH20/100)))</f>
        <v/>
      </c>
      <c r="BM20" s="209" t="str">
        <f>IF(BH20="","",((VLOOKUP(Compositions!G36,'HHV-LHV-MW'!$A$3:$F$40,6,FALSE))*(BH20/100)))</f>
        <v/>
      </c>
      <c r="BN20" s="25"/>
      <c r="BO20" s="25"/>
      <c r="BP20" s="25"/>
      <c r="BQ20" s="180"/>
      <c r="BR20" s="180"/>
      <c r="BS20" s="180"/>
      <c r="BT20" s="28" t="str">
        <f>IF(Compositions!I36="","",IF(Compositions!$I$25="mol%",Compositions!I36,BU20))</f>
        <v/>
      </c>
      <c r="BU20" s="28" t="str">
        <f t="shared" si="8"/>
        <v/>
      </c>
      <c r="BV20" s="28" t="str">
        <f>IF(Compositions!I36="","",(Compositions!I36/(VLOOKUP(Compositions!G36,'HHV-LHV-MW'!$A$3:$F$40,6,FALSE))))</f>
        <v/>
      </c>
      <c r="BW20" s="26" t="str">
        <f>IF(BT20="","",((VLOOKUP(Compositions!G36,'HHV-LHV-MW'!$A$3:$F$40,4,FALSE))*(BT20/100)))</f>
        <v/>
      </c>
      <c r="BX20" s="26" t="str">
        <f>IF(BT20="","",((VLOOKUP(Compositions!G36,'HHV-LHV-MW'!$A$3:$F$40,5,FALSE))*(BT20/100)))</f>
        <v/>
      </c>
      <c r="BY20" s="207" t="str">
        <f>IF(BT20="","",((VLOOKUP(Compositions!G36,'HHV-LHV-MW'!$A$3:$F$40,6,FALSE))*(BT20/100)))</f>
        <v/>
      </c>
      <c r="BZ20" s="26"/>
      <c r="CA20" s="26"/>
      <c r="CB20" s="26"/>
      <c r="CC20" s="177"/>
      <c r="CD20" s="177"/>
      <c r="CE20" s="177"/>
      <c r="CF20" s="27" t="str">
        <f>IF(Compositions!J36="","",IF(Compositions!$J$25="mol%",Compositions!J36,CG20))</f>
        <v/>
      </c>
      <c r="CG20" s="27" t="str">
        <f t="shared" si="9"/>
        <v/>
      </c>
      <c r="CH20" s="27" t="str">
        <f>IF(Compositions!J36="","",(Compositions!J36/(VLOOKUP(Compositions!G36,'HHV-LHV-MW'!$A$3:$F$40,6,FALSE))))</f>
        <v/>
      </c>
      <c r="CI20" s="25" t="str">
        <f>IF(CF20="","",((VLOOKUP(Compositions!G36,'HHV-LHV-MW'!$A$3:$F$40,4,FALSE))*(CF20/100)))</f>
        <v/>
      </c>
      <c r="CJ20" s="25" t="str">
        <f>IF(CF20="","",((VLOOKUP(Compositions!G36,'HHV-LHV-MW'!$A$3:$F$40,5,FALSE))*(CF20/100)))</f>
        <v/>
      </c>
      <c r="CK20" s="209" t="str">
        <f>IF(CF20="","",((VLOOKUP(Compositions!G36,'HHV-LHV-MW'!$A$3:$F$40,6,FALSE))*(CF20/100)))</f>
        <v/>
      </c>
      <c r="CL20" s="25"/>
      <c r="CM20" s="25"/>
      <c r="CN20" s="25"/>
      <c r="CO20" s="180"/>
      <c r="CP20" s="180"/>
      <c r="CQ20" s="180"/>
      <c r="CR20" s="28" t="str">
        <f>IF(Compositions!K36="","",IF(Compositions!$K$25="mol%",Compositions!K36,CS20))</f>
        <v/>
      </c>
      <c r="CS20" s="28" t="str">
        <f t="shared" si="10"/>
        <v/>
      </c>
      <c r="CT20" s="28" t="str">
        <f>IF(Compositions!K36="","",(Compositions!K36/(VLOOKUP(Compositions!G36,'HHV-LHV-MW'!$A$3:$F$40,6,FALSE))))</f>
        <v/>
      </c>
      <c r="CU20" s="26" t="str">
        <f>IF(CR20="","",((VLOOKUP(Compositions!G36,'HHV-LHV-MW'!$A$3:$F$40,4,FALSE))*(CR20/100)))</f>
        <v/>
      </c>
      <c r="CV20" s="26" t="str">
        <f>IF(CR20="","",((VLOOKUP(Compositions!G36,'HHV-LHV-MW'!$A$3:$F$40,5,FALSE))*(CR20/100)))</f>
        <v/>
      </c>
      <c r="CW20" s="207" t="str">
        <f>IF(CR20="","",((VLOOKUP(Compositions!G36,'HHV-LHV-MW'!$A$3:$F$40,6,FALSE))*(CR20/100)))</f>
        <v/>
      </c>
      <c r="CX20" s="13"/>
      <c r="CY20" s="13"/>
      <c r="CZ20" s="13"/>
      <c r="DA20" s="13"/>
      <c r="DB20" s="13"/>
      <c r="DC20" s="13"/>
      <c r="DE20" s="27" t="str">
        <f>IF(Compositions!N36="","",IF(Compositions!$N$25="mol%",Compositions!N36,DF20))</f>
        <v/>
      </c>
      <c r="DF20" s="27" t="str">
        <f t="shared" si="5"/>
        <v/>
      </c>
      <c r="DG20" s="27" t="str">
        <f>IF(Compositions!N36="","",(Compositions!N36/(VLOOKUP(Compositions!M36,'HHV-LHV-MW'!$A$3:$F$40,6,FALSE))))</f>
        <v/>
      </c>
      <c r="DH20" s="25" t="str">
        <f>IF(DE20="","",((VLOOKUP(Compositions!M36,'HHV-LHV-MW'!$A$3:$F$40,4,FALSE))*(DE20/100)))</f>
        <v/>
      </c>
      <c r="DI20" s="25" t="str">
        <f>IF(DE20="","",((VLOOKUP(Compositions!M36,'HHV-LHV-MW'!$A$3:$F$40,5,FALSE))*(DE20/100)))</f>
        <v/>
      </c>
      <c r="DJ20" s="209" t="str">
        <f>IF(DE20="","",((VLOOKUP(Compositions!M36,'HHV-LHV-MW'!$A$3:$F$40,6,FALSE))*(DE20/100)))</f>
        <v/>
      </c>
      <c r="DK20" s="25"/>
      <c r="DL20" s="25"/>
      <c r="DM20" s="25"/>
      <c r="DN20" s="180"/>
      <c r="DO20" s="180"/>
      <c r="DP20" s="180"/>
      <c r="DQ20" s="28" t="str">
        <f>IF(Compositions!O36="","",IF(Compositions!$O$25="mol%",Compositions!O36,DR20))</f>
        <v/>
      </c>
      <c r="DR20" s="28" t="str">
        <f t="shared" si="11"/>
        <v/>
      </c>
      <c r="DS20" s="28" t="str">
        <f>IF(Compositions!O36="","",(Compositions!O36/(VLOOKUP(Compositions!M36,'HHV-LHV-MW'!$A$3:$F$40,6,FALSE))))</f>
        <v/>
      </c>
      <c r="DT20" s="26" t="str">
        <f>IF(DQ20="","",((VLOOKUP(Compositions!M36,'HHV-LHV-MW'!$A$3:$F$40,4,FALSE))*(DQ20/100)))</f>
        <v/>
      </c>
      <c r="DU20" s="26" t="str">
        <f>IF(DQ20="","",((VLOOKUP(Compositions!M36,'HHV-LHV-MW'!$A$3:$F$40,5,FALSE))*(DQ20/100)))</f>
        <v/>
      </c>
      <c r="DV20" s="39" t="str">
        <f>IF(DQ20="","",((VLOOKUP(Compositions!M36,'HHV-LHV-MW'!$A$3:$F$40,6,FALSE))*(DQ20/100)))</f>
        <v/>
      </c>
      <c r="DW20" s="26"/>
      <c r="DX20" s="26"/>
      <c r="DY20" s="26"/>
      <c r="DZ20" s="177"/>
      <c r="EA20" s="177"/>
      <c r="EB20" s="177"/>
      <c r="EC20" s="27" t="str">
        <f>IF(Compositions!P36="","",IF(Compositions!$P$25="mol%",Compositions!P36,ED20))</f>
        <v/>
      </c>
      <c r="ED20" s="27" t="str">
        <f t="shared" si="12"/>
        <v/>
      </c>
      <c r="EE20" s="27" t="str">
        <f>IF(Compositions!P36="","",(Compositions!P36/(VLOOKUP(Compositions!M36,'HHV-LHV-MW'!$A$3:$F$40,6,FALSE))))</f>
        <v/>
      </c>
      <c r="EF20" s="25" t="str">
        <f>IF(EC20="","",((VLOOKUP(Compositions!M36,'HHV-LHV-MW'!$A$3:$F$40,4,FALSE))*(EC20/100)))</f>
        <v/>
      </c>
      <c r="EG20" s="25" t="str">
        <f>IF(EC20="","",((VLOOKUP(Compositions!M36,'HHV-LHV-MW'!$A$3:$F$40,5,FALSE))*(EC20/100)))</f>
        <v/>
      </c>
      <c r="EH20" s="209" t="str">
        <f>IF(EC20="","",((VLOOKUP(Compositions!M36,'HHV-LHV-MW'!$A$3:$F$40,6,FALSE))*(EC20/100)))</f>
        <v/>
      </c>
      <c r="EI20" s="25"/>
      <c r="EJ20" s="25"/>
      <c r="EK20" s="25"/>
      <c r="EL20" s="180"/>
      <c r="EM20" s="180"/>
      <c r="EN20" s="180"/>
      <c r="EO20" s="28" t="str">
        <f>IF(Compositions!Q36="","",IF(Compositions!$Q$25="mol%",Compositions!Q36,EP20))</f>
        <v/>
      </c>
      <c r="EP20" s="28" t="str">
        <f t="shared" si="13"/>
        <v/>
      </c>
      <c r="EQ20" s="28" t="str">
        <f>IF(Compositions!Q36="","",(Compositions!Q36/(VLOOKUP(Compositions!M36,'HHV-LHV-MW'!$A$3:$F$40,6,FALSE))))</f>
        <v/>
      </c>
      <c r="ER20" s="26" t="str">
        <f>IF(EO20="","",((VLOOKUP(Compositions!M36,'HHV-LHV-MW'!$A$3:$F$40,4,FALSE))*(EO20/100)))</f>
        <v/>
      </c>
      <c r="ES20" s="26" t="str">
        <f>IF(EO20="","",((VLOOKUP(Compositions!M36,'HHV-LHV-MW'!$A$3:$F$40,5,FALSE))*(EO20/100)))</f>
        <v/>
      </c>
      <c r="ET20" s="39" t="str">
        <f>IF(EO20="","",((VLOOKUP(Compositions!M36,'HHV-LHV-MW'!$A$3:$F$40,6,FALSE))*(EO20/100)))</f>
        <v/>
      </c>
      <c r="EU20" s="13"/>
      <c r="EV20" s="13"/>
      <c r="EW20" s="13"/>
      <c r="EX20" s="13"/>
      <c r="EY20" s="13"/>
      <c r="EZ20" s="13"/>
      <c r="FB20" s="27" t="str">
        <f>IF(Compositions!T36="","",IF(Compositions!$T$25="mol%",Compositions!T36,FC20))</f>
        <v/>
      </c>
      <c r="FC20" s="27" t="str">
        <f t="shared" si="14"/>
        <v/>
      </c>
      <c r="FD20" s="27" t="str">
        <f>IF(Compositions!T36="","",(Compositions!T36/(VLOOKUP(Compositions!S36,'HHV-LHV-MW'!$A$3:$F$40,6,FALSE))))</f>
        <v/>
      </c>
      <c r="FE20" s="25" t="str">
        <f>IF(FB20="","",((VLOOKUP(Compositions!S36,'HHV-LHV-MW'!$A$3:$F$40,4,FALSE))*(FB20/100)))</f>
        <v/>
      </c>
      <c r="FF20" s="25" t="str">
        <f>IF(FB20="","",((VLOOKUP(Compositions!S36,'HHV-LHV-MW'!$A$3:$F$40,5,FALSE))*(FB20/100)))</f>
        <v/>
      </c>
      <c r="FG20" s="209" t="str">
        <f>IF(FB20="","",((VLOOKUP(Compositions!S36,'HHV-LHV-MW'!$A$3:$F$40,6,FALSE))*(FB20/100)))</f>
        <v/>
      </c>
      <c r="FH20" s="25"/>
      <c r="FI20" s="25"/>
      <c r="FJ20" s="25"/>
      <c r="FK20" s="180"/>
      <c r="FL20" s="180"/>
      <c r="FM20" s="180"/>
      <c r="FN20" s="28" t="str">
        <f>IF(Compositions!U36="","",IF(Compositions!$U$25="mol%",Compositions!U36,FO20))</f>
        <v/>
      </c>
      <c r="FO20" s="28" t="str">
        <f t="shared" si="15"/>
        <v/>
      </c>
      <c r="FP20" s="28" t="str">
        <f>IF(Compositions!U36="","",(Compositions!U36/(VLOOKUP(Compositions!S36,'HHV-LHV-MW'!$A$3:$F$40,6,FALSE))))</f>
        <v/>
      </c>
      <c r="FQ20" s="26" t="str">
        <f>IF(FN20="","",((VLOOKUP(Compositions!S36,'HHV-LHV-MW'!$A$3:$F$40,4,FALSE))*(FN20/100)))</f>
        <v/>
      </c>
      <c r="FR20" s="26" t="str">
        <f>IF(FN20="","",((VLOOKUP(Compositions!S36,'HHV-LHV-MW'!$A$3:$F$40,5,FALSE))*(FN20/100)))</f>
        <v/>
      </c>
      <c r="FS20" s="39" t="str">
        <f>IF(FN20="","",((VLOOKUP(Compositions!S36,'HHV-LHV-MW'!$A$3:$F$40,6,FALSE))*(FN20/100)))</f>
        <v/>
      </c>
      <c r="FT20" s="26"/>
      <c r="FU20" s="26"/>
      <c r="FV20" s="26"/>
      <c r="FW20" s="177"/>
      <c r="FX20" s="177"/>
      <c r="FY20" s="177"/>
      <c r="FZ20" s="27" t="str">
        <f>IF(Compositions!V36="","",IF(Compositions!$V$25="mol%",Compositions!V36,GA20))</f>
        <v/>
      </c>
      <c r="GA20" s="27" t="str">
        <f t="shared" si="16"/>
        <v/>
      </c>
      <c r="GB20" s="27" t="str">
        <f>IF(Compositions!V36="","",(Compositions!V36/(VLOOKUP(Compositions!S36,'HHV-LHV-MW'!$A$3:$F$40,6,FALSE))))</f>
        <v/>
      </c>
      <c r="GC20" s="25" t="str">
        <f>IF(FZ20="","",((VLOOKUP(Compositions!S36,'HHV-LHV-MW'!$A$3:$F$40,4,FALSE))*(FZ20/100)))</f>
        <v/>
      </c>
      <c r="GD20" s="25" t="str">
        <f>IF(FZ20="","",((VLOOKUP(Compositions!S36,'HHV-LHV-MW'!$A$3:$F$40,5,FALSE))*(FZ20/100)))</f>
        <v/>
      </c>
      <c r="GE20" s="209" t="str">
        <f>IF(FZ20="","",((VLOOKUP(Compositions!S36,'HHV-LHV-MW'!$A$3:$F$40,6,FALSE))*(FZ20/100)))</f>
        <v/>
      </c>
      <c r="GF20" s="25"/>
      <c r="GG20" s="25"/>
      <c r="GH20" s="25"/>
      <c r="GI20" s="180"/>
      <c r="GJ20" s="180"/>
      <c r="GK20" s="180"/>
      <c r="GL20" s="28" t="str">
        <f>IF(Compositions!W36="","",IF(Compositions!$W$25="mol%",Compositions!W36,GM20))</f>
        <v/>
      </c>
      <c r="GM20" s="28" t="str">
        <f t="shared" si="17"/>
        <v/>
      </c>
      <c r="GN20" s="28" t="str">
        <f>IF(Compositions!W36="","",(Compositions!W36/(VLOOKUP(Compositions!S36,'HHV-LHV-MW'!$A$3:$F$40,6,FALSE))))</f>
        <v/>
      </c>
      <c r="GO20" s="26" t="str">
        <f>IF(GL20="","",((VLOOKUP(Compositions!S36,'HHV-LHV-MW'!$A$3:$F$40,4,FALSE))*(GL20/100)))</f>
        <v/>
      </c>
      <c r="GP20" s="26" t="str">
        <f>IF(GL20="","",((VLOOKUP(Compositions!S36,'HHV-LHV-MW'!$A$3:$F$40,5,FALSE))*(GL20/100)))</f>
        <v/>
      </c>
      <c r="GQ20" s="39" t="str">
        <f>IF(GL20="","",((VLOOKUP(Compositions!S36,'HHV-LHV-MW'!$A$3:$F$40,6,FALSE))*(GL20/100)))</f>
        <v/>
      </c>
      <c r="GR20" s="13"/>
      <c r="GS20" s="13"/>
      <c r="GT20" s="13"/>
      <c r="GU20" s="13"/>
      <c r="GV20" s="13"/>
      <c r="GW20" s="13"/>
      <c r="GY20" s="27" t="str">
        <f>IF(Compositions!Z36="","",IF(Compositions!$Z$25="mol%",Compositions!Z36,GZ20))</f>
        <v/>
      </c>
      <c r="GZ20" s="27" t="str">
        <f t="shared" si="18"/>
        <v/>
      </c>
      <c r="HA20" s="27" t="str">
        <f>IF(Compositions!Z36="","",(Compositions!Z36/(VLOOKUP(Compositions!Y36,'HHV-LHV-MW'!$A$3:$F$40,6,FALSE))))</f>
        <v/>
      </c>
      <c r="HB20" s="25" t="str">
        <f>IF(GY20="","",((VLOOKUP(Compositions!Y36,'HHV-LHV-MW'!$A$3:$F$40,4,FALSE))*(GY20/100)))</f>
        <v/>
      </c>
      <c r="HC20" s="25" t="str">
        <f>IF(GY20="","",((VLOOKUP(Compositions!Y36,'HHV-LHV-MW'!$A$3:$F$40,5,FALSE))*(GY20/100)))</f>
        <v/>
      </c>
      <c r="HD20" s="209" t="str">
        <f>IF(GY20="","",((VLOOKUP(Compositions!Y36,'HHV-LHV-MW'!$A$3:$F$40,6,FALSE))*(GY20/100)))</f>
        <v/>
      </c>
      <c r="HE20" s="25"/>
      <c r="HF20" s="25"/>
      <c r="HG20" s="25"/>
      <c r="HH20" s="180"/>
      <c r="HI20" s="180"/>
      <c r="HJ20" s="180"/>
      <c r="HK20" s="28" t="str">
        <f>IF(Compositions!AA36="","",IF(Compositions!$AA$25="mol%",Compositions!AA36,HL20))</f>
        <v/>
      </c>
      <c r="HL20" s="28" t="str">
        <f t="shared" si="19"/>
        <v/>
      </c>
      <c r="HM20" s="28" t="str">
        <f>IF(Compositions!AA36="","",(Compositions!AA36/(VLOOKUP(Compositions!Y36,'HHV-LHV-MW'!$A$3:$F$40,6,FALSE))))</f>
        <v/>
      </c>
      <c r="HN20" s="26" t="str">
        <f>IF(HK20="","",((VLOOKUP(Compositions!Y36,'HHV-LHV-MW'!$A$3:$F$40,4,FALSE))*(HK20/100)))</f>
        <v/>
      </c>
      <c r="HO20" s="26" t="str">
        <f>IF(HK20="","",((VLOOKUP(Compositions!Y36,'HHV-LHV-MW'!$A$3:$F$40,5,FALSE))*(HK20/100)))</f>
        <v/>
      </c>
      <c r="HP20" s="39" t="str">
        <f>IF(HK20="","",((VLOOKUP(Compositions!Y36,'HHV-LHV-MW'!$A$3:$F$40,6,FALSE))*(HK20/100)))</f>
        <v/>
      </c>
      <c r="HQ20" s="26"/>
      <c r="HR20" s="26"/>
      <c r="HS20" s="26"/>
      <c r="HT20" s="177"/>
      <c r="HU20" s="177"/>
      <c r="HV20" s="177"/>
      <c r="HW20" s="27" t="str">
        <f>IF(Compositions!AB36="","",IF(Compositions!$AB$25="mol%",Compositions!AB36,HX20))</f>
        <v/>
      </c>
      <c r="HX20" s="27" t="str">
        <f t="shared" si="20"/>
        <v/>
      </c>
      <c r="HY20" s="27" t="str">
        <f>IF(Compositions!AB36="","",(Compositions!AB36/(VLOOKUP(Compositions!Y36,'HHV-LHV-MW'!$A$3:$F$40,6,FALSE))))</f>
        <v/>
      </c>
      <c r="HZ20" s="25" t="str">
        <f>IF(HW20="","",((VLOOKUP(Compositions!Y36,'HHV-LHV-MW'!$A$3:$F$40,4,FALSE))*(HW20/100)))</f>
        <v/>
      </c>
      <c r="IA20" s="25" t="str">
        <f>IF(HW20="","",((VLOOKUP(Compositions!Y36,'HHV-LHV-MW'!$A$3:$F$40,5,FALSE))*(HW20/100)))</f>
        <v/>
      </c>
      <c r="IB20" s="209" t="str">
        <f>IF(HW20="","",((VLOOKUP(Compositions!Y36,'HHV-LHV-MW'!$A$3:$F$40,6,FALSE))*(HW20/100)))</f>
        <v/>
      </c>
      <c r="IC20" s="25"/>
      <c r="ID20" s="25"/>
      <c r="IE20" s="25"/>
      <c r="IF20" s="180"/>
      <c r="IG20" s="180"/>
      <c r="IH20" s="180"/>
      <c r="II20" s="28" t="str">
        <f>IF(Compositions!AC36="","",IF(Compositions!$AC$25="mol%",Compositions!AC36,IJ20))</f>
        <v/>
      </c>
      <c r="IJ20" s="28" t="str">
        <f t="shared" si="21"/>
        <v/>
      </c>
      <c r="IK20" s="28" t="str">
        <f>IF(Compositions!AC36="","",(Compositions!AC36/(VLOOKUP(Compositions!Y36,'HHV-LHV-MW'!$A$3:$F$40,6,FALSE))))</f>
        <v/>
      </c>
      <c r="IL20" s="26" t="str">
        <f>IF(II20="","",((VLOOKUP(Compositions!Y36,'HHV-LHV-MW'!$A$3:$F$40,4,FALSE))*(II20/100)))</f>
        <v/>
      </c>
      <c r="IM20" s="26" t="str">
        <f>IF(II20="","",((VLOOKUP(Compositions!Y36,'HHV-LHV-MW'!$A$3:$F$40,5,FALSE))*(II20/100)))</f>
        <v/>
      </c>
      <c r="IN20" s="39" t="str">
        <f>IF(II20="","",((VLOOKUP(Compositions!Y36,'HHV-LHV-MW'!$A$3:$F$40,6,FALSE))*(II20/100)))</f>
        <v/>
      </c>
      <c r="IO20" s="13"/>
      <c r="IP20" s="13"/>
      <c r="IQ20" s="13"/>
      <c r="IR20" s="13"/>
      <c r="IS20" s="13"/>
      <c r="IT20" s="13"/>
      <c r="IV20" s="27" t="str">
        <f>IF(Compositions!AF36="","",IF(Compositions!$AF$25="mol%",Compositions!AF36,IW20))</f>
        <v/>
      </c>
      <c r="IW20" s="27" t="str">
        <f t="shared" si="6"/>
        <v/>
      </c>
      <c r="IX20" s="27" t="str">
        <f>IF(Compositions!AF36="","",(Compositions!AF36/(VLOOKUP(Compositions!AE36,'HHV-LHV-MW'!$A$3:$F$40,6,FALSE))))</f>
        <v/>
      </c>
      <c r="IY20" s="25" t="str">
        <f>IF(IV20="","",((VLOOKUP(Compositions!AE36,'HHV-LHV-MW'!$A$3:$F$40,4,FALSE))*(IV20/100)))</f>
        <v/>
      </c>
      <c r="IZ20" s="25" t="str">
        <f>IF(IV20="","",((VLOOKUP(Compositions!AE36,'HHV-LHV-MW'!$A$3:$F$40,5,FALSE))*(IV20/100)))</f>
        <v/>
      </c>
      <c r="JA20" s="209" t="str">
        <f>IF(IV20="","",((VLOOKUP(Compositions!AE36,'HHV-LHV-MW'!$A$3:$F$40,6,FALSE))*(IV20/100)))</f>
        <v/>
      </c>
      <c r="JB20" s="25"/>
      <c r="JC20" s="25"/>
      <c r="JD20" s="25"/>
      <c r="JE20" s="180"/>
      <c r="JF20" s="180"/>
      <c r="JG20" s="180"/>
      <c r="JH20" s="28" t="str">
        <f>IF(Compositions!AG36="","",IF(Compositions!$AG$25="mol%",Compositions!AG36,JI20))</f>
        <v/>
      </c>
      <c r="JI20" s="28" t="str">
        <f t="shared" si="22"/>
        <v/>
      </c>
      <c r="JJ20" s="28" t="str">
        <f>IF(Compositions!AG36="","",(Compositions!AG36/(VLOOKUP(Compositions!AE36,'HHV-LHV-MW'!$A$3:$F$40,6,FALSE))))</f>
        <v/>
      </c>
      <c r="JK20" s="26" t="str">
        <f>IF(JH20="","",((VLOOKUP(Compositions!AE36,'HHV-LHV-MW'!$A$3:$F$40,4,FALSE))*(JH20/100)))</f>
        <v/>
      </c>
      <c r="JL20" s="26" t="str">
        <f>IF(JH20="","",((VLOOKUP(Compositions!AE36,'HHV-LHV-MW'!$A$3:$F$40,5,FALSE))*(JH20/100)))</f>
        <v/>
      </c>
      <c r="JM20" s="39" t="str">
        <f>IF(JH20="","",((VLOOKUP(Compositions!AE36,'HHV-LHV-MW'!$A$3:$F$40,6,FALSE))*(JH20/100)))</f>
        <v/>
      </c>
      <c r="JN20" s="26"/>
      <c r="JO20" s="26"/>
      <c r="JP20" s="26"/>
      <c r="JQ20" s="177"/>
      <c r="JR20" s="177"/>
      <c r="JS20" s="177"/>
      <c r="JT20" s="27" t="str">
        <f>IF(Compositions!AH36="","",IF(Compositions!$AH$25="mol%",Compositions!AH36,JU20))</f>
        <v/>
      </c>
      <c r="JU20" s="27" t="str">
        <f t="shared" si="23"/>
        <v/>
      </c>
      <c r="JV20" s="27" t="str">
        <f>IF(Compositions!AH36="","",(Compositions!AH36/(VLOOKUP(Compositions!AE36,'HHV-LHV-MW'!$A$3:$F$40,6,FALSE))))</f>
        <v/>
      </c>
      <c r="JW20" s="25" t="str">
        <f>IF(JT20="","",((VLOOKUP(Compositions!AE36,'HHV-LHV-MW'!$A$3:$F$40,4,FALSE))*(JT20/100)))</f>
        <v/>
      </c>
      <c r="JX20" s="25" t="str">
        <f>IF(JT20="","",((VLOOKUP(Compositions!AE36,'HHV-LHV-MW'!$A$3:$F$40,5,FALSE))*(JT20/100)))</f>
        <v/>
      </c>
      <c r="JY20" s="209" t="str">
        <f>IF(JT20="","",((VLOOKUP(Compositions!AE36,'HHV-LHV-MW'!$A$3:$F$40,6,FALSE))*(JT20/100)))</f>
        <v/>
      </c>
      <c r="JZ20" s="25"/>
      <c r="KA20" s="25"/>
      <c r="KB20" s="25"/>
      <c r="KC20" s="180"/>
      <c r="KD20" s="180"/>
      <c r="KE20" s="180"/>
      <c r="KF20" s="28" t="str">
        <f>IF(Compositions!AI36="","",IF(Compositions!$AI$25="mol%",Compositions!AI36,KG20))</f>
        <v/>
      </c>
      <c r="KG20" s="28" t="str">
        <f t="shared" si="24"/>
        <v/>
      </c>
      <c r="KH20" s="28" t="str">
        <f>IF(Compositions!AI36="","",(Compositions!AI36/(VLOOKUP(Compositions!AE36,'HHV-LHV-MW'!$A$3:$F$40,6,FALSE))))</f>
        <v/>
      </c>
      <c r="KI20" s="26" t="str">
        <f>IF(KF20="","",((VLOOKUP(Compositions!AE36,'HHV-LHV-MW'!$A$3:$F$40,4,FALSE))*(KF20/100)))</f>
        <v/>
      </c>
      <c r="KJ20" s="26" t="str">
        <f>IF(KF20="","",((VLOOKUP(Compositions!AE36,'HHV-LHV-MW'!$A$3:$F$40,5,FALSE))*(KF20/100)))</f>
        <v/>
      </c>
      <c r="KK20" s="39" t="str">
        <f>IF(KF20="","",((VLOOKUP(Compositions!AE36,'HHV-LHV-MW'!$A$3:$F$40,6,FALSE))*(KF20/100)))</f>
        <v/>
      </c>
      <c r="KL20" s="13"/>
      <c r="KM20" s="13"/>
      <c r="KN20" s="13"/>
    </row>
    <row r="21" spans="1:300" ht="15.6">
      <c r="A21" s="173" t="s">
        <v>195</v>
      </c>
      <c r="B21" s="19" t="s">
        <v>194</v>
      </c>
      <c r="C21" s="20">
        <v>7</v>
      </c>
      <c r="D21" s="20">
        <v>4.8589000000000002</v>
      </c>
      <c r="E21" s="20">
        <v>4.5019</v>
      </c>
      <c r="F21" s="20">
        <v>100.20404000000001</v>
      </c>
      <c r="G21" s="20">
        <f t="shared" si="0"/>
        <v>0</v>
      </c>
      <c r="H21" s="20">
        <v>0</v>
      </c>
      <c r="I21" s="170">
        <v>1</v>
      </c>
      <c r="K21" s="27" t="str">
        <f>IF(Compositions!B37="","",IF(Compositions!$B$25="mol%",Compositions!B37,L21))</f>
        <v/>
      </c>
      <c r="L21" s="27" t="str">
        <f t="shared" si="1"/>
        <v/>
      </c>
      <c r="M21" s="27" t="str">
        <f>IF(Compositions!B37="","",(Compositions!B37/(VLOOKUP(Compositions!A37,'HHV-LHV-MW'!$A$3:$F$40,6,FALSE))))</f>
        <v/>
      </c>
      <c r="N21" s="25" t="str">
        <f>IF(K21="","",((VLOOKUP(Compositions!A37,'HHV-LHV-MW'!$A$3:$F$40,4,FALSE))*(K21/100)))</f>
        <v/>
      </c>
      <c r="O21" s="25" t="str">
        <f>IF(K21="","",((VLOOKUP(Compositions!A37,'HHV-LHV-MW'!$A$3:$F$40,5,FALSE))*(K21/100)))</f>
        <v/>
      </c>
      <c r="P21" s="206" t="str">
        <f>IF(K21="","",((VLOOKUP(Compositions!A37,'HHV-LHV-MW'!$A$3:$F$40,6,FALSE))*(K21/100)))</f>
        <v/>
      </c>
      <c r="Q21" s="25"/>
      <c r="R21" s="25"/>
      <c r="S21" s="25"/>
      <c r="T21" s="166"/>
      <c r="U21" s="174"/>
      <c r="V21" s="180"/>
      <c r="W21" s="28" t="str">
        <f>IF(Compositions!C37="","",IF(Compositions!$C$25="mol%",Compositions!C37,X21))</f>
        <v/>
      </c>
      <c r="X21" s="28" t="str">
        <f t="shared" si="2"/>
        <v/>
      </c>
      <c r="Y21" s="28" t="str">
        <f>IF(Compositions!C37="","",(Compositions!C37/(VLOOKUP(Compositions!A37,'HHV-LHV-MW'!$A$3:$F$40,6,FALSE))))</f>
        <v/>
      </c>
      <c r="Z21" s="26" t="str">
        <f>IF(W21="","",((VLOOKUP(Compositions!A37,'HHV-LHV-MW'!$A$3:$F$40,4,FALSE))*(W21/100)))</f>
        <v/>
      </c>
      <c r="AA21" s="26" t="str">
        <f>IF(W21="","",((VLOOKUP(Compositions!A37,'HHV-LHV-MW'!$A$3:$F$40,5,FALSE))*(W21/100)))</f>
        <v/>
      </c>
      <c r="AB21" s="39" t="str">
        <f>IF(W21="","",((VLOOKUP(Compositions!A37,'HHV-LHV-MW'!$A$3:$F$40,6,FALSE))*(W21/100)))</f>
        <v/>
      </c>
      <c r="AC21" s="26"/>
      <c r="AD21" s="26"/>
      <c r="AE21" s="26"/>
      <c r="AF21" s="177"/>
      <c r="AG21" s="177"/>
      <c r="AH21" s="177"/>
      <c r="AI21" s="27" t="str">
        <f>IF(Compositions!D37="","",IF(Compositions!$D$25="mol%",Compositions!D37,AJ21))</f>
        <v/>
      </c>
      <c r="AJ21" s="27" t="str">
        <f t="shared" si="3"/>
        <v/>
      </c>
      <c r="AK21" s="27" t="str">
        <f>IF(Compositions!D37="","",(Compositions!D37/(VLOOKUP(Compositions!A37,'HHV-LHV-MW'!$A$3:$F$40,6,FALSE))))</f>
        <v/>
      </c>
      <c r="AL21" s="25" t="str">
        <f>IF(AI21="","",((VLOOKUP(Compositions!A37,'HHV-LHV-MW'!$A$3:$F$40,4,FALSE))*(AI21/100)))</f>
        <v/>
      </c>
      <c r="AM21" s="25" t="str">
        <f>IF(AI21="","",((VLOOKUP(Compositions!A37,'HHV-LHV-MW'!$A$3:$F$40,5,FALSE))*(AI21/100)))</f>
        <v/>
      </c>
      <c r="AN21" s="209" t="str">
        <f>IF(AI21="","",((VLOOKUP(Compositions!A37,'HHV-LHV-MW'!$A$3:$F$40,6,FALSE))*(AI21/100)))</f>
        <v/>
      </c>
      <c r="AO21" s="25"/>
      <c r="AP21" s="25"/>
      <c r="AQ21" s="25"/>
      <c r="AR21" s="180"/>
      <c r="AS21" s="180"/>
      <c r="AT21" s="180"/>
      <c r="AU21" s="28" t="str">
        <f>IF(Compositions!E37="","",IF(Compositions!$E$25="mol%",Compositions!E37,AV21))</f>
        <v/>
      </c>
      <c r="AV21" s="28" t="str">
        <f t="shared" si="4"/>
        <v/>
      </c>
      <c r="AW21" s="28" t="str">
        <f>IF(Compositions!E37="","",(Compositions!E37/(VLOOKUP(Compositions!A37,'HHV-LHV-MW'!$A$3:$F$40,6,FALSE))))</f>
        <v/>
      </c>
      <c r="AX21" s="26" t="str">
        <f>IF(AU21="","",((VLOOKUP(Compositions!A37,'HHV-LHV-MW'!$A$3:$F$40,4,FALSE))*(AU21/100)))</f>
        <v/>
      </c>
      <c r="AY21" s="26" t="str">
        <f>IF(AU21="","",((VLOOKUP(Compositions!A37,'HHV-LHV-MW'!$A$3:$F$40,5,FALSE))*(AU21/100)))</f>
        <v/>
      </c>
      <c r="AZ21" s="39" t="str">
        <f>IF(AU21="","",((VLOOKUP(Compositions!A37,'HHV-LHV-MW'!$A$3:$F$40,6,FALSE))*(AU21/100)))</f>
        <v/>
      </c>
      <c r="BA21" s="13"/>
      <c r="BB21" s="13"/>
      <c r="BC21" s="13"/>
      <c r="BD21" s="13"/>
      <c r="BE21" s="13"/>
      <c r="BF21" s="13"/>
      <c r="BH21" s="27" t="str">
        <f>IF(Compositions!H37="","",IF(Compositions!$H$25="mol%",Compositions!H37,BI21))</f>
        <v/>
      </c>
      <c r="BI21" s="27" t="str">
        <f t="shared" si="7"/>
        <v/>
      </c>
      <c r="BJ21" s="27" t="str">
        <f>IF(Compositions!H37="","",(Compositions!H37/(VLOOKUP(Compositions!G37,'HHV-LHV-MW'!$A$3:$F$40,6,FALSE))))</f>
        <v/>
      </c>
      <c r="BK21" s="25" t="str">
        <f>IF(BH21="","",((VLOOKUP(Compositions!G37,'HHV-LHV-MW'!$A$3:$F$40,4,FALSE))*(BH21/100)))</f>
        <v/>
      </c>
      <c r="BL21" s="25" t="str">
        <f>IF(BH21="","",((VLOOKUP(Compositions!G37,'HHV-LHV-MW'!$A$3:$F$40,5,FALSE))*(BH21/100)))</f>
        <v/>
      </c>
      <c r="BM21" s="209" t="str">
        <f>IF(BH21="","",((VLOOKUP(Compositions!G37,'HHV-LHV-MW'!$A$3:$F$40,6,FALSE))*(BH21/100)))</f>
        <v/>
      </c>
      <c r="BN21" s="25"/>
      <c r="BO21" s="25"/>
      <c r="BP21" s="25"/>
      <c r="BQ21" s="180"/>
      <c r="BR21" s="180"/>
      <c r="BS21" s="180"/>
      <c r="BT21" s="28" t="str">
        <f>IF(Compositions!I37="","",IF(Compositions!$I$25="mol%",Compositions!I37,BU21))</f>
        <v/>
      </c>
      <c r="BU21" s="28" t="str">
        <f t="shared" si="8"/>
        <v/>
      </c>
      <c r="BV21" s="28" t="str">
        <f>IF(Compositions!I37="","",(Compositions!I37/(VLOOKUP(Compositions!G37,'HHV-LHV-MW'!$A$3:$F$40,6,FALSE))))</f>
        <v/>
      </c>
      <c r="BW21" s="26" t="str">
        <f>IF(BT21="","",((VLOOKUP(Compositions!G37,'HHV-LHV-MW'!$A$3:$F$40,4,FALSE))*(BT21/100)))</f>
        <v/>
      </c>
      <c r="BX21" s="26" t="str">
        <f>IF(BT21="","",((VLOOKUP(Compositions!G37,'HHV-LHV-MW'!$A$3:$F$40,5,FALSE))*(BT21/100)))</f>
        <v/>
      </c>
      <c r="BY21" s="207" t="str">
        <f>IF(BT21="","",((VLOOKUP(Compositions!G37,'HHV-LHV-MW'!$A$3:$F$40,6,FALSE))*(BT21/100)))</f>
        <v/>
      </c>
      <c r="BZ21" s="26"/>
      <c r="CA21" s="26"/>
      <c r="CB21" s="26"/>
      <c r="CC21" s="177"/>
      <c r="CD21" s="177"/>
      <c r="CE21" s="177"/>
      <c r="CF21" s="27" t="str">
        <f>IF(Compositions!J37="","",IF(Compositions!$J$25="mol%",Compositions!J37,CG21))</f>
        <v/>
      </c>
      <c r="CG21" s="27" t="str">
        <f t="shared" si="9"/>
        <v/>
      </c>
      <c r="CH21" s="27" t="str">
        <f>IF(Compositions!J37="","",(Compositions!J37/(VLOOKUP(Compositions!G37,'HHV-LHV-MW'!$A$3:$F$40,6,FALSE))))</f>
        <v/>
      </c>
      <c r="CI21" s="25" t="str">
        <f>IF(CF21="","",((VLOOKUP(Compositions!G37,'HHV-LHV-MW'!$A$3:$F$40,4,FALSE))*(CF21/100)))</f>
        <v/>
      </c>
      <c r="CJ21" s="25" t="str">
        <f>IF(CF21="","",((VLOOKUP(Compositions!G37,'HHV-LHV-MW'!$A$3:$F$40,5,FALSE))*(CF21/100)))</f>
        <v/>
      </c>
      <c r="CK21" s="209" t="str">
        <f>IF(CF21="","",((VLOOKUP(Compositions!G37,'HHV-LHV-MW'!$A$3:$F$40,6,FALSE))*(CF21/100)))</f>
        <v/>
      </c>
      <c r="CL21" s="25"/>
      <c r="CM21" s="25"/>
      <c r="CN21" s="25"/>
      <c r="CO21" s="180"/>
      <c r="CP21" s="180"/>
      <c r="CQ21" s="180"/>
      <c r="CR21" s="28" t="str">
        <f>IF(Compositions!K37="","",IF(Compositions!$K$25="mol%",Compositions!K37,CS21))</f>
        <v/>
      </c>
      <c r="CS21" s="28" t="str">
        <f t="shared" si="10"/>
        <v/>
      </c>
      <c r="CT21" s="28" t="str">
        <f>IF(Compositions!K37="","",(Compositions!K37/(VLOOKUP(Compositions!G37,'HHV-LHV-MW'!$A$3:$F$40,6,FALSE))))</f>
        <v/>
      </c>
      <c r="CU21" s="26" t="str">
        <f>IF(CR21="","",((VLOOKUP(Compositions!G37,'HHV-LHV-MW'!$A$3:$F$40,4,FALSE))*(CR21/100)))</f>
        <v/>
      </c>
      <c r="CV21" s="26" t="str">
        <f>IF(CR21="","",((VLOOKUP(Compositions!G37,'HHV-LHV-MW'!$A$3:$F$40,5,FALSE))*(CR21/100)))</f>
        <v/>
      </c>
      <c r="CW21" s="207" t="str">
        <f>IF(CR21="","",((VLOOKUP(Compositions!G37,'HHV-LHV-MW'!$A$3:$F$40,6,FALSE))*(CR21/100)))</f>
        <v/>
      </c>
      <c r="CX21" s="13"/>
      <c r="CY21" s="13"/>
      <c r="CZ21" s="13"/>
      <c r="DA21" s="13"/>
      <c r="DB21" s="13"/>
      <c r="DC21" s="13"/>
      <c r="DE21" s="27" t="str">
        <f>IF(Compositions!N37="","",IF(Compositions!$N$25="mol%",Compositions!N37,DF21))</f>
        <v/>
      </c>
      <c r="DF21" s="27" t="str">
        <f t="shared" si="5"/>
        <v/>
      </c>
      <c r="DG21" s="27" t="str">
        <f>IF(Compositions!N37="","",(Compositions!N37/(VLOOKUP(Compositions!M37,'HHV-LHV-MW'!$A$3:$F$40,6,FALSE))))</f>
        <v/>
      </c>
      <c r="DH21" s="25" t="str">
        <f>IF(DE21="","",((VLOOKUP(Compositions!M37,'HHV-LHV-MW'!$A$3:$F$40,4,FALSE))*(DE21/100)))</f>
        <v/>
      </c>
      <c r="DI21" s="25" t="str">
        <f>IF(DE21="","",((VLOOKUP(Compositions!M37,'HHV-LHV-MW'!$A$3:$F$40,5,FALSE))*(DE21/100)))</f>
        <v/>
      </c>
      <c r="DJ21" s="209" t="str">
        <f>IF(DE21="","",((VLOOKUP(Compositions!M37,'HHV-LHV-MW'!$A$3:$F$40,6,FALSE))*(DE21/100)))</f>
        <v/>
      </c>
      <c r="DK21" s="25"/>
      <c r="DL21" s="25"/>
      <c r="DM21" s="25"/>
      <c r="DN21" s="180"/>
      <c r="DO21" s="180"/>
      <c r="DP21" s="180"/>
      <c r="DQ21" s="28" t="str">
        <f>IF(Compositions!O37="","",IF(Compositions!$O$25="mol%",Compositions!O37,DR21))</f>
        <v/>
      </c>
      <c r="DR21" s="28" t="str">
        <f t="shared" si="11"/>
        <v/>
      </c>
      <c r="DS21" s="28" t="str">
        <f>IF(Compositions!O37="","",(Compositions!O37/(VLOOKUP(Compositions!M37,'HHV-LHV-MW'!$A$3:$F$40,6,FALSE))))</f>
        <v/>
      </c>
      <c r="DT21" s="26" t="str">
        <f>IF(DQ21="","",((VLOOKUP(Compositions!M37,'HHV-LHV-MW'!$A$3:$F$40,4,FALSE))*(DQ21/100)))</f>
        <v/>
      </c>
      <c r="DU21" s="26" t="str">
        <f>IF(DQ21="","",((VLOOKUP(Compositions!M37,'HHV-LHV-MW'!$A$3:$F$40,5,FALSE))*(DQ21/100)))</f>
        <v/>
      </c>
      <c r="DV21" s="39" t="str">
        <f>IF(DQ21="","",((VLOOKUP(Compositions!M37,'HHV-LHV-MW'!$A$3:$F$40,6,FALSE))*(DQ21/100)))</f>
        <v/>
      </c>
      <c r="DW21" s="26"/>
      <c r="DX21" s="26"/>
      <c r="DY21" s="26"/>
      <c r="DZ21" s="177"/>
      <c r="EA21" s="177"/>
      <c r="EB21" s="177"/>
      <c r="EC21" s="27" t="str">
        <f>IF(Compositions!P37="","",IF(Compositions!$P$25="mol%",Compositions!P37,ED21))</f>
        <v/>
      </c>
      <c r="ED21" s="27" t="str">
        <f t="shared" si="12"/>
        <v/>
      </c>
      <c r="EE21" s="27" t="str">
        <f>IF(Compositions!P37="","",(Compositions!P37/(VLOOKUP(Compositions!M37,'HHV-LHV-MW'!$A$3:$F$40,6,FALSE))))</f>
        <v/>
      </c>
      <c r="EF21" s="25" t="str">
        <f>IF(EC21="","",((VLOOKUP(Compositions!M37,'HHV-LHV-MW'!$A$3:$F$40,4,FALSE))*(EC21/100)))</f>
        <v/>
      </c>
      <c r="EG21" s="25" t="str">
        <f>IF(EC21="","",((VLOOKUP(Compositions!M37,'HHV-LHV-MW'!$A$3:$F$40,5,FALSE))*(EC21/100)))</f>
        <v/>
      </c>
      <c r="EH21" s="209" t="str">
        <f>IF(EC21="","",((VLOOKUP(Compositions!M37,'HHV-LHV-MW'!$A$3:$F$40,6,FALSE))*(EC21/100)))</f>
        <v/>
      </c>
      <c r="EI21" s="25"/>
      <c r="EJ21" s="25"/>
      <c r="EK21" s="25"/>
      <c r="EL21" s="180"/>
      <c r="EM21" s="180"/>
      <c r="EN21" s="180"/>
      <c r="EO21" s="28" t="str">
        <f>IF(Compositions!Q37="","",IF(Compositions!$Q$25="mol%",Compositions!Q37,EP21))</f>
        <v/>
      </c>
      <c r="EP21" s="28" t="str">
        <f t="shared" si="13"/>
        <v/>
      </c>
      <c r="EQ21" s="28" t="str">
        <f>IF(Compositions!Q37="","",(Compositions!Q37/(VLOOKUP(Compositions!M37,'HHV-LHV-MW'!$A$3:$F$40,6,FALSE))))</f>
        <v/>
      </c>
      <c r="ER21" s="26" t="str">
        <f>IF(EO21="","",((VLOOKUP(Compositions!M37,'HHV-LHV-MW'!$A$3:$F$40,4,FALSE))*(EO21/100)))</f>
        <v/>
      </c>
      <c r="ES21" s="26" t="str">
        <f>IF(EO21="","",((VLOOKUP(Compositions!M37,'HHV-LHV-MW'!$A$3:$F$40,5,FALSE))*(EO21/100)))</f>
        <v/>
      </c>
      <c r="ET21" s="39" t="str">
        <f>IF(EO21="","",((VLOOKUP(Compositions!M37,'HHV-LHV-MW'!$A$3:$F$40,6,FALSE))*(EO21/100)))</f>
        <v/>
      </c>
      <c r="EU21" s="13"/>
      <c r="EV21" s="13"/>
      <c r="EW21" s="13"/>
      <c r="EX21" s="13"/>
      <c r="EY21" s="13"/>
      <c r="EZ21" s="13"/>
      <c r="FB21" s="27" t="str">
        <f>IF(Compositions!T37="","",IF(Compositions!$T$25="mol%",Compositions!T37,FC21))</f>
        <v/>
      </c>
      <c r="FC21" s="27" t="str">
        <f t="shared" si="14"/>
        <v/>
      </c>
      <c r="FD21" s="27" t="str">
        <f>IF(Compositions!T37="","",(Compositions!T37/(VLOOKUP(Compositions!S37,'HHV-LHV-MW'!$A$3:$F$40,6,FALSE))))</f>
        <v/>
      </c>
      <c r="FE21" s="25" t="str">
        <f>IF(FB21="","",((VLOOKUP(Compositions!S37,'HHV-LHV-MW'!$A$3:$F$40,4,FALSE))*(FB21/100)))</f>
        <v/>
      </c>
      <c r="FF21" s="25" t="str">
        <f>IF(FB21="","",((VLOOKUP(Compositions!S37,'HHV-LHV-MW'!$A$3:$F$40,5,FALSE))*(FB21/100)))</f>
        <v/>
      </c>
      <c r="FG21" s="209" t="str">
        <f>IF(FB21="","",((VLOOKUP(Compositions!S37,'HHV-LHV-MW'!$A$3:$F$40,6,FALSE))*(FB21/100)))</f>
        <v/>
      </c>
      <c r="FH21" s="25"/>
      <c r="FI21" s="25"/>
      <c r="FJ21" s="25"/>
      <c r="FK21" s="180"/>
      <c r="FL21" s="180"/>
      <c r="FM21" s="180"/>
      <c r="FN21" s="28" t="str">
        <f>IF(Compositions!U37="","",IF(Compositions!$U$25="mol%",Compositions!U37,FO21))</f>
        <v/>
      </c>
      <c r="FO21" s="28" t="str">
        <f t="shared" si="15"/>
        <v/>
      </c>
      <c r="FP21" s="28" t="str">
        <f>IF(Compositions!U37="","",(Compositions!U37/(VLOOKUP(Compositions!S37,'HHV-LHV-MW'!$A$3:$F$40,6,FALSE))))</f>
        <v/>
      </c>
      <c r="FQ21" s="26" t="str">
        <f>IF(FN21="","",((VLOOKUP(Compositions!S37,'HHV-LHV-MW'!$A$3:$F$40,4,FALSE))*(FN21/100)))</f>
        <v/>
      </c>
      <c r="FR21" s="26" t="str">
        <f>IF(FN21="","",((VLOOKUP(Compositions!S37,'HHV-LHV-MW'!$A$3:$F$40,5,FALSE))*(FN21/100)))</f>
        <v/>
      </c>
      <c r="FS21" s="39" t="str">
        <f>IF(FN21="","",((VLOOKUP(Compositions!S37,'HHV-LHV-MW'!$A$3:$F$40,6,FALSE))*(FN21/100)))</f>
        <v/>
      </c>
      <c r="FT21" s="26"/>
      <c r="FU21" s="26"/>
      <c r="FV21" s="26"/>
      <c r="FW21" s="177"/>
      <c r="FX21" s="177"/>
      <c r="FY21" s="177"/>
      <c r="FZ21" s="27" t="str">
        <f>IF(Compositions!V37="","",IF(Compositions!$V$25="mol%",Compositions!V37,GA21))</f>
        <v/>
      </c>
      <c r="GA21" s="27" t="str">
        <f t="shared" si="16"/>
        <v/>
      </c>
      <c r="GB21" s="27" t="str">
        <f>IF(Compositions!V37="","",(Compositions!V37/(VLOOKUP(Compositions!S37,'HHV-LHV-MW'!$A$3:$F$40,6,FALSE))))</f>
        <v/>
      </c>
      <c r="GC21" s="25" t="str">
        <f>IF(FZ21="","",((VLOOKUP(Compositions!S37,'HHV-LHV-MW'!$A$3:$F$40,4,FALSE))*(FZ21/100)))</f>
        <v/>
      </c>
      <c r="GD21" s="25" t="str">
        <f>IF(FZ21="","",((VLOOKUP(Compositions!S37,'HHV-LHV-MW'!$A$3:$F$40,5,FALSE))*(FZ21/100)))</f>
        <v/>
      </c>
      <c r="GE21" s="209" t="str">
        <f>IF(FZ21="","",((VLOOKUP(Compositions!S37,'HHV-LHV-MW'!$A$3:$F$40,6,FALSE))*(FZ21/100)))</f>
        <v/>
      </c>
      <c r="GF21" s="25"/>
      <c r="GG21" s="25"/>
      <c r="GH21" s="25"/>
      <c r="GI21" s="180"/>
      <c r="GJ21" s="180"/>
      <c r="GK21" s="180"/>
      <c r="GL21" s="28" t="str">
        <f>IF(Compositions!W37="","",IF(Compositions!$W$25="mol%",Compositions!W37,GM21))</f>
        <v/>
      </c>
      <c r="GM21" s="28" t="str">
        <f t="shared" si="17"/>
        <v/>
      </c>
      <c r="GN21" s="28" t="str">
        <f>IF(Compositions!W37="","",(Compositions!W37/(VLOOKUP(Compositions!S37,'HHV-LHV-MW'!$A$3:$F$40,6,FALSE))))</f>
        <v/>
      </c>
      <c r="GO21" s="26" t="str">
        <f>IF(GL21="","",((VLOOKUP(Compositions!S37,'HHV-LHV-MW'!$A$3:$F$40,4,FALSE))*(GL21/100)))</f>
        <v/>
      </c>
      <c r="GP21" s="26" t="str">
        <f>IF(GL21="","",((VLOOKUP(Compositions!S37,'HHV-LHV-MW'!$A$3:$F$40,5,FALSE))*(GL21/100)))</f>
        <v/>
      </c>
      <c r="GQ21" s="39" t="str">
        <f>IF(GL21="","",((VLOOKUP(Compositions!S37,'HHV-LHV-MW'!$A$3:$F$40,6,FALSE))*(GL21/100)))</f>
        <v/>
      </c>
      <c r="GR21" s="13"/>
      <c r="GS21" s="13"/>
      <c r="GT21" s="13"/>
      <c r="GU21" s="13"/>
      <c r="GV21" s="13"/>
      <c r="GW21" s="13"/>
      <c r="GY21" s="27" t="str">
        <f>IF(Compositions!Z37="","",IF(Compositions!$Z$25="mol%",Compositions!Z37,GZ21))</f>
        <v/>
      </c>
      <c r="GZ21" s="27" t="str">
        <f t="shared" si="18"/>
        <v/>
      </c>
      <c r="HA21" s="27" t="str">
        <f>IF(Compositions!Z37="","",(Compositions!Z37/(VLOOKUP(Compositions!Y37,'HHV-LHV-MW'!$A$3:$F$40,6,FALSE))))</f>
        <v/>
      </c>
      <c r="HB21" s="25" t="str">
        <f>IF(GY21="","",((VLOOKUP(Compositions!Y37,'HHV-LHV-MW'!$A$3:$F$40,4,FALSE))*(GY21/100)))</f>
        <v/>
      </c>
      <c r="HC21" s="25" t="str">
        <f>IF(GY21="","",((VLOOKUP(Compositions!Y37,'HHV-LHV-MW'!$A$3:$F$40,5,FALSE))*(GY21/100)))</f>
        <v/>
      </c>
      <c r="HD21" s="209" t="str">
        <f>IF(GY21="","",((VLOOKUP(Compositions!Y37,'HHV-LHV-MW'!$A$3:$F$40,6,FALSE))*(GY21/100)))</f>
        <v/>
      </c>
      <c r="HE21" s="25"/>
      <c r="HF21" s="25"/>
      <c r="HG21" s="25"/>
      <c r="HH21" s="180"/>
      <c r="HI21" s="180"/>
      <c r="HJ21" s="180"/>
      <c r="HK21" s="28" t="str">
        <f>IF(Compositions!AA37="","",IF(Compositions!$AA$25="mol%",Compositions!AA37,HL21))</f>
        <v/>
      </c>
      <c r="HL21" s="28" t="str">
        <f t="shared" si="19"/>
        <v/>
      </c>
      <c r="HM21" s="28" t="str">
        <f>IF(Compositions!AA37="","",(Compositions!AA37/(VLOOKUP(Compositions!Y37,'HHV-LHV-MW'!$A$3:$F$40,6,FALSE))))</f>
        <v/>
      </c>
      <c r="HN21" s="26" t="str">
        <f>IF(HK21="","",((VLOOKUP(Compositions!Y37,'HHV-LHV-MW'!$A$3:$F$40,4,FALSE))*(HK21/100)))</f>
        <v/>
      </c>
      <c r="HO21" s="26" t="str">
        <f>IF(HK21="","",((VLOOKUP(Compositions!Y37,'HHV-LHV-MW'!$A$3:$F$40,5,FALSE))*(HK21/100)))</f>
        <v/>
      </c>
      <c r="HP21" s="39" t="str">
        <f>IF(HK21="","",((VLOOKUP(Compositions!Y37,'HHV-LHV-MW'!$A$3:$F$40,6,FALSE))*(HK21/100)))</f>
        <v/>
      </c>
      <c r="HQ21" s="26"/>
      <c r="HR21" s="26"/>
      <c r="HS21" s="26"/>
      <c r="HT21" s="177"/>
      <c r="HU21" s="177"/>
      <c r="HV21" s="177"/>
      <c r="HW21" s="27" t="str">
        <f>IF(Compositions!AB37="","",IF(Compositions!$AB$25="mol%",Compositions!AB37,HX21))</f>
        <v/>
      </c>
      <c r="HX21" s="27" t="str">
        <f t="shared" si="20"/>
        <v/>
      </c>
      <c r="HY21" s="27" t="str">
        <f>IF(Compositions!AB37="","",(Compositions!AB37/(VLOOKUP(Compositions!Y37,'HHV-LHV-MW'!$A$3:$F$40,6,FALSE))))</f>
        <v/>
      </c>
      <c r="HZ21" s="25" t="str">
        <f>IF(HW21="","",((VLOOKUP(Compositions!Y37,'HHV-LHV-MW'!$A$3:$F$40,4,FALSE))*(HW21/100)))</f>
        <v/>
      </c>
      <c r="IA21" s="25" t="str">
        <f>IF(HW21="","",((VLOOKUP(Compositions!Y37,'HHV-LHV-MW'!$A$3:$F$40,5,FALSE))*(HW21/100)))</f>
        <v/>
      </c>
      <c r="IB21" s="209" t="str">
        <f>IF(HW21="","",((VLOOKUP(Compositions!Y37,'HHV-LHV-MW'!$A$3:$F$40,6,FALSE))*(HW21/100)))</f>
        <v/>
      </c>
      <c r="IC21" s="25"/>
      <c r="ID21" s="25"/>
      <c r="IE21" s="25"/>
      <c r="IF21" s="180"/>
      <c r="IG21" s="180"/>
      <c r="IH21" s="180"/>
      <c r="II21" s="28" t="str">
        <f>IF(Compositions!AC37="","",IF(Compositions!$AC$25="mol%",Compositions!AC37,IJ21))</f>
        <v/>
      </c>
      <c r="IJ21" s="28" t="str">
        <f t="shared" si="21"/>
        <v/>
      </c>
      <c r="IK21" s="28" t="str">
        <f>IF(Compositions!AC37="","",(Compositions!AC37/(VLOOKUP(Compositions!Y37,'HHV-LHV-MW'!$A$3:$F$40,6,FALSE))))</f>
        <v/>
      </c>
      <c r="IL21" s="26" t="str">
        <f>IF(II21="","",((VLOOKUP(Compositions!Y37,'HHV-LHV-MW'!$A$3:$F$40,4,FALSE))*(II21/100)))</f>
        <v/>
      </c>
      <c r="IM21" s="26" t="str">
        <f>IF(II21="","",((VLOOKUP(Compositions!Y37,'HHV-LHV-MW'!$A$3:$F$40,5,FALSE))*(II21/100)))</f>
        <v/>
      </c>
      <c r="IN21" s="39" t="str">
        <f>IF(II21="","",((VLOOKUP(Compositions!Y37,'HHV-LHV-MW'!$A$3:$F$40,6,FALSE))*(II21/100)))</f>
        <v/>
      </c>
      <c r="IO21" s="13"/>
      <c r="IP21" s="13"/>
      <c r="IQ21" s="13"/>
      <c r="IR21" s="13"/>
      <c r="IS21" s="13"/>
      <c r="IT21" s="13"/>
      <c r="IV21" s="27" t="str">
        <f>IF(Compositions!AF37="","",IF(Compositions!$AF$25="mol%",Compositions!AF37,IW21))</f>
        <v/>
      </c>
      <c r="IW21" s="27" t="str">
        <f t="shared" si="6"/>
        <v/>
      </c>
      <c r="IX21" s="27" t="str">
        <f>IF(Compositions!AF37="","",(Compositions!AF37/(VLOOKUP(Compositions!AE37,'HHV-LHV-MW'!$A$3:$F$40,6,FALSE))))</f>
        <v/>
      </c>
      <c r="IY21" s="25" t="str">
        <f>IF(IV21="","",((VLOOKUP(Compositions!AE37,'HHV-LHV-MW'!$A$3:$F$40,4,FALSE))*(IV21/100)))</f>
        <v/>
      </c>
      <c r="IZ21" s="25" t="str">
        <f>IF(IV21="","",((VLOOKUP(Compositions!AE37,'HHV-LHV-MW'!$A$3:$F$40,5,FALSE))*(IV21/100)))</f>
        <v/>
      </c>
      <c r="JA21" s="209" t="str">
        <f>IF(IV21="","",((VLOOKUP(Compositions!AE37,'HHV-LHV-MW'!$A$3:$F$40,6,FALSE))*(IV21/100)))</f>
        <v/>
      </c>
      <c r="JB21" s="25"/>
      <c r="JC21" s="25"/>
      <c r="JD21" s="25"/>
      <c r="JE21" s="180"/>
      <c r="JF21" s="180"/>
      <c r="JG21" s="180"/>
      <c r="JH21" s="28" t="str">
        <f>IF(Compositions!AG37="","",IF(Compositions!$AG$25="mol%",Compositions!AG37,JI21))</f>
        <v/>
      </c>
      <c r="JI21" s="28" t="str">
        <f t="shared" si="22"/>
        <v/>
      </c>
      <c r="JJ21" s="28" t="str">
        <f>IF(Compositions!AG37="","",(Compositions!AG37/(VLOOKUP(Compositions!AE37,'HHV-LHV-MW'!$A$3:$F$40,6,FALSE))))</f>
        <v/>
      </c>
      <c r="JK21" s="26" t="str">
        <f>IF(JH21="","",((VLOOKUP(Compositions!AE37,'HHV-LHV-MW'!$A$3:$F$40,4,FALSE))*(JH21/100)))</f>
        <v/>
      </c>
      <c r="JL21" s="26" t="str">
        <f>IF(JH21="","",((VLOOKUP(Compositions!AE37,'HHV-LHV-MW'!$A$3:$F$40,5,FALSE))*(JH21/100)))</f>
        <v/>
      </c>
      <c r="JM21" s="39" t="str">
        <f>IF(JH21="","",((VLOOKUP(Compositions!AE37,'HHV-LHV-MW'!$A$3:$F$40,6,FALSE))*(JH21/100)))</f>
        <v/>
      </c>
      <c r="JN21" s="26"/>
      <c r="JO21" s="26"/>
      <c r="JP21" s="26"/>
      <c r="JQ21" s="177"/>
      <c r="JR21" s="177"/>
      <c r="JS21" s="177"/>
      <c r="JT21" s="27" t="str">
        <f>IF(Compositions!AH37="","",IF(Compositions!$AH$25="mol%",Compositions!AH37,JU21))</f>
        <v/>
      </c>
      <c r="JU21" s="27" t="str">
        <f t="shared" si="23"/>
        <v/>
      </c>
      <c r="JV21" s="27" t="str">
        <f>IF(Compositions!AH37="","",(Compositions!AH37/(VLOOKUP(Compositions!AE37,'HHV-LHV-MW'!$A$3:$F$40,6,FALSE))))</f>
        <v/>
      </c>
      <c r="JW21" s="25" t="str">
        <f>IF(JT21="","",((VLOOKUP(Compositions!AE37,'HHV-LHV-MW'!$A$3:$F$40,4,FALSE))*(JT21/100)))</f>
        <v/>
      </c>
      <c r="JX21" s="25" t="str">
        <f>IF(JT21="","",((VLOOKUP(Compositions!AE37,'HHV-LHV-MW'!$A$3:$F$40,5,FALSE))*(JT21/100)))</f>
        <v/>
      </c>
      <c r="JY21" s="209" t="str">
        <f>IF(JT21="","",((VLOOKUP(Compositions!AE37,'HHV-LHV-MW'!$A$3:$F$40,6,FALSE))*(JT21/100)))</f>
        <v/>
      </c>
      <c r="JZ21" s="25"/>
      <c r="KA21" s="25"/>
      <c r="KB21" s="25"/>
      <c r="KC21" s="180"/>
      <c r="KD21" s="180"/>
      <c r="KE21" s="180"/>
      <c r="KF21" s="28" t="str">
        <f>IF(Compositions!AI37="","",IF(Compositions!$AI$25="mol%",Compositions!AI37,KG21))</f>
        <v/>
      </c>
      <c r="KG21" s="28" t="str">
        <f t="shared" si="24"/>
        <v/>
      </c>
      <c r="KH21" s="28" t="str">
        <f>IF(Compositions!AI37="","",(Compositions!AI37/(VLOOKUP(Compositions!AE37,'HHV-LHV-MW'!$A$3:$F$40,6,FALSE))))</f>
        <v/>
      </c>
      <c r="KI21" s="26" t="str">
        <f>IF(KF21="","",((VLOOKUP(Compositions!AE37,'HHV-LHV-MW'!$A$3:$F$40,4,FALSE))*(KF21/100)))</f>
        <v/>
      </c>
      <c r="KJ21" s="26" t="str">
        <f>IF(KF21="","",((VLOOKUP(Compositions!AE37,'HHV-LHV-MW'!$A$3:$F$40,5,FALSE))*(KF21/100)))</f>
        <v/>
      </c>
      <c r="KK21" s="39" t="str">
        <f>IF(KF21="","",((VLOOKUP(Compositions!AE37,'HHV-LHV-MW'!$A$3:$F$40,6,FALSE))*(KF21/100)))</f>
        <v/>
      </c>
      <c r="KL21" s="13"/>
      <c r="KM21" s="13"/>
      <c r="KN21" s="13"/>
    </row>
    <row r="22" spans="1:300" ht="15.6">
      <c r="A22" s="173" t="s">
        <v>197</v>
      </c>
      <c r="B22" s="19" t="s">
        <v>196</v>
      </c>
      <c r="C22" s="20">
        <v>8</v>
      </c>
      <c r="D22" s="20">
        <v>5.5179999999999998</v>
      </c>
      <c r="E22" s="20">
        <v>5.1162000000000001</v>
      </c>
      <c r="F22" s="20">
        <v>114.23092</v>
      </c>
      <c r="G22" s="20">
        <f t="shared" si="0"/>
        <v>0</v>
      </c>
      <c r="H22" s="20">
        <v>0</v>
      </c>
      <c r="I22" s="170">
        <v>1</v>
      </c>
      <c r="K22" s="27" t="str">
        <f>IF(Compositions!B38="","",IF(Compositions!$B$25="mol%",Compositions!B38,L22))</f>
        <v/>
      </c>
      <c r="L22" s="27" t="str">
        <f t="shared" si="1"/>
        <v/>
      </c>
      <c r="M22" s="27" t="str">
        <f>IF(Compositions!B38="","",(Compositions!B38/(VLOOKUP(Compositions!A38,'HHV-LHV-MW'!$A$3:$F$40,6,FALSE))))</f>
        <v/>
      </c>
      <c r="N22" s="25" t="str">
        <f>IF(K22="","",((VLOOKUP(Compositions!A38,'HHV-LHV-MW'!$A$3:$F$40,4,FALSE))*(K22/100)))</f>
        <v/>
      </c>
      <c r="O22" s="25" t="str">
        <f>IF(K22="","",((VLOOKUP(Compositions!A38,'HHV-LHV-MW'!$A$3:$F$40,5,FALSE))*(K22/100)))</f>
        <v/>
      </c>
      <c r="P22" s="206" t="str">
        <f>IF(K22="","",((VLOOKUP(Compositions!A38,'HHV-LHV-MW'!$A$3:$F$40,6,FALSE))*(K22/100)))</f>
        <v/>
      </c>
      <c r="Q22" s="25"/>
      <c r="R22" s="25"/>
      <c r="S22" s="25"/>
      <c r="T22" s="166"/>
      <c r="U22" s="174"/>
      <c r="V22" s="180"/>
      <c r="W22" s="28" t="str">
        <f>IF(Compositions!C38="","",IF(Compositions!$C$25="mol%",Compositions!C38,X22))</f>
        <v/>
      </c>
      <c r="X22" s="28" t="str">
        <f t="shared" si="2"/>
        <v/>
      </c>
      <c r="Y22" s="28" t="str">
        <f>IF(Compositions!C38="","",(Compositions!C38/(VLOOKUP(Compositions!A38,'HHV-LHV-MW'!$A$3:$F$40,6,FALSE))))</f>
        <v/>
      </c>
      <c r="Z22" s="26" t="str">
        <f>IF(W22="","",((VLOOKUP(Compositions!A38,'HHV-LHV-MW'!$A$3:$F$40,4,FALSE))*(W22/100)))</f>
        <v/>
      </c>
      <c r="AA22" s="26" t="str">
        <f>IF(W22="","",((VLOOKUP(Compositions!A38,'HHV-LHV-MW'!$A$3:$F$40,5,FALSE))*(W22/100)))</f>
        <v/>
      </c>
      <c r="AB22" s="39" t="str">
        <f>IF(W22="","",((VLOOKUP(Compositions!A38,'HHV-LHV-MW'!$A$3:$F$40,6,FALSE))*(W22/100)))</f>
        <v/>
      </c>
      <c r="AC22" s="26"/>
      <c r="AD22" s="26"/>
      <c r="AE22" s="26"/>
      <c r="AF22" s="177"/>
      <c r="AG22" s="177"/>
      <c r="AH22" s="177"/>
      <c r="AI22" s="27" t="str">
        <f>IF(Compositions!D38="","",IF(Compositions!$D$25="mol%",Compositions!D38,AJ22))</f>
        <v/>
      </c>
      <c r="AJ22" s="27" t="str">
        <f t="shared" si="3"/>
        <v/>
      </c>
      <c r="AK22" s="27" t="str">
        <f>IF(Compositions!D38="","",(Compositions!D38/(VLOOKUP(Compositions!A38,'HHV-LHV-MW'!$A$3:$F$40,6,FALSE))))</f>
        <v/>
      </c>
      <c r="AL22" s="25" t="str">
        <f>IF(AI22="","",((VLOOKUP(Compositions!A38,'HHV-LHV-MW'!$A$3:$F$40,4,FALSE))*(AI22/100)))</f>
        <v/>
      </c>
      <c r="AM22" s="25" t="str">
        <f>IF(AI22="","",((VLOOKUP(Compositions!A38,'HHV-LHV-MW'!$A$3:$F$40,5,FALSE))*(AI22/100)))</f>
        <v/>
      </c>
      <c r="AN22" s="209" t="str">
        <f>IF(AI22="","",((VLOOKUP(Compositions!A38,'HHV-LHV-MW'!$A$3:$F$40,6,FALSE))*(AI22/100)))</f>
        <v/>
      </c>
      <c r="AO22" s="25"/>
      <c r="AP22" s="25"/>
      <c r="AQ22" s="25"/>
      <c r="AR22" s="180"/>
      <c r="AS22" s="180"/>
      <c r="AT22" s="180"/>
      <c r="AU22" s="28" t="str">
        <f>IF(Compositions!E38="","",IF(Compositions!$E$25="mol%",Compositions!E38,AV22))</f>
        <v/>
      </c>
      <c r="AV22" s="28" t="str">
        <f t="shared" si="4"/>
        <v/>
      </c>
      <c r="AW22" s="28" t="str">
        <f>IF(Compositions!E38="","",(Compositions!E38/(VLOOKUP(Compositions!A38,'HHV-LHV-MW'!$A$3:$F$40,6,FALSE))))</f>
        <v/>
      </c>
      <c r="AX22" s="26" t="str">
        <f>IF(AU22="","",((VLOOKUP(Compositions!A38,'HHV-LHV-MW'!$A$3:$F$40,4,FALSE))*(AU22/100)))</f>
        <v/>
      </c>
      <c r="AY22" s="26" t="str">
        <f>IF(AU22="","",((VLOOKUP(Compositions!A38,'HHV-LHV-MW'!$A$3:$F$40,5,FALSE))*(AU22/100)))</f>
        <v/>
      </c>
      <c r="AZ22" s="39" t="str">
        <f>IF(AU22="","",((VLOOKUP(Compositions!A38,'HHV-LHV-MW'!$A$3:$F$40,6,FALSE))*(AU22/100)))</f>
        <v/>
      </c>
      <c r="BA22" s="13"/>
      <c r="BB22" s="13"/>
      <c r="BC22" s="13"/>
      <c r="BD22" s="13"/>
      <c r="BE22" s="13"/>
      <c r="BF22" s="13"/>
      <c r="BH22" s="27" t="str">
        <f>IF(Compositions!H38="","",IF(Compositions!$H$25="mol%",Compositions!H38,BI22))</f>
        <v/>
      </c>
      <c r="BI22" s="27" t="str">
        <f t="shared" si="7"/>
        <v/>
      </c>
      <c r="BJ22" s="27" t="str">
        <f>IF(Compositions!H38="","",(Compositions!H38/(VLOOKUP(Compositions!G38,'HHV-LHV-MW'!$A$3:$F$40,6,FALSE))))</f>
        <v/>
      </c>
      <c r="BK22" s="25" t="str">
        <f>IF(BH22="","",((VLOOKUP(Compositions!G38,'HHV-LHV-MW'!$A$3:$F$40,4,FALSE))*(BH22/100)))</f>
        <v/>
      </c>
      <c r="BL22" s="25" t="str">
        <f>IF(BH22="","",((VLOOKUP(Compositions!G38,'HHV-LHV-MW'!$A$3:$F$40,5,FALSE))*(BH22/100)))</f>
        <v/>
      </c>
      <c r="BM22" s="209" t="str">
        <f>IF(BH22="","",((VLOOKUP(Compositions!G38,'HHV-LHV-MW'!$A$3:$F$40,6,FALSE))*(BH22/100)))</f>
        <v/>
      </c>
      <c r="BN22" s="25"/>
      <c r="BO22" s="25"/>
      <c r="BP22" s="25"/>
      <c r="BQ22" s="180"/>
      <c r="BR22" s="180"/>
      <c r="BS22" s="180"/>
      <c r="BT22" s="28" t="str">
        <f>IF(Compositions!I38="","",IF(Compositions!$I$25="mol%",Compositions!I38,BU22))</f>
        <v/>
      </c>
      <c r="BU22" s="28" t="str">
        <f t="shared" si="8"/>
        <v/>
      </c>
      <c r="BV22" s="28" t="str">
        <f>IF(Compositions!I38="","",(Compositions!I38/(VLOOKUP(Compositions!G38,'HHV-LHV-MW'!$A$3:$F$40,6,FALSE))))</f>
        <v/>
      </c>
      <c r="BW22" s="26" t="str">
        <f>IF(BT22="","",((VLOOKUP(Compositions!G38,'HHV-LHV-MW'!$A$3:$F$40,4,FALSE))*(BT22/100)))</f>
        <v/>
      </c>
      <c r="BX22" s="26" t="str">
        <f>IF(BT22="","",((VLOOKUP(Compositions!G38,'HHV-LHV-MW'!$A$3:$F$40,5,FALSE))*(BT22/100)))</f>
        <v/>
      </c>
      <c r="BY22" s="207" t="str">
        <f>IF(BT22="","",((VLOOKUP(Compositions!G38,'HHV-LHV-MW'!$A$3:$F$40,6,FALSE))*(BT22/100)))</f>
        <v/>
      </c>
      <c r="BZ22" s="26"/>
      <c r="CA22" s="26"/>
      <c r="CB22" s="26"/>
      <c r="CC22" s="177"/>
      <c r="CD22" s="177"/>
      <c r="CE22" s="177"/>
      <c r="CF22" s="27" t="str">
        <f>IF(Compositions!J38="","",IF(Compositions!$J$25="mol%",Compositions!J38,CG22))</f>
        <v/>
      </c>
      <c r="CG22" s="27" t="str">
        <f t="shared" si="9"/>
        <v/>
      </c>
      <c r="CH22" s="27" t="str">
        <f>IF(Compositions!J38="","",(Compositions!J38/(VLOOKUP(Compositions!G38,'HHV-LHV-MW'!$A$3:$F$40,6,FALSE))))</f>
        <v/>
      </c>
      <c r="CI22" s="25" t="str">
        <f>IF(CF22="","",((VLOOKUP(Compositions!G38,'HHV-LHV-MW'!$A$3:$F$40,4,FALSE))*(CF22/100)))</f>
        <v/>
      </c>
      <c r="CJ22" s="25" t="str">
        <f>IF(CF22="","",((VLOOKUP(Compositions!G38,'HHV-LHV-MW'!$A$3:$F$40,5,FALSE))*(CF22/100)))</f>
        <v/>
      </c>
      <c r="CK22" s="209" t="str">
        <f>IF(CF22="","",((VLOOKUP(Compositions!G38,'HHV-LHV-MW'!$A$3:$F$40,6,FALSE))*(CF22/100)))</f>
        <v/>
      </c>
      <c r="CL22" s="25"/>
      <c r="CM22" s="25"/>
      <c r="CN22" s="25"/>
      <c r="CO22" s="180"/>
      <c r="CP22" s="180"/>
      <c r="CQ22" s="180"/>
      <c r="CR22" s="28" t="str">
        <f>IF(Compositions!K38="","",IF(Compositions!$K$25="mol%",Compositions!K38,CS22))</f>
        <v/>
      </c>
      <c r="CS22" s="28" t="str">
        <f t="shared" si="10"/>
        <v/>
      </c>
      <c r="CT22" s="28" t="str">
        <f>IF(Compositions!K38="","",(Compositions!K38/(VLOOKUP(Compositions!G38,'HHV-LHV-MW'!$A$3:$F$40,6,FALSE))))</f>
        <v/>
      </c>
      <c r="CU22" s="26" t="str">
        <f>IF(CR22="","",((VLOOKUP(Compositions!G38,'HHV-LHV-MW'!$A$3:$F$40,4,FALSE))*(CR22/100)))</f>
        <v/>
      </c>
      <c r="CV22" s="26" t="str">
        <f>IF(CR22="","",((VLOOKUP(Compositions!G38,'HHV-LHV-MW'!$A$3:$F$40,5,FALSE))*(CR22/100)))</f>
        <v/>
      </c>
      <c r="CW22" s="207" t="str">
        <f>IF(CR22="","",((VLOOKUP(Compositions!G38,'HHV-LHV-MW'!$A$3:$F$40,6,FALSE))*(CR22/100)))</f>
        <v/>
      </c>
      <c r="CX22" s="13"/>
      <c r="CY22" s="13"/>
      <c r="CZ22" s="13"/>
      <c r="DA22" s="13"/>
      <c r="DB22" s="13"/>
      <c r="DC22" s="13"/>
      <c r="DE22" s="27" t="str">
        <f>IF(Compositions!N38="","",IF(Compositions!$N$25="mol%",Compositions!N38,DF22))</f>
        <v/>
      </c>
      <c r="DF22" s="27" t="str">
        <f t="shared" si="5"/>
        <v/>
      </c>
      <c r="DG22" s="27" t="str">
        <f>IF(Compositions!N38="","",(Compositions!N38/(VLOOKUP(Compositions!M38,'HHV-LHV-MW'!$A$3:$F$40,6,FALSE))))</f>
        <v/>
      </c>
      <c r="DH22" s="25" t="str">
        <f>IF(DE22="","",((VLOOKUP(Compositions!M38,'HHV-LHV-MW'!$A$3:$F$40,4,FALSE))*(DE22/100)))</f>
        <v/>
      </c>
      <c r="DI22" s="25" t="str">
        <f>IF(DE22="","",((VLOOKUP(Compositions!M38,'HHV-LHV-MW'!$A$3:$F$40,5,FALSE))*(DE22/100)))</f>
        <v/>
      </c>
      <c r="DJ22" s="209" t="str">
        <f>IF(DE22="","",((VLOOKUP(Compositions!M38,'HHV-LHV-MW'!$A$3:$F$40,6,FALSE))*(DE22/100)))</f>
        <v/>
      </c>
      <c r="DK22" s="25"/>
      <c r="DL22" s="25"/>
      <c r="DM22" s="25"/>
      <c r="DN22" s="180"/>
      <c r="DO22" s="180"/>
      <c r="DP22" s="180"/>
      <c r="DQ22" s="28" t="str">
        <f>IF(Compositions!O38="","",IF(Compositions!$O$25="mol%",Compositions!O38,DR22))</f>
        <v/>
      </c>
      <c r="DR22" s="28" t="str">
        <f t="shared" si="11"/>
        <v/>
      </c>
      <c r="DS22" s="28" t="str">
        <f>IF(Compositions!O38="","",(Compositions!O38/(VLOOKUP(Compositions!M38,'HHV-LHV-MW'!$A$3:$F$40,6,FALSE))))</f>
        <v/>
      </c>
      <c r="DT22" s="26" t="str">
        <f>IF(DQ22="","",((VLOOKUP(Compositions!M38,'HHV-LHV-MW'!$A$3:$F$40,4,FALSE))*(DQ22/100)))</f>
        <v/>
      </c>
      <c r="DU22" s="26" t="str">
        <f>IF(DQ22="","",((VLOOKUP(Compositions!M38,'HHV-LHV-MW'!$A$3:$F$40,5,FALSE))*(DQ22/100)))</f>
        <v/>
      </c>
      <c r="DV22" s="39" t="str">
        <f>IF(DQ22="","",((VLOOKUP(Compositions!M38,'HHV-LHV-MW'!$A$3:$F$40,6,FALSE))*(DQ22/100)))</f>
        <v/>
      </c>
      <c r="DW22" s="26"/>
      <c r="DX22" s="26"/>
      <c r="DY22" s="26"/>
      <c r="DZ22" s="177"/>
      <c r="EA22" s="177"/>
      <c r="EB22" s="177"/>
      <c r="EC22" s="27" t="str">
        <f>IF(Compositions!P38="","",IF(Compositions!$P$25="mol%",Compositions!P38,ED22))</f>
        <v/>
      </c>
      <c r="ED22" s="27" t="str">
        <f t="shared" si="12"/>
        <v/>
      </c>
      <c r="EE22" s="27" t="str">
        <f>IF(Compositions!P38="","",(Compositions!P38/(VLOOKUP(Compositions!M38,'HHV-LHV-MW'!$A$3:$F$40,6,FALSE))))</f>
        <v/>
      </c>
      <c r="EF22" s="25" t="str">
        <f>IF(EC22="","",((VLOOKUP(Compositions!M38,'HHV-LHV-MW'!$A$3:$F$40,4,FALSE))*(EC22/100)))</f>
        <v/>
      </c>
      <c r="EG22" s="25" t="str">
        <f>IF(EC22="","",((VLOOKUP(Compositions!M38,'HHV-LHV-MW'!$A$3:$F$40,5,FALSE))*(EC22/100)))</f>
        <v/>
      </c>
      <c r="EH22" s="209" t="str">
        <f>IF(EC22="","",((VLOOKUP(Compositions!M38,'HHV-LHV-MW'!$A$3:$F$40,6,FALSE))*(EC22/100)))</f>
        <v/>
      </c>
      <c r="EI22" s="25"/>
      <c r="EJ22" s="25"/>
      <c r="EK22" s="25"/>
      <c r="EL22" s="180"/>
      <c r="EM22" s="180"/>
      <c r="EN22" s="180"/>
      <c r="EO22" s="28" t="str">
        <f>IF(Compositions!Q38="","",IF(Compositions!$Q$25="mol%",Compositions!Q38,EP22))</f>
        <v/>
      </c>
      <c r="EP22" s="28" t="str">
        <f t="shared" si="13"/>
        <v/>
      </c>
      <c r="EQ22" s="28" t="str">
        <f>IF(Compositions!Q38="","",(Compositions!Q38/(VLOOKUP(Compositions!M38,'HHV-LHV-MW'!$A$3:$F$40,6,FALSE))))</f>
        <v/>
      </c>
      <c r="ER22" s="26" t="str">
        <f>IF(EO22="","",((VLOOKUP(Compositions!M38,'HHV-LHV-MW'!$A$3:$F$40,4,FALSE))*(EO22/100)))</f>
        <v/>
      </c>
      <c r="ES22" s="26" t="str">
        <f>IF(EO22="","",((VLOOKUP(Compositions!M38,'HHV-LHV-MW'!$A$3:$F$40,5,FALSE))*(EO22/100)))</f>
        <v/>
      </c>
      <c r="ET22" s="39" t="str">
        <f>IF(EO22="","",((VLOOKUP(Compositions!M38,'HHV-LHV-MW'!$A$3:$F$40,6,FALSE))*(EO22/100)))</f>
        <v/>
      </c>
      <c r="EU22" s="13"/>
      <c r="EV22" s="13"/>
      <c r="EW22" s="13"/>
      <c r="EX22" s="13"/>
      <c r="EY22" s="13"/>
      <c r="EZ22" s="13"/>
      <c r="FB22" s="27" t="str">
        <f>IF(Compositions!T38="","",IF(Compositions!$T$25="mol%",Compositions!T38,FC22))</f>
        <v/>
      </c>
      <c r="FC22" s="27" t="str">
        <f t="shared" si="14"/>
        <v/>
      </c>
      <c r="FD22" s="27" t="str">
        <f>IF(Compositions!T38="","",(Compositions!T38/(VLOOKUP(Compositions!S38,'HHV-LHV-MW'!$A$3:$F$40,6,FALSE))))</f>
        <v/>
      </c>
      <c r="FE22" s="25" t="str">
        <f>IF(FB22="","",((VLOOKUP(Compositions!S38,'HHV-LHV-MW'!$A$3:$F$40,4,FALSE))*(FB22/100)))</f>
        <v/>
      </c>
      <c r="FF22" s="25" t="str">
        <f>IF(FB22="","",((VLOOKUP(Compositions!S38,'HHV-LHV-MW'!$A$3:$F$40,5,FALSE))*(FB22/100)))</f>
        <v/>
      </c>
      <c r="FG22" s="209" t="str">
        <f>IF(FB22="","",((VLOOKUP(Compositions!S38,'HHV-LHV-MW'!$A$3:$F$40,6,FALSE))*(FB22/100)))</f>
        <v/>
      </c>
      <c r="FH22" s="25"/>
      <c r="FI22" s="25"/>
      <c r="FJ22" s="25"/>
      <c r="FK22" s="180"/>
      <c r="FL22" s="180"/>
      <c r="FM22" s="180"/>
      <c r="FN22" s="28" t="str">
        <f>IF(Compositions!U38="","",IF(Compositions!$U$25="mol%",Compositions!U38,FO22))</f>
        <v/>
      </c>
      <c r="FO22" s="28" t="str">
        <f t="shared" si="15"/>
        <v/>
      </c>
      <c r="FP22" s="28" t="str">
        <f>IF(Compositions!U38="","",(Compositions!U38/(VLOOKUP(Compositions!S38,'HHV-LHV-MW'!$A$3:$F$40,6,FALSE))))</f>
        <v/>
      </c>
      <c r="FQ22" s="26" t="str">
        <f>IF(FN22="","",((VLOOKUP(Compositions!S38,'HHV-LHV-MW'!$A$3:$F$40,4,FALSE))*(FN22/100)))</f>
        <v/>
      </c>
      <c r="FR22" s="26" t="str">
        <f>IF(FN22="","",((VLOOKUP(Compositions!S38,'HHV-LHV-MW'!$A$3:$F$40,5,FALSE))*(FN22/100)))</f>
        <v/>
      </c>
      <c r="FS22" s="39" t="str">
        <f>IF(FN22="","",((VLOOKUP(Compositions!S38,'HHV-LHV-MW'!$A$3:$F$40,6,FALSE))*(FN22/100)))</f>
        <v/>
      </c>
      <c r="FT22" s="26"/>
      <c r="FU22" s="26"/>
      <c r="FV22" s="26"/>
      <c r="FW22" s="177"/>
      <c r="FX22" s="177"/>
      <c r="FY22" s="177"/>
      <c r="FZ22" s="27" t="str">
        <f>IF(Compositions!V38="","",IF(Compositions!$V$25="mol%",Compositions!V38,GA22))</f>
        <v/>
      </c>
      <c r="GA22" s="27" t="str">
        <f t="shared" si="16"/>
        <v/>
      </c>
      <c r="GB22" s="27" t="str">
        <f>IF(Compositions!V38="","",(Compositions!V38/(VLOOKUP(Compositions!S38,'HHV-LHV-MW'!$A$3:$F$40,6,FALSE))))</f>
        <v/>
      </c>
      <c r="GC22" s="25" t="str">
        <f>IF(FZ22="","",((VLOOKUP(Compositions!S38,'HHV-LHV-MW'!$A$3:$F$40,4,FALSE))*(FZ22/100)))</f>
        <v/>
      </c>
      <c r="GD22" s="25" t="str">
        <f>IF(FZ22="","",((VLOOKUP(Compositions!S38,'HHV-LHV-MW'!$A$3:$F$40,5,FALSE))*(FZ22/100)))</f>
        <v/>
      </c>
      <c r="GE22" s="209" t="str">
        <f>IF(FZ22="","",((VLOOKUP(Compositions!S38,'HHV-LHV-MW'!$A$3:$F$40,6,FALSE))*(FZ22/100)))</f>
        <v/>
      </c>
      <c r="GF22" s="25"/>
      <c r="GG22" s="25"/>
      <c r="GH22" s="25"/>
      <c r="GI22" s="180"/>
      <c r="GJ22" s="180"/>
      <c r="GK22" s="180"/>
      <c r="GL22" s="28" t="str">
        <f>IF(Compositions!W38="","",IF(Compositions!$W$25="mol%",Compositions!W38,GM22))</f>
        <v/>
      </c>
      <c r="GM22" s="28" t="str">
        <f t="shared" si="17"/>
        <v/>
      </c>
      <c r="GN22" s="28" t="str">
        <f>IF(Compositions!W38="","",(Compositions!W38/(VLOOKUP(Compositions!S38,'HHV-LHV-MW'!$A$3:$F$40,6,FALSE))))</f>
        <v/>
      </c>
      <c r="GO22" s="26" t="str">
        <f>IF(GL22="","",((VLOOKUP(Compositions!S38,'HHV-LHV-MW'!$A$3:$F$40,4,FALSE))*(GL22/100)))</f>
        <v/>
      </c>
      <c r="GP22" s="26" t="str">
        <f>IF(GL22="","",((VLOOKUP(Compositions!S38,'HHV-LHV-MW'!$A$3:$F$40,5,FALSE))*(GL22/100)))</f>
        <v/>
      </c>
      <c r="GQ22" s="39" t="str">
        <f>IF(GL22="","",((VLOOKUP(Compositions!S38,'HHV-LHV-MW'!$A$3:$F$40,6,FALSE))*(GL22/100)))</f>
        <v/>
      </c>
      <c r="GR22" s="13"/>
      <c r="GS22" s="13"/>
      <c r="GT22" s="13"/>
      <c r="GU22" s="13"/>
      <c r="GV22" s="13"/>
      <c r="GW22" s="13"/>
      <c r="GY22" s="27" t="str">
        <f>IF(Compositions!Z38="","",IF(Compositions!$Z$25="mol%",Compositions!Z38,GZ22))</f>
        <v/>
      </c>
      <c r="GZ22" s="27" t="str">
        <f t="shared" si="18"/>
        <v/>
      </c>
      <c r="HA22" s="27" t="str">
        <f>IF(Compositions!Z38="","",(Compositions!Z38/(VLOOKUP(Compositions!Y38,'HHV-LHV-MW'!$A$3:$F$40,6,FALSE))))</f>
        <v/>
      </c>
      <c r="HB22" s="25" t="str">
        <f>IF(GY22="","",((VLOOKUP(Compositions!Y38,'HHV-LHV-MW'!$A$3:$F$40,4,FALSE))*(GY22/100)))</f>
        <v/>
      </c>
      <c r="HC22" s="25" t="str">
        <f>IF(GY22="","",((VLOOKUP(Compositions!Y38,'HHV-LHV-MW'!$A$3:$F$40,5,FALSE))*(GY22/100)))</f>
        <v/>
      </c>
      <c r="HD22" s="209" t="str">
        <f>IF(GY22="","",((VLOOKUP(Compositions!Y38,'HHV-LHV-MW'!$A$3:$F$40,6,FALSE))*(GY22/100)))</f>
        <v/>
      </c>
      <c r="HE22" s="25"/>
      <c r="HF22" s="25"/>
      <c r="HG22" s="25"/>
      <c r="HH22" s="180"/>
      <c r="HI22" s="180"/>
      <c r="HJ22" s="180"/>
      <c r="HK22" s="28" t="str">
        <f>IF(Compositions!AA38="","",IF(Compositions!$AA$25="mol%",Compositions!AA38,HL22))</f>
        <v/>
      </c>
      <c r="HL22" s="28" t="str">
        <f t="shared" si="19"/>
        <v/>
      </c>
      <c r="HM22" s="28" t="str">
        <f>IF(Compositions!AA38="","",(Compositions!AA38/(VLOOKUP(Compositions!Y38,'HHV-LHV-MW'!$A$3:$F$40,6,FALSE))))</f>
        <v/>
      </c>
      <c r="HN22" s="26" t="str">
        <f>IF(HK22="","",((VLOOKUP(Compositions!Y38,'HHV-LHV-MW'!$A$3:$F$40,4,FALSE))*(HK22/100)))</f>
        <v/>
      </c>
      <c r="HO22" s="26" t="str">
        <f>IF(HK22="","",((VLOOKUP(Compositions!Y38,'HHV-LHV-MW'!$A$3:$F$40,5,FALSE))*(HK22/100)))</f>
        <v/>
      </c>
      <c r="HP22" s="39" t="str">
        <f>IF(HK22="","",((VLOOKUP(Compositions!Y38,'HHV-LHV-MW'!$A$3:$F$40,6,FALSE))*(HK22/100)))</f>
        <v/>
      </c>
      <c r="HQ22" s="26"/>
      <c r="HR22" s="26"/>
      <c r="HS22" s="26"/>
      <c r="HT22" s="177"/>
      <c r="HU22" s="177"/>
      <c r="HV22" s="177"/>
      <c r="HW22" s="27" t="str">
        <f>IF(Compositions!AB38="","",IF(Compositions!$AB$25="mol%",Compositions!AB38,HX22))</f>
        <v/>
      </c>
      <c r="HX22" s="27" t="str">
        <f t="shared" si="20"/>
        <v/>
      </c>
      <c r="HY22" s="27" t="str">
        <f>IF(Compositions!AB38="","",(Compositions!AB38/(VLOOKUP(Compositions!Y38,'HHV-LHV-MW'!$A$3:$F$40,6,FALSE))))</f>
        <v/>
      </c>
      <c r="HZ22" s="25" t="str">
        <f>IF(HW22="","",((VLOOKUP(Compositions!Y38,'HHV-LHV-MW'!$A$3:$F$40,4,FALSE))*(HW22/100)))</f>
        <v/>
      </c>
      <c r="IA22" s="25" t="str">
        <f>IF(HW22="","",((VLOOKUP(Compositions!Y38,'HHV-LHV-MW'!$A$3:$F$40,5,FALSE))*(HW22/100)))</f>
        <v/>
      </c>
      <c r="IB22" s="209" t="str">
        <f>IF(HW22="","",((VLOOKUP(Compositions!Y38,'HHV-LHV-MW'!$A$3:$F$40,6,FALSE))*(HW22/100)))</f>
        <v/>
      </c>
      <c r="IC22" s="25"/>
      <c r="ID22" s="25"/>
      <c r="IE22" s="25"/>
      <c r="IF22" s="180"/>
      <c r="IG22" s="180"/>
      <c r="IH22" s="180"/>
      <c r="II22" s="28" t="str">
        <f>IF(Compositions!AC38="","",IF(Compositions!$AC$25="mol%",Compositions!AC38,IJ22))</f>
        <v/>
      </c>
      <c r="IJ22" s="28" t="str">
        <f t="shared" si="21"/>
        <v/>
      </c>
      <c r="IK22" s="28" t="str">
        <f>IF(Compositions!AC38="","",(Compositions!AC38/(VLOOKUP(Compositions!Y38,'HHV-LHV-MW'!$A$3:$F$40,6,FALSE))))</f>
        <v/>
      </c>
      <c r="IL22" s="26" t="str">
        <f>IF(II22="","",((VLOOKUP(Compositions!Y38,'HHV-LHV-MW'!$A$3:$F$40,4,FALSE))*(II22/100)))</f>
        <v/>
      </c>
      <c r="IM22" s="26" t="str">
        <f>IF(II22="","",((VLOOKUP(Compositions!Y38,'HHV-LHV-MW'!$A$3:$F$40,5,FALSE))*(II22/100)))</f>
        <v/>
      </c>
      <c r="IN22" s="39" t="str">
        <f>IF(II22="","",((VLOOKUP(Compositions!Y38,'HHV-LHV-MW'!$A$3:$F$40,6,FALSE))*(II22/100)))</f>
        <v/>
      </c>
      <c r="IO22" s="13"/>
      <c r="IP22" s="13"/>
      <c r="IQ22" s="13"/>
      <c r="IR22" s="13"/>
      <c r="IS22" s="13"/>
      <c r="IT22" s="13"/>
      <c r="IV22" s="27" t="str">
        <f>IF(Compositions!AF38="","",IF(Compositions!$AF$25="mol%",Compositions!AF38,IW22))</f>
        <v/>
      </c>
      <c r="IW22" s="27" t="str">
        <f t="shared" si="6"/>
        <v/>
      </c>
      <c r="IX22" s="27" t="str">
        <f>IF(Compositions!AF38="","",(Compositions!AF38/(VLOOKUP(Compositions!AE38,'HHV-LHV-MW'!$A$3:$F$40,6,FALSE))))</f>
        <v/>
      </c>
      <c r="IY22" s="25" t="str">
        <f>IF(IV22="","",((VLOOKUP(Compositions!AE38,'HHV-LHV-MW'!$A$3:$F$40,4,FALSE))*(IV22/100)))</f>
        <v/>
      </c>
      <c r="IZ22" s="25" t="str">
        <f>IF(IV22="","",((VLOOKUP(Compositions!AE38,'HHV-LHV-MW'!$A$3:$F$40,5,FALSE))*(IV22/100)))</f>
        <v/>
      </c>
      <c r="JA22" s="209" t="str">
        <f>IF(IV22="","",((VLOOKUP(Compositions!AE38,'HHV-LHV-MW'!$A$3:$F$40,6,FALSE))*(IV22/100)))</f>
        <v/>
      </c>
      <c r="JB22" s="25"/>
      <c r="JC22" s="25"/>
      <c r="JD22" s="25"/>
      <c r="JE22" s="180"/>
      <c r="JF22" s="180"/>
      <c r="JG22" s="180"/>
      <c r="JH22" s="28" t="str">
        <f>IF(Compositions!AG38="","",IF(Compositions!$AG$25="mol%",Compositions!AG38,JI22))</f>
        <v/>
      </c>
      <c r="JI22" s="28" t="str">
        <f t="shared" si="22"/>
        <v/>
      </c>
      <c r="JJ22" s="28" t="str">
        <f>IF(Compositions!AG38="","",(Compositions!AG38/(VLOOKUP(Compositions!AE38,'HHV-LHV-MW'!$A$3:$F$40,6,FALSE))))</f>
        <v/>
      </c>
      <c r="JK22" s="26" t="str">
        <f>IF(JH22="","",((VLOOKUP(Compositions!AE38,'HHV-LHV-MW'!$A$3:$F$40,4,FALSE))*(JH22/100)))</f>
        <v/>
      </c>
      <c r="JL22" s="26" t="str">
        <f>IF(JH22="","",((VLOOKUP(Compositions!AE38,'HHV-LHV-MW'!$A$3:$F$40,5,FALSE))*(JH22/100)))</f>
        <v/>
      </c>
      <c r="JM22" s="39" t="str">
        <f>IF(JH22="","",((VLOOKUP(Compositions!AE38,'HHV-LHV-MW'!$A$3:$F$40,6,FALSE))*(JH22/100)))</f>
        <v/>
      </c>
      <c r="JN22" s="26"/>
      <c r="JO22" s="26"/>
      <c r="JP22" s="26"/>
      <c r="JQ22" s="177"/>
      <c r="JR22" s="177"/>
      <c r="JS22" s="177"/>
      <c r="JT22" s="27" t="str">
        <f>IF(Compositions!AH38="","",IF(Compositions!$AH$25="mol%",Compositions!AH38,JU22))</f>
        <v/>
      </c>
      <c r="JU22" s="27" t="str">
        <f t="shared" si="23"/>
        <v/>
      </c>
      <c r="JV22" s="27" t="str">
        <f>IF(Compositions!AH38="","",(Compositions!AH38/(VLOOKUP(Compositions!AE38,'HHV-LHV-MW'!$A$3:$F$40,6,FALSE))))</f>
        <v/>
      </c>
      <c r="JW22" s="25" t="str">
        <f>IF(JT22="","",((VLOOKUP(Compositions!AE38,'HHV-LHV-MW'!$A$3:$F$40,4,FALSE))*(JT22/100)))</f>
        <v/>
      </c>
      <c r="JX22" s="25" t="str">
        <f>IF(JT22="","",((VLOOKUP(Compositions!AE38,'HHV-LHV-MW'!$A$3:$F$40,5,FALSE))*(JT22/100)))</f>
        <v/>
      </c>
      <c r="JY22" s="209" t="str">
        <f>IF(JT22="","",((VLOOKUP(Compositions!AE38,'HHV-LHV-MW'!$A$3:$F$40,6,FALSE))*(JT22/100)))</f>
        <v/>
      </c>
      <c r="JZ22" s="25"/>
      <c r="KA22" s="25"/>
      <c r="KB22" s="25"/>
      <c r="KC22" s="180"/>
      <c r="KD22" s="180"/>
      <c r="KE22" s="180"/>
      <c r="KF22" s="28" t="str">
        <f>IF(Compositions!AI38="","",IF(Compositions!$AI$25="mol%",Compositions!AI38,KG22))</f>
        <v/>
      </c>
      <c r="KG22" s="28" t="str">
        <f t="shared" si="24"/>
        <v/>
      </c>
      <c r="KH22" s="28" t="str">
        <f>IF(Compositions!AI38="","",(Compositions!AI38/(VLOOKUP(Compositions!AE38,'HHV-LHV-MW'!$A$3:$F$40,6,FALSE))))</f>
        <v/>
      </c>
      <c r="KI22" s="26" t="str">
        <f>IF(KF22="","",((VLOOKUP(Compositions!AE38,'HHV-LHV-MW'!$A$3:$F$40,4,FALSE))*(KF22/100)))</f>
        <v/>
      </c>
      <c r="KJ22" s="26" t="str">
        <f>IF(KF22="","",((VLOOKUP(Compositions!AE38,'HHV-LHV-MW'!$A$3:$F$40,5,FALSE))*(KF22/100)))</f>
        <v/>
      </c>
      <c r="KK22" s="39" t="str">
        <f>IF(KF22="","",((VLOOKUP(Compositions!AE38,'HHV-LHV-MW'!$A$3:$F$40,6,FALSE))*(KF22/100)))</f>
        <v/>
      </c>
      <c r="KL22" s="13"/>
      <c r="KM22" s="13"/>
      <c r="KN22" s="13"/>
    </row>
    <row r="23" spans="1:300" ht="15.6">
      <c r="A23" s="173" t="s">
        <v>199</v>
      </c>
      <c r="B23" s="19" t="s">
        <v>198</v>
      </c>
      <c r="C23" s="20">
        <v>9</v>
      </c>
      <c r="D23" s="20">
        <v>6.1782000000000004</v>
      </c>
      <c r="E23" s="20">
        <v>5.7317999999999998</v>
      </c>
      <c r="F23" s="20">
        <v>128.2578</v>
      </c>
      <c r="G23" s="20">
        <f t="shared" si="0"/>
        <v>0</v>
      </c>
      <c r="H23" s="20">
        <v>0</v>
      </c>
      <c r="I23" s="170">
        <v>1</v>
      </c>
      <c r="K23" s="27" t="str">
        <f>IF(Compositions!B39="","",IF(Compositions!$B$25="mol%",Compositions!B39,L23))</f>
        <v/>
      </c>
      <c r="L23" s="27" t="str">
        <f t="shared" si="1"/>
        <v/>
      </c>
      <c r="M23" s="27" t="str">
        <f>IF(Compositions!B39="","",(Compositions!B39/(VLOOKUP(Compositions!A39,'HHV-LHV-MW'!$A$3:$F$40,6,FALSE))))</f>
        <v/>
      </c>
      <c r="N23" s="25" t="str">
        <f>IF(K23="","",((VLOOKUP(Compositions!A39,'HHV-LHV-MW'!$A$3:$F$40,4,FALSE))*(K23/100)))</f>
        <v/>
      </c>
      <c r="O23" s="25" t="str">
        <f>IF(K23="","",((VLOOKUP(Compositions!A39,'HHV-LHV-MW'!$A$3:$F$40,5,FALSE))*(K23/100)))</f>
        <v/>
      </c>
      <c r="P23" s="206" t="str">
        <f>IF(K23="","",((VLOOKUP(Compositions!A39,'HHV-LHV-MW'!$A$3:$F$40,6,FALSE))*(K23/100)))</f>
        <v/>
      </c>
      <c r="Q23" s="25"/>
      <c r="R23" s="25"/>
      <c r="S23" s="25"/>
      <c r="T23" s="166"/>
      <c r="U23" s="174"/>
      <c r="V23" s="180"/>
      <c r="W23" s="28" t="str">
        <f>IF(Compositions!C39="","",IF(Compositions!$C$25="mol%",Compositions!C39,X23))</f>
        <v/>
      </c>
      <c r="X23" s="28" t="str">
        <f t="shared" si="2"/>
        <v/>
      </c>
      <c r="Y23" s="28" t="str">
        <f>IF(Compositions!C39="","",(Compositions!C39/(VLOOKUP(Compositions!A39,'HHV-LHV-MW'!$A$3:$F$40,6,FALSE))))</f>
        <v/>
      </c>
      <c r="Z23" s="26" t="str">
        <f>IF(W23="","",((VLOOKUP(Compositions!A39,'HHV-LHV-MW'!$A$3:$F$40,4,FALSE))*(W23/100)))</f>
        <v/>
      </c>
      <c r="AA23" s="26" t="str">
        <f>IF(W23="","",((VLOOKUP(Compositions!A39,'HHV-LHV-MW'!$A$3:$F$40,5,FALSE))*(W23/100)))</f>
        <v/>
      </c>
      <c r="AB23" s="39" t="str">
        <f>IF(W23="","",((VLOOKUP(Compositions!A39,'HHV-LHV-MW'!$A$3:$F$40,6,FALSE))*(W23/100)))</f>
        <v/>
      </c>
      <c r="AC23" s="26"/>
      <c r="AD23" s="26"/>
      <c r="AE23" s="26"/>
      <c r="AF23" s="177"/>
      <c r="AG23" s="177"/>
      <c r="AH23" s="177"/>
      <c r="AI23" s="27" t="str">
        <f>IF(Compositions!D39="","",IF(Compositions!$D$25="mol%",Compositions!D39,AJ23))</f>
        <v/>
      </c>
      <c r="AJ23" s="27" t="str">
        <f t="shared" si="3"/>
        <v/>
      </c>
      <c r="AK23" s="27" t="str">
        <f>IF(Compositions!D39="","",(Compositions!D39/(VLOOKUP(Compositions!A39,'HHV-LHV-MW'!$A$3:$F$40,6,FALSE))))</f>
        <v/>
      </c>
      <c r="AL23" s="25" t="str">
        <f>IF(AI23="","",((VLOOKUP(Compositions!A39,'HHV-LHV-MW'!$A$3:$F$40,4,FALSE))*(AI23/100)))</f>
        <v/>
      </c>
      <c r="AM23" s="25" t="str">
        <f>IF(AI23="","",((VLOOKUP(Compositions!A39,'HHV-LHV-MW'!$A$3:$F$40,5,FALSE))*(AI23/100)))</f>
        <v/>
      </c>
      <c r="AN23" s="209" t="str">
        <f>IF(AI23="","",((VLOOKUP(Compositions!A39,'HHV-LHV-MW'!$A$3:$F$40,6,FALSE))*(AI23/100)))</f>
        <v/>
      </c>
      <c r="AO23" s="25"/>
      <c r="AP23" s="25"/>
      <c r="AQ23" s="25"/>
      <c r="AR23" s="180"/>
      <c r="AS23" s="180"/>
      <c r="AT23" s="180"/>
      <c r="AU23" s="28" t="str">
        <f>IF(Compositions!E39="","",IF(Compositions!$E$25="mol%",Compositions!E39,AV23))</f>
        <v/>
      </c>
      <c r="AV23" s="28" t="str">
        <f t="shared" si="4"/>
        <v/>
      </c>
      <c r="AW23" s="28" t="str">
        <f>IF(Compositions!E39="","",(Compositions!E39/(VLOOKUP(Compositions!A39,'HHV-LHV-MW'!$A$3:$F$40,6,FALSE))))</f>
        <v/>
      </c>
      <c r="AX23" s="26" t="str">
        <f>IF(AU23="","",((VLOOKUP(Compositions!A39,'HHV-LHV-MW'!$A$3:$F$40,4,FALSE))*(AU23/100)))</f>
        <v/>
      </c>
      <c r="AY23" s="26" t="str">
        <f>IF(AU23="","",((VLOOKUP(Compositions!A39,'HHV-LHV-MW'!$A$3:$F$40,5,FALSE))*(AU23/100)))</f>
        <v/>
      </c>
      <c r="AZ23" s="39" t="str">
        <f>IF(AU23="","",((VLOOKUP(Compositions!A39,'HHV-LHV-MW'!$A$3:$F$40,6,FALSE))*(AU23/100)))</f>
        <v/>
      </c>
      <c r="BA23" s="13"/>
      <c r="BB23" s="13"/>
      <c r="BC23" s="13"/>
      <c r="BD23" s="13"/>
      <c r="BE23" s="13"/>
      <c r="BF23" s="13"/>
      <c r="BH23" s="27" t="str">
        <f>IF(Compositions!H39="","",IF(Compositions!$H$25="mol%",Compositions!H39,BI23))</f>
        <v/>
      </c>
      <c r="BI23" s="27" t="str">
        <f t="shared" si="7"/>
        <v/>
      </c>
      <c r="BJ23" s="27" t="str">
        <f>IF(Compositions!H39="","",(Compositions!H39/(VLOOKUP(Compositions!G39,'HHV-LHV-MW'!$A$3:$F$40,6,FALSE))))</f>
        <v/>
      </c>
      <c r="BK23" s="25" t="str">
        <f>IF(BH23="","",((VLOOKUP(Compositions!G39,'HHV-LHV-MW'!$A$3:$F$40,4,FALSE))*(BH23/100)))</f>
        <v/>
      </c>
      <c r="BL23" s="25" t="str">
        <f>IF(BH23="","",((VLOOKUP(Compositions!G39,'HHV-LHV-MW'!$A$3:$F$40,5,FALSE))*(BH23/100)))</f>
        <v/>
      </c>
      <c r="BM23" s="209" t="str">
        <f>IF(BH23="","",((VLOOKUP(Compositions!G39,'HHV-LHV-MW'!$A$3:$F$40,6,FALSE))*(BH23/100)))</f>
        <v/>
      </c>
      <c r="BN23" s="25"/>
      <c r="BO23" s="25"/>
      <c r="BP23" s="25"/>
      <c r="BQ23" s="180"/>
      <c r="BR23" s="180"/>
      <c r="BS23" s="180"/>
      <c r="BT23" s="28" t="str">
        <f>IF(Compositions!I39="","",IF(Compositions!$I$25="mol%",Compositions!I39,BU23))</f>
        <v/>
      </c>
      <c r="BU23" s="28" t="str">
        <f t="shared" si="8"/>
        <v/>
      </c>
      <c r="BV23" s="28" t="str">
        <f>IF(Compositions!I39="","",(Compositions!I39/(VLOOKUP(Compositions!G39,'HHV-LHV-MW'!$A$3:$F$40,6,FALSE))))</f>
        <v/>
      </c>
      <c r="BW23" s="26" t="str">
        <f>IF(BT23="","",((VLOOKUP(Compositions!G39,'HHV-LHV-MW'!$A$3:$F$40,4,FALSE))*(BT23/100)))</f>
        <v/>
      </c>
      <c r="BX23" s="26" t="str">
        <f>IF(BT23="","",((VLOOKUP(Compositions!G39,'HHV-LHV-MW'!$A$3:$F$40,5,FALSE))*(BT23/100)))</f>
        <v/>
      </c>
      <c r="BY23" s="207" t="str">
        <f>IF(BT23="","",((VLOOKUP(Compositions!G39,'HHV-LHV-MW'!$A$3:$F$40,6,FALSE))*(BT23/100)))</f>
        <v/>
      </c>
      <c r="BZ23" s="26"/>
      <c r="CA23" s="26"/>
      <c r="CB23" s="26"/>
      <c r="CC23" s="177"/>
      <c r="CD23" s="177"/>
      <c r="CE23" s="177"/>
      <c r="CF23" s="27" t="str">
        <f>IF(Compositions!J39="","",IF(Compositions!$J$25="mol%",Compositions!J39,CG23))</f>
        <v/>
      </c>
      <c r="CG23" s="27" t="str">
        <f t="shared" si="9"/>
        <v/>
      </c>
      <c r="CH23" s="27" t="str">
        <f>IF(Compositions!J39="","",(Compositions!J39/(VLOOKUP(Compositions!G39,'HHV-LHV-MW'!$A$3:$F$40,6,FALSE))))</f>
        <v/>
      </c>
      <c r="CI23" s="25" t="str">
        <f>IF(CF23="","",((VLOOKUP(Compositions!G39,'HHV-LHV-MW'!$A$3:$F$40,4,FALSE))*(CF23/100)))</f>
        <v/>
      </c>
      <c r="CJ23" s="25" t="str">
        <f>IF(CF23="","",((VLOOKUP(Compositions!G39,'HHV-LHV-MW'!$A$3:$F$40,5,FALSE))*(CF23/100)))</f>
        <v/>
      </c>
      <c r="CK23" s="209" t="str">
        <f>IF(CF23="","",((VLOOKUP(Compositions!G39,'HHV-LHV-MW'!$A$3:$F$40,6,FALSE))*(CF23/100)))</f>
        <v/>
      </c>
      <c r="CL23" s="25"/>
      <c r="CM23" s="25"/>
      <c r="CN23" s="25"/>
      <c r="CO23" s="180"/>
      <c r="CP23" s="180"/>
      <c r="CQ23" s="180"/>
      <c r="CR23" s="28" t="str">
        <f>IF(Compositions!K39="","",IF(Compositions!$K$25="mol%",Compositions!K39,CS23))</f>
        <v/>
      </c>
      <c r="CS23" s="28" t="str">
        <f t="shared" si="10"/>
        <v/>
      </c>
      <c r="CT23" s="28" t="str">
        <f>IF(Compositions!K39="","",(Compositions!K39/(VLOOKUP(Compositions!G39,'HHV-LHV-MW'!$A$3:$F$40,6,FALSE))))</f>
        <v/>
      </c>
      <c r="CU23" s="26" t="str">
        <f>IF(CR23="","",((VLOOKUP(Compositions!G39,'HHV-LHV-MW'!$A$3:$F$40,4,FALSE))*(CR23/100)))</f>
        <v/>
      </c>
      <c r="CV23" s="26" t="str">
        <f>IF(CR23="","",((VLOOKUP(Compositions!G39,'HHV-LHV-MW'!$A$3:$F$40,5,FALSE))*(CR23/100)))</f>
        <v/>
      </c>
      <c r="CW23" s="207" t="str">
        <f>IF(CR23="","",((VLOOKUP(Compositions!G39,'HHV-LHV-MW'!$A$3:$F$40,6,FALSE))*(CR23/100)))</f>
        <v/>
      </c>
      <c r="CX23" s="13"/>
      <c r="CY23" s="13"/>
      <c r="CZ23" s="13"/>
      <c r="DA23" s="13"/>
      <c r="DB23" s="13"/>
      <c r="DC23" s="13"/>
      <c r="DE23" s="27" t="str">
        <f>IF(Compositions!N39="","",IF(Compositions!$N$25="mol%",Compositions!N39,DF23))</f>
        <v/>
      </c>
      <c r="DF23" s="27" t="str">
        <f t="shared" si="5"/>
        <v/>
      </c>
      <c r="DG23" s="27" t="str">
        <f>IF(Compositions!N39="","",(Compositions!N39/(VLOOKUP(Compositions!M39,'HHV-LHV-MW'!$A$3:$F$40,6,FALSE))))</f>
        <v/>
      </c>
      <c r="DH23" s="25" t="str">
        <f>IF(DE23="","",((VLOOKUP(Compositions!M39,'HHV-LHV-MW'!$A$3:$F$40,4,FALSE))*(DE23/100)))</f>
        <v/>
      </c>
      <c r="DI23" s="25" t="str">
        <f>IF(DE23="","",((VLOOKUP(Compositions!M39,'HHV-LHV-MW'!$A$3:$F$40,5,FALSE))*(DE23/100)))</f>
        <v/>
      </c>
      <c r="DJ23" s="209" t="str">
        <f>IF(DE23="","",((VLOOKUP(Compositions!M39,'HHV-LHV-MW'!$A$3:$F$40,6,FALSE))*(DE23/100)))</f>
        <v/>
      </c>
      <c r="DK23" s="25"/>
      <c r="DL23" s="25"/>
      <c r="DM23" s="25"/>
      <c r="DN23" s="180"/>
      <c r="DO23" s="180"/>
      <c r="DP23" s="180"/>
      <c r="DQ23" s="28" t="str">
        <f>IF(Compositions!O39="","",IF(Compositions!$O$25="mol%",Compositions!O39,DR23))</f>
        <v/>
      </c>
      <c r="DR23" s="28" t="str">
        <f t="shared" si="11"/>
        <v/>
      </c>
      <c r="DS23" s="28" t="str">
        <f>IF(Compositions!O39="","",(Compositions!O39/(VLOOKUP(Compositions!M39,'HHV-LHV-MW'!$A$3:$F$40,6,FALSE))))</f>
        <v/>
      </c>
      <c r="DT23" s="26" t="str">
        <f>IF(DQ23="","",((VLOOKUP(Compositions!M39,'HHV-LHV-MW'!$A$3:$F$40,4,FALSE))*(DQ23/100)))</f>
        <v/>
      </c>
      <c r="DU23" s="26" t="str">
        <f>IF(DQ23="","",((VLOOKUP(Compositions!M39,'HHV-LHV-MW'!$A$3:$F$40,5,FALSE))*(DQ23/100)))</f>
        <v/>
      </c>
      <c r="DV23" s="39" t="str">
        <f>IF(DQ23="","",((VLOOKUP(Compositions!M39,'HHV-LHV-MW'!$A$3:$F$40,6,FALSE))*(DQ23/100)))</f>
        <v/>
      </c>
      <c r="DW23" s="26"/>
      <c r="DX23" s="26"/>
      <c r="DY23" s="26"/>
      <c r="DZ23" s="177"/>
      <c r="EA23" s="177"/>
      <c r="EB23" s="177"/>
      <c r="EC23" s="27" t="str">
        <f>IF(Compositions!P39="","",IF(Compositions!$P$25="mol%",Compositions!P39,ED23))</f>
        <v/>
      </c>
      <c r="ED23" s="27" t="str">
        <f t="shared" si="12"/>
        <v/>
      </c>
      <c r="EE23" s="27" t="str">
        <f>IF(Compositions!P39="","",(Compositions!P39/(VLOOKUP(Compositions!M39,'HHV-LHV-MW'!$A$3:$F$40,6,FALSE))))</f>
        <v/>
      </c>
      <c r="EF23" s="25" t="str">
        <f>IF(EC23="","",((VLOOKUP(Compositions!M39,'HHV-LHV-MW'!$A$3:$F$40,4,FALSE))*(EC23/100)))</f>
        <v/>
      </c>
      <c r="EG23" s="25" t="str">
        <f>IF(EC23="","",((VLOOKUP(Compositions!M39,'HHV-LHV-MW'!$A$3:$F$40,5,FALSE))*(EC23/100)))</f>
        <v/>
      </c>
      <c r="EH23" s="209" t="str">
        <f>IF(EC23="","",((VLOOKUP(Compositions!M39,'HHV-LHV-MW'!$A$3:$F$40,6,FALSE))*(EC23/100)))</f>
        <v/>
      </c>
      <c r="EI23" s="25"/>
      <c r="EJ23" s="25"/>
      <c r="EK23" s="25"/>
      <c r="EL23" s="180"/>
      <c r="EM23" s="180"/>
      <c r="EN23" s="180"/>
      <c r="EO23" s="28" t="str">
        <f>IF(Compositions!Q39="","",IF(Compositions!$Q$25="mol%",Compositions!Q39,EP23))</f>
        <v/>
      </c>
      <c r="EP23" s="28" t="str">
        <f t="shared" si="13"/>
        <v/>
      </c>
      <c r="EQ23" s="28" t="str">
        <f>IF(Compositions!Q39="","",(Compositions!Q39/(VLOOKUP(Compositions!M39,'HHV-LHV-MW'!$A$3:$F$40,6,FALSE))))</f>
        <v/>
      </c>
      <c r="ER23" s="26" t="str">
        <f>IF(EO23="","",((VLOOKUP(Compositions!M39,'HHV-LHV-MW'!$A$3:$F$40,4,FALSE))*(EO23/100)))</f>
        <v/>
      </c>
      <c r="ES23" s="26" t="str">
        <f>IF(EO23="","",((VLOOKUP(Compositions!M39,'HHV-LHV-MW'!$A$3:$F$40,5,FALSE))*(EO23/100)))</f>
        <v/>
      </c>
      <c r="ET23" s="39" t="str">
        <f>IF(EO23="","",((VLOOKUP(Compositions!M39,'HHV-LHV-MW'!$A$3:$F$40,6,FALSE))*(EO23/100)))</f>
        <v/>
      </c>
      <c r="EU23" s="13"/>
      <c r="EV23" s="13"/>
      <c r="EW23" s="13"/>
      <c r="EX23" s="13"/>
      <c r="EY23" s="13"/>
      <c r="EZ23" s="13"/>
      <c r="FB23" s="27" t="str">
        <f>IF(Compositions!T39="","",IF(Compositions!$T$25="mol%",Compositions!T39,FC23))</f>
        <v/>
      </c>
      <c r="FC23" s="27" t="str">
        <f t="shared" si="14"/>
        <v/>
      </c>
      <c r="FD23" s="27" t="str">
        <f>IF(Compositions!T39="","",(Compositions!T39/(VLOOKUP(Compositions!S39,'HHV-LHV-MW'!$A$3:$F$40,6,FALSE))))</f>
        <v/>
      </c>
      <c r="FE23" s="25" t="str">
        <f>IF(FB23="","",((VLOOKUP(Compositions!S39,'HHV-LHV-MW'!$A$3:$F$40,4,FALSE))*(FB23/100)))</f>
        <v/>
      </c>
      <c r="FF23" s="25" t="str">
        <f>IF(FB23="","",((VLOOKUP(Compositions!S39,'HHV-LHV-MW'!$A$3:$F$40,5,FALSE))*(FB23/100)))</f>
        <v/>
      </c>
      <c r="FG23" s="209" t="str">
        <f>IF(FB23="","",((VLOOKUP(Compositions!S39,'HHV-LHV-MW'!$A$3:$F$40,6,FALSE))*(FB23/100)))</f>
        <v/>
      </c>
      <c r="FH23" s="25"/>
      <c r="FI23" s="25"/>
      <c r="FJ23" s="25"/>
      <c r="FK23" s="180"/>
      <c r="FL23" s="180"/>
      <c r="FM23" s="180"/>
      <c r="FN23" s="28" t="str">
        <f>IF(Compositions!U39="","",IF(Compositions!$U$25="mol%",Compositions!U39,FO23))</f>
        <v/>
      </c>
      <c r="FO23" s="28" t="str">
        <f t="shared" si="15"/>
        <v/>
      </c>
      <c r="FP23" s="28" t="str">
        <f>IF(Compositions!U39="","",(Compositions!U39/(VLOOKUP(Compositions!S39,'HHV-LHV-MW'!$A$3:$F$40,6,FALSE))))</f>
        <v/>
      </c>
      <c r="FQ23" s="26" t="str">
        <f>IF(FN23="","",((VLOOKUP(Compositions!S39,'HHV-LHV-MW'!$A$3:$F$40,4,FALSE))*(FN23/100)))</f>
        <v/>
      </c>
      <c r="FR23" s="26" t="str">
        <f>IF(FN23="","",((VLOOKUP(Compositions!S39,'HHV-LHV-MW'!$A$3:$F$40,5,FALSE))*(FN23/100)))</f>
        <v/>
      </c>
      <c r="FS23" s="39" t="str">
        <f>IF(FN23="","",((VLOOKUP(Compositions!S39,'HHV-LHV-MW'!$A$3:$F$40,6,FALSE))*(FN23/100)))</f>
        <v/>
      </c>
      <c r="FT23" s="26"/>
      <c r="FU23" s="26"/>
      <c r="FV23" s="26"/>
      <c r="FW23" s="177"/>
      <c r="FX23" s="177"/>
      <c r="FY23" s="177"/>
      <c r="FZ23" s="27" t="str">
        <f>IF(Compositions!V39="","",IF(Compositions!$V$25="mol%",Compositions!V39,GA23))</f>
        <v/>
      </c>
      <c r="GA23" s="27" t="str">
        <f t="shared" si="16"/>
        <v/>
      </c>
      <c r="GB23" s="27" t="str">
        <f>IF(Compositions!V39="","",(Compositions!V39/(VLOOKUP(Compositions!S39,'HHV-LHV-MW'!$A$3:$F$40,6,FALSE))))</f>
        <v/>
      </c>
      <c r="GC23" s="25" t="str">
        <f>IF(FZ23="","",((VLOOKUP(Compositions!S39,'HHV-LHV-MW'!$A$3:$F$40,4,FALSE))*(FZ23/100)))</f>
        <v/>
      </c>
      <c r="GD23" s="25" t="str">
        <f>IF(FZ23="","",((VLOOKUP(Compositions!S39,'HHV-LHV-MW'!$A$3:$F$40,5,FALSE))*(FZ23/100)))</f>
        <v/>
      </c>
      <c r="GE23" s="209" t="str">
        <f>IF(FZ23="","",((VLOOKUP(Compositions!S39,'HHV-LHV-MW'!$A$3:$F$40,6,FALSE))*(FZ23/100)))</f>
        <v/>
      </c>
      <c r="GF23" s="25"/>
      <c r="GG23" s="25"/>
      <c r="GH23" s="25"/>
      <c r="GI23" s="180"/>
      <c r="GJ23" s="180"/>
      <c r="GK23" s="180"/>
      <c r="GL23" s="28" t="str">
        <f>IF(Compositions!W39="","",IF(Compositions!$W$25="mol%",Compositions!W39,GM23))</f>
        <v/>
      </c>
      <c r="GM23" s="28" t="str">
        <f t="shared" si="17"/>
        <v/>
      </c>
      <c r="GN23" s="28" t="str">
        <f>IF(Compositions!W39="","",(Compositions!W39/(VLOOKUP(Compositions!S39,'HHV-LHV-MW'!$A$3:$F$40,6,FALSE))))</f>
        <v/>
      </c>
      <c r="GO23" s="26" t="str">
        <f>IF(GL23="","",((VLOOKUP(Compositions!S39,'HHV-LHV-MW'!$A$3:$F$40,4,FALSE))*(GL23/100)))</f>
        <v/>
      </c>
      <c r="GP23" s="26" t="str">
        <f>IF(GL23="","",((VLOOKUP(Compositions!S39,'HHV-LHV-MW'!$A$3:$F$40,5,FALSE))*(GL23/100)))</f>
        <v/>
      </c>
      <c r="GQ23" s="39" t="str">
        <f>IF(GL23="","",((VLOOKUP(Compositions!S39,'HHV-LHV-MW'!$A$3:$F$40,6,FALSE))*(GL23/100)))</f>
        <v/>
      </c>
      <c r="GR23" s="13"/>
      <c r="GS23" s="13"/>
      <c r="GT23" s="13"/>
      <c r="GU23" s="13"/>
      <c r="GV23" s="13"/>
      <c r="GW23" s="13"/>
      <c r="GY23" s="27" t="str">
        <f>IF(Compositions!Z39="","",IF(Compositions!$Z$25="mol%",Compositions!Z39,GZ23))</f>
        <v/>
      </c>
      <c r="GZ23" s="27" t="str">
        <f t="shared" si="18"/>
        <v/>
      </c>
      <c r="HA23" s="27" t="str">
        <f>IF(Compositions!Z39="","",(Compositions!Z39/(VLOOKUP(Compositions!Y39,'HHV-LHV-MW'!$A$3:$F$40,6,FALSE))))</f>
        <v/>
      </c>
      <c r="HB23" s="25" t="str">
        <f>IF(GY23="","",((VLOOKUP(Compositions!Y39,'HHV-LHV-MW'!$A$3:$F$40,4,FALSE))*(GY23/100)))</f>
        <v/>
      </c>
      <c r="HC23" s="25" t="str">
        <f>IF(GY23="","",((VLOOKUP(Compositions!Y39,'HHV-LHV-MW'!$A$3:$F$40,5,FALSE))*(GY23/100)))</f>
        <v/>
      </c>
      <c r="HD23" s="209" t="str">
        <f>IF(GY23="","",((VLOOKUP(Compositions!Y39,'HHV-LHV-MW'!$A$3:$F$40,6,FALSE))*(GY23/100)))</f>
        <v/>
      </c>
      <c r="HE23" s="25"/>
      <c r="HF23" s="25"/>
      <c r="HG23" s="25"/>
      <c r="HH23" s="180"/>
      <c r="HI23" s="180"/>
      <c r="HJ23" s="180"/>
      <c r="HK23" s="28" t="str">
        <f>IF(Compositions!AA39="","",IF(Compositions!$AA$25="mol%",Compositions!AA39,HL23))</f>
        <v/>
      </c>
      <c r="HL23" s="28" t="str">
        <f t="shared" si="19"/>
        <v/>
      </c>
      <c r="HM23" s="28" t="str">
        <f>IF(Compositions!AA39="","",(Compositions!AA39/(VLOOKUP(Compositions!Y39,'HHV-LHV-MW'!$A$3:$F$40,6,FALSE))))</f>
        <v/>
      </c>
      <c r="HN23" s="26" t="str">
        <f>IF(HK23="","",((VLOOKUP(Compositions!Y39,'HHV-LHV-MW'!$A$3:$F$40,4,FALSE))*(HK23/100)))</f>
        <v/>
      </c>
      <c r="HO23" s="26" t="str">
        <f>IF(HK23="","",((VLOOKUP(Compositions!Y39,'HHV-LHV-MW'!$A$3:$F$40,5,FALSE))*(HK23/100)))</f>
        <v/>
      </c>
      <c r="HP23" s="39" t="str">
        <f>IF(HK23="","",((VLOOKUP(Compositions!Y39,'HHV-LHV-MW'!$A$3:$F$40,6,FALSE))*(HK23/100)))</f>
        <v/>
      </c>
      <c r="HQ23" s="26"/>
      <c r="HR23" s="26"/>
      <c r="HS23" s="26"/>
      <c r="HT23" s="177"/>
      <c r="HU23" s="177"/>
      <c r="HV23" s="177"/>
      <c r="HW23" s="27" t="str">
        <f>IF(Compositions!AB39="","",IF(Compositions!$AB$25="mol%",Compositions!AB39,HX23))</f>
        <v/>
      </c>
      <c r="HX23" s="27" t="str">
        <f t="shared" si="20"/>
        <v/>
      </c>
      <c r="HY23" s="27" t="str">
        <f>IF(Compositions!AB39="","",(Compositions!AB39/(VLOOKUP(Compositions!Y39,'HHV-LHV-MW'!$A$3:$F$40,6,FALSE))))</f>
        <v/>
      </c>
      <c r="HZ23" s="25" t="str">
        <f>IF(HW23="","",((VLOOKUP(Compositions!Y39,'HHV-LHV-MW'!$A$3:$F$40,4,FALSE))*(HW23/100)))</f>
        <v/>
      </c>
      <c r="IA23" s="25" t="str">
        <f>IF(HW23="","",((VLOOKUP(Compositions!Y39,'HHV-LHV-MW'!$A$3:$F$40,5,FALSE))*(HW23/100)))</f>
        <v/>
      </c>
      <c r="IB23" s="209" t="str">
        <f>IF(HW23="","",((VLOOKUP(Compositions!Y39,'HHV-LHV-MW'!$A$3:$F$40,6,FALSE))*(HW23/100)))</f>
        <v/>
      </c>
      <c r="IC23" s="25"/>
      <c r="ID23" s="25"/>
      <c r="IE23" s="25"/>
      <c r="IF23" s="180"/>
      <c r="IG23" s="180"/>
      <c r="IH23" s="180"/>
      <c r="II23" s="28" t="str">
        <f>IF(Compositions!AC39="","",IF(Compositions!$AC$25="mol%",Compositions!AC39,IJ23))</f>
        <v/>
      </c>
      <c r="IJ23" s="28" t="str">
        <f t="shared" si="21"/>
        <v/>
      </c>
      <c r="IK23" s="28" t="str">
        <f>IF(Compositions!AC39="","",(Compositions!AC39/(VLOOKUP(Compositions!Y39,'HHV-LHV-MW'!$A$3:$F$40,6,FALSE))))</f>
        <v/>
      </c>
      <c r="IL23" s="26" t="str">
        <f>IF(II23="","",((VLOOKUP(Compositions!Y39,'HHV-LHV-MW'!$A$3:$F$40,4,FALSE))*(II23/100)))</f>
        <v/>
      </c>
      <c r="IM23" s="26" t="str">
        <f>IF(II23="","",((VLOOKUP(Compositions!Y39,'HHV-LHV-MW'!$A$3:$F$40,5,FALSE))*(II23/100)))</f>
        <v/>
      </c>
      <c r="IN23" s="39" t="str">
        <f>IF(II23="","",((VLOOKUP(Compositions!Y39,'HHV-LHV-MW'!$A$3:$F$40,6,FALSE))*(II23/100)))</f>
        <v/>
      </c>
      <c r="IO23" s="13"/>
      <c r="IP23" s="13"/>
      <c r="IQ23" s="13"/>
      <c r="IR23" s="13"/>
      <c r="IS23" s="13"/>
      <c r="IT23" s="13"/>
      <c r="IV23" s="27" t="str">
        <f>IF(Compositions!AF39="","",IF(Compositions!$AF$25="mol%",Compositions!AF39,IW23))</f>
        <v/>
      </c>
      <c r="IW23" s="27" t="str">
        <f t="shared" si="6"/>
        <v/>
      </c>
      <c r="IX23" s="27" t="str">
        <f>IF(Compositions!AF39="","",(Compositions!AF39/(VLOOKUP(Compositions!AE39,'HHV-LHV-MW'!$A$3:$F$40,6,FALSE))))</f>
        <v/>
      </c>
      <c r="IY23" s="25" t="str">
        <f>IF(IV23="","",((VLOOKUP(Compositions!AE39,'HHV-LHV-MW'!$A$3:$F$40,4,FALSE))*(IV23/100)))</f>
        <v/>
      </c>
      <c r="IZ23" s="25" t="str">
        <f>IF(IV23="","",((VLOOKUP(Compositions!AE39,'HHV-LHV-MW'!$A$3:$F$40,5,FALSE))*(IV23/100)))</f>
        <v/>
      </c>
      <c r="JA23" s="209" t="str">
        <f>IF(IV23="","",((VLOOKUP(Compositions!AE39,'HHV-LHV-MW'!$A$3:$F$40,6,FALSE))*(IV23/100)))</f>
        <v/>
      </c>
      <c r="JB23" s="25"/>
      <c r="JC23" s="25"/>
      <c r="JD23" s="25"/>
      <c r="JE23" s="180"/>
      <c r="JF23" s="180"/>
      <c r="JG23" s="180"/>
      <c r="JH23" s="28" t="str">
        <f>IF(Compositions!AG39="","",IF(Compositions!$AG$25="mol%",Compositions!AG39,JI23))</f>
        <v/>
      </c>
      <c r="JI23" s="28" t="str">
        <f t="shared" si="22"/>
        <v/>
      </c>
      <c r="JJ23" s="28" t="str">
        <f>IF(Compositions!AG39="","",(Compositions!AG39/(VLOOKUP(Compositions!AE39,'HHV-LHV-MW'!$A$3:$F$40,6,FALSE))))</f>
        <v/>
      </c>
      <c r="JK23" s="26" t="str">
        <f>IF(JH23="","",((VLOOKUP(Compositions!AE39,'HHV-LHV-MW'!$A$3:$F$40,4,FALSE))*(JH23/100)))</f>
        <v/>
      </c>
      <c r="JL23" s="26" t="str">
        <f>IF(JH23="","",((VLOOKUP(Compositions!AE39,'HHV-LHV-MW'!$A$3:$F$40,5,FALSE))*(JH23/100)))</f>
        <v/>
      </c>
      <c r="JM23" s="39" t="str">
        <f>IF(JH23="","",((VLOOKUP(Compositions!AE39,'HHV-LHV-MW'!$A$3:$F$40,6,FALSE))*(JH23/100)))</f>
        <v/>
      </c>
      <c r="JN23" s="26"/>
      <c r="JO23" s="26"/>
      <c r="JP23" s="26"/>
      <c r="JQ23" s="177"/>
      <c r="JR23" s="177"/>
      <c r="JS23" s="177"/>
      <c r="JT23" s="27" t="str">
        <f>IF(Compositions!AH39="","",IF(Compositions!$AH$25="mol%",Compositions!AH39,JU23))</f>
        <v/>
      </c>
      <c r="JU23" s="27" t="str">
        <f t="shared" si="23"/>
        <v/>
      </c>
      <c r="JV23" s="27" t="str">
        <f>IF(Compositions!AH39="","",(Compositions!AH39/(VLOOKUP(Compositions!AE39,'HHV-LHV-MW'!$A$3:$F$40,6,FALSE))))</f>
        <v/>
      </c>
      <c r="JW23" s="25" t="str">
        <f>IF(JT23="","",((VLOOKUP(Compositions!AE39,'HHV-LHV-MW'!$A$3:$F$40,4,FALSE))*(JT23/100)))</f>
        <v/>
      </c>
      <c r="JX23" s="25" t="str">
        <f>IF(JT23="","",((VLOOKUP(Compositions!AE39,'HHV-LHV-MW'!$A$3:$F$40,5,FALSE))*(JT23/100)))</f>
        <v/>
      </c>
      <c r="JY23" s="209" t="str">
        <f>IF(JT23="","",((VLOOKUP(Compositions!AE39,'HHV-LHV-MW'!$A$3:$F$40,6,FALSE))*(JT23/100)))</f>
        <v/>
      </c>
      <c r="JZ23" s="25"/>
      <c r="KA23" s="25"/>
      <c r="KB23" s="25"/>
      <c r="KC23" s="180"/>
      <c r="KD23" s="180"/>
      <c r="KE23" s="180"/>
      <c r="KF23" s="28" t="str">
        <f>IF(Compositions!AI39="","",IF(Compositions!$AI$25="mol%",Compositions!AI39,KG23))</f>
        <v/>
      </c>
      <c r="KG23" s="28" t="str">
        <f t="shared" si="24"/>
        <v/>
      </c>
      <c r="KH23" s="28" t="str">
        <f>IF(Compositions!AI39="","",(Compositions!AI39/(VLOOKUP(Compositions!AE39,'HHV-LHV-MW'!$A$3:$F$40,6,FALSE))))</f>
        <v/>
      </c>
      <c r="KI23" s="26" t="str">
        <f>IF(KF23="","",((VLOOKUP(Compositions!AE39,'HHV-LHV-MW'!$A$3:$F$40,4,FALSE))*(KF23/100)))</f>
        <v/>
      </c>
      <c r="KJ23" s="26" t="str">
        <f>IF(KF23="","",((VLOOKUP(Compositions!AE39,'HHV-LHV-MW'!$A$3:$F$40,5,FALSE))*(KF23/100)))</f>
        <v/>
      </c>
      <c r="KK23" s="39" t="str">
        <f>IF(KF23="","",((VLOOKUP(Compositions!AE39,'HHV-LHV-MW'!$A$3:$F$40,6,FALSE))*(KF23/100)))</f>
        <v/>
      </c>
      <c r="KL23" s="13"/>
      <c r="KM23" s="13"/>
      <c r="KN23" s="13"/>
    </row>
    <row r="24" spans="1:300" ht="15.6">
      <c r="A24" s="173" t="s">
        <v>201</v>
      </c>
      <c r="B24" s="19" t="s">
        <v>200</v>
      </c>
      <c r="C24" s="20">
        <v>10</v>
      </c>
      <c r="D24" s="20">
        <v>6.8372999999999999</v>
      </c>
      <c r="E24" s="20">
        <v>6.3464</v>
      </c>
      <c r="F24" s="20">
        <v>142.28468000000001</v>
      </c>
      <c r="G24" s="20">
        <f t="shared" si="0"/>
        <v>0</v>
      </c>
      <c r="H24" s="20">
        <v>0</v>
      </c>
      <c r="I24" s="170">
        <v>1</v>
      </c>
      <c r="K24" s="27" t="str">
        <f>IF(Compositions!B40="","",IF(Compositions!$B$25="mol%",Compositions!B40,L24))</f>
        <v/>
      </c>
      <c r="L24" s="27" t="str">
        <f t="shared" si="1"/>
        <v/>
      </c>
      <c r="M24" s="27" t="str">
        <f>IF(Compositions!B40="","",(Compositions!B40/(VLOOKUP(Compositions!A40,'HHV-LHV-MW'!$A$3:$F$40,6,FALSE))))</f>
        <v/>
      </c>
      <c r="N24" s="25" t="str">
        <f>IF(K24="","",((VLOOKUP(Compositions!A40,'HHV-LHV-MW'!$A$3:$F$40,4,FALSE))*(K24/100)))</f>
        <v/>
      </c>
      <c r="O24" s="25" t="str">
        <f>IF(K24="","",((VLOOKUP(Compositions!A40,'HHV-LHV-MW'!$A$3:$F$40,5,FALSE))*(K24/100)))</f>
        <v/>
      </c>
      <c r="P24" s="206" t="str">
        <f>IF(K24="","",((VLOOKUP(Compositions!A40,'HHV-LHV-MW'!$A$3:$F$40,6,FALSE))*(K24/100)))</f>
        <v/>
      </c>
      <c r="Q24" s="25"/>
      <c r="R24" s="25"/>
      <c r="S24" s="25"/>
      <c r="T24" s="166"/>
      <c r="U24" s="174"/>
      <c r="V24" s="180"/>
      <c r="W24" s="28" t="str">
        <f>IF(Compositions!C40="","",IF(Compositions!$C$25="mol%",Compositions!C40,X24))</f>
        <v/>
      </c>
      <c r="X24" s="28" t="str">
        <f t="shared" si="2"/>
        <v/>
      </c>
      <c r="Y24" s="28" t="str">
        <f>IF(Compositions!C40="","",(Compositions!C40/(VLOOKUP(Compositions!A40,'HHV-LHV-MW'!$A$3:$F$40,6,FALSE))))</f>
        <v/>
      </c>
      <c r="Z24" s="26" t="str">
        <f>IF(W24="","",((VLOOKUP(Compositions!A40,'HHV-LHV-MW'!$A$3:$F$40,4,FALSE))*(W24/100)))</f>
        <v/>
      </c>
      <c r="AA24" s="26" t="str">
        <f>IF(W24="","",((VLOOKUP(Compositions!A40,'HHV-LHV-MW'!$A$3:$F$40,5,FALSE))*(W24/100)))</f>
        <v/>
      </c>
      <c r="AB24" s="39" t="str">
        <f>IF(W24="","",((VLOOKUP(Compositions!A40,'HHV-LHV-MW'!$A$3:$F$40,6,FALSE))*(W24/100)))</f>
        <v/>
      </c>
      <c r="AC24" s="26"/>
      <c r="AD24" s="26"/>
      <c r="AE24" s="26"/>
      <c r="AF24" s="177"/>
      <c r="AG24" s="177"/>
      <c r="AH24" s="177"/>
      <c r="AI24" s="27" t="str">
        <f>IF(Compositions!D40="","",IF(Compositions!$D$25="mol%",Compositions!D40,AJ24))</f>
        <v/>
      </c>
      <c r="AJ24" s="27" t="str">
        <f t="shared" si="3"/>
        <v/>
      </c>
      <c r="AK24" s="27" t="str">
        <f>IF(Compositions!D40="","",(Compositions!D40/(VLOOKUP(Compositions!A40,'HHV-LHV-MW'!$A$3:$F$40,6,FALSE))))</f>
        <v/>
      </c>
      <c r="AL24" s="25" t="str">
        <f>IF(AI24="","",((VLOOKUP(Compositions!A40,'HHV-LHV-MW'!$A$3:$F$40,4,FALSE))*(AI24/100)))</f>
        <v/>
      </c>
      <c r="AM24" s="25" t="str">
        <f>IF(AI24="","",((VLOOKUP(Compositions!A40,'HHV-LHV-MW'!$A$3:$F$40,5,FALSE))*(AI24/100)))</f>
        <v/>
      </c>
      <c r="AN24" s="209" t="str">
        <f>IF(AI24="","",((VLOOKUP(Compositions!A40,'HHV-LHV-MW'!$A$3:$F$40,6,FALSE))*(AI24/100)))</f>
        <v/>
      </c>
      <c r="AO24" s="25"/>
      <c r="AP24" s="25"/>
      <c r="AQ24" s="25"/>
      <c r="AR24" s="180"/>
      <c r="AS24" s="180"/>
      <c r="AT24" s="180"/>
      <c r="AU24" s="28" t="str">
        <f>IF(Compositions!E40="","",IF(Compositions!$E$25="mol%",Compositions!E40,AV24))</f>
        <v/>
      </c>
      <c r="AV24" s="28" t="str">
        <f t="shared" si="4"/>
        <v/>
      </c>
      <c r="AW24" s="28" t="str">
        <f>IF(Compositions!E40="","",(Compositions!E40/(VLOOKUP(Compositions!A40,'HHV-LHV-MW'!$A$3:$F$40,6,FALSE))))</f>
        <v/>
      </c>
      <c r="AX24" s="26" t="str">
        <f>IF(AU24="","",((VLOOKUP(Compositions!A40,'HHV-LHV-MW'!$A$3:$F$40,4,FALSE))*(AU24/100)))</f>
        <v/>
      </c>
      <c r="AY24" s="26" t="str">
        <f>IF(AU24="","",((VLOOKUP(Compositions!A40,'HHV-LHV-MW'!$A$3:$F$40,5,FALSE))*(AU24/100)))</f>
        <v/>
      </c>
      <c r="AZ24" s="39" t="str">
        <f>IF(AU24="","",((VLOOKUP(Compositions!A40,'HHV-LHV-MW'!$A$3:$F$40,6,FALSE))*(AU24/100)))</f>
        <v/>
      </c>
      <c r="BA24" s="13"/>
      <c r="BB24" s="13"/>
      <c r="BC24" s="13"/>
      <c r="BD24" s="13"/>
      <c r="BE24" s="13"/>
      <c r="BF24" s="13"/>
      <c r="BH24" s="27" t="str">
        <f>IF(Compositions!H40="","",IF(Compositions!$H$25="mol%",Compositions!H40,BI24))</f>
        <v/>
      </c>
      <c r="BI24" s="27" t="str">
        <f t="shared" si="7"/>
        <v/>
      </c>
      <c r="BJ24" s="27" t="str">
        <f>IF(Compositions!H40="","",(Compositions!H40/(VLOOKUP(Compositions!G40,'HHV-LHV-MW'!$A$3:$F$40,6,FALSE))))</f>
        <v/>
      </c>
      <c r="BK24" s="25" t="str">
        <f>IF(BH24="","",((VLOOKUP(Compositions!G40,'HHV-LHV-MW'!$A$3:$F$40,4,FALSE))*(BH24/100)))</f>
        <v/>
      </c>
      <c r="BL24" s="25" t="str">
        <f>IF(BH24="","",((VLOOKUP(Compositions!G40,'HHV-LHV-MW'!$A$3:$F$40,5,FALSE))*(BH24/100)))</f>
        <v/>
      </c>
      <c r="BM24" s="209" t="str">
        <f>IF(BH24="","",((VLOOKUP(Compositions!G40,'HHV-LHV-MW'!$A$3:$F$40,6,FALSE))*(BH24/100)))</f>
        <v/>
      </c>
      <c r="BN24" s="25"/>
      <c r="BO24" s="25"/>
      <c r="BP24" s="25"/>
      <c r="BQ24" s="180"/>
      <c r="BR24" s="180"/>
      <c r="BS24" s="180"/>
      <c r="BT24" s="28" t="str">
        <f>IF(Compositions!I40="","",IF(Compositions!$I$25="mol%",Compositions!I40,BU24))</f>
        <v/>
      </c>
      <c r="BU24" s="28" t="str">
        <f t="shared" si="8"/>
        <v/>
      </c>
      <c r="BV24" s="28" t="str">
        <f>IF(Compositions!I40="","",(Compositions!I40/(VLOOKUP(Compositions!G40,'HHV-LHV-MW'!$A$3:$F$40,6,FALSE))))</f>
        <v/>
      </c>
      <c r="BW24" s="26" t="str">
        <f>IF(BT24="","",((VLOOKUP(Compositions!G40,'HHV-LHV-MW'!$A$3:$F$40,4,FALSE))*(BT24/100)))</f>
        <v/>
      </c>
      <c r="BX24" s="26" t="str">
        <f>IF(BT24="","",((VLOOKUP(Compositions!G40,'HHV-LHV-MW'!$A$3:$F$40,5,FALSE))*(BT24/100)))</f>
        <v/>
      </c>
      <c r="BY24" s="207" t="str">
        <f>IF(BT24="","",((VLOOKUP(Compositions!G40,'HHV-LHV-MW'!$A$3:$F$40,6,FALSE))*(BT24/100)))</f>
        <v/>
      </c>
      <c r="BZ24" s="26"/>
      <c r="CA24" s="26"/>
      <c r="CB24" s="26"/>
      <c r="CC24" s="177"/>
      <c r="CD24" s="177"/>
      <c r="CE24" s="177"/>
      <c r="CF24" s="27" t="str">
        <f>IF(Compositions!J40="","",IF(Compositions!$J$25="mol%",Compositions!J40,CG24))</f>
        <v/>
      </c>
      <c r="CG24" s="27" t="str">
        <f t="shared" si="9"/>
        <v/>
      </c>
      <c r="CH24" s="27" t="str">
        <f>IF(Compositions!J40="","",(Compositions!J40/(VLOOKUP(Compositions!G40,'HHV-LHV-MW'!$A$3:$F$40,6,FALSE))))</f>
        <v/>
      </c>
      <c r="CI24" s="25" t="str">
        <f>IF(CF24="","",((VLOOKUP(Compositions!G40,'HHV-LHV-MW'!$A$3:$F$40,4,FALSE))*(CF24/100)))</f>
        <v/>
      </c>
      <c r="CJ24" s="25" t="str">
        <f>IF(CF24="","",((VLOOKUP(Compositions!G40,'HHV-LHV-MW'!$A$3:$F$40,5,FALSE))*(CF24/100)))</f>
        <v/>
      </c>
      <c r="CK24" s="209" t="str">
        <f>IF(CF24="","",((VLOOKUP(Compositions!G40,'HHV-LHV-MW'!$A$3:$F$40,6,FALSE))*(CF24/100)))</f>
        <v/>
      </c>
      <c r="CL24" s="25"/>
      <c r="CM24" s="25"/>
      <c r="CN24" s="25"/>
      <c r="CO24" s="180"/>
      <c r="CP24" s="180"/>
      <c r="CQ24" s="180"/>
      <c r="CR24" s="28" t="str">
        <f>IF(Compositions!K40="","",IF(Compositions!$K$25="mol%",Compositions!K40,CS24))</f>
        <v/>
      </c>
      <c r="CS24" s="28" t="str">
        <f t="shared" si="10"/>
        <v/>
      </c>
      <c r="CT24" s="28" t="str">
        <f>IF(Compositions!K40="","",(Compositions!K40/(VLOOKUP(Compositions!G40,'HHV-LHV-MW'!$A$3:$F$40,6,FALSE))))</f>
        <v/>
      </c>
      <c r="CU24" s="26" t="str">
        <f>IF(CR24="","",((VLOOKUP(Compositions!G40,'HHV-LHV-MW'!$A$3:$F$40,4,FALSE))*(CR24/100)))</f>
        <v/>
      </c>
      <c r="CV24" s="26" t="str">
        <f>IF(CR24="","",((VLOOKUP(Compositions!G40,'HHV-LHV-MW'!$A$3:$F$40,5,FALSE))*(CR24/100)))</f>
        <v/>
      </c>
      <c r="CW24" s="207" t="str">
        <f>IF(CR24="","",((VLOOKUP(Compositions!G40,'HHV-LHV-MW'!$A$3:$F$40,6,FALSE))*(CR24/100)))</f>
        <v/>
      </c>
      <c r="CX24" s="13"/>
      <c r="CY24" s="13"/>
      <c r="CZ24" s="13"/>
      <c r="DA24" s="13"/>
      <c r="DB24" s="13"/>
      <c r="DC24" s="13"/>
      <c r="DE24" s="27" t="str">
        <f>IF(Compositions!N40="","",IF(Compositions!$N$25="mol%",Compositions!N40,DF24))</f>
        <v/>
      </c>
      <c r="DF24" s="27" t="str">
        <f t="shared" si="5"/>
        <v/>
      </c>
      <c r="DG24" s="27" t="str">
        <f>IF(Compositions!N40="","",(Compositions!N40/(VLOOKUP(Compositions!M40,'HHV-LHV-MW'!$A$3:$F$40,6,FALSE))))</f>
        <v/>
      </c>
      <c r="DH24" s="25" t="str">
        <f>IF(DE24="","",((VLOOKUP(Compositions!M40,'HHV-LHV-MW'!$A$3:$F$40,4,FALSE))*(DE24/100)))</f>
        <v/>
      </c>
      <c r="DI24" s="25" t="str">
        <f>IF(DE24="","",((VLOOKUP(Compositions!M40,'HHV-LHV-MW'!$A$3:$F$40,5,FALSE))*(DE24/100)))</f>
        <v/>
      </c>
      <c r="DJ24" s="209" t="str">
        <f>IF(DE24="","",((VLOOKUP(Compositions!M40,'HHV-LHV-MW'!$A$3:$F$40,6,FALSE))*(DE24/100)))</f>
        <v/>
      </c>
      <c r="DK24" s="25"/>
      <c r="DL24" s="25"/>
      <c r="DM24" s="25"/>
      <c r="DN24" s="180"/>
      <c r="DO24" s="180"/>
      <c r="DP24" s="180"/>
      <c r="DQ24" s="28" t="str">
        <f>IF(Compositions!O40="","",IF(Compositions!$O$25="mol%",Compositions!O40,DR24))</f>
        <v/>
      </c>
      <c r="DR24" s="28" t="str">
        <f t="shared" si="11"/>
        <v/>
      </c>
      <c r="DS24" s="28" t="str">
        <f>IF(Compositions!O40="","",(Compositions!O40/(VLOOKUP(Compositions!M40,'HHV-LHV-MW'!$A$3:$F$40,6,FALSE))))</f>
        <v/>
      </c>
      <c r="DT24" s="26" t="str">
        <f>IF(DQ24="","",((VLOOKUP(Compositions!M40,'HHV-LHV-MW'!$A$3:$F$40,4,FALSE))*(DQ24/100)))</f>
        <v/>
      </c>
      <c r="DU24" s="26" t="str">
        <f>IF(DQ24="","",((VLOOKUP(Compositions!M40,'HHV-LHV-MW'!$A$3:$F$40,5,FALSE))*(DQ24/100)))</f>
        <v/>
      </c>
      <c r="DV24" s="39" t="str">
        <f>IF(DQ24="","",((VLOOKUP(Compositions!M40,'HHV-LHV-MW'!$A$3:$F$40,6,FALSE))*(DQ24/100)))</f>
        <v/>
      </c>
      <c r="DW24" s="26"/>
      <c r="DX24" s="26"/>
      <c r="DY24" s="26"/>
      <c r="DZ24" s="177"/>
      <c r="EA24" s="177"/>
      <c r="EB24" s="177"/>
      <c r="EC24" s="27" t="str">
        <f>IF(Compositions!P40="","",IF(Compositions!$P$25="mol%",Compositions!P40,ED24))</f>
        <v/>
      </c>
      <c r="ED24" s="27" t="str">
        <f t="shared" si="12"/>
        <v/>
      </c>
      <c r="EE24" s="27" t="str">
        <f>IF(Compositions!P40="","",(Compositions!P40/(VLOOKUP(Compositions!M40,'HHV-LHV-MW'!$A$3:$F$40,6,FALSE))))</f>
        <v/>
      </c>
      <c r="EF24" s="25" t="str">
        <f>IF(EC24="","",((VLOOKUP(Compositions!M40,'HHV-LHV-MW'!$A$3:$F$40,4,FALSE))*(EC24/100)))</f>
        <v/>
      </c>
      <c r="EG24" s="25" t="str">
        <f>IF(EC24="","",((VLOOKUP(Compositions!M40,'HHV-LHV-MW'!$A$3:$F$40,5,FALSE))*(EC24/100)))</f>
        <v/>
      </c>
      <c r="EH24" s="209" t="str">
        <f>IF(EC24="","",((VLOOKUP(Compositions!M40,'HHV-LHV-MW'!$A$3:$F$40,6,FALSE))*(EC24/100)))</f>
        <v/>
      </c>
      <c r="EI24" s="25"/>
      <c r="EJ24" s="25"/>
      <c r="EK24" s="25"/>
      <c r="EL24" s="180"/>
      <c r="EM24" s="180"/>
      <c r="EN24" s="180"/>
      <c r="EO24" s="28" t="str">
        <f>IF(Compositions!Q40="","",IF(Compositions!$Q$25="mol%",Compositions!Q40,EP24))</f>
        <v/>
      </c>
      <c r="EP24" s="28" t="str">
        <f t="shared" si="13"/>
        <v/>
      </c>
      <c r="EQ24" s="28" t="str">
        <f>IF(Compositions!Q40="","",(Compositions!Q40/(VLOOKUP(Compositions!M40,'HHV-LHV-MW'!$A$3:$F$40,6,FALSE))))</f>
        <v/>
      </c>
      <c r="ER24" s="26" t="str">
        <f>IF(EO24="","",((VLOOKUP(Compositions!M40,'HHV-LHV-MW'!$A$3:$F$40,4,FALSE))*(EO24/100)))</f>
        <v/>
      </c>
      <c r="ES24" s="26" t="str">
        <f>IF(EO24="","",((VLOOKUP(Compositions!M40,'HHV-LHV-MW'!$A$3:$F$40,5,FALSE))*(EO24/100)))</f>
        <v/>
      </c>
      <c r="ET24" s="39" t="str">
        <f>IF(EO24="","",((VLOOKUP(Compositions!M40,'HHV-LHV-MW'!$A$3:$F$40,6,FALSE))*(EO24/100)))</f>
        <v/>
      </c>
      <c r="EU24" s="13"/>
      <c r="EV24" s="13"/>
      <c r="EW24" s="13"/>
      <c r="EX24" s="13"/>
      <c r="EY24" s="13"/>
      <c r="EZ24" s="13"/>
      <c r="FB24" s="27" t="str">
        <f>IF(Compositions!T40="","",IF(Compositions!$T$25="mol%",Compositions!T40,FC24))</f>
        <v/>
      </c>
      <c r="FC24" s="27" t="str">
        <f t="shared" si="14"/>
        <v/>
      </c>
      <c r="FD24" s="27" t="str">
        <f>IF(Compositions!T40="","",(Compositions!T40/(VLOOKUP(Compositions!S40,'HHV-LHV-MW'!$A$3:$F$40,6,FALSE))))</f>
        <v/>
      </c>
      <c r="FE24" s="25" t="str">
        <f>IF(FB24="","",((VLOOKUP(Compositions!S40,'HHV-LHV-MW'!$A$3:$F$40,4,FALSE))*(FB24/100)))</f>
        <v/>
      </c>
      <c r="FF24" s="25" t="str">
        <f>IF(FB24="","",((VLOOKUP(Compositions!S40,'HHV-LHV-MW'!$A$3:$F$40,5,FALSE))*(FB24/100)))</f>
        <v/>
      </c>
      <c r="FG24" s="209" t="str">
        <f>IF(FB24="","",((VLOOKUP(Compositions!S40,'HHV-LHV-MW'!$A$3:$F$40,6,FALSE))*(FB24/100)))</f>
        <v/>
      </c>
      <c r="FH24" s="25"/>
      <c r="FI24" s="25"/>
      <c r="FJ24" s="25"/>
      <c r="FK24" s="180"/>
      <c r="FL24" s="180"/>
      <c r="FM24" s="180"/>
      <c r="FN24" s="28" t="str">
        <f>IF(Compositions!U40="","",IF(Compositions!$U$25="mol%",Compositions!U40,FO24))</f>
        <v/>
      </c>
      <c r="FO24" s="28" t="str">
        <f t="shared" si="15"/>
        <v/>
      </c>
      <c r="FP24" s="28" t="str">
        <f>IF(Compositions!U40="","",(Compositions!U40/(VLOOKUP(Compositions!S40,'HHV-LHV-MW'!$A$3:$F$40,6,FALSE))))</f>
        <v/>
      </c>
      <c r="FQ24" s="26" t="str">
        <f>IF(FN24="","",((VLOOKUP(Compositions!S40,'HHV-LHV-MW'!$A$3:$F$40,4,FALSE))*(FN24/100)))</f>
        <v/>
      </c>
      <c r="FR24" s="26" t="str">
        <f>IF(FN24="","",((VLOOKUP(Compositions!S40,'HHV-LHV-MW'!$A$3:$F$40,5,FALSE))*(FN24/100)))</f>
        <v/>
      </c>
      <c r="FS24" s="39" t="str">
        <f>IF(FN24="","",((VLOOKUP(Compositions!S40,'HHV-LHV-MW'!$A$3:$F$40,6,FALSE))*(FN24/100)))</f>
        <v/>
      </c>
      <c r="FT24" s="26"/>
      <c r="FU24" s="26"/>
      <c r="FV24" s="26"/>
      <c r="FW24" s="177"/>
      <c r="FX24" s="177"/>
      <c r="FY24" s="177"/>
      <c r="FZ24" s="27" t="str">
        <f>IF(Compositions!V40="","",IF(Compositions!$V$25="mol%",Compositions!V40,GA24))</f>
        <v/>
      </c>
      <c r="GA24" s="27" t="str">
        <f t="shared" si="16"/>
        <v/>
      </c>
      <c r="GB24" s="27" t="str">
        <f>IF(Compositions!V40="","",(Compositions!V40/(VLOOKUP(Compositions!S40,'HHV-LHV-MW'!$A$3:$F$40,6,FALSE))))</f>
        <v/>
      </c>
      <c r="GC24" s="25" t="str">
        <f>IF(FZ24="","",((VLOOKUP(Compositions!S40,'HHV-LHV-MW'!$A$3:$F$40,4,FALSE))*(FZ24/100)))</f>
        <v/>
      </c>
      <c r="GD24" s="25" t="str">
        <f>IF(FZ24="","",((VLOOKUP(Compositions!S40,'HHV-LHV-MW'!$A$3:$F$40,5,FALSE))*(FZ24/100)))</f>
        <v/>
      </c>
      <c r="GE24" s="209" t="str">
        <f>IF(FZ24="","",((VLOOKUP(Compositions!S40,'HHV-LHV-MW'!$A$3:$F$40,6,FALSE))*(FZ24/100)))</f>
        <v/>
      </c>
      <c r="GF24" s="25"/>
      <c r="GG24" s="25"/>
      <c r="GH24" s="25"/>
      <c r="GI24" s="180"/>
      <c r="GJ24" s="180"/>
      <c r="GK24" s="180"/>
      <c r="GL24" s="28" t="str">
        <f>IF(Compositions!W40="","",IF(Compositions!$W$25="mol%",Compositions!W40,GM24))</f>
        <v/>
      </c>
      <c r="GM24" s="28" t="str">
        <f t="shared" si="17"/>
        <v/>
      </c>
      <c r="GN24" s="28" t="str">
        <f>IF(Compositions!W40="","",(Compositions!W40/(VLOOKUP(Compositions!S40,'HHV-LHV-MW'!$A$3:$F$40,6,FALSE))))</f>
        <v/>
      </c>
      <c r="GO24" s="26" t="str">
        <f>IF(GL24="","",((VLOOKUP(Compositions!S40,'HHV-LHV-MW'!$A$3:$F$40,4,FALSE))*(GL24/100)))</f>
        <v/>
      </c>
      <c r="GP24" s="26" t="str">
        <f>IF(GL24="","",((VLOOKUP(Compositions!S40,'HHV-LHV-MW'!$A$3:$F$40,5,FALSE))*(GL24/100)))</f>
        <v/>
      </c>
      <c r="GQ24" s="39" t="str">
        <f>IF(GL24="","",((VLOOKUP(Compositions!S40,'HHV-LHV-MW'!$A$3:$F$40,6,FALSE))*(GL24/100)))</f>
        <v/>
      </c>
      <c r="GR24" s="13"/>
      <c r="GS24" s="13"/>
      <c r="GT24" s="13"/>
      <c r="GU24" s="13"/>
      <c r="GV24" s="13"/>
      <c r="GW24" s="13"/>
      <c r="GY24" s="27" t="str">
        <f>IF(Compositions!Z40="","",IF(Compositions!$Z$25="mol%",Compositions!Z40,GZ24))</f>
        <v/>
      </c>
      <c r="GZ24" s="27" t="str">
        <f t="shared" si="18"/>
        <v/>
      </c>
      <c r="HA24" s="27" t="str">
        <f>IF(Compositions!Z40="","",(Compositions!Z40/(VLOOKUP(Compositions!Y40,'HHV-LHV-MW'!$A$3:$F$40,6,FALSE))))</f>
        <v/>
      </c>
      <c r="HB24" s="25" t="str">
        <f>IF(GY24="","",((VLOOKUP(Compositions!Y40,'HHV-LHV-MW'!$A$3:$F$40,4,FALSE))*(GY24/100)))</f>
        <v/>
      </c>
      <c r="HC24" s="25" t="str">
        <f>IF(GY24="","",((VLOOKUP(Compositions!Y40,'HHV-LHV-MW'!$A$3:$F$40,5,FALSE))*(GY24/100)))</f>
        <v/>
      </c>
      <c r="HD24" s="209" t="str">
        <f>IF(GY24="","",((VLOOKUP(Compositions!Y40,'HHV-LHV-MW'!$A$3:$F$40,6,FALSE))*(GY24/100)))</f>
        <v/>
      </c>
      <c r="HE24" s="25"/>
      <c r="HF24" s="25"/>
      <c r="HG24" s="25"/>
      <c r="HH24" s="180"/>
      <c r="HI24" s="180"/>
      <c r="HJ24" s="180"/>
      <c r="HK24" s="28" t="str">
        <f>IF(Compositions!AA40="","",IF(Compositions!$AA$25="mol%",Compositions!AA40,HL24))</f>
        <v/>
      </c>
      <c r="HL24" s="28" t="str">
        <f t="shared" si="19"/>
        <v/>
      </c>
      <c r="HM24" s="28" t="str">
        <f>IF(Compositions!AA40="","",(Compositions!AA40/(VLOOKUP(Compositions!Y40,'HHV-LHV-MW'!$A$3:$F$40,6,FALSE))))</f>
        <v/>
      </c>
      <c r="HN24" s="26" t="str">
        <f>IF(HK24="","",((VLOOKUP(Compositions!Y40,'HHV-LHV-MW'!$A$3:$F$40,4,FALSE))*(HK24/100)))</f>
        <v/>
      </c>
      <c r="HO24" s="26" t="str">
        <f>IF(HK24="","",((VLOOKUP(Compositions!Y40,'HHV-LHV-MW'!$A$3:$F$40,5,FALSE))*(HK24/100)))</f>
        <v/>
      </c>
      <c r="HP24" s="39" t="str">
        <f>IF(HK24="","",((VLOOKUP(Compositions!Y40,'HHV-LHV-MW'!$A$3:$F$40,6,FALSE))*(HK24/100)))</f>
        <v/>
      </c>
      <c r="HQ24" s="26"/>
      <c r="HR24" s="26"/>
      <c r="HS24" s="26"/>
      <c r="HT24" s="177"/>
      <c r="HU24" s="177"/>
      <c r="HV24" s="177"/>
      <c r="HW24" s="27" t="str">
        <f>IF(Compositions!AB40="","",IF(Compositions!$AB$25="mol%",Compositions!AB40,HX24))</f>
        <v/>
      </c>
      <c r="HX24" s="27" t="str">
        <f t="shared" si="20"/>
        <v/>
      </c>
      <c r="HY24" s="27" t="str">
        <f>IF(Compositions!AB40="","",(Compositions!AB40/(VLOOKUP(Compositions!Y40,'HHV-LHV-MW'!$A$3:$F$40,6,FALSE))))</f>
        <v/>
      </c>
      <c r="HZ24" s="25" t="str">
        <f>IF(HW24="","",((VLOOKUP(Compositions!Y40,'HHV-LHV-MW'!$A$3:$F$40,4,FALSE))*(HW24/100)))</f>
        <v/>
      </c>
      <c r="IA24" s="25" t="str">
        <f>IF(HW24="","",((VLOOKUP(Compositions!Y40,'HHV-LHV-MW'!$A$3:$F$40,5,FALSE))*(HW24/100)))</f>
        <v/>
      </c>
      <c r="IB24" s="209" t="str">
        <f>IF(HW24="","",((VLOOKUP(Compositions!Y40,'HHV-LHV-MW'!$A$3:$F$40,6,FALSE))*(HW24/100)))</f>
        <v/>
      </c>
      <c r="IC24" s="25"/>
      <c r="ID24" s="25"/>
      <c r="IE24" s="25"/>
      <c r="IF24" s="180"/>
      <c r="IG24" s="180"/>
      <c r="IH24" s="180"/>
      <c r="II24" s="28" t="str">
        <f>IF(Compositions!AC40="","",IF(Compositions!$AC$25="mol%",Compositions!AC40,IJ24))</f>
        <v/>
      </c>
      <c r="IJ24" s="28" t="str">
        <f t="shared" si="21"/>
        <v/>
      </c>
      <c r="IK24" s="28" t="str">
        <f>IF(Compositions!AC40="","",(Compositions!AC40/(VLOOKUP(Compositions!Y40,'HHV-LHV-MW'!$A$3:$F$40,6,FALSE))))</f>
        <v/>
      </c>
      <c r="IL24" s="26" t="str">
        <f>IF(II24="","",((VLOOKUP(Compositions!Y40,'HHV-LHV-MW'!$A$3:$F$40,4,FALSE))*(II24/100)))</f>
        <v/>
      </c>
      <c r="IM24" s="26" t="str">
        <f>IF(II24="","",((VLOOKUP(Compositions!Y40,'HHV-LHV-MW'!$A$3:$F$40,5,FALSE))*(II24/100)))</f>
        <v/>
      </c>
      <c r="IN24" s="39" t="str">
        <f>IF(II24="","",((VLOOKUP(Compositions!Y40,'HHV-LHV-MW'!$A$3:$F$40,6,FALSE))*(II24/100)))</f>
        <v/>
      </c>
      <c r="IO24" s="13"/>
      <c r="IP24" s="13"/>
      <c r="IQ24" s="13"/>
      <c r="IR24" s="13"/>
      <c r="IS24" s="13"/>
      <c r="IT24" s="13"/>
      <c r="IV24" s="27" t="str">
        <f>IF(Compositions!AF40="","",IF(Compositions!$AF$25="mol%",Compositions!AF40,IW24))</f>
        <v/>
      </c>
      <c r="IW24" s="27" t="str">
        <f t="shared" si="6"/>
        <v/>
      </c>
      <c r="IX24" s="27" t="str">
        <f>IF(Compositions!AF40="","",(Compositions!AF40/(VLOOKUP(Compositions!AE40,'HHV-LHV-MW'!$A$3:$F$40,6,FALSE))))</f>
        <v/>
      </c>
      <c r="IY24" s="25" t="str">
        <f>IF(IV24="","",((VLOOKUP(Compositions!AE40,'HHV-LHV-MW'!$A$3:$F$40,4,FALSE))*(IV24/100)))</f>
        <v/>
      </c>
      <c r="IZ24" s="25" t="str">
        <f>IF(IV24="","",((VLOOKUP(Compositions!AE40,'HHV-LHV-MW'!$A$3:$F$40,5,FALSE))*(IV24/100)))</f>
        <v/>
      </c>
      <c r="JA24" s="209" t="str">
        <f>IF(IV24="","",((VLOOKUP(Compositions!AE40,'HHV-LHV-MW'!$A$3:$F$40,6,FALSE))*(IV24/100)))</f>
        <v/>
      </c>
      <c r="JB24" s="25"/>
      <c r="JC24" s="25"/>
      <c r="JD24" s="25"/>
      <c r="JE24" s="180"/>
      <c r="JF24" s="180"/>
      <c r="JG24" s="180"/>
      <c r="JH24" s="28" t="str">
        <f>IF(Compositions!AG40="","",IF(Compositions!$AG$25="mol%",Compositions!AG40,JI24))</f>
        <v/>
      </c>
      <c r="JI24" s="28" t="str">
        <f t="shared" si="22"/>
        <v/>
      </c>
      <c r="JJ24" s="28" t="str">
        <f>IF(Compositions!AG40="","",(Compositions!AG40/(VLOOKUP(Compositions!AE40,'HHV-LHV-MW'!$A$3:$F$40,6,FALSE))))</f>
        <v/>
      </c>
      <c r="JK24" s="26" t="str">
        <f>IF(JH24="","",((VLOOKUP(Compositions!AE40,'HHV-LHV-MW'!$A$3:$F$40,4,FALSE))*(JH24/100)))</f>
        <v/>
      </c>
      <c r="JL24" s="26" t="str">
        <f>IF(JH24="","",((VLOOKUP(Compositions!AE40,'HHV-LHV-MW'!$A$3:$F$40,5,FALSE))*(JH24/100)))</f>
        <v/>
      </c>
      <c r="JM24" s="39" t="str">
        <f>IF(JH24="","",((VLOOKUP(Compositions!AE40,'HHV-LHV-MW'!$A$3:$F$40,6,FALSE))*(JH24/100)))</f>
        <v/>
      </c>
      <c r="JN24" s="26"/>
      <c r="JO24" s="26"/>
      <c r="JP24" s="26"/>
      <c r="JQ24" s="177"/>
      <c r="JR24" s="177"/>
      <c r="JS24" s="177"/>
      <c r="JT24" s="27" t="str">
        <f>IF(Compositions!AH40="","",IF(Compositions!$AH$25="mol%",Compositions!AH40,JU24))</f>
        <v/>
      </c>
      <c r="JU24" s="27" t="str">
        <f t="shared" si="23"/>
        <v/>
      </c>
      <c r="JV24" s="27" t="str">
        <f>IF(Compositions!AH40="","",(Compositions!AH40/(VLOOKUP(Compositions!AE40,'HHV-LHV-MW'!$A$3:$F$40,6,FALSE))))</f>
        <v/>
      </c>
      <c r="JW24" s="25" t="str">
        <f>IF(JT24="","",((VLOOKUP(Compositions!AE40,'HHV-LHV-MW'!$A$3:$F$40,4,FALSE))*(JT24/100)))</f>
        <v/>
      </c>
      <c r="JX24" s="25" t="str">
        <f>IF(JT24="","",((VLOOKUP(Compositions!AE40,'HHV-LHV-MW'!$A$3:$F$40,5,FALSE))*(JT24/100)))</f>
        <v/>
      </c>
      <c r="JY24" s="209" t="str">
        <f>IF(JT24="","",((VLOOKUP(Compositions!AE40,'HHV-LHV-MW'!$A$3:$F$40,6,FALSE))*(JT24/100)))</f>
        <v/>
      </c>
      <c r="JZ24" s="25"/>
      <c r="KA24" s="25"/>
      <c r="KB24" s="25"/>
      <c r="KC24" s="180"/>
      <c r="KD24" s="180"/>
      <c r="KE24" s="180"/>
      <c r="KF24" s="28" t="str">
        <f>IF(Compositions!AI40="","",IF(Compositions!$AI$25="mol%",Compositions!AI40,KG24))</f>
        <v/>
      </c>
      <c r="KG24" s="28" t="str">
        <f t="shared" si="24"/>
        <v/>
      </c>
      <c r="KH24" s="28" t="str">
        <f>IF(Compositions!AI40="","",(Compositions!AI40/(VLOOKUP(Compositions!AE40,'HHV-LHV-MW'!$A$3:$F$40,6,FALSE))))</f>
        <v/>
      </c>
      <c r="KI24" s="26" t="str">
        <f>IF(KF24="","",((VLOOKUP(Compositions!AE40,'HHV-LHV-MW'!$A$3:$F$40,4,FALSE))*(KF24/100)))</f>
        <v/>
      </c>
      <c r="KJ24" s="26" t="str">
        <f>IF(KF24="","",((VLOOKUP(Compositions!AE40,'HHV-LHV-MW'!$A$3:$F$40,5,FALSE))*(KF24/100)))</f>
        <v/>
      </c>
      <c r="KK24" s="39" t="str">
        <f>IF(KF24="","",((VLOOKUP(Compositions!AE40,'HHV-LHV-MW'!$A$3:$F$40,6,FALSE))*(KF24/100)))</f>
        <v/>
      </c>
      <c r="KL24" s="13"/>
      <c r="KM24" s="13"/>
      <c r="KN24" s="13"/>
    </row>
    <row r="25" spans="1:300" ht="15.6">
      <c r="A25" s="173" t="s">
        <v>202</v>
      </c>
      <c r="B25" s="19" t="s">
        <v>189</v>
      </c>
      <c r="C25" s="20">
        <v>5</v>
      </c>
      <c r="D25" s="20">
        <v>3.5207000000000002</v>
      </c>
      <c r="E25" s="20">
        <v>3.2507999999999999</v>
      </c>
      <c r="F25" s="20">
        <v>72.150279999999995</v>
      </c>
      <c r="G25" s="20">
        <f t="shared" si="0"/>
        <v>0</v>
      </c>
      <c r="H25" s="20">
        <v>0</v>
      </c>
      <c r="I25" s="170">
        <v>1</v>
      </c>
      <c r="K25" s="27" t="str">
        <f>IF(Compositions!B41="","",IF(Compositions!$B$25="mol%",Compositions!B41,L25))</f>
        <v/>
      </c>
      <c r="L25" s="27" t="str">
        <f t="shared" si="1"/>
        <v/>
      </c>
      <c r="M25" s="27" t="str">
        <f>IF(Compositions!B41="","",(Compositions!B41/(VLOOKUP(Compositions!A41,'HHV-LHV-MW'!$A$3:$F$40,6,FALSE))))</f>
        <v/>
      </c>
      <c r="N25" s="25" t="str">
        <f>IF(K25="","",((VLOOKUP(Compositions!A41,'HHV-LHV-MW'!$A$3:$F$40,4,FALSE))*(K25/100)))</f>
        <v/>
      </c>
      <c r="O25" s="25" t="str">
        <f>IF(K25="","",((VLOOKUP(Compositions!A41,'HHV-LHV-MW'!$A$3:$F$40,5,FALSE))*(K25/100)))</f>
        <v/>
      </c>
      <c r="P25" s="206" t="str">
        <f>IF(K25="","",((VLOOKUP(Compositions!A41,'HHV-LHV-MW'!$A$3:$F$40,6,FALSE))*(K25/100)))</f>
        <v/>
      </c>
      <c r="Q25" s="25"/>
      <c r="R25" s="25"/>
      <c r="S25" s="25"/>
      <c r="T25" s="166"/>
      <c r="U25" s="174"/>
      <c r="V25" s="180"/>
      <c r="W25" s="28" t="str">
        <f>IF(Compositions!C41="","",IF(Compositions!$C$25="mol%",Compositions!C41,X25))</f>
        <v/>
      </c>
      <c r="X25" s="28" t="str">
        <f t="shared" si="2"/>
        <v/>
      </c>
      <c r="Y25" s="28" t="str">
        <f>IF(Compositions!C41="","",(Compositions!C41/(VLOOKUP(Compositions!A41,'HHV-LHV-MW'!$A$3:$F$40,6,FALSE))))</f>
        <v/>
      </c>
      <c r="Z25" s="26" t="str">
        <f>IF(W25="","",((VLOOKUP(Compositions!A41,'HHV-LHV-MW'!$A$3:$F$40,4,FALSE))*(W25/100)))</f>
        <v/>
      </c>
      <c r="AA25" s="26" t="str">
        <f>IF(W25="","",((VLOOKUP(Compositions!A41,'HHV-LHV-MW'!$A$3:$F$40,5,FALSE))*(W25/100)))</f>
        <v/>
      </c>
      <c r="AB25" s="39" t="str">
        <f>IF(W25="","",((VLOOKUP(Compositions!A41,'HHV-LHV-MW'!$A$3:$F$40,6,FALSE))*(W25/100)))</f>
        <v/>
      </c>
      <c r="AC25" s="26"/>
      <c r="AD25" s="26"/>
      <c r="AE25" s="26"/>
      <c r="AF25" s="177"/>
      <c r="AG25" s="177"/>
      <c r="AH25" s="177"/>
      <c r="AI25" s="27" t="str">
        <f>IF(Compositions!D41="","",IF(Compositions!$D$25="mol%",Compositions!D41,AJ25))</f>
        <v/>
      </c>
      <c r="AJ25" s="27" t="str">
        <f t="shared" si="3"/>
        <v/>
      </c>
      <c r="AK25" s="27" t="str">
        <f>IF(Compositions!D41="","",(Compositions!D41/(VLOOKUP(Compositions!A41,'HHV-LHV-MW'!$A$3:$F$40,6,FALSE))))</f>
        <v/>
      </c>
      <c r="AL25" s="25" t="str">
        <f>IF(AI25="","",((VLOOKUP(Compositions!A41,'HHV-LHV-MW'!$A$3:$F$40,4,FALSE))*(AI25/100)))</f>
        <v/>
      </c>
      <c r="AM25" s="25" t="str">
        <f>IF(AI25="","",((VLOOKUP(Compositions!A41,'HHV-LHV-MW'!$A$3:$F$40,5,FALSE))*(AI25/100)))</f>
        <v/>
      </c>
      <c r="AN25" s="209" t="str">
        <f>IF(AI25="","",((VLOOKUP(Compositions!A41,'HHV-LHV-MW'!$A$3:$F$40,6,FALSE))*(AI25/100)))</f>
        <v/>
      </c>
      <c r="AO25" s="25"/>
      <c r="AP25" s="25"/>
      <c r="AQ25" s="25"/>
      <c r="AR25" s="180"/>
      <c r="AS25" s="180"/>
      <c r="AT25" s="180"/>
      <c r="AU25" s="28" t="str">
        <f>IF(Compositions!E41="","",IF(Compositions!$E$25="mol%",Compositions!E41,AV25))</f>
        <v/>
      </c>
      <c r="AV25" s="28" t="str">
        <f t="shared" si="4"/>
        <v/>
      </c>
      <c r="AW25" s="28" t="str">
        <f>IF(Compositions!E41="","",(Compositions!E41/(VLOOKUP(Compositions!A41,'HHV-LHV-MW'!$A$3:$F$40,6,FALSE))))</f>
        <v/>
      </c>
      <c r="AX25" s="26" t="str">
        <f>IF(AU25="","",((VLOOKUP(Compositions!A41,'HHV-LHV-MW'!$A$3:$F$40,4,FALSE))*(AU25/100)))</f>
        <v/>
      </c>
      <c r="AY25" s="26" t="str">
        <f>IF(AU25="","",((VLOOKUP(Compositions!A41,'HHV-LHV-MW'!$A$3:$F$40,5,FALSE))*(AU25/100)))</f>
        <v/>
      </c>
      <c r="AZ25" s="39" t="str">
        <f>IF(AU25="","",((VLOOKUP(Compositions!A41,'HHV-LHV-MW'!$A$3:$F$40,6,FALSE))*(AU25/100)))</f>
        <v/>
      </c>
      <c r="BA25" s="13"/>
      <c r="BB25" s="13"/>
      <c r="BC25" s="13"/>
      <c r="BD25" s="13"/>
      <c r="BE25" s="13"/>
      <c r="BF25" s="13"/>
      <c r="BH25" s="27" t="str">
        <f>IF(Compositions!H41="","",IF(Compositions!$H$25="mol%",Compositions!H41,BI25))</f>
        <v/>
      </c>
      <c r="BI25" s="27" t="str">
        <f t="shared" si="7"/>
        <v/>
      </c>
      <c r="BJ25" s="27" t="str">
        <f>IF(Compositions!H41="","",(Compositions!H41/(VLOOKUP(Compositions!G41,'HHV-LHV-MW'!$A$3:$F$40,6,FALSE))))</f>
        <v/>
      </c>
      <c r="BK25" s="25" t="str">
        <f>IF(BH25="","",((VLOOKUP(Compositions!G41,'HHV-LHV-MW'!$A$3:$F$40,4,FALSE))*(BH25/100)))</f>
        <v/>
      </c>
      <c r="BL25" s="25" t="str">
        <f>IF(BH25="","",((VLOOKUP(Compositions!G41,'HHV-LHV-MW'!$A$3:$F$40,5,FALSE))*(BH25/100)))</f>
        <v/>
      </c>
      <c r="BM25" s="209" t="str">
        <f>IF(BH25="","",((VLOOKUP(Compositions!G41,'HHV-LHV-MW'!$A$3:$F$40,6,FALSE))*(BH25/100)))</f>
        <v/>
      </c>
      <c r="BN25" s="25"/>
      <c r="BO25" s="25"/>
      <c r="BP25" s="25"/>
      <c r="BQ25" s="180"/>
      <c r="BR25" s="180"/>
      <c r="BS25" s="180"/>
      <c r="BT25" s="28" t="str">
        <f>IF(Compositions!I41="","",IF(Compositions!$I$25="mol%",Compositions!I41,BU25))</f>
        <v/>
      </c>
      <c r="BU25" s="28" t="str">
        <f t="shared" si="8"/>
        <v/>
      </c>
      <c r="BV25" s="28" t="str">
        <f>IF(Compositions!I41="","",(Compositions!I41/(VLOOKUP(Compositions!G41,'HHV-LHV-MW'!$A$3:$F$40,6,FALSE))))</f>
        <v/>
      </c>
      <c r="BW25" s="26" t="str">
        <f>IF(BT25="","",((VLOOKUP(Compositions!G41,'HHV-LHV-MW'!$A$3:$F$40,4,FALSE))*(BT25/100)))</f>
        <v/>
      </c>
      <c r="BX25" s="26" t="str">
        <f>IF(BT25="","",((VLOOKUP(Compositions!G41,'HHV-LHV-MW'!$A$3:$F$40,5,FALSE))*(BT25/100)))</f>
        <v/>
      </c>
      <c r="BY25" s="207" t="str">
        <f>IF(BT25="","",((VLOOKUP(Compositions!G41,'HHV-LHV-MW'!$A$3:$F$40,6,FALSE))*(BT25/100)))</f>
        <v/>
      </c>
      <c r="BZ25" s="26"/>
      <c r="CA25" s="26"/>
      <c r="CB25" s="26"/>
      <c r="CC25" s="177"/>
      <c r="CD25" s="177"/>
      <c r="CE25" s="177"/>
      <c r="CF25" s="27" t="str">
        <f>IF(Compositions!J41="","",IF(Compositions!$J$25="mol%",Compositions!J41,CG25))</f>
        <v/>
      </c>
      <c r="CG25" s="27" t="str">
        <f t="shared" si="9"/>
        <v/>
      </c>
      <c r="CH25" s="27" t="str">
        <f>IF(Compositions!J41="","",(Compositions!J41/(VLOOKUP(Compositions!G41,'HHV-LHV-MW'!$A$3:$F$40,6,FALSE))))</f>
        <v/>
      </c>
      <c r="CI25" s="25" t="str">
        <f>IF(CF25="","",((VLOOKUP(Compositions!G41,'HHV-LHV-MW'!$A$3:$F$40,4,FALSE))*(CF25/100)))</f>
        <v/>
      </c>
      <c r="CJ25" s="25" t="str">
        <f>IF(CF25="","",((VLOOKUP(Compositions!G41,'HHV-LHV-MW'!$A$3:$F$40,5,FALSE))*(CF25/100)))</f>
        <v/>
      </c>
      <c r="CK25" s="209" t="str">
        <f>IF(CF25="","",((VLOOKUP(Compositions!G41,'HHV-LHV-MW'!$A$3:$F$40,6,FALSE))*(CF25/100)))</f>
        <v/>
      </c>
      <c r="CL25" s="25"/>
      <c r="CM25" s="25"/>
      <c r="CN25" s="25"/>
      <c r="CO25" s="180"/>
      <c r="CP25" s="180"/>
      <c r="CQ25" s="180"/>
      <c r="CR25" s="28" t="str">
        <f>IF(Compositions!K41="","",IF(Compositions!$K$25="mol%",Compositions!K41,CS25))</f>
        <v/>
      </c>
      <c r="CS25" s="28" t="str">
        <f t="shared" si="10"/>
        <v/>
      </c>
      <c r="CT25" s="28" t="str">
        <f>IF(Compositions!K41="","",(Compositions!K41/(VLOOKUP(Compositions!G41,'HHV-LHV-MW'!$A$3:$F$40,6,FALSE))))</f>
        <v/>
      </c>
      <c r="CU25" s="26" t="str">
        <f>IF(CR25="","",((VLOOKUP(Compositions!G41,'HHV-LHV-MW'!$A$3:$F$40,4,FALSE))*(CR25/100)))</f>
        <v/>
      </c>
      <c r="CV25" s="26" t="str">
        <f>IF(CR25="","",((VLOOKUP(Compositions!G41,'HHV-LHV-MW'!$A$3:$F$40,5,FALSE))*(CR25/100)))</f>
        <v/>
      </c>
      <c r="CW25" s="207" t="str">
        <f>IF(CR25="","",((VLOOKUP(Compositions!G41,'HHV-LHV-MW'!$A$3:$F$40,6,FALSE))*(CR25/100)))</f>
        <v/>
      </c>
      <c r="CX25" s="13"/>
      <c r="CY25" s="13"/>
      <c r="CZ25" s="13"/>
      <c r="DA25" s="13"/>
      <c r="DB25" s="13"/>
      <c r="DC25" s="13"/>
      <c r="DE25" s="27" t="str">
        <f>IF(Compositions!N41="","",IF(Compositions!$N$25="mol%",Compositions!N41,DF25))</f>
        <v/>
      </c>
      <c r="DF25" s="27" t="str">
        <f t="shared" si="5"/>
        <v/>
      </c>
      <c r="DG25" s="27" t="str">
        <f>IF(Compositions!N41="","",(Compositions!N41/(VLOOKUP(Compositions!M41,'HHV-LHV-MW'!$A$3:$F$40,6,FALSE))))</f>
        <v/>
      </c>
      <c r="DH25" s="25" t="str">
        <f>IF(DE25="","",((VLOOKUP(Compositions!M41,'HHV-LHV-MW'!$A$3:$F$40,4,FALSE))*(DE25/100)))</f>
        <v/>
      </c>
      <c r="DI25" s="25" t="str">
        <f>IF(DE25="","",((VLOOKUP(Compositions!M41,'HHV-LHV-MW'!$A$3:$F$40,5,FALSE))*(DE25/100)))</f>
        <v/>
      </c>
      <c r="DJ25" s="209" t="str">
        <f>IF(DE25="","",((VLOOKUP(Compositions!M41,'HHV-LHV-MW'!$A$3:$F$40,6,FALSE))*(DE25/100)))</f>
        <v/>
      </c>
      <c r="DK25" s="25"/>
      <c r="DL25" s="25"/>
      <c r="DM25" s="25"/>
      <c r="DN25" s="180"/>
      <c r="DO25" s="180"/>
      <c r="DP25" s="180"/>
      <c r="DQ25" s="28" t="str">
        <f>IF(Compositions!O41="","",IF(Compositions!$O$25="mol%",Compositions!O41,DR25))</f>
        <v/>
      </c>
      <c r="DR25" s="28" t="str">
        <f t="shared" si="11"/>
        <v/>
      </c>
      <c r="DS25" s="28" t="str">
        <f>IF(Compositions!O41="","",(Compositions!O41/(VLOOKUP(Compositions!M41,'HHV-LHV-MW'!$A$3:$F$40,6,FALSE))))</f>
        <v/>
      </c>
      <c r="DT25" s="26" t="str">
        <f>IF(DQ25="","",((VLOOKUP(Compositions!M41,'HHV-LHV-MW'!$A$3:$F$40,4,FALSE))*(DQ25/100)))</f>
        <v/>
      </c>
      <c r="DU25" s="26" t="str">
        <f>IF(DQ25="","",((VLOOKUP(Compositions!M41,'HHV-LHV-MW'!$A$3:$F$40,5,FALSE))*(DQ25/100)))</f>
        <v/>
      </c>
      <c r="DV25" s="39" t="str">
        <f>IF(DQ25="","",((VLOOKUP(Compositions!M41,'HHV-LHV-MW'!$A$3:$F$40,6,FALSE))*(DQ25/100)))</f>
        <v/>
      </c>
      <c r="DW25" s="26"/>
      <c r="DX25" s="26"/>
      <c r="DY25" s="26"/>
      <c r="DZ25" s="177"/>
      <c r="EA25" s="177"/>
      <c r="EB25" s="177"/>
      <c r="EC25" s="27" t="str">
        <f>IF(Compositions!P41="","",IF(Compositions!$P$25="mol%",Compositions!P41,ED25))</f>
        <v/>
      </c>
      <c r="ED25" s="27" t="str">
        <f t="shared" si="12"/>
        <v/>
      </c>
      <c r="EE25" s="27" t="str">
        <f>IF(Compositions!P41="","",(Compositions!P41/(VLOOKUP(Compositions!M41,'HHV-LHV-MW'!$A$3:$F$40,6,FALSE))))</f>
        <v/>
      </c>
      <c r="EF25" s="25" t="str">
        <f>IF(EC25="","",((VLOOKUP(Compositions!M41,'HHV-LHV-MW'!$A$3:$F$40,4,FALSE))*(EC25/100)))</f>
        <v/>
      </c>
      <c r="EG25" s="25" t="str">
        <f>IF(EC25="","",((VLOOKUP(Compositions!M41,'HHV-LHV-MW'!$A$3:$F$40,5,FALSE))*(EC25/100)))</f>
        <v/>
      </c>
      <c r="EH25" s="209" t="str">
        <f>IF(EC25="","",((VLOOKUP(Compositions!M41,'HHV-LHV-MW'!$A$3:$F$40,6,FALSE))*(EC25/100)))</f>
        <v/>
      </c>
      <c r="EI25" s="25"/>
      <c r="EJ25" s="25"/>
      <c r="EK25" s="25"/>
      <c r="EL25" s="180"/>
      <c r="EM25" s="180"/>
      <c r="EN25" s="180"/>
      <c r="EO25" s="28" t="str">
        <f>IF(Compositions!Q41="","",IF(Compositions!$Q$25="mol%",Compositions!Q41,EP25))</f>
        <v/>
      </c>
      <c r="EP25" s="28" t="str">
        <f t="shared" si="13"/>
        <v/>
      </c>
      <c r="EQ25" s="28" t="str">
        <f>IF(Compositions!Q41="","",(Compositions!Q41/(VLOOKUP(Compositions!M41,'HHV-LHV-MW'!$A$3:$F$40,6,FALSE))))</f>
        <v/>
      </c>
      <c r="ER25" s="26" t="str">
        <f>IF(EO25="","",((VLOOKUP(Compositions!M41,'HHV-LHV-MW'!$A$3:$F$40,4,FALSE))*(EO25/100)))</f>
        <v/>
      </c>
      <c r="ES25" s="26" t="str">
        <f>IF(EO25="","",((VLOOKUP(Compositions!M41,'HHV-LHV-MW'!$A$3:$F$40,5,FALSE))*(EO25/100)))</f>
        <v/>
      </c>
      <c r="ET25" s="39" t="str">
        <f>IF(EO25="","",((VLOOKUP(Compositions!M41,'HHV-LHV-MW'!$A$3:$F$40,6,FALSE))*(EO25/100)))</f>
        <v/>
      </c>
      <c r="EU25" s="13"/>
      <c r="EV25" s="13"/>
      <c r="EW25" s="13"/>
      <c r="EX25" s="13"/>
      <c r="EY25" s="13"/>
      <c r="EZ25" s="13"/>
      <c r="FB25" s="27" t="str">
        <f>IF(Compositions!T41="","",IF(Compositions!$T$25="mol%",Compositions!T41,FC25))</f>
        <v/>
      </c>
      <c r="FC25" s="27" t="str">
        <f t="shared" si="14"/>
        <v/>
      </c>
      <c r="FD25" s="27" t="str">
        <f>IF(Compositions!T41="","",(Compositions!T41/(VLOOKUP(Compositions!S41,'HHV-LHV-MW'!$A$3:$F$40,6,FALSE))))</f>
        <v/>
      </c>
      <c r="FE25" s="25" t="str">
        <f>IF(FB25="","",((VLOOKUP(Compositions!S41,'HHV-LHV-MW'!$A$3:$F$40,4,FALSE))*(FB25/100)))</f>
        <v/>
      </c>
      <c r="FF25" s="25" t="str">
        <f>IF(FB25="","",((VLOOKUP(Compositions!S41,'HHV-LHV-MW'!$A$3:$F$40,5,FALSE))*(FB25/100)))</f>
        <v/>
      </c>
      <c r="FG25" s="209" t="str">
        <f>IF(FB25="","",((VLOOKUP(Compositions!S41,'HHV-LHV-MW'!$A$3:$F$40,6,FALSE))*(FB25/100)))</f>
        <v/>
      </c>
      <c r="FH25" s="25"/>
      <c r="FI25" s="25"/>
      <c r="FJ25" s="25"/>
      <c r="FK25" s="180"/>
      <c r="FL25" s="180"/>
      <c r="FM25" s="180"/>
      <c r="FN25" s="28" t="str">
        <f>IF(Compositions!U41="","",IF(Compositions!$U$25="mol%",Compositions!U41,FO25))</f>
        <v/>
      </c>
      <c r="FO25" s="28" t="str">
        <f t="shared" si="15"/>
        <v/>
      </c>
      <c r="FP25" s="28" t="str">
        <f>IF(Compositions!U41="","",(Compositions!U41/(VLOOKUP(Compositions!S41,'HHV-LHV-MW'!$A$3:$F$40,6,FALSE))))</f>
        <v/>
      </c>
      <c r="FQ25" s="26" t="str">
        <f>IF(FN25="","",((VLOOKUP(Compositions!S41,'HHV-LHV-MW'!$A$3:$F$40,4,FALSE))*(FN25/100)))</f>
        <v/>
      </c>
      <c r="FR25" s="26" t="str">
        <f>IF(FN25="","",((VLOOKUP(Compositions!S41,'HHV-LHV-MW'!$A$3:$F$40,5,FALSE))*(FN25/100)))</f>
        <v/>
      </c>
      <c r="FS25" s="39" t="str">
        <f>IF(FN25="","",((VLOOKUP(Compositions!S41,'HHV-LHV-MW'!$A$3:$F$40,6,FALSE))*(FN25/100)))</f>
        <v/>
      </c>
      <c r="FT25" s="26"/>
      <c r="FU25" s="26"/>
      <c r="FV25" s="26"/>
      <c r="FW25" s="177"/>
      <c r="FX25" s="177"/>
      <c r="FY25" s="177"/>
      <c r="FZ25" s="27" t="str">
        <f>IF(Compositions!V41="","",IF(Compositions!$V$25="mol%",Compositions!V41,GA25))</f>
        <v/>
      </c>
      <c r="GA25" s="27" t="str">
        <f t="shared" si="16"/>
        <v/>
      </c>
      <c r="GB25" s="27" t="str">
        <f>IF(Compositions!V41="","",(Compositions!V41/(VLOOKUP(Compositions!S41,'HHV-LHV-MW'!$A$3:$F$40,6,FALSE))))</f>
        <v/>
      </c>
      <c r="GC25" s="25" t="str">
        <f>IF(FZ25="","",((VLOOKUP(Compositions!S41,'HHV-LHV-MW'!$A$3:$F$40,4,FALSE))*(FZ25/100)))</f>
        <v/>
      </c>
      <c r="GD25" s="25" t="str">
        <f>IF(FZ25="","",((VLOOKUP(Compositions!S41,'HHV-LHV-MW'!$A$3:$F$40,5,FALSE))*(FZ25/100)))</f>
        <v/>
      </c>
      <c r="GE25" s="209" t="str">
        <f>IF(FZ25="","",((VLOOKUP(Compositions!S41,'HHV-LHV-MW'!$A$3:$F$40,6,FALSE))*(FZ25/100)))</f>
        <v/>
      </c>
      <c r="GF25" s="25"/>
      <c r="GG25" s="25"/>
      <c r="GH25" s="25"/>
      <c r="GI25" s="180"/>
      <c r="GJ25" s="180"/>
      <c r="GK25" s="180"/>
      <c r="GL25" s="28" t="str">
        <f>IF(Compositions!W41="","",IF(Compositions!$W$25="mol%",Compositions!W41,GM25))</f>
        <v/>
      </c>
      <c r="GM25" s="28" t="str">
        <f t="shared" si="17"/>
        <v/>
      </c>
      <c r="GN25" s="28" t="str">
        <f>IF(Compositions!W41="","",(Compositions!W41/(VLOOKUP(Compositions!S41,'HHV-LHV-MW'!$A$3:$F$40,6,FALSE))))</f>
        <v/>
      </c>
      <c r="GO25" s="26" t="str">
        <f>IF(GL25="","",((VLOOKUP(Compositions!S41,'HHV-LHV-MW'!$A$3:$F$40,4,FALSE))*(GL25/100)))</f>
        <v/>
      </c>
      <c r="GP25" s="26" t="str">
        <f>IF(GL25="","",((VLOOKUP(Compositions!S41,'HHV-LHV-MW'!$A$3:$F$40,5,FALSE))*(GL25/100)))</f>
        <v/>
      </c>
      <c r="GQ25" s="39" t="str">
        <f>IF(GL25="","",((VLOOKUP(Compositions!S41,'HHV-LHV-MW'!$A$3:$F$40,6,FALSE))*(GL25/100)))</f>
        <v/>
      </c>
      <c r="GR25" s="13"/>
      <c r="GS25" s="13"/>
      <c r="GT25" s="13"/>
      <c r="GU25" s="13"/>
      <c r="GV25" s="13"/>
      <c r="GW25" s="13"/>
      <c r="GY25" s="27" t="str">
        <f>IF(Compositions!Z41="","",IF(Compositions!$Z$25="mol%",Compositions!Z41,GZ25))</f>
        <v/>
      </c>
      <c r="GZ25" s="27" t="str">
        <f t="shared" si="18"/>
        <v/>
      </c>
      <c r="HA25" s="27" t="str">
        <f>IF(Compositions!Z41="","",(Compositions!Z41/(VLOOKUP(Compositions!Y41,'HHV-LHV-MW'!$A$3:$F$40,6,FALSE))))</f>
        <v/>
      </c>
      <c r="HB25" s="25" t="str">
        <f>IF(GY25="","",((VLOOKUP(Compositions!Y41,'HHV-LHV-MW'!$A$3:$F$40,4,FALSE))*(GY25/100)))</f>
        <v/>
      </c>
      <c r="HC25" s="25" t="str">
        <f>IF(GY25="","",((VLOOKUP(Compositions!Y41,'HHV-LHV-MW'!$A$3:$F$40,5,FALSE))*(GY25/100)))</f>
        <v/>
      </c>
      <c r="HD25" s="209" t="str">
        <f>IF(GY25="","",((VLOOKUP(Compositions!Y41,'HHV-LHV-MW'!$A$3:$F$40,6,FALSE))*(GY25/100)))</f>
        <v/>
      </c>
      <c r="HE25" s="25"/>
      <c r="HF25" s="25"/>
      <c r="HG25" s="25"/>
      <c r="HH25" s="180"/>
      <c r="HI25" s="180"/>
      <c r="HJ25" s="180"/>
      <c r="HK25" s="28" t="str">
        <f>IF(Compositions!AA41="","",IF(Compositions!$AA$25="mol%",Compositions!AA41,HL25))</f>
        <v/>
      </c>
      <c r="HL25" s="28" t="str">
        <f t="shared" si="19"/>
        <v/>
      </c>
      <c r="HM25" s="28" t="str">
        <f>IF(Compositions!AA41="","",(Compositions!AA41/(VLOOKUP(Compositions!Y41,'HHV-LHV-MW'!$A$3:$F$40,6,FALSE))))</f>
        <v/>
      </c>
      <c r="HN25" s="26" t="str">
        <f>IF(HK25="","",((VLOOKUP(Compositions!Y41,'HHV-LHV-MW'!$A$3:$F$40,4,FALSE))*(HK25/100)))</f>
        <v/>
      </c>
      <c r="HO25" s="26" t="str">
        <f>IF(HK25="","",((VLOOKUP(Compositions!Y41,'HHV-LHV-MW'!$A$3:$F$40,5,FALSE))*(HK25/100)))</f>
        <v/>
      </c>
      <c r="HP25" s="39" t="str">
        <f>IF(HK25="","",((VLOOKUP(Compositions!Y41,'HHV-LHV-MW'!$A$3:$F$40,6,FALSE))*(HK25/100)))</f>
        <v/>
      </c>
      <c r="HQ25" s="26"/>
      <c r="HR25" s="26"/>
      <c r="HS25" s="26"/>
      <c r="HT25" s="177"/>
      <c r="HU25" s="177"/>
      <c r="HV25" s="177"/>
      <c r="HW25" s="27" t="str">
        <f>IF(Compositions!AB41="","",IF(Compositions!$AB$25="mol%",Compositions!AB41,HX25))</f>
        <v/>
      </c>
      <c r="HX25" s="27" t="str">
        <f t="shared" si="20"/>
        <v/>
      </c>
      <c r="HY25" s="27" t="str">
        <f>IF(Compositions!AB41="","",(Compositions!AB41/(VLOOKUP(Compositions!Y41,'HHV-LHV-MW'!$A$3:$F$40,6,FALSE))))</f>
        <v/>
      </c>
      <c r="HZ25" s="25" t="str">
        <f>IF(HW25="","",((VLOOKUP(Compositions!Y41,'HHV-LHV-MW'!$A$3:$F$40,4,FALSE))*(HW25/100)))</f>
        <v/>
      </c>
      <c r="IA25" s="25" t="str">
        <f>IF(HW25="","",((VLOOKUP(Compositions!Y41,'HHV-LHV-MW'!$A$3:$F$40,5,FALSE))*(HW25/100)))</f>
        <v/>
      </c>
      <c r="IB25" s="209" t="str">
        <f>IF(HW25="","",((VLOOKUP(Compositions!Y41,'HHV-LHV-MW'!$A$3:$F$40,6,FALSE))*(HW25/100)))</f>
        <v/>
      </c>
      <c r="IC25" s="25"/>
      <c r="ID25" s="25"/>
      <c r="IE25" s="25"/>
      <c r="IF25" s="180"/>
      <c r="IG25" s="180"/>
      <c r="IH25" s="180"/>
      <c r="II25" s="28" t="str">
        <f>IF(Compositions!AC41="","",IF(Compositions!$AC$25="mol%",Compositions!AC41,IJ25))</f>
        <v/>
      </c>
      <c r="IJ25" s="28" t="str">
        <f t="shared" si="21"/>
        <v/>
      </c>
      <c r="IK25" s="28" t="str">
        <f>IF(Compositions!AC41="","",(Compositions!AC41/(VLOOKUP(Compositions!Y41,'HHV-LHV-MW'!$A$3:$F$40,6,FALSE))))</f>
        <v/>
      </c>
      <c r="IL25" s="26" t="str">
        <f>IF(II25="","",((VLOOKUP(Compositions!Y41,'HHV-LHV-MW'!$A$3:$F$40,4,FALSE))*(II25/100)))</f>
        <v/>
      </c>
      <c r="IM25" s="26" t="str">
        <f>IF(II25="","",((VLOOKUP(Compositions!Y41,'HHV-LHV-MW'!$A$3:$F$40,5,FALSE))*(II25/100)))</f>
        <v/>
      </c>
      <c r="IN25" s="39" t="str">
        <f>IF(II25="","",((VLOOKUP(Compositions!Y41,'HHV-LHV-MW'!$A$3:$F$40,6,FALSE))*(II25/100)))</f>
        <v/>
      </c>
      <c r="IO25" s="13"/>
      <c r="IP25" s="13"/>
      <c r="IQ25" s="13"/>
      <c r="IR25" s="13"/>
      <c r="IS25" s="13"/>
      <c r="IT25" s="13"/>
      <c r="IV25" s="27" t="str">
        <f>IF(Compositions!AF41="","",IF(Compositions!$AF$25="mol%",Compositions!AF41,IW25))</f>
        <v/>
      </c>
      <c r="IW25" s="27" t="str">
        <f t="shared" si="6"/>
        <v/>
      </c>
      <c r="IX25" s="27" t="str">
        <f>IF(Compositions!AF41="","",(Compositions!AF41/(VLOOKUP(Compositions!AE41,'HHV-LHV-MW'!$A$3:$F$40,6,FALSE))))</f>
        <v/>
      </c>
      <c r="IY25" s="25" t="str">
        <f>IF(IV25="","",((VLOOKUP(Compositions!AE41,'HHV-LHV-MW'!$A$3:$F$40,4,FALSE))*(IV25/100)))</f>
        <v/>
      </c>
      <c r="IZ25" s="25" t="str">
        <f>IF(IV25="","",((VLOOKUP(Compositions!AE41,'HHV-LHV-MW'!$A$3:$F$40,5,FALSE))*(IV25/100)))</f>
        <v/>
      </c>
      <c r="JA25" s="209" t="str">
        <f>IF(IV25="","",((VLOOKUP(Compositions!AE41,'HHV-LHV-MW'!$A$3:$F$40,6,FALSE))*(IV25/100)))</f>
        <v/>
      </c>
      <c r="JB25" s="25"/>
      <c r="JC25" s="25"/>
      <c r="JD25" s="25"/>
      <c r="JE25" s="180"/>
      <c r="JF25" s="180"/>
      <c r="JG25" s="180"/>
      <c r="JH25" s="28" t="str">
        <f>IF(Compositions!AG41="","",IF(Compositions!$AG$25="mol%",Compositions!AG41,JI25))</f>
        <v/>
      </c>
      <c r="JI25" s="28" t="str">
        <f t="shared" si="22"/>
        <v/>
      </c>
      <c r="JJ25" s="28" t="str">
        <f>IF(Compositions!AG41="","",(Compositions!AG41/(VLOOKUP(Compositions!AE41,'HHV-LHV-MW'!$A$3:$F$40,6,FALSE))))</f>
        <v/>
      </c>
      <c r="JK25" s="26" t="str">
        <f>IF(JH25="","",((VLOOKUP(Compositions!AE41,'HHV-LHV-MW'!$A$3:$F$40,4,FALSE))*(JH25/100)))</f>
        <v/>
      </c>
      <c r="JL25" s="26" t="str">
        <f>IF(JH25="","",((VLOOKUP(Compositions!AE41,'HHV-LHV-MW'!$A$3:$F$40,5,FALSE))*(JH25/100)))</f>
        <v/>
      </c>
      <c r="JM25" s="39" t="str">
        <f>IF(JH25="","",((VLOOKUP(Compositions!AE41,'HHV-LHV-MW'!$A$3:$F$40,6,FALSE))*(JH25/100)))</f>
        <v/>
      </c>
      <c r="JN25" s="26"/>
      <c r="JO25" s="26"/>
      <c r="JP25" s="26"/>
      <c r="JQ25" s="177"/>
      <c r="JR25" s="177"/>
      <c r="JS25" s="177"/>
      <c r="JT25" s="27" t="str">
        <f>IF(Compositions!AH41="","",IF(Compositions!$AH$25="mol%",Compositions!AH41,JU25))</f>
        <v/>
      </c>
      <c r="JU25" s="27" t="str">
        <f t="shared" si="23"/>
        <v/>
      </c>
      <c r="JV25" s="27" t="str">
        <f>IF(Compositions!AH41="","",(Compositions!AH41/(VLOOKUP(Compositions!AE41,'HHV-LHV-MW'!$A$3:$F$40,6,FALSE))))</f>
        <v/>
      </c>
      <c r="JW25" s="25" t="str">
        <f>IF(JT25="","",((VLOOKUP(Compositions!AE41,'HHV-LHV-MW'!$A$3:$F$40,4,FALSE))*(JT25/100)))</f>
        <v/>
      </c>
      <c r="JX25" s="25" t="str">
        <f>IF(JT25="","",((VLOOKUP(Compositions!AE41,'HHV-LHV-MW'!$A$3:$F$40,5,FALSE))*(JT25/100)))</f>
        <v/>
      </c>
      <c r="JY25" s="209" t="str">
        <f>IF(JT25="","",((VLOOKUP(Compositions!AE41,'HHV-LHV-MW'!$A$3:$F$40,6,FALSE))*(JT25/100)))</f>
        <v/>
      </c>
      <c r="JZ25" s="25"/>
      <c r="KA25" s="25"/>
      <c r="KB25" s="25"/>
      <c r="KC25" s="180"/>
      <c r="KD25" s="180"/>
      <c r="KE25" s="180"/>
      <c r="KF25" s="28" t="str">
        <f>IF(Compositions!AI41="","",IF(Compositions!$AI$25="mol%",Compositions!AI41,KG25))</f>
        <v/>
      </c>
      <c r="KG25" s="28" t="str">
        <f t="shared" si="24"/>
        <v/>
      </c>
      <c r="KH25" s="28" t="str">
        <f>IF(Compositions!AI41="","",(Compositions!AI41/(VLOOKUP(Compositions!AE41,'HHV-LHV-MW'!$A$3:$F$40,6,FALSE))))</f>
        <v/>
      </c>
      <c r="KI25" s="26" t="str">
        <f>IF(KF25="","",((VLOOKUP(Compositions!AE41,'HHV-LHV-MW'!$A$3:$F$40,4,FALSE))*(KF25/100)))</f>
        <v/>
      </c>
      <c r="KJ25" s="26" t="str">
        <f>IF(KF25="","",((VLOOKUP(Compositions!AE41,'HHV-LHV-MW'!$A$3:$F$40,5,FALSE))*(KF25/100)))</f>
        <v/>
      </c>
      <c r="KK25" s="39" t="str">
        <f>IF(KF25="","",((VLOOKUP(Compositions!AE41,'HHV-LHV-MW'!$A$3:$F$40,6,FALSE))*(KF25/100)))</f>
        <v/>
      </c>
      <c r="KL25" s="13"/>
      <c r="KM25" s="13"/>
      <c r="KN25" s="13"/>
    </row>
    <row r="26" spans="1:300" ht="15.6">
      <c r="A26" s="173" t="s">
        <v>203</v>
      </c>
      <c r="B26" s="19" t="s">
        <v>192</v>
      </c>
      <c r="C26" s="20">
        <v>6</v>
      </c>
      <c r="D26" s="20">
        <v>4.1920999999999999</v>
      </c>
      <c r="E26" s="20">
        <v>3.8795999999999999</v>
      </c>
      <c r="F26" s="20">
        <v>86.177160000000001</v>
      </c>
      <c r="G26" s="20">
        <f t="shared" si="0"/>
        <v>0</v>
      </c>
      <c r="H26" s="20">
        <v>0</v>
      </c>
      <c r="I26" s="170">
        <v>1</v>
      </c>
      <c r="K26" s="27" t="str">
        <f>IF(Compositions!B42="","",IF(Compositions!$B$25="mol%",Compositions!B42,L26))</f>
        <v/>
      </c>
      <c r="L26" s="27" t="str">
        <f t="shared" si="1"/>
        <v/>
      </c>
      <c r="M26" s="27" t="str">
        <f>IF(Compositions!B42="","",(Compositions!B42/(VLOOKUP(Compositions!A42,'HHV-LHV-MW'!$A$3:$F$40,6,FALSE))))</f>
        <v/>
      </c>
      <c r="N26" s="25" t="str">
        <f>IF(K26="","",((VLOOKUP(Compositions!A42,'HHV-LHV-MW'!$A$3:$F$40,4,FALSE))*(K26/100)))</f>
        <v/>
      </c>
      <c r="O26" s="25" t="str">
        <f>IF(K26="","",((VLOOKUP(Compositions!A42,'HHV-LHV-MW'!$A$3:$F$40,5,FALSE))*(K26/100)))</f>
        <v/>
      </c>
      <c r="P26" s="206" t="str">
        <f>IF(K26="","",((VLOOKUP(Compositions!A42,'HHV-LHV-MW'!$A$3:$F$40,6,FALSE))*(K26/100)))</f>
        <v/>
      </c>
      <c r="Q26" s="25"/>
      <c r="R26" s="25"/>
      <c r="S26" s="25"/>
      <c r="T26" s="166"/>
      <c r="U26" s="174"/>
      <c r="V26" s="180"/>
      <c r="W26" s="28" t="str">
        <f>IF(Compositions!C42="","",IF(Compositions!$C$25="mol%",Compositions!C42,X26))</f>
        <v/>
      </c>
      <c r="X26" s="28" t="str">
        <f t="shared" si="2"/>
        <v/>
      </c>
      <c r="Y26" s="28" t="str">
        <f>IF(Compositions!C42="","",(Compositions!C42/(VLOOKUP(Compositions!A42,'HHV-LHV-MW'!$A$3:$F$40,6,FALSE))))</f>
        <v/>
      </c>
      <c r="Z26" s="26" t="str">
        <f>IF(W26="","",((VLOOKUP(Compositions!A42,'HHV-LHV-MW'!$A$3:$F$40,4,FALSE))*(W26/100)))</f>
        <v/>
      </c>
      <c r="AA26" s="26" t="str">
        <f>IF(W26="","",((VLOOKUP(Compositions!A42,'HHV-LHV-MW'!$A$3:$F$40,5,FALSE))*(W26/100)))</f>
        <v/>
      </c>
      <c r="AB26" s="39" t="str">
        <f>IF(W26="","",((VLOOKUP(Compositions!A42,'HHV-LHV-MW'!$A$3:$F$40,6,FALSE))*(W26/100)))</f>
        <v/>
      </c>
      <c r="AC26" s="26"/>
      <c r="AD26" s="26"/>
      <c r="AE26" s="26"/>
      <c r="AF26" s="177"/>
      <c r="AG26" s="177"/>
      <c r="AH26" s="177"/>
      <c r="AI26" s="27" t="str">
        <f>IF(Compositions!D42="","",IF(Compositions!$D$25="mol%",Compositions!D42,AJ26))</f>
        <v/>
      </c>
      <c r="AJ26" s="27" t="str">
        <f t="shared" si="3"/>
        <v/>
      </c>
      <c r="AK26" s="27" t="str">
        <f>IF(Compositions!D42="","",(Compositions!D42/(VLOOKUP(Compositions!A42,'HHV-LHV-MW'!$A$3:$F$40,6,FALSE))))</f>
        <v/>
      </c>
      <c r="AL26" s="25" t="str">
        <f>IF(AI26="","",((VLOOKUP(Compositions!A42,'HHV-LHV-MW'!$A$3:$F$40,4,FALSE))*(AI26/100)))</f>
        <v/>
      </c>
      <c r="AM26" s="25" t="str">
        <f>IF(AI26="","",((VLOOKUP(Compositions!A42,'HHV-LHV-MW'!$A$3:$F$40,5,FALSE))*(AI26/100)))</f>
        <v/>
      </c>
      <c r="AN26" s="209" t="str">
        <f>IF(AI26="","",((VLOOKUP(Compositions!A42,'HHV-LHV-MW'!$A$3:$F$40,6,FALSE))*(AI26/100)))</f>
        <v/>
      </c>
      <c r="AO26" s="25"/>
      <c r="AP26" s="25"/>
      <c r="AQ26" s="25"/>
      <c r="AR26" s="180"/>
      <c r="AS26" s="180"/>
      <c r="AT26" s="180"/>
      <c r="AU26" s="28" t="str">
        <f>IF(Compositions!E42="","",IF(Compositions!$E$25="mol%",Compositions!E42,AV26))</f>
        <v/>
      </c>
      <c r="AV26" s="28" t="str">
        <f t="shared" si="4"/>
        <v/>
      </c>
      <c r="AW26" s="28" t="str">
        <f>IF(Compositions!E42="","",(Compositions!E42/(VLOOKUP(Compositions!A42,'HHV-LHV-MW'!$A$3:$F$40,6,FALSE))))</f>
        <v/>
      </c>
      <c r="AX26" s="26" t="str">
        <f>IF(AU26="","",((VLOOKUP(Compositions!A42,'HHV-LHV-MW'!$A$3:$F$40,4,FALSE))*(AU26/100)))</f>
        <v/>
      </c>
      <c r="AY26" s="26" t="str">
        <f>IF(AU26="","",((VLOOKUP(Compositions!A42,'HHV-LHV-MW'!$A$3:$F$40,5,FALSE))*(AU26/100)))</f>
        <v/>
      </c>
      <c r="AZ26" s="39" t="str">
        <f>IF(AU26="","",((VLOOKUP(Compositions!A42,'HHV-LHV-MW'!$A$3:$F$40,6,FALSE))*(AU26/100)))</f>
        <v/>
      </c>
      <c r="BA26" s="13"/>
      <c r="BB26" s="13"/>
      <c r="BC26" s="13"/>
      <c r="BD26" s="13"/>
      <c r="BE26" s="13"/>
      <c r="BF26" s="13"/>
      <c r="BH26" s="27" t="str">
        <f>IF(Compositions!H42="","",IF(Compositions!$H$25="mol%",Compositions!H42,BI26))</f>
        <v/>
      </c>
      <c r="BI26" s="27" t="str">
        <f t="shared" si="7"/>
        <v/>
      </c>
      <c r="BJ26" s="27" t="str">
        <f>IF(Compositions!H42="","",(Compositions!H42/(VLOOKUP(Compositions!G42,'HHV-LHV-MW'!$A$3:$F$40,6,FALSE))))</f>
        <v/>
      </c>
      <c r="BK26" s="25" t="str">
        <f>IF(BH26="","",((VLOOKUP(Compositions!G42,'HHV-LHV-MW'!$A$3:$F$40,4,FALSE))*(BH26/100)))</f>
        <v/>
      </c>
      <c r="BL26" s="25" t="str">
        <f>IF(BH26="","",((VLOOKUP(Compositions!G42,'HHV-LHV-MW'!$A$3:$F$40,5,FALSE))*(BH26/100)))</f>
        <v/>
      </c>
      <c r="BM26" s="209" t="str">
        <f>IF(BH26="","",((VLOOKUP(Compositions!G42,'HHV-LHV-MW'!$A$3:$F$40,6,FALSE))*(BH26/100)))</f>
        <v/>
      </c>
      <c r="BN26" s="25"/>
      <c r="BO26" s="25"/>
      <c r="BP26" s="25"/>
      <c r="BQ26" s="180"/>
      <c r="BR26" s="180"/>
      <c r="BS26" s="180"/>
      <c r="BT26" s="28" t="str">
        <f>IF(Compositions!I42="","",IF(Compositions!$I$25="mol%",Compositions!I42,BU26))</f>
        <v/>
      </c>
      <c r="BU26" s="28" t="str">
        <f t="shared" si="8"/>
        <v/>
      </c>
      <c r="BV26" s="28" t="str">
        <f>IF(Compositions!I42="","",(Compositions!I42/(VLOOKUP(Compositions!G42,'HHV-LHV-MW'!$A$3:$F$40,6,FALSE))))</f>
        <v/>
      </c>
      <c r="BW26" s="26" t="str">
        <f>IF(BT26="","",((VLOOKUP(Compositions!G42,'HHV-LHV-MW'!$A$3:$F$40,4,FALSE))*(BT26/100)))</f>
        <v/>
      </c>
      <c r="BX26" s="26" t="str">
        <f>IF(BT26="","",((VLOOKUP(Compositions!G42,'HHV-LHV-MW'!$A$3:$F$40,5,FALSE))*(BT26/100)))</f>
        <v/>
      </c>
      <c r="BY26" s="207" t="str">
        <f>IF(BT26="","",((VLOOKUP(Compositions!G42,'HHV-LHV-MW'!$A$3:$F$40,6,FALSE))*(BT26/100)))</f>
        <v/>
      </c>
      <c r="BZ26" s="26"/>
      <c r="CA26" s="26"/>
      <c r="CB26" s="26"/>
      <c r="CC26" s="177"/>
      <c r="CD26" s="177"/>
      <c r="CE26" s="177"/>
      <c r="CF26" s="27" t="str">
        <f>IF(Compositions!J42="","",IF(Compositions!$J$25="mol%",Compositions!J42,CG26))</f>
        <v/>
      </c>
      <c r="CG26" s="27" t="str">
        <f t="shared" si="9"/>
        <v/>
      </c>
      <c r="CH26" s="27" t="str">
        <f>IF(Compositions!J42="","",(Compositions!J42/(VLOOKUP(Compositions!G42,'HHV-LHV-MW'!$A$3:$F$40,6,FALSE))))</f>
        <v/>
      </c>
      <c r="CI26" s="25" t="str">
        <f>IF(CF26="","",((VLOOKUP(Compositions!G42,'HHV-LHV-MW'!$A$3:$F$40,4,FALSE))*(CF26/100)))</f>
        <v/>
      </c>
      <c r="CJ26" s="25" t="str">
        <f>IF(CF26="","",((VLOOKUP(Compositions!G42,'HHV-LHV-MW'!$A$3:$F$40,5,FALSE))*(CF26/100)))</f>
        <v/>
      </c>
      <c r="CK26" s="209" t="str">
        <f>IF(CF26="","",((VLOOKUP(Compositions!G42,'HHV-LHV-MW'!$A$3:$F$40,6,FALSE))*(CF26/100)))</f>
        <v/>
      </c>
      <c r="CL26" s="25"/>
      <c r="CM26" s="25"/>
      <c r="CN26" s="25"/>
      <c r="CO26" s="180"/>
      <c r="CP26" s="180"/>
      <c r="CQ26" s="180"/>
      <c r="CR26" s="28" t="str">
        <f>IF(Compositions!K42="","",IF(Compositions!$K$25="mol%",Compositions!K42,CS26))</f>
        <v/>
      </c>
      <c r="CS26" s="28" t="str">
        <f t="shared" si="10"/>
        <v/>
      </c>
      <c r="CT26" s="28" t="str">
        <f>IF(Compositions!K42="","",(Compositions!K42/(VLOOKUP(Compositions!G42,'HHV-LHV-MW'!$A$3:$F$40,6,FALSE))))</f>
        <v/>
      </c>
      <c r="CU26" s="26" t="str">
        <f>IF(CR26="","",((VLOOKUP(Compositions!G42,'HHV-LHV-MW'!$A$3:$F$40,4,FALSE))*(CR26/100)))</f>
        <v/>
      </c>
      <c r="CV26" s="26" t="str">
        <f>IF(CR26="","",((VLOOKUP(Compositions!G42,'HHV-LHV-MW'!$A$3:$F$40,5,FALSE))*(CR26/100)))</f>
        <v/>
      </c>
      <c r="CW26" s="207" t="str">
        <f>IF(CR26="","",((VLOOKUP(Compositions!G42,'HHV-LHV-MW'!$A$3:$F$40,6,FALSE))*(CR26/100)))</f>
        <v/>
      </c>
      <c r="CX26" s="13"/>
      <c r="CY26" s="13"/>
      <c r="CZ26" s="13"/>
      <c r="DA26" s="13"/>
      <c r="DB26" s="13"/>
      <c r="DC26" s="13"/>
      <c r="DE26" s="27" t="str">
        <f>IF(Compositions!N42="","",IF(Compositions!$N$25="mol%",Compositions!N42,DF26))</f>
        <v/>
      </c>
      <c r="DF26" s="27" t="str">
        <f t="shared" si="5"/>
        <v/>
      </c>
      <c r="DG26" s="27" t="str">
        <f>IF(Compositions!N42="","",(Compositions!N42/(VLOOKUP(Compositions!M42,'HHV-LHV-MW'!$A$3:$F$40,6,FALSE))))</f>
        <v/>
      </c>
      <c r="DH26" s="25" t="str">
        <f>IF(DE26="","",((VLOOKUP(Compositions!M42,'HHV-LHV-MW'!$A$3:$F$40,4,FALSE))*(DE26/100)))</f>
        <v/>
      </c>
      <c r="DI26" s="25" t="str">
        <f>IF(DE26="","",((VLOOKUP(Compositions!M42,'HHV-LHV-MW'!$A$3:$F$40,5,FALSE))*(DE26/100)))</f>
        <v/>
      </c>
      <c r="DJ26" s="209" t="str">
        <f>IF(DE26="","",((VLOOKUP(Compositions!M42,'HHV-LHV-MW'!$A$3:$F$40,6,FALSE))*(DE26/100)))</f>
        <v/>
      </c>
      <c r="DK26" s="25"/>
      <c r="DL26" s="25"/>
      <c r="DM26" s="25"/>
      <c r="DN26" s="180"/>
      <c r="DO26" s="180"/>
      <c r="DP26" s="180"/>
      <c r="DQ26" s="28" t="str">
        <f>IF(Compositions!O42="","",IF(Compositions!$O$25="mol%",Compositions!O42,DR26))</f>
        <v/>
      </c>
      <c r="DR26" s="28" t="str">
        <f t="shared" si="11"/>
        <v/>
      </c>
      <c r="DS26" s="28" t="str">
        <f>IF(Compositions!O42="","",(Compositions!O42/(VLOOKUP(Compositions!M42,'HHV-LHV-MW'!$A$3:$F$40,6,FALSE))))</f>
        <v/>
      </c>
      <c r="DT26" s="26" t="str">
        <f>IF(DQ26="","",((VLOOKUP(Compositions!M42,'HHV-LHV-MW'!$A$3:$F$40,4,FALSE))*(DQ26/100)))</f>
        <v/>
      </c>
      <c r="DU26" s="26" t="str">
        <f>IF(DQ26="","",((VLOOKUP(Compositions!M42,'HHV-LHV-MW'!$A$3:$F$40,5,FALSE))*(DQ26/100)))</f>
        <v/>
      </c>
      <c r="DV26" s="39" t="str">
        <f>IF(DQ26="","",((VLOOKUP(Compositions!M42,'HHV-LHV-MW'!$A$3:$F$40,6,FALSE))*(DQ26/100)))</f>
        <v/>
      </c>
      <c r="DW26" s="26"/>
      <c r="DX26" s="26"/>
      <c r="DY26" s="26"/>
      <c r="DZ26" s="177"/>
      <c r="EA26" s="177"/>
      <c r="EB26" s="177"/>
      <c r="EC26" s="27" t="str">
        <f>IF(Compositions!P42="","",IF(Compositions!$P$25="mol%",Compositions!P42,ED26))</f>
        <v/>
      </c>
      <c r="ED26" s="27" t="str">
        <f t="shared" si="12"/>
        <v/>
      </c>
      <c r="EE26" s="27" t="str">
        <f>IF(Compositions!P42="","",(Compositions!P42/(VLOOKUP(Compositions!M42,'HHV-LHV-MW'!$A$3:$F$40,6,FALSE))))</f>
        <v/>
      </c>
      <c r="EF26" s="25" t="str">
        <f>IF(EC26="","",((VLOOKUP(Compositions!M42,'HHV-LHV-MW'!$A$3:$F$40,4,FALSE))*(EC26/100)))</f>
        <v/>
      </c>
      <c r="EG26" s="25" t="str">
        <f>IF(EC26="","",((VLOOKUP(Compositions!M42,'HHV-LHV-MW'!$A$3:$F$40,5,FALSE))*(EC26/100)))</f>
        <v/>
      </c>
      <c r="EH26" s="209" t="str">
        <f>IF(EC26="","",((VLOOKUP(Compositions!M42,'HHV-LHV-MW'!$A$3:$F$40,6,FALSE))*(EC26/100)))</f>
        <v/>
      </c>
      <c r="EI26" s="25"/>
      <c r="EJ26" s="25"/>
      <c r="EK26" s="25"/>
      <c r="EL26" s="180"/>
      <c r="EM26" s="180"/>
      <c r="EN26" s="180"/>
      <c r="EO26" s="28" t="str">
        <f>IF(Compositions!Q42="","",IF(Compositions!$Q$25="mol%",Compositions!Q42,EP26))</f>
        <v/>
      </c>
      <c r="EP26" s="28" t="str">
        <f t="shared" si="13"/>
        <v/>
      </c>
      <c r="EQ26" s="28" t="str">
        <f>IF(Compositions!Q42="","",(Compositions!Q42/(VLOOKUP(Compositions!M42,'HHV-LHV-MW'!$A$3:$F$40,6,FALSE))))</f>
        <v/>
      </c>
      <c r="ER26" s="26" t="str">
        <f>IF(EO26="","",((VLOOKUP(Compositions!M42,'HHV-LHV-MW'!$A$3:$F$40,4,FALSE))*(EO26/100)))</f>
        <v/>
      </c>
      <c r="ES26" s="26" t="str">
        <f>IF(EO26="","",((VLOOKUP(Compositions!M42,'HHV-LHV-MW'!$A$3:$F$40,5,FALSE))*(EO26/100)))</f>
        <v/>
      </c>
      <c r="ET26" s="39" t="str">
        <f>IF(EO26="","",((VLOOKUP(Compositions!M42,'HHV-LHV-MW'!$A$3:$F$40,6,FALSE))*(EO26/100)))</f>
        <v/>
      </c>
      <c r="EU26" s="13"/>
      <c r="EV26" s="13"/>
      <c r="EW26" s="13"/>
      <c r="EX26" s="13"/>
      <c r="EY26" s="13"/>
      <c r="EZ26" s="13"/>
      <c r="FB26" s="27" t="str">
        <f>IF(Compositions!T42="","",IF(Compositions!$T$25="mol%",Compositions!T42,FC26))</f>
        <v/>
      </c>
      <c r="FC26" s="27" t="str">
        <f t="shared" si="14"/>
        <v/>
      </c>
      <c r="FD26" s="27" t="str">
        <f>IF(Compositions!T42="","",(Compositions!T42/(VLOOKUP(Compositions!S42,'HHV-LHV-MW'!$A$3:$F$40,6,FALSE))))</f>
        <v/>
      </c>
      <c r="FE26" s="25" t="str">
        <f>IF(FB26="","",((VLOOKUP(Compositions!S42,'HHV-LHV-MW'!$A$3:$F$40,4,FALSE))*(FB26/100)))</f>
        <v/>
      </c>
      <c r="FF26" s="25" t="str">
        <f>IF(FB26="","",((VLOOKUP(Compositions!S42,'HHV-LHV-MW'!$A$3:$F$40,5,FALSE))*(FB26/100)))</f>
        <v/>
      </c>
      <c r="FG26" s="209" t="str">
        <f>IF(FB26="","",((VLOOKUP(Compositions!S42,'HHV-LHV-MW'!$A$3:$F$40,6,FALSE))*(FB26/100)))</f>
        <v/>
      </c>
      <c r="FH26" s="25"/>
      <c r="FI26" s="25"/>
      <c r="FJ26" s="25"/>
      <c r="FK26" s="180"/>
      <c r="FL26" s="180"/>
      <c r="FM26" s="180"/>
      <c r="FN26" s="28" t="str">
        <f>IF(Compositions!U42="","",IF(Compositions!$U$25="mol%",Compositions!U42,FO26))</f>
        <v/>
      </c>
      <c r="FO26" s="28" t="str">
        <f t="shared" si="15"/>
        <v/>
      </c>
      <c r="FP26" s="28" t="str">
        <f>IF(Compositions!U42="","",(Compositions!U42/(VLOOKUP(Compositions!S42,'HHV-LHV-MW'!$A$3:$F$40,6,FALSE))))</f>
        <v/>
      </c>
      <c r="FQ26" s="26" t="str">
        <f>IF(FN26="","",((VLOOKUP(Compositions!S42,'HHV-LHV-MW'!$A$3:$F$40,4,FALSE))*(FN26/100)))</f>
        <v/>
      </c>
      <c r="FR26" s="26" t="str">
        <f>IF(FN26="","",((VLOOKUP(Compositions!S42,'HHV-LHV-MW'!$A$3:$F$40,5,FALSE))*(FN26/100)))</f>
        <v/>
      </c>
      <c r="FS26" s="39" t="str">
        <f>IF(FN26="","",((VLOOKUP(Compositions!S42,'HHV-LHV-MW'!$A$3:$F$40,6,FALSE))*(FN26/100)))</f>
        <v/>
      </c>
      <c r="FT26" s="26"/>
      <c r="FU26" s="26"/>
      <c r="FV26" s="26"/>
      <c r="FW26" s="177"/>
      <c r="FX26" s="177"/>
      <c r="FY26" s="177"/>
      <c r="FZ26" s="27" t="str">
        <f>IF(Compositions!V42="","",IF(Compositions!$V$25="mol%",Compositions!V42,GA26))</f>
        <v/>
      </c>
      <c r="GA26" s="27" t="str">
        <f t="shared" si="16"/>
        <v/>
      </c>
      <c r="GB26" s="27" t="str">
        <f>IF(Compositions!V42="","",(Compositions!V42/(VLOOKUP(Compositions!S42,'HHV-LHV-MW'!$A$3:$F$40,6,FALSE))))</f>
        <v/>
      </c>
      <c r="GC26" s="25" t="str">
        <f>IF(FZ26="","",((VLOOKUP(Compositions!S42,'HHV-LHV-MW'!$A$3:$F$40,4,FALSE))*(FZ26/100)))</f>
        <v/>
      </c>
      <c r="GD26" s="25" t="str">
        <f>IF(FZ26="","",((VLOOKUP(Compositions!S42,'HHV-LHV-MW'!$A$3:$F$40,5,FALSE))*(FZ26/100)))</f>
        <v/>
      </c>
      <c r="GE26" s="209" t="str">
        <f>IF(FZ26="","",((VLOOKUP(Compositions!S42,'HHV-LHV-MW'!$A$3:$F$40,6,FALSE))*(FZ26/100)))</f>
        <v/>
      </c>
      <c r="GF26" s="25"/>
      <c r="GG26" s="25"/>
      <c r="GH26" s="25"/>
      <c r="GI26" s="180"/>
      <c r="GJ26" s="180"/>
      <c r="GK26" s="180"/>
      <c r="GL26" s="28" t="str">
        <f>IF(Compositions!W42="","",IF(Compositions!$W$25="mol%",Compositions!W42,GM26))</f>
        <v/>
      </c>
      <c r="GM26" s="28" t="str">
        <f t="shared" si="17"/>
        <v/>
      </c>
      <c r="GN26" s="28" t="str">
        <f>IF(Compositions!W42="","",(Compositions!W42/(VLOOKUP(Compositions!S42,'HHV-LHV-MW'!$A$3:$F$40,6,FALSE))))</f>
        <v/>
      </c>
      <c r="GO26" s="26" t="str">
        <f>IF(GL26="","",((VLOOKUP(Compositions!S42,'HHV-LHV-MW'!$A$3:$F$40,4,FALSE))*(GL26/100)))</f>
        <v/>
      </c>
      <c r="GP26" s="26" t="str">
        <f>IF(GL26="","",((VLOOKUP(Compositions!S42,'HHV-LHV-MW'!$A$3:$F$40,5,FALSE))*(GL26/100)))</f>
        <v/>
      </c>
      <c r="GQ26" s="39" t="str">
        <f>IF(GL26="","",((VLOOKUP(Compositions!S42,'HHV-LHV-MW'!$A$3:$F$40,6,FALSE))*(GL26/100)))</f>
        <v/>
      </c>
      <c r="GR26" s="13"/>
      <c r="GS26" s="13"/>
      <c r="GT26" s="13"/>
      <c r="GU26" s="13"/>
      <c r="GV26" s="13"/>
      <c r="GW26" s="13"/>
      <c r="GY26" s="27" t="str">
        <f>IF(Compositions!Z42="","",IF(Compositions!$Z$25="mol%",Compositions!Z42,GZ26))</f>
        <v/>
      </c>
      <c r="GZ26" s="27" t="str">
        <f t="shared" si="18"/>
        <v/>
      </c>
      <c r="HA26" s="27" t="str">
        <f>IF(Compositions!Z42="","",(Compositions!Z42/(VLOOKUP(Compositions!Y42,'HHV-LHV-MW'!$A$3:$F$40,6,FALSE))))</f>
        <v/>
      </c>
      <c r="HB26" s="25" t="str">
        <f>IF(GY26="","",((VLOOKUP(Compositions!Y42,'HHV-LHV-MW'!$A$3:$F$40,4,FALSE))*(GY26/100)))</f>
        <v/>
      </c>
      <c r="HC26" s="25" t="str">
        <f>IF(GY26="","",((VLOOKUP(Compositions!Y42,'HHV-LHV-MW'!$A$3:$F$40,5,FALSE))*(GY26/100)))</f>
        <v/>
      </c>
      <c r="HD26" s="209" t="str">
        <f>IF(GY26="","",((VLOOKUP(Compositions!Y42,'HHV-LHV-MW'!$A$3:$F$40,6,FALSE))*(GY26/100)))</f>
        <v/>
      </c>
      <c r="HE26" s="25"/>
      <c r="HF26" s="25"/>
      <c r="HG26" s="25"/>
      <c r="HH26" s="180"/>
      <c r="HI26" s="180"/>
      <c r="HJ26" s="180"/>
      <c r="HK26" s="28" t="str">
        <f>IF(Compositions!AA42="","",IF(Compositions!$AA$25="mol%",Compositions!AA42,HL26))</f>
        <v/>
      </c>
      <c r="HL26" s="28" t="str">
        <f t="shared" si="19"/>
        <v/>
      </c>
      <c r="HM26" s="28" t="str">
        <f>IF(Compositions!AA42="","",(Compositions!AA42/(VLOOKUP(Compositions!Y42,'HHV-LHV-MW'!$A$3:$F$40,6,FALSE))))</f>
        <v/>
      </c>
      <c r="HN26" s="26" t="str">
        <f>IF(HK26="","",((VLOOKUP(Compositions!Y42,'HHV-LHV-MW'!$A$3:$F$40,4,FALSE))*(HK26/100)))</f>
        <v/>
      </c>
      <c r="HO26" s="26" t="str">
        <f>IF(HK26="","",((VLOOKUP(Compositions!Y42,'HHV-LHV-MW'!$A$3:$F$40,5,FALSE))*(HK26/100)))</f>
        <v/>
      </c>
      <c r="HP26" s="39" t="str">
        <f>IF(HK26="","",((VLOOKUP(Compositions!Y42,'HHV-LHV-MW'!$A$3:$F$40,6,FALSE))*(HK26/100)))</f>
        <v/>
      </c>
      <c r="HQ26" s="26"/>
      <c r="HR26" s="26"/>
      <c r="HS26" s="26"/>
      <c r="HT26" s="177"/>
      <c r="HU26" s="177"/>
      <c r="HV26" s="177"/>
      <c r="HW26" s="27" t="str">
        <f>IF(Compositions!AB42="","",IF(Compositions!$AB$25="mol%",Compositions!AB42,HX26))</f>
        <v/>
      </c>
      <c r="HX26" s="27" t="str">
        <f t="shared" si="20"/>
        <v/>
      </c>
      <c r="HY26" s="27" t="str">
        <f>IF(Compositions!AB42="","",(Compositions!AB42/(VLOOKUP(Compositions!Y42,'HHV-LHV-MW'!$A$3:$F$40,6,FALSE))))</f>
        <v/>
      </c>
      <c r="HZ26" s="25" t="str">
        <f>IF(HW26="","",((VLOOKUP(Compositions!Y42,'HHV-LHV-MW'!$A$3:$F$40,4,FALSE))*(HW26/100)))</f>
        <v/>
      </c>
      <c r="IA26" s="25" t="str">
        <f>IF(HW26="","",((VLOOKUP(Compositions!Y42,'HHV-LHV-MW'!$A$3:$F$40,5,FALSE))*(HW26/100)))</f>
        <v/>
      </c>
      <c r="IB26" s="209" t="str">
        <f>IF(HW26="","",((VLOOKUP(Compositions!Y42,'HHV-LHV-MW'!$A$3:$F$40,6,FALSE))*(HW26/100)))</f>
        <v/>
      </c>
      <c r="IC26" s="25"/>
      <c r="ID26" s="25"/>
      <c r="IE26" s="25"/>
      <c r="IF26" s="180"/>
      <c r="IG26" s="180"/>
      <c r="IH26" s="180"/>
      <c r="II26" s="28" t="str">
        <f>IF(Compositions!AC42="","",IF(Compositions!$AC$25="mol%",Compositions!AC42,IJ26))</f>
        <v/>
      </c>
      <c r="IJ26" s="28" t="str">
        <f t="shared" si="21"/>
        <v/>
      </c>
      <c r="IK26" s="28" t="str">
        <f>IF(Compositions!AC42="","",(Compositions!AC42/(VLOOKUP(Compositions!Y42,'HHV-LHV-MW'!$A$3:$F$40,6,FALSE))))</f>
        <v/>
      </c>
      <c r="IL26" s="26" t="str">
        <f>IF(II26="","",((VLOOKUP(Compositions!Y42,'HHV-LHV-MW'!$A$3:$F$40,4,FALSE))*(II26/100)))</f>
        <v/>
      </c>
      <c r="IM26" s="26" t="str">
        <f>IF(II26="","",((VLOOKUP(Compositions!Y42,'HHV-LHV-MW'!$A$3:$F$40,5,FALSE))*(II26/100)))</f>
        <v/>
      </c>
      <c r="IN26" s="39" t="str">
        <f>IF(II26="","",((VLOOKUP(Compositions!Y42,'HHV-LHV-MW'!$A$3:$F$40,6,FALSE))*(II26/100)))</f>
        <v/>
      </c>
      <c r="IO26" s="13"/>
      <c r="IP26" s="13"/>
      <c r="IQ26" s="13"/>
      <c r="IR26" s="13"/>
      <c r="IS26" s="13"/>
      <c r="IT26" s="13"/>
      <c r="IV26" s="27" t="str">
        <f>IF(Compositions!AF42="","",IF(Compositions!$AF$25="mol%",Compositions!AF42,IW26))</f>
        <v/>
      </c>
      <c r="IW26" s="27" t="str">
        <f t="shared" si="6"/>
        <v/>
      </c>
      <c r="IX26" s="27" t="str">
        <f>IF(Compositions!AF42="","",(Compositions!AF42/(VLOOKUP(Compositions!AE42,'HHV-LHV-MW'!$A$3:$F$40,6,FALSE))))</f>
        <v/>
      </c>
      <c r="IY26" s="25" t="str">
        <f>IF(IV26="","",((VLOOKUP(Compositions!AE42,'HHV-LHV-MW'!$A$3:$F$40,4,FALSE))*(IV26/100)))</f>
        <v/>
      </c>
      <c r="IZ26" s="25" t="str">
        <f>IF(IV26="","",((VLOOKUP(Compositions!AE42,'HHV-LHV-MW'!$A$3:$F$40,5,FALSE))*(IV26/100)))</f>
        <v/>
      </c>
      <c r="JA26" s="209" t="str">
        <f>IF(IV26="","",((VLOOKUP(Compositions!AE42,'HHV-LHV-MW'!$A$3:$F$40,6,FALSE))*(IV26/100)))</f>
        <v/>
      </c>
      <c r="JB26" s="25"/>
      <c r="JC26" s="25"/>
      <c r="JD26" s="25"/>
      <c r="JE26" s="180"/>
      <c r="JF26" s="180"/>
      <c r="JG26" s="180"/>
      <c r="JH26" s="28" t="str">
        <f>IF(Compositions!AG42="","",IF(Compositions!$AG$25="mol%",Compositions!AG42,JI26))</f>
        <v/>
      </c>
      <c r="JI26" s="28" t="str">
        <f t="shared" si="22"/>
        <v/>
      </c>
      <c r="JJ26" s="28" t="str">
        <f>IF(Compositions!AG42="","",(Compositions!AG42/(VLOOKUP(Compositions!AE42,'HHV-LHV-MW'!$A$3:$F$40,6,FALSE))))</f>
        <v/>
      </c>
      <c r="JK26" s="26" t="str">
        <f>IF(JH26="","",((VLOOKUP(Compositions!AE42,'HHV-LHV-MW'!$A$3:$F$40,4,FALSE))*(JH26/100)))</f>
        <v/>
      </c>
      <c r="JL26" s="26" t="str">
        <f>IF(JH26="","",((VLOOKUP(Compositions!AE42,'HHV-LHV-MW'!$A$3:$F$40,5,FALSE))*(JH26/100)))</f>
        <v/>
      </c>
      <c r="JM26" s="39" t="str">
        <f>IF(JH26="","",((VLOOKUP(Compositions!AE42,'HHV-LHV-MW'!$A$3:$F$40,6,FALSE))*(JH26/100)))</f>
        <v/>
      </c>
      <c r="JN26" s="26"/>
      <c r="JO26" s="26"/>
      <c r="JP26" s="26"/>
      <c r="JQ26" s="177"/>
      <c r="JR26" s="177"/>
      <c r="JS26" s="177"/>
      <c r="JT26" s="27" t="str">
        <f>IF(Compositions!AH42="","",IF(Compositions!$AH$25="mol%",Compositions!AH42,JU26))</f>
        <v/>
      </c>
      <c r="JU26" s="27" t="str">
        <f t="shared" si="23"/>
        <v/>
      </c>
      <c r="JV26" s="27" t="str">
        <f>IF(Compositions!AH42="","",(Compositions!AH42/(VLOOKUP(Compositions!AE42,'HHV-LHV-MW'!$A$3:$F$40,6,FALSE))))</f>
        <v/>
      </c>
      <c r="JW26" s="25" t="str">
        <f>IF(JT26="","",((VLOOKUP(Compositions!AE42,'HHV-LHV-MW'!$A$3:$F$40,4,FALSE))*(JT26/100)))</f>
        <v/>
      </c>
      <c r="JX26" s="25" t="str">
        <f>IF(JT26="","",((VLOOKUP(Compositions!AE42,'HHV-LHV-MW'!$A$3:$F$40,5,FALSE))*(JT26/100)))</f>
        <v/>
      </c>
      <c r="JY26" s="209" t="str">
        <f>IF(JT26="","",((VLOOKUP(Compositions!AE42,'HHV-LHV-MW'!$A$3:$F$40,6,FALSE))*(JT26/100)))</f>
        <v/>
      </c>
      <c r="JZ26" s="25"/>
      <c r="KA26" s="25"/>
      <c r="KB26" s="25"/>
      <c r="KC26" s="180"/>
      <c r="KD26" s="180"/>
      <c r="KE26" s="180"/>
      <c r="KF26" s="28" t="str">
        <f>IF(Compositions!AI42="","",IF(Compositions!$AI$25="mol%",Compositions!AI42,KG26))</f>
        <v/>
      </c>
      <c r="KG26" s="28" t="str">
        <f t="shared" si="24"/>
        <v/>
      </c>
      <c r="KH26" s="28" t="str">
        <f>IF(Compositions!AI42="","",(Compositions!AI42/(VLOOKUP(Compositions!AE42,'HHV-LHV-MW'!$A$3:$F$40,6,FALSE))))</f>
        <v/>
      </c>
      <c r="KI26" s="26" t="str">
        <f>IF(KF26="","",((VLOOKUP(Compositions!AE42,'HHV-LHV-MW'!$A$3:$F$40,4,FALSE))*(KF26/100)))</f>
        <v/>
      </c>
      <c r="KJ26" s="26" t="str">
        <f>IF(KF26="","",((VLOOKUP(Compositions!AE42,'HHV-LHV-MW'!$A$3:$F$40,5,FALSE))*(KF26/100)))</f>
        <v/>
      </c>
      <c r="KK26" s="39" t="str">
        <f>IF(KF26="","",((VLOOKUP(Compositions!AE42,'HHV-LHV-MW'!$A$3:$F$40,6,FALSE))*(KF26/100)))</f>
        <v/>
      </c>
      <c r="KL26" s="13"/>
      <c r="KM26" s="13"/>
      <c r="KN26" s="13"/>
    </row>
    <row r="27" spans="1:300" ht="15.6">
      <c r="A27" s="173" t="s">
        <v>204</v>
      </c>
      <c r="B27" s="19" t="s">
        <v>192</v>
      </c>
      <c r="C27" s="20">
        <v>6</v>
      </c>
      <c r="D27" s="20">
        <v>4.1947000000000001</v>
      </c>
      <c r="E27" s="20">
        <v>3.8822000000000001</v>
      </c>
      <c r="F27" s="20">
        <v>86.177160000000001</v>
      </c>
      <c r="G27" s="20">
        <f t="shared" si="0"/>
        <v>0</v>
      </c>
      <c r="H27" s="20">
        <v>0</v>
      </c>
      <c r="I27" s="170">
        <v>1</v>
      </c>
      <c r="K27" s="27" t="str">
        <f>IF(Compositions!B43="","",IF(Compositions!$B$25="mol%",Compositions!B43,L27))</f>
        <v/>
      </c>
      <c r="L27" s="27" t="str">
        <f t="shared" si="1"/>
        <v/>
      </c>
      <c r="M27" s="27" t="str">
        <f>IF(Compositions!B43="","",(Compositions!B43/(VLOOKUP(Compositions!A43,'HHV-LHV-MW'!$A$3:$F$40,6,FALSE))))</f>
        <v/>
      </c>
      <c r="N27" s="25" t="str">
        <f>IF(K27="","",((VLOOKUP(Compositions!A43,'HHV-LHV-MW'!$A$3:$F$40,4,FALSE))*(K27/100)))</f>
        <v/>
      </c>
      <c r="O27" s="25" t="str">
        <f>IF(K27="","",((VLOOKUP(Compositions!A43,'HHV-LHV-MW'!$A$3:$F$40,5,FALSE))*(K27/100)))</f>
        <v/>
      </c>
      <c r="P27" s="206" t="str">
        <f>IF(K27="","",((VLOOKUP(Compositions!A43,'HHV-LHV-MW'!$A$3:$F$40,6,FALSE))*(K27/100)))</f>
        <v/>
      </c>
      <c r="Q27" s="25"/>
      <c r="R27" s="25"/>
      <c r="S27" s="25"/>
      <c r="T27" s="166"/>
      <c r="U27" s="174"/>
      <c r="V27" s="180"/>
      <c r="W27" s="28" t="str">
        <f>IF(Compositions!C43="","",IF(Compositions!$C$25="mol%",Compositions!C43,X27))</f>
        <v/>
      </c>
      <c r="X27" s="28" t="str">
        <f t="shared" si="2"/>
        <v/>
      </c>
      <c r="Y27" s="28" t="str">
        <f>IF(Compositions!C43="","",(Compositions!C43/(VLOOKUP(Compositions!A43,'HHV-LHV-MW'!$A$3:$F$40,6,FALSE))))</f>
        <v/>
      </c>
      <c r="Z27" s="26" t="str">
        <f>IF(W27="","",((VLOOKUP(Compositions!A43,'HHV-LHV-MW'!$A$3:$F$40,4,FALSE))*(W27/100)))</f>
        <v/>
      </c>
      <c r="AA27" s="26" t="str">
        <f>IF(W27="","",((VLOOKUP(Compositions!A43,'HHV-LHV-MW'!$A$3:$F$40,5,FALSE))*(W27/100)))</f>
        <v/>
      </c>
      <c r="AB27" s="39" t="str">
        <f>IF(W27="","",((VLOOKUP(Compositions!A43,'HHV-LHV-MW'!$A$3:$F$40,6,FALSE))*(W27/100)))</f>
        <v/>
      </c>
      <c r="AC27" s="26"/>
      <c r="AD27" s="26"/>
      <c r="AE27" s="26"/>
      <c r="AF27" s="177"/>
      <c r="AG27" s="177"/>
      <c r="AH27" s="177"/>
      <c r="AI27" s="27" t="str">
        <f>IF(Compositions!D43="","",IF(Compositions!$D$25="mol%",Compositions!D43,AJ27))</f>
        <v/>
      </c>
      <c r="AJ27" s="27" t="str">
        <f t="shared" si="3"/>
        <v/>
      </c>
      <c r="AK27" s="27" t="str">
        <f>IF(Compositions!D43="","",(Compositions!D43/(VLOOKUP(Compositions!A43,'HHV-LHV-MW'!$A$3:$F$40,6,FALSE))))</f>
        <v/>
      </c>
      <c r="AL27" s="25" t="str">
        <f>IF(AI27="","",((VLOOKUP(Compositions!A43,'HHV-LHV-MW'!$A$3:$F$40,4,FALSE))*(AI27/100)))</f>
        <v/>
      </c>
      <c r="AM27" s="25" t="str">
        <f>IF(AI27="","",((VLOOKUP(Compositions!A43,'HHV-LHV-MW'!$A$3:$F$40,5,FALSE))*(AI27/100)))</f>
        <v/>
      </c>
      <c r="AN27" s="209" t="str">
        <f>IF(AI27="","",((VLOOKUP(Compositions!A43,'HHV-LHV-MW'!$A$3:$F$40,6,FALSE))*(AI27/100)))</f>
        <v/>
      </c>
      <c r="AO27" s="25"/>
      <c r="AP27" s="25"/>
      <c r="AQ27" s="25"/>
      <c r="AR27" s="180"/>
      <c r="AS27" s="180"/>
      <c r="AT27" s="180"/>
      <c r="AU27" s="28" t="str">
        <f>IF(Compositions!E43="","",IF(Compositions!$E$25="mol%",Compositions!E43,AV27))</f>
        <v/>
      </c>
      <c r="AV27" s="28" t="str">
        <f t="shared" si="4"/>
        <v/>
      </c>
      <c r="AW27" s="28" t="str">
        <f>IF(Compositions!E43="","",(Compositions!E43/(VLOOKUP(Compositions!A43,'HHV-LHV-MW'!$A$3:$F$40,6,FALSE))))</f>
        <v/>
      </c>
      <c r="AX27" s="26" t="str">
        <f>IF(AU27="","",((VLOOKUP(Compositions!A43,'HHV-LHV-MW'!$A$3:$F$40,4,FALSE))*(AU27/100)))</f>
        <v/>
      </c>
      <c r="AY27" s="26" t="str">
        <f>IF(AU27="","",((VLOOKUP(Compositions!A43,'HHV-LHV-MW'!$A$3:$F$40,5,FALSE))*(AU27/100)))</f>
        <v/>
      </c>
      <c r="AZ27" s="39" t="str">
        <f>IF(AU27="","",((VLOOKUP(Compositions!A43,'HHV-LHV-MW'!$A$3:$F$40,6,FALSE))*(AU27/100)))</f>
        <v/>
      </c>
      <c r="BA27" s="13"/>
      <c r="BB27" s="13"/>
      <c r="BC27" s="13"/>
      <c r="BD27" s="13"/>
      <c r="BE27" s="13"/>
      <c r="BF27" s="13"/>
      <c r="BH27" s="27" t="str">
        <f>IF(Compositions!H43="","",IF(Compositions!$H$25="mol%",Compositions!H43,BI27))</f>
        <v/>
      </c>
      <c r="BI27" s="27" t="str">
        <f t="shared" si="7"/>
        <v/>
      </c>
      <c r="BJ27" s="27" t="str">
        <f>IF(Compositions!H43="","",(Compositions!H43/(VLOOKUP(Compositions!G43,'HHV-LHV-MW'!$A$3:$F$40,6,FALSE))))</f>
        <v/>
      </c>
      <c r="BK27" s="25" t="str">
        <f>IF(BH27="","",((VLOOKUP(Compositions!G43,'HHV-LHV-MW'!$A$3:$F$40,4,FALSE))*(BH27/100)))</f>
        <v/>
      </c>
      <c r="BL27" s="25" t="str">
        <f>IF(BH27="","",((VLOOKUP(Compositions!G43,'HHV-LHV-MW'!$A$3:$F$40,5,FALSE))*(BH27/100)))</f>
        <v/>
      </c>
      <c r="BM27" s="209" t="str">
        <f>IF(BH27="","",((VLOOKUP(Compositions!G43,'HHV-LHV-MW'!$A$3:$F$40,6,FALSE))*(BH27/100)))</f>
        <v/>
      </c>
      <c r="BN27" s="25"/>
      <c r="BO27" s="25"/>
      <c r="BP27" s="25"/>
      <c r="BQ27" s="180"/>
      <c r="BR27" s="180"/>
      <c r="BS27" s="180"/>
      <c r="BT27" s="28" t="str">
        <f>IF(Compositions!I43="","",IF(Compositions!$I$25="mol%",Compositions!I43,BU27))</f>
        <v/>
      </c>
      <c r="BU27" s="28" t="str">
        <f t="shared" si="8"/>
        <v/>
      </c>
      <c r="BV27" s="28" t="str">
        <f>IF(Compositions!I43="","",(Compositions!I43/(VLOOKUP(Compositions!G43,'HHV-LHV-MW'!$A$3:$F$40,6,FALSE))))</f>
        <v/>
      </c>
      <c r="BW27" s="26" t="str">
        <f>IF(BT27="","",((VLOOKUP(Compositions!G43,'HHV-LHV-MW'!$A$3:$F$40,4,FALSE))*(BT27/100)))</f>
        <v/>
      </c>
      <c r="BX27" s="26" t="str">
        <f>IF(BT27="","",((VLOOKUP(Compositions!G43,'HHV-LHV-MW'!$A$3:$F$40,5,FALSE))*(BT27/100)))</f>
        <v/>
      </c>
      <c r="BY27" s="207" t="str">
        <f>IF(BT27="","",((VLOOKUP(Compositions!G43,'HHV-LHV-MW'!$A$3:$F$40,6,FALSE))*(BT27/100)))</f>
        <v/>
      </c>
      <c r="BZ27" s="26"/>
      <c r="CA27" s="26"/>
      <c r="CB27" s="26"/>
      <c r="CC27" s="177"/>
      <c r="CD27" s="177"/>
      <c r="CE27" s="177"/>
      <c r="CF27" s="27" t="str">
        <f>IF(Compositions!J43="","",IF(Compositions!$J$25="mol%",Compositions!J43,CG27))</f>
        <v/>
      </c>
      <c r="CG27" s="27" t="str">
        <f t="shared" si="9"/>
        <v/>
      </c>
      <c r="CH27" s="27" t="str">
        <f>IF(Compositions!J43="","",(Compositions!J43/(VLOOKUP(Compositions!G43,'HHV-LHV-MW'!$A$3:$F$40,6,FALSE))))</f>
        <v/>
      </c>
      <c r="CI27" s="25" t="str">
        <f>IF(CF27="","",((VLOOKUP(Compositions!G43,'HHV-LHV-MW'!$A$3:$F$40,4,FALSE))*(CF27/100)))</f>
        <v/>
      </c>
      <c r="CJ27" s="25" t="str">
        <f>IF(CF27="","",((VLOOKUP(Compositions!G43,'HHV-LHV-MW'!$A$3:$F$40,5,FALSE))*(CF27/100)))</f>
        <v/>
      </c>
      <c r="CK27" s="209" t="str">
        <f>IF(CF27="","",((VLOOKUP(Compositions!G43,'HHV-LHV-MW'!$A$3:$F$40,6,FALSE))*(CF27/100)))</f>
        <v/>
      </c>
      <c r="CL27" s="25"/>
      <c r="CM27" s="25"/>
      <c r="CN27" s="25"/>
      <c r="CO27" s="180"/>
      <c r="CP27" s="180"/>
      <c r="CQ27" s="180"/>
      <c r="CR27" s="28" t="str">
        <f>IF(Compositions!K43="","",IF(Compositions!$K$25="mol%",Compositions!K43,CS27))</f>
        <v/>
      </c>
      <c r="CS27" s="28" t="str">
        <f t="shared" si="10"/>
        <v/>
      </c>
      <c r="CT27" s="28" t="str">
        <f>IF(Compositions!K43="","",(Compositions!K43/(VLOOKUP(Compositions!G43,'HHV-LHV-MW'!$A$3:$F$40,6,FALSE))))</f>
        <v/>
      </c>
      <c r="CU27" s="26" t="str">
        <f>IF(CR27="","",((VLOOKUP(Compositions!G43,'HHV-LHV-MW'!$A$3:$F$40,4,FALSE))*(CR27/100)))</f>
        <v/>
      </c>
      <c r="CV27" s="26" t="str">
        <f>IF(CR27="","",((VLOOKUP(Compositions!G43,'HHV-LHV-MW'!$A$3:$F$40,5,FALSE))*(CR27/100)))</f>
        <v/>
      </c>
      <c r="CW27" s="207" t="str">
        <f>IF(CR27="","",((VLOOKUP(Compositions!G43,'HHV-LHV-MW'!$A$3:$F$40,6,FALSE))*(CR27/100)))</f>
        <v/>
      </c>
      <c r="CX27" s="13"/>
      <c r="CY27" s="13"/>
      <c r="CZ27" s="13"/>
      <c r="DA27" s="13"/>
      <c r="DB27" s="13"/>
      <c r="DC27" s="13"/>
      <c r="DE27" s="27" t="str">
        <f>IF(Compositions!N43="","",IF(Compositions!$N$25="mol%",Compositions!N43,DF27))</f>
        <v/>
      </c>
      <c r="DF27" s="27" t="str">
        <f t="shared" si="5"/>
        <v/>
      </c>
      <c r="DG27" s="27" t="str">
        <f>IF(Compositions!N43="","",(Compositions!N43/(VLOOKUP(Compositions!M43,'HHV-LHV-MW'!$A$3:$F$40,6,FALSE))))</f>
        <v/>
      </c>
      <c r="DH27" s="25" t="str">
        <f>IF(DE27="","",((VLOOKUP(Compositions!M43,'HHV-LHV-MW'!$A$3:$F$40,4,FALSE))*(DE27/100)))</f>
        <v/>
      </c>
      <c r="DI27" s="25" t="str">
        <f>IF(DE27="","",((VLOOKUP(Compositions!M43,'HHV-LHV-MW'!$A$3:$F$40,5,FALSE))*(DE27/100)))</f>
        <v/>
      </c>
      <c r="DJ27" s="209" t="str">
        <f>IF(DE27="","",((VLOOKUP(Compositions!M43,'HHV-LHV-MW'!$A$3:$F$40,6,FALSE))*(DE27/100)))</f>
        <v/>
      </c>
      <c r="DK27" s="25"/>
      <c r="DL27" s="25"/>
      <c r="DM27" s="25"/>
      <c r="DN27" s="180"/>
      <c r="DO27" s="180"/>
      <c r="DP27" s="180"/>
      <c r="DQ27" s="28" t="str">
        <f>IF(Compositions!O43="","",IF(Compositions!$O$25="mol%",Compositions!O43,DR27))</f>
        <v/>
      </c>
      <c r="DR27" s="28" t="str">
        <f t="shared" si="11"/>
        <v/>
      </c>
      <c r="DS27" s="28" t="str">
        <f>IF(Compositions!O43="","",(Compositions!O43/(VLOOKUP(Compositions!M43,'HHV-LHV-MW'!$A$3:$F$40,6,FALSE))))</f>
        <v/>
      </c>
      <c r="DT27" s="26" t="str">
        <f>IF(DQ27="","",((VLOOKUP(Compositions!M43,'HHV-LHV-MW'!$A$3:$F$40,4,FALSE))*(DQ27/100)))</f>
        <v/>
      </c>
      <c r="DU27" s="26" t="str">
        <f>IF(DQ27="","",((VLOOKUP(Compositions!M43,'HHV-LHV-MW'!$A$3:$F$40,5,FALSE))*(DQ27/100)))</f>
        <v/>
      </c>
      <c r="DV27" s="39" t="str">
        <f>IF(DQ27="","",((VLOOKUP(Compositions!M43,'HHV-LHV-MW'!$A$3:$F$40,6,FALSE))*(DQ27/100)))</f>
        <v/>
      </c>
      <c r="DW27" s="26"/>
      <c r="DX27" s="26"/>
      <c r="DY27" s="26"/>
      <c r="DZ27" s="177"/>
      <c r="EA27" s="177"/>
      <c r="EB27" s="177"/>
      <c r="EC27" s="27" t="str">
        <f>IF(Compositions!P43="","",IF(Compositions!$P$25="mol%",Compositions!P43,ED27))</f>
        <v/>
      </c>
      <c r="ED27" s="27" t="str">
        <f t="shared" si="12"/>
        <v/>
      </c>
      <c r="EE27" s="27" t="str">
        <f>IF(Compositions!P43="","",(Compositions!P43/(VLOOKUP(Compositions!M43,'HHV-LHV-MW'!$A$3:$F$40,6,FALSE))))</f>
        <v/>
      </c>
      <c r="EF27" s="25" t="str">
        <f>IF(EC27="","",((VLOOKUP(Compositions!M43,'HHV-LHV-MW'!$A$3:$F$40,4,FALSE))*(EC27/100)))</f>
        <v/>
      </c>
      <c r="EG27" s="25" t="str">
        <f>IF(EC27="","",((VLOOKUP(Compositions!M43,'HHV-LHV-MW'!$A$3:$F$40,5,FALSE))*(EC27/100)))</f>
        <v/>
      </c>
      <c r="EH27" s="209" t="str">
        <f>IF(EC27="","",((VLOOKUP(Compositions!M43,'HHV-LHV-MW'!$A$3:$F$40,6,FALSE))*(EC27/100)))</f>
        <v/>
      </c>
      <c r="EI27" s="25"/>
      <c r="EJ27" s="25"/>
      <c r="EK27" s="25"/>
      <c r="EL27" s="180"/>
      <c r="EM27" s="180"/>
      <c r="EN27" s="180"/>
      <c r="EO27" s="28" t="str">
        <f>IF(Compositions!Q43="","",IF(Compositions!$Q$25="mol%",Compositions!Q43,EP27))</f>
        <v/>
      </c>
      <c r="EP27" s="28" t="str">
        <f t="shared" si="13"/>
        <v/>
      </c>
      <c r="EQ27" s="28" t="str">
        <f>IF(Compositions!Q43="","",(Compositions!Q43/(VLOOKUP(Compositions!M43,'HHV-LHV-MW'!$A$3:$F$40,6,FALSE))))</f>
        <v/>
      </c>
      <c r="ER27" s="26" t="str">
        <f>IF(EO27="","",((VLOOKUP(Compositions!M43,'HHV-LHV-MW'!$A$3:$F$40,4,FALSE))*(EO27/100)))</f>
        <v/>
      </c>
      <c r="ES27" s="26" t="str">
        <f>IF(EO27="","",((VLOOKUP(Compositions!M43,'HHV-LHV-MW'!$A$3:$F$40,5,FALSE))*(EO27/100)))</f>
        <v/>
      </c>
      <c r="ET27" s="39" t="str">
        <f>IF(EO27="","",((VLOOKUP(Compositions!M43,'HHV-LHV-MW'!$A$3:$F$40,6,FALSE))*(EO27/100)))</f>
        <v/>
      </c>
      <c r="EU27" s="13"/>
      <c r="EV27" s="13"/>
      <c r="EW27" s="13"/>
      <c r="EX27" s="13"/>
      <c r="EY27" s="13"/>
      <c r="EZ27" s="13"/>
      <c r="FB27" s="27" t="str">
        <f>IF(Compositions!T43="","",IF(Compositions!$T$25="mol%",Compositions!T43,FC27))</f>
        <v/>
      </c>
      <c r="FC27" s="27" t="str">
        <f t="shared" si="14"/>
        <v/>
      </c>
      <c r="FD27" s="27" t="str">
        <f>IF(Compositions!T43="","",(Compositions!T43/(VLOOKUP(Compositions!S43,'HHV-LHV-MW'!$A$3:$F$40,6,FALSE))))</f>
        <v/>
      </c>
      <c r="FE27" s="25" t="str">
        <f>IF(FB27="","",((VLOOKUP(Compositions!S43,'HHV-LHV-MW'!$A$3:$F$40,4,FALSE))*(FB27/100)))</f>
        <v/>
      </c>
      <c r="FF27" s="25" t="str">
        <f>IF(FB27="","",((VLOOKUP(Compositions!S43,'HHV-LHV-MW'!$A$3:$F$40,5,FALSE))*(FB27/100)))</f>
        <v/>
      </c>
      <c r="FG27" s="209" t="str">
        <f>IF(FB27="","",((VLOOKUP(Compositions!S43,'HHV-LHV-MW'!$A$3:$F$40,6,FALSE))*(FB27/100)))</f>
        <v/>
      </c>
      <c r="FH27" s="25"/>
      <c r="FI27" s="25"/>
      <c r="FJ27" s="25"/>
      <c r="FK27" s="180"/>
      <c r="FL27" s="180"/>
      <c r="FM27" s="180"/>
      <c r="FN27" s="28" t="str">
        <f>IF(Compositions!U43="","",IF(Compositions!$U$25="mol%",Compositions!U43,FO27))</f>
        <v/>
      </c>
      <c r="FO27" s="28" t="str">
        <f t="shared" si="15"/>
        <v/>
      </c>
      <c r="FP27" s="28" t="str">
        <f>IF(Compositions!U43="","",(Compositions!U43/(VLOOKUP(Compositions!S43,'HHV-LHV-MW'!$A$3:$F$40,6,FALSE))))</f>
        <v/>
      </c>
      <c r="FQ27" s="26" t="str">
        <f>IF(FN27="","",((VLOOKUP(Compositions!S43,'HHV-LHV-MW'!$A$3:$F$40,4,FALSE))*(FN27/100)))</f>
        <v/>
      </c>
      <c r="FR27" s="26" t="str">
        <f>IF(FN27="","",((VLOOKUP(Compositions!S43,'HHV-LHV-MW'!$A$3:$F$40,5,FALSE))*(FN27/100)))</f>
        <v/>
      </c>
      <c r="FS27" s="39" t="str">
        <f>IF(FN27="","",((VLOOKUP(Compositions!S43,'HHV-LHV-MW'!$A$3:$F$40,6,FALSE))*(FN27/100)))</f>
        <v/>
      </c>
      <c r="FT27" s="26"/>
      <c r="FU27" s="26"/>
      <c r="FV27" s="26"/>
      <c r="FW27" s="177"/>
      <c r="FX27" s="177"/>
      <c r="FY27" s="177"/>
      <c r="FZ27" s="27" t="str">
        <f>IF(Compositions!V43="","",IF(Compositions!$V$25="mol%",Compositions!V43,GA27))</f>
        <v/>
      </c>
      <c r="GA27" s="27" t="str">
        <f t="shared" si="16"/>
        <v/>
      </c>
      <c r="GB27" s="27" t="str">
        <f>IF(Compositions!V43="","",(Compositions!V43/(VLOOKUP(Compositions!S43,'HHV-LHV-MW'!$A$3:$F$40,6,FALSE))))</f>
        <v/>
      </c>
      <c r="GC27" s="25" t="str">
        <f>IF(FZ27="","",((VLOOKUP(Compositions!S43,'HHV-LHV-MW'!$A$3:$F$40,4,FALSE))*(FZ27/100)))</f>
        <v/>
      </c>
      <c r="GD27" s="25" t="str">
        <f>IF(FZ27="","",((VLOOKUP(Compositions!S43,'HHV-LHV-MW'!$A$3:$F$40,5,FALSE))*(FZ27/100)))</f>
        <v/>
      </c>
      <c r="GE27" s="209" t="str">
        <f>IF(FZ27="","",((VLOOKUP(Compositions!S43,'HHV-LHV-MW'!$A$3:$F$40,6,FALSE))*(FZ27/100)))</f>
        <v/>
      </c>
      <c r="GF27" s="25"/>
      <c r="GG27" s="25"/>
      <c r="GH27" s="25"/>
      <c r="GI27" s="180"/>
      <c r="GJ27" s="180"/>
      <c r="GK27" s="180"/>
      <c r="GL27" s="28" t="str">
        <f>IF(Compositions!W43="","",IF(Compositions!$W$25="mol%",Compositions!W43,GM27))</f>
        <v/>
      </c>
      <c r="GM27" s="28" t="str">
        <f t="shared" si="17"/>
        <v/>
      </c>
      <c r="GN27" s="28" t="str">
        <f>IF(Compositions!W43="","",(Compositions!W43/(VLOOKUP(Compositions!S43,'HHV-LHV-MW'!$A$3:$F$40,6,FALSE))))</f>
        <v/>
      </c>
      <c r="GO27" s="26" t="str">
        <f>IF(GL27="","",((VLOOKUP(Compositions!S43,'HHV-LHV-MW'!$A$3:$F$40,4,FALSE))*(GL27/100)))</f>
        <v/>
      </c>
      <c r="GP27" s="26" t="str">
        <f>IF(GL27="","",((VLOOKUP(Compositions!S43,'HHV-LHV-MW'!$A$3:$F$40,5,FALSE))*(GL27/100)))</f>
        <v/>
      </c>
      <c r="GQ27" s="39" t="str">
        <f>IF(GL27="","",((VLOOKUP(Compositions!S43,'HHV-LHV-MW'!$A$3:$F$40,6,FALSE))*(GL27/100)))</f>
        <v/>
      </c>
      <c r="GR27" s="13"/>
      <c r="GS27" s="13"/>
      <c r="GT27" s="13"/>
      <c r="GU27" s="13"/>
      <c r="GV27" s="13"/>
      <c r="GW27" s="13"/>
      <c r="GY27" s="27" t="str">
        <f>IF(Compositions!Z43="","",IF(Compositions!$Z$25="mol%",Compositions!Z43,GZ27))</f>
        <v/>
      </c>
      <c r="GZ27" s="27" t="str">
        <f t="shared" si="18"/>
        <v/>
      </c>
      <c r="HA27" s="27" t="str">
        <f>IF(Compositions!Z43="","",(Compositions!Z43/(VLOOKUP(Compositions!Y43,'HHV-LHV-MW'!$A$3:$F$40,6,FALSE))))</f>
        <v/>
      </c>
      <c r="HB27" s="25" t="str">
        <f>IF(GY27="","",((VLOOKUP(Compositions!Y43,'HHV-LHV-MW'!$A$3:$F$40,4,FALSE))*(GY27/100)))</f>
        <v/>
      </c>
      <c r="HC27" s="25" t="str">
        <f>IF(GY27="","",((VLOOKUP(Compositions!Y43,'HHV-LHV-MW'!$A$3:$F$40,5,FALSE))*(GY27/100)))</f>
        <v/>
      </c>
      <c r="HD27" s="209" t="str">
        <f>IF(GY27="","",((VLOOKUP(Compositions!Y43,'HHV-LHV-MW'!$A$3:$F$40,6,FALSE))*(GY27/100)))</f>
        <v/>
      </c>
      <c r="HE27" s="25"/>
      <c r="HF27" s="25"/>
      <c r="HG27" s="25"/>
      <c r="HH27" s="180"/>
      <c r="HI27" s="180"/>
      <c r="HJ27" s="180"/>
      <c r="HK27" s="28" t="str">
        <f>IF(Compositions!AA43="","",IF(Compositions!$AA$25="mol%",Compositions!AA43,HL27))</f>
        <v/>
      </c>
      <c r="HL27" s="28" t="str">
        <f t="shared" si="19"/>
        <v/>
      </c>
      <c r="HM27" s="28" t="str">
        <f>IF(Compositions!AA43="","",(Compositions!AA43/(VLOOKUP(Compositions!Y43,'HHV-LHV-MW'!$A$3:$F$40,6,FALSE))))</f>
        <v/>
      </c>
      <c r="HN27" s="26" t="str">
        <f>IF(HK27="","",((VLOOKUP(Compositions!Y43,'HHV-LHV-MW'!$A$3:$F$40,4,FALSE))*(HK27/100)))</f>
        <v/>
      </c>
      <c r="HO27" s="26" t="str">
        <f>IF(HK27="","",((VLOOKUP(Compositions!Y43,'HHV-LHV-MW'!$A$3:$F$40,5,FALSE))*(HK27/100)))</f>
        <v/>
      </c>
      <c r="HP27" s="39" t="str">
        <f>IF(HK27="","",((VLOOKUP(Compositions!Y43,'HHV-LHV-MW'!$A$3:$F$40,6,FALSE))*(HK27/100)))</f>
        <v/>
      </c>
      <c r="HQ27" s="26"/>
      <c r="HR27" s="26"/>
      <c r="HS27" s="26"/>
      <c r="HT27" s="177"/>
      <c r="HU27" s="177"/>
      <c r="HV27" s="177"/>
      <c r="HW27" s="27" t="str">
        <f>IF(Compositions!AB43="","",IF(Compositions!$AB$25="mol%",Compositions!AB43,HX27))</f>
        <v/>
      </c>
      <c r="HX27" s="27" t="str">
        <f t="shared" si="20"/>
        <v/>
      </c>
      <c r="HY27" s="27" t="str">
        <f>IF(Compositions!AB43="","",(Compositions!AB43/(VLOOKUP(Compositions!Y43,'HHV-LHV-MW'!$A$3:$F$40,6,FALSE))))</f>
        <v/>
      </c>
      <c r="HZ27" s="25" t="str">
        <f>IF(HW27="","",((VLOOKUP(Compositions!Y43,'HHV-LHV-MW'!$A$3:$F$40,4,FALSE))*(HW27/100)))</f>
        <v/>
      </c>
      <c r="IA27" s="25" t="str">
        <f>IF(HW27="","",((VLOOKUP(Compositions!Y43,'HHV-LHV-MW'!$A$3:$F$40,5,FALSE))*(HW27/100)))</f>
        <v/>
      </c>
      <c r="IB27" s="209" t="str">
        <f>IF(HW27="","",((VLOOKUP(Compositions!Y43,'HHV-LHV-MW'!$A$3:$F$40,6,FALSE))*(HW27/100)))</f>
        <v/>
      </c>
      <c r="IC27" s="25"/>
      <c r="ID27" s="25"/>
      <c r="IE27" s="25"/>
      <c r="IF27" s="180"/>
      <c r="IG27" s="180"/>
      <c r="IH27" s="180"/>
      <c r="II27" s="28" t="str">
        <f>IF(Compositions!AC43="","",IF(Compositions!$AC$25="mol%",Compositions!AC43,IJ27))</f>
        <v/>
      </c>
      <c r="IJ27" s="28" t="str">
        <f t="shared" si="21"/>
        <v/>
      </c>
      <c r="IK27" s="28" t="str">
        <f>IF(Compositions!AC43="","",(Compositions!AC43/(VLOOKUP(Compositions!Y43,'HHV-LHV-MW'!$A$3:$F$40,6,FALSE))))</f>
        <v/>
      </c>
      <c r="IL27" s="26" t="str">
        <f>IF(II27="","",((VLOOKUP(Compositions!Y43,'HHV-LHV-MW'!$A$3:$F$40,4,FALSE))*(II27/100)))</f>
        <v/>
      </c>
      <c r="IM27" s="26" t="str">
        <f>IF(II27="","",((VLOOKUP(Compositions!Y43,'HHV-LHV-MW'!$A$3:$F$40,5,FALSE))*(II27/100)))</f>
        <v/>
      </c>
      <c r="IN27" s="39" t="str">
        <f>IF(II27="","",((VLOOKUP(Compositions!Y43,'HHV-LHV-MW'!$A$3:$F$40,6,FALSE))*(II27/100)))</f>
        <v/>
      </c>
      <c r="IO27" s="13"/>
      <c r="IP27" s="13"/>
      <c r="IQ27" s="13"/>
      <c r="IR27" s="13"/>
      <c r="IS27" s="13"/>
      <c r="IT27" s="13"/>
      <c r="IV27" s="27" t="str">
        <f>IF(Compositions!AF43="","",IF(Compositions!$AF$25="mol%",Compositions!AF43,IW27))</f>
        <v/>
      </c>
      <c r="IW27" s="27" t="str">
        <f t="shared" si="6"/>
        <v/>
      </c>
      <c r="IX27" s="27" t="str">
        <f>IF(Compositions!AF43="","",(Compositions!AF43/(VLOOKUP(Compositions!AE43,'HHV-LHV-MW'!$A$3:$F$40,6,FALSE))))</f>
        <v/>
      </c>
      <c r="IY27" s="25" t="str">
        <f>IF(IV27="","",((VLOOKUP(Compositions!AE43,'HHV-LHV-MW'!$A$3:$F$40,4,FALSE))*(IV27/100)))</f>
        <v/>
      </c>
      <c r="IZ27" s="25" t="str">
        <f>IF(IV27="","",((VLOOKUP(Compositions!AE43,'HHV-LHV-MW'!$A$3:$F$40,5,FALSE))*(IV27/100)))</f>
        <v/>
      </c>
      <c r="JA27" s="209" t="str">
        <f>IF(IV27="","",((VLOOKUP(Compositions!AE43,'HHV-LHV-MW'!$A$3:$F$40,6,FALSE))*(IV27/100)))</f>
        <v/>
      </c>
      <c r="JB27" s="25"/>
      <c r="JC27" s="25"/>
      <c r="JD27" s="25"/>
      <c r="JE27" s="180"/>
      <c r="JF27" s="180"/>
      <c r="JG27" s="180"/>
      <c r="JH27" s="28" t="str">
        <f>IF(Compositions!AG43="","",IF(Compositions!$AG$25="mol%",Compositions!AG43,JI27))</f>
        <v/>
      </c>
      <c r="JI27" s="28" t="str">
        <f t="shared" si="22"/>
        <v/>
      </c>
      <c r="JJ27" s="28" t="str">
        <f>IF(Compositions!AG43="","",(Compositions!AG43/(VLOOKUP(Compositions!AE43,'HHV-LHV-MW'!$A$3:$F$40,6,FALSE))))</f>
        <v/>
      </c>
      <c r="JK27" s="26" t="str">
        <f>IF(JH27="","",((VLOOKUP(Compositions!AE43,'HHV-LHV-MW'!$A$3:$F$40,4,FALSE))*(JH27/100)))</f>
        <v/>
      </c>
      <c r="JL27" s="26" t="str">
        <f>IF(JH27="","",((VLOOKUP(Compositions!AE43,'HHV-LHV-MW'!$A$3:$F$40,5,FALSE))*(JH27/100)))</f>
        <v/>
      </c>
      <c r="JM27" s="39" t="str">
        <f>IF(JH27="","",((VLOOKUP(Compositions!AE43,'HHV-LHV-MW'!$A$3:$F$40,6,FALSE))*(JH27/100)))</f>
        <v/>
      </c>
      <c r="JN27" s="26"/>
      <c r="JO27" s="26"/>
      <c r="JP27" s="26"/>
      <c r="JQ27" s="177"/>
      <c r="JR27" s="177"/>
      <c r="JS27" s="177"/>
      <c r="JT27" s="27" t="str">
        <f>IF(Compositions!AH43="","",IF(Compositions!$AH$25="mol%",Compositions!AH43,JU27))</f>
        <v/>
      </c>
      <c r="JU27" s="27" t="str">
        <f t="shared" si="23"/>
        <v/>
      </c>
      <c r="JV27" s="27" t="str">
        <f>IF(Compositions!AH43="","",(Compositions!AH43/(VLOOKUP(Compositions!AE43,'HHV-LHV-MW'!$A$3:$F$40,6,FALSE))))</f>
        <v/>
      </c>
      <c r="JW27" s="25" t="str">
        <f>IF(JT27="","",((VLOOKUP(Compositions!AE43,'HHV-LHV-MW'!$A$3:$F$40,4,FALSE))*(JT27/100)))</f>
        <v/>
      </c>
      <c r="JX27" s="25" t="str">
        <f>IF(JT27="","",((VLOOKUP(Compositions!AE43,'HHV-LHV-MW'!$A$3:$F$40,5,FALSE))*(JT27/100)))</f>
        <v/>
      </c>
      <c r="JY27" s="209" t="str">
        <f>IF(JT27="","",((VLOOKUP(Compositions!AE43,'HHV-LHV-MW'!$A$3:$F$40,6,FALSE))*(JT27/100)))</f>
        <v/>
      </c>
      <c r="JZ27" s="25"/>
      <c r="KA27" s="25"/>
      <c r="KB27" s="25"/>
      <c r="KC27" s="180"/>
      <c r="KD27" s="180"/>
      <c r="KE27" s="180"/>
      <c r="KF27" s="28" t="str">
        <f>IF(Compositions!AI43="","",IF(Compositions!$AI$25="mol%",Compositions!AI43,KG27))</f>
        <v/>
      </c>
      <c r="KG27" s="28" t="str">
        <f t="shared" si="24"/>
        <v/>
      </c>
      <c r="KH27" s="28" t="str">
        <f>IF(Compositions!AI43="","",(Compositions!AI43/(VLOOKUP(Compositions!AE43,'HHV-LHV-MW'!$A$3:$F$40,6,FALSE))))</f>
        <v/>
      </c>
      <c r="KI27" s="26" t="str">
        <f>IF(KF27="","",((VLOOKUP(Compositions!AE43,'HHV-LHV-MW'!$A$3:$F$40,4,FALSE))*(KF27/100)))</f>
        <v/>
      </c>
      <c r="KJ27" s="26" t="str">
        <f>IF(KF27="","",((VLOOKUP(Compositions!AE43,'HHV-LHV-MW'!$A$3:$F$40,5,FALSE))*(KF27/100)))</f>
        <v/>
      </c>
      <c r="KK27" s="39" t="str">
        <f>IF(KF27="","",((VLOOKUP(Compositions!AE43,'HHV-LHV-MW'!$A$3:$F$40,6,FALSE))*(KF27/100)))</f>
        <v/>
      </c>
      <c r="KL27" s="13"/>
      <c r="KM27" s="13"/>
      <c r="KN27" s="13"/>
    </row>
    <row r="28" spans="1:300" ht="15.6">
      <c r="A28" s="173" t="s">
        <v>205</v>
      </c>
      <c r="B28" s="19" t="s">
        <v>192</v>
      </c>
      <c r="C28" s="20">
        <v>6</v>
      </c>
      <c r="D28" s="20">
        <v>4.1253000000000002</v>
      </c>
      <c r="E28" s="20">
        <v>3.8698000000000001</v>
      </c>
      <c r="F28" s="20">
        <v>86.177160000000001</v>
      </c>
      <c r="G28" s="20">
        <f t="shared" si="0"/>
        <v>0</v>
      </c>
      <c r="H28" s="20">
        <v>0</v>
      </c>
      <c r="I28" s="170">
        <v>1</v>
      </c>
      <c r="K28" s="27" t="str">
        <f>IF(Compositions!B44="","",IF(Compositions!$B$25="mol%",Compositions!B44,L28))</f>
        <v/>
      </c>
      <c r="L28" s="27" t="str">
        <f t="shared" si="1"/>
        <v/>
      </c>
      <c r="M28" s="27" t="str">
        <f>IF(Compositions!B44="","",(Compositions!B44/(VLOOKUP(Compositions!A44,'HHV-LHV-MW'!$A$3:$F$40,6,FALSE))))</f>
        <v/>
      </c>
      <c r="N28" s="25" t="str">
        <f>IF(K28="","",((VLOOKUP(Compositions!A44,'HHV-LHV-MW'!$A$3:$F$40,4,FALSE))*(K28/100)))</f>
        <v/>
      </c>
      <c r="O28" s="25" t="str">
        <f>IF(K28="","",((VLOOKUP(Compositions!A44,'HHV-LHV-MW'!$A$3:$F$40,5,FALSE))*(K28/100)))</f>
        <v/>
      </c>
      <c r="P28" s="206" t="str">
        <f>IF(K28="","",((VLOOKUP(Compositions!A44,'HHV-LHV-MW'!$A$3:$F$40,6,FALSE))*(K28/100)))</f>
        <v/>
      </c>
      <c r="Q28" s="25"/>
      <c r="R28" s="25"/>
      <c r="S28" s="25"/>
      <c r="T28" s="166"/>
      <c r="U28" s="174"/>
      <c r="V28" s="180"/>
      <c r="W28" s="28" t="str">
        <f>IF(Compositions!C44="","",IF(Compositions!$C$25="mol%",Compositions!C44,X28))</f>
        <v/>
      </c>
      <c r="X28" s="28" t="str">
        <f t="shared" si="2"/>
        <v/>
      </c>
      <c r="Y28" s="28" t="str">
        <f>IF(Compositions!C44="","",(Compositions!C44/(VLOOKUP(Compositions!A44,'HHV-LHV-MW'!$A$3:$F$40,6,FALSE))))</f>
        <v/>
      </c>
      <c r="Z28" s="26" t="str">
        <f>IF(W28="","",((VLOOKUP(Compositions!A44,'HHV-LHV-MW'!$A$3:$F$40,4,FALSE))*(W28/100)))</f>
        <v/>
      </c>
      <c r="AA28" s="26" t="str">
        <f>IF(W28="","",((VLOOKUP(Compositions!A44,'HHV-LHV-MW'!$A$3:$F$40,5,FALSE))*(W28/100)))</f>
        <v/>
      </c>
      <c r="AB28" s="39" t="str">
        <f>IF(W28="","",((VLOOKUP(Compositions!A44,'HHV-LHV-MW'!$A$3:$F$40,6,FALSE))*(W28/100)))</f>
        <v/>
      </c>
      <c r="AC28" s="26"/>
      <c r="AD28" s="26"/>
      <c r="AE28" s="26"/>
      <c r="AF28" s="177"/>
      <c r="AG28" s="177"/>
      <c r="AH28" s="177"/>
      <c r="AI28" s="27" t="str">
        <f>IF(Compositions!D44="","",IF(Compositions!$D$25="mol%",Compositions!D44,AJ28))</f>
        <v/>
      </c>
      <c r="AJ28" s="27" t="str">
        <f t="shared" si="3"/>
        <v/>
      </c>
      <c r="AK28" s="27" t="str">
        <f>IF(Compositions!D44="","",(Compositions!D44/(VLOOKUP(Compositions!A44,'HHV-LHV-MW'!$A$3:$F$40,6,FALSE))))</f>
        <v/>
      </c>
      <c r="AL28" s="25" t="str">
        <f>IF(AI28="","",((VLOOKUP(Compositions!A44,'HHV-LHV-MW'!$A$3:$F$40,4,FALSE))*(AI28/100)))</f>
        <v/>
      </c>
      <c r="AM28" s="25" t="str">
        <f>IF(AI28="","",((VLOOKUP(Compositions!A44,'HHV-LHV-MW'!$A$3:$F$40,5,FALSE))*(AI28/100)))</f>
        <v/>
      </c>
      <c r="AN28" s="209" t="str">
        <f>IF(AI28="","",((VLOOKUP(Compositions!A44,'HHV-LHV-MW'!$A$3:$F$40,6,FALSE))*(AI28/100)))</f>
        <v/>
      </c>
      <c r="AO28" s="25"/>
      <c r="AP28" s="25"/>
      <c r="AQ28" s="25"/>
      <c r="AR28" s="180"/>
      <c r="AS28" s="180"/>
      <c r="AT28" s="180"/>
      <c r="AU28" s="28" t="str">
        <f>IF(Compositions!E44="","",IF(Compositions!$E$25="mol%",Compositions!E44,AV28))</f>
        <v/>
      </c>
      <c r="AV28" s="28" t="str">
        <f t="shared" si="4"/>
        <v/>
      </c>
      <c r="AW28" s="28" t="str">
        <f>IF(Compositions!E44="","",(Compositions!E44/(VLOOKUP(Compositions!A44,'HHV-LHV-MW'!$A$3:$F$40,6,FALSE))))</f>
        <v/>
      </c>
      <c r="AX28" s="26" t="str">
        <f>IF(AU28="","",((VLOOKUP(Compositions!A44,'HHV-LHV-MW'!$A$3:$F$40,4,FALSE))*(AU28/100)))</f>
        <v/>
      </c>
      <c r="AY28" s="26" t="str">
        <f>IF(AU28="","",((VLOOKUP(Compositions!A44,'HHV-LHV-MW'!$A$3:$F$40,5,FALSE))*(AU28/100)))</f>
        <v/>
      </c>
      <c r="AZ28" s="39" t="str">
        <f>IF(AU28="","",((VLOOKUP(Compositions!A44,'HHV-LHV-MW'!$A$3:$F$40,6,FALSE))*(AU28/100)))</f>
        <v/>
      </c>
      <c r="BA28" s="13"/>
      <c r="BB28" s="13"/>
      <c r="BC28" s="13"/>
      <c r="BD28" s="13"/>
      <c r="BE28" s="13"/>
      <c r="BF28" s="13"/>
      <c r="BH28" s="27" t="str">
        <f>IF(Compositions!H44="","",IF(Compositions!$H$25="mol%",Compositions!H44,BI28))</f>
        <v/>
      </c>
      <c r="BI28" s="27" t="str">
        <f t="shared" si="7"/>
        <v/>
      </c>
      <c r="BJ28" s="27" t="str">
        <f>IF(Compositions!H44="","",(Compositions!H44/(VLOOKUP(Compositions!G44,'HHV-LHV-MW'!$A$3:$F$40,6,FALSE))))</f>
        <v/>
      </c>
      <c r="BK28" s="25" t="str">
        <f>IF(BH28="","",((VLOOKUP(Compositions!G44,'HHV-LHV-MW'!$A$3:$F$40,4,FALSE))*(BH28/100)))</f>
        <v/>
      </c>
      <c r="BL28" s="25" t="str">
        <f>IF(BH28="","",((VLOOKUP(Compositions!G44,'HHV-LHV-MW'!$A$3:$F$40,5,FALSE))*(BH28/100)))</f>
        <v/>
      </c>
      <c r="BM28" s="209" t="str">
        <f>IF(BH28="","",((VLOOKUP(Compositions!G44,'HHV-LHV-MW'!$A$3:$F$40,6,FALSE))*(BH28/100)))</f>
        <v/>
      </c>
      <c r="BN28" s="25"/>
      <c r="BO28" s="25"/>
      <c r="BP28" s="25"/>
      <c r="BQ28" s="180"/>
      <c r="BR28" s="180"/>
      <c r="BS28" s="180"/>
      <c r="BT28" s="28" t="str">
        <f>IF(Compositions!I44="","",IF(Compositions!$I$25="mol%",Compositions!I44,BU28))</f>
        <v/>
      </c>
      <c r="BU28" s="28" t="str">
        <f t="shared" si="8"/>
        <v/>
      </c>
      <c r="BV28" s="28" t="str">
        <f>IF(Compositions!I44="","",(Compositions!I44/(VLOOKUP(Compositions!G44,'HHV-LHV-MW'!$A$3:$F$40,6,FALSE))))</f>
        <v/>
      </c>
      <c r="BW28" s="26" t="str">
        <f>IF(BT28="","",((VLOOKUP(Compositions!G44,'HHV-LHV-MW'!$A$3:$F$40,4,FALSE))*(BT28/100)))</f>
        <v/>
      </c>
      <c r="BX28" s="26" t="str">
        <f>IF(BT28="","",((VLOOKUP(Compositions!G44,'HHV-LHV-MW'!$A$3:$F$40,5,FALSE))*(BT28/100)))</f>
        <v/>
      </c>
      <c r="BY28" s="207" t="str">
        <f>IF(BT28="","",((VLOOKUP(Compositions!G44,'HHV-LHV-MW'!$A$3:$F$40,6,FALSE))*(BT28/100)))</f>
        <v/>
      </c>
      <c r="BZ28" s="26"/>
      <c r="CA28" s="26"/>
      <c r="CB28" s="26"/>
      <c r="CC28" s="177"/>
      <c r="CD28" s="177"/>
      <c r="CE28" s="177"/>
      <c r="CF28" s="27" t="str">
        <f>IF(Compositions!J44="","",IF(Compositions!$J$25="mol%",Compositions!J44,CG28))</f>
        <v/>
      </c>
      <c r="CG28" s="27" t="str">
        <f t="shared" si="9"/>
        <v/>
      </c>
      <c r="CH28" s="27" t="str">
        <f>IF(Compositions!J44="","",(Compositions!J44/(VLOOKUP(Compositions!G44,'HHV-LHV-MW'!$A$3:$F$40,6,FALSE))))</f>
        <v/>
      </c>
      <c r="CI28" s="25" t="str">
        <f>IF(CF28="","",((VLOOKUP(Compositions!G44,'HHV-LHV-MW'!$A$3:$F$40,4,FALSE))*(CF28/100)))</f>
        <v/>
      </c>
      <c r="CJ28" s="25" t="str">
        <f>IF(CF28="","",((VLOOKUP(Compositions!G44,'HHV-LHV-MW'!$A$3:$F$40,5,FALSE))*(CF28/100)))</f>
        <v/>
      </c>
      <c r="CK28" s="209" t="str">
        <f>IF(CF28="","",((VLOOKUP(Compositions!G44,'HHV-LHV-MW'!$A$3:$F$40,6,FALSE))*(CF28/100)))</f>
        <v/>
      </c>
      <c r="CL28" s="25"/>
      <c r="CM28" s="25"/>
      <c r="CN28" s="25"/>
      <c r="CO28" s="180"/>
      <c r="CP28" s="180"/>
      <c r="CQ28" s="180"/>
      <c r="CR28" s="28" t="str">
        <f>IF(Compositions!K44="","",IF(Compositions!$K$25="mol%",Compositions!K44,CS28))</f>
        <v/>
      </c>
      <c r="CS28" s="28" t="str">
        <f t="shared" si="10"/>
        <v/>
      </c>
      <c r="CT28" s="28" t="str">
        <f>IF(Compositions!K44="","",(Compositions!K44/(VLOOKUP(Compositions!G44,'HHV-LHV-MW'!$A$3:$F$40,6,FALSE))))</f>
        <v/>
      </c>
      <c r="CU28" s="26" t="str">
        <f>IF(CR28="","",((VLOOKUP(Compositions!G44,'HHV-LHV-MW'!$A$3:$F$40,4,FALSE))*(CR28/100)))</f>
        <v/>
      </c>
      <c r="CV28" s="26" t="str">
        <f>IF(CR28="","",((VLOOKUP(Compositions!G44,'HHV-LHV-MW'!$A$3:$F$40,5,FALSE))*(CR28/100)))</f>
        <v/>
      </c>
      <c r="CW28" s="207" t="str">
        <f>IF(CR28="","",((VLOOKUP(Compositions!G44,'HHV-LHV-MW'!$A$3:$F$40,6,FALSE))*(CR28/100)))</f>
        <v/>
      </c>
      <c r="CX28" s="13"/>
      <c r="CY28" s="13"/>
      <c r="CZ28" s="13"/>
      <c r="DA28" s="13"/>
      <c r="DB28" s="13"/>
      <c r="DC28" s="13"/>
      <c r="DE28" s="27" t="str">
        <f>IF(Compositions!N44="","",IF(Compositions!$N$25="mol%",Compositions!N44,DF28))</f>
        <v/>
      </c>
      <c r="DF28" s="27" t="str">
        <f t="shared" si="5"/>
        <v/>
      </c>
      <c r="DG28" s="27" t="str">
        <f>IF(Compositions!N44="","",(Compositions!N44/(VLOOKUP(Compositions!M44,'HHV-LHV-MW'!$A$3:$F$40,6,FALSE))))</f>
        <v/>
      </c>
      <c r="DH28" s="25" t="str">
        <f>IF(DE28="","",((VLOOKUP(Compositions!M44,'HHV-LHV-MW'!$A$3:$F$40,4,FALSE))*(DE28/100)))</f>
        <v/>
      </c>
      <c r="DI28" s="25" t="str">
        <f>IF(DE28="","",((VLOOKUP(Compositions!M44,'HHV-LHV-MW'!$A$3:$F$40,5,FALSE))*(DE28/100)))</f>
        <v/>
      </c>
      <c r="DJ28" s="209" t="str">
        <f>IF(DE28="","",((VLOOKUP(Compositions!M44,'HHV-LHV-MW'!$A$3:$F$40,6,FALSE))*(DE28/100)))</f>
        <v/>
      </c>
      <c r="DK28" s="25"/>
      <c r="DL28" s="25"/>
      <c r="DM28" s="25"/>
      <c r="DN28" s="180"/>
      <c r="DO28" s="180"/>
      <c r="DP28" s="180"/>
      <c r="DQ28" s="28" t="str">
        <f>IF(Compositions!O44="","",IF(Compositions!$O$25="mol%",Compositions!O44,DR28))</f>
        <v/>
      </c>
      <c r="DR28" s="28" t="str">
        <f t="shared" si="11"/>
        <v/>
      </c>
      <c r="DS28" s="28" t="str">
        <f>IF(Compositions!O44="","",(Compositions!O44/(VLOOKUP(Compositions!M44,'HHV-LHV-MW'!$A$3:$F$40,6,FALSE))))</f>
        <v/>
      </c>
      <c r="DT28" s="26" t="str">
        <f>IF(DQ28="","",((VLOOKUP(Compositions!M44,'HHV-LHV-MW'!$A$3:$F$40,4,FALSE))*(DQ28/100)))</f>
        <v/>
      </c>
      <c r="DU28" s="26" t="str">
        <f>IF(DQ28="","",((VLOOKUP(Compositions!M44,'HHV-LHV-MW'!$A$3:$F$40,5,FALSE))*(DQ28/100)))</f>
        <v/>
      </c>
      <c r="DV28" s="39" t="str">
        <f>IF(DQ28="","",((VLOOKUP(Compositions!M44,'HHV-LHV-MW'!$A$3:$F$40,6,FALSE))*(DQ28/100)))</f>
        <v/>
      </c>
      <c r="DW28" s="26"/>
      <c r="DX28" s="26"/>
      <c r="DY28" s="26"/>
      <c r="DZ28" s="177"/>
      <c r="EA28" s="177"/>
      <c r="EB28" s="177"/>
      <c r="EC28" s="27" t="str">
        <f>IF(Compositions!P44="","",IF(Compositions!$P$25="mol%",Compositions!P44,ED28))</f>
        <v/>
      </c>
      <c r="ED28" s="27" t="str">
        <f t="shared" si="12"/>
        <v/>
      </c>
      <c r="EE28" s="27" t="str">
        <f>IF(Compositions!P44="","",(Compositions!P44/(VLOOKUP(Compositions!M44,'HHV-LHV-MW'!$A$3:$F$40,6,FALSE))))</f>
        <v/>
      </c>
      <c r="EF28" s="25" t="str">
        <f>IF(EC28="","",((VLOOKUP(Compositions!M44,'HHV-LHV-MW'!$A$3:$F$40,4,FALSE))*(EC28/100)))</f>
        <v/>
      </c>
      <c r="EG28" s="25" t="str">
        <f>IF(EC28="","",((VLOOKUP(Compositions!M44,'HHV-LHV-MW'!$A$3:$F$40,5,FALSE))*(EC28/100)))</f>
        <v/>
      </c>
      <c r="EH28" s="209" t="str">
        <f>IF(EC28="","",((VLOOKUP(Compositions!M44,'HHV-LHV-MW'!$A$3:$F$40,6,FALSE))*(EC28/100)))</f>
        <v/>
      </c>
      <c r="EI28" s="25"/>
      <c r="EJ28" s="25"/>
      <c r="EK28" s="25"/>
      <c r="EL28" s="180"/>
      <c r="EM28" s="180"/>
      <c r="EN28" s="180"/>
      <c r="EO28" s="28" t="str">
        <f>IF(Compositions!Q44="","",IF(Compositions!$Q$25="mol%",Compositions!Q44,EP28))</f>
        <v/>
      </c>
      <c r="EP28" s="28" t="str">
        <f t="shared" si="13"/>
        <v/>
      </c>
      <c r="EQ28" s="28" t="str">
        <f>IF(Compositions!Q44="","",(Compositions!Q44/(VLOOKUP(Compositions!M44,'HHV-LHV-MW'!$A$3:$F$40,6,FALSE))))</f>
        <v/>
      </c>
      <c r="ER28" s="26" t="str">
        <f>IF(EO28="","",((VLOOKUP(Compositions!M44,'HHV-LHV-MW'!$A$3:$F$40,4,FALSE))*(EO28/100)))</f>
        <v/>
      </c>
      <c r="ES28" s="26" t="str">
        <f>IF(EO28="","",((VLOOKUP(Compositions!M44,'HHV-LHV-MW'!$A$3:$F$40,5,FALSE))*(EO28/100)))</f>
        <v/>
      </c>
      <c r="ET28" s="39" t="str">
        <f>IF(EO28="","",((VLOOKUP(Compositions!M44,'HHV-LHV-MW'!$A$3:$F$40,6,FALSE))*(EO28/100)))</f>
        <v/>
      </c>
      <c r="EU28" s="13"/>
      <c r="EV28" s="13"/>
      <c r="EW28" s="13"/>
      <c r="EX28" s="13"/>
      <c r="EY28" s="13"/>
      <c r="EZ28" s="13"/>
      <c r="FB28" s="27" t="str">
        <f>IF(Compositions!T44="","",IF(Compositions!$T$25="mol%",Compositions!T44,FC28))</f>
        <v/>
      </c>
      <c r="FC28" s="27" t="str">
        <f t="shared" si="14"/>
        <v/>
      </c>
      <c r="FD28" s="27" t="str">
        <f>IF(Compositions!T44="","",(Compositions!T44/(VLOOKUP(Compositions!S44,'HHV-LHV-MW'!$A$3:$F$40,6,FALSE))))</f>
        <v/>
      </c>
      <c r="FE28" s="25" t="str">
        <f>IF(FB28="","",((VLOOKUP(Compositions!S44,'HHV-LHV-MW'!$A$3:$F$40,4,FALSE))*(FB28/100)))</f>
        <v/>
      </c>
      <c r="FF28" s="25" t="str">
        <f>IF(FB28="","",((VLOOKUP(Compositions!S44,'HHV-LHV-MW'!$A$3:$F$40,5,FALSE))*(FB28/100)))</f>
        <v/>
      </c>
      <c r="FG28" s="209" t="str">
        <f>IF(FB28="","",((VLOOKUP(Compositions!S44,'HHV-LHV-MW'!$A$3:$F$40,6,FALSE))*(FB28/100)))</f>
        <v/>
      </c>
      <c r="FH28" s="25"/>
      <c r="FI28" s="25"/>
      <c r="FJ28" s="25"/>
      <c r="FK28" s="180"/>
      <c r="FL28" s="180"/>
      <c r="FM28" s="180"/>
      <c r="FN28" s="28" t="str">
        <f>IF(Compositions!U44="","",IF(Compositions!$U$25="mol%",Compositions!U44,FO28))</f>
        <v/>
      </c>
      <c r="FO28" s="28" t="str">
        <f t="shared" si="15"/>
        <v/>
      </c>
      <c r="FP28" s="28" t="str">
        <f>IF(Compositions!U44="","",(Compositions!U44/(VLOOKUP(Compositions!S44,'HHV-LHV-MW'!$A$3:$F$40,6,FALSE))))</f>
        <v/>
      </c>
      <c r="FQ28" s="26" t="str">
        <f>IF(FN28="","",((VLOOKUP(Compositions!S44,'HHV-LHV-MW'!$A$3:$F$40,4,FALSE))*(FN28/100)))</f>
        <v/>
      </c>
      <c r="FR28" s="26" t="str">
        <f>IF(FN28="","",((VLOOKUP(Compositions!S44,'HHV-LHV-MW'!$A$3:$F$40,5,FALSE))*(FN28/100)))</f>
        <v/>
      </c>
      <c r="FS28" s="39" t="str">
        <f>IF(FN28="","",((VLOOKUP(Compositions!S44,'HHV-LHV-MW'!$A$3:$F$40,6,FALSE))*(FN28/100)))</f>
        <v/>
      </c>
      <c r="FT28" s="26"/>
      <c r="FU28" s="26"/>
      <c r="FV28" s="26"/>
      <c r="FW28" s="177"/>
      <c r="FX28" s="177"/>
      <c r="FY28" s="177"/>
      <c r="FZ28" s="27" t="str">
        <f>IF(Compositions!V44="","",IF(Compositions!$V$25="mol%",Compositions!V44,GA28))</f>
        <v/>
      </c>
      <c r="GA28" s="27" t="str">
        <f t="shared" si="16"/>
        <v/>
      </c>
      <c r="GB28" s="27" t="str">
        <f>IF(Compositions!V44="","",(Compositions!V44/(VLOOKUP(Compositions!S44,'HHV-LHV-MW'!$A$3:$F$40,6,FALSE))))</f>
        <v/>
      </c>
      <c r="GC28" s="25" t="str">
        <f>IF(FZ28="","",((VLOOKUP(Compositions!S44,'HHV-LHV-MW'!$A$3:$F$40,4,FALSE))*(FZ28/100)))</f>
        <v/>
      </c>
      <c r="GD28" s="25" t="str">
        <f>IF(FZ28="","",((VLOOKUP(Compositions!S44,'HHV-LHV-MW'!$A$3:$F$40,5,FALSE))*(FZ28/100)))</f>
        <v/>
      </c>
      <c r="GE28" s="209" t="str">
        <f>IF(FZ28="","",((VLOOKUP(Compositions!S44,'HHV-LHV-MW'!$A$3:$F$40,6,FALSE))*(FZ28/100)))</f>
        <v/>
      </c>
      <c r="GF28" s="25"/>
      <c r="GG28" s="25"/>
      <c r="GH28" s="25"/>
      <c r="GI28" s="180"/>
      <c r="GJ28" s="180"/>
      <c r="GK28" s="180"/>
      <c r="GL28" s="28" t="str">
        <f>IF(Compositions!W44="","",IF(Compositions!$W$25="mol%",Compositions!W44,GM28))</f>
        <v/>
      </c>
      <c r="GM28" s="28" t="str">
        <f t="shared" si="17"/>
        <v/>
      </c>
      <c r="GN28" s="28" t="str">
        <f>IF(Compositions!W44="","",(Compositions!W44/(VLOOKUP(Compositions!S44,'HHV-LHV-MW'!$A$3:$F$40,6,FALSE))))</f>
        <v/>
      </c>
      <c r="GO28" s="26" t="str">
        <f>IF(GL28="","",((VLOOKUP(Compositions!S44,'HHV-LHV-MW'!$A$3:$F$40,4,FALSE))*(GL28/100)))</f>
        <v/>
      </c>
      <c r="GP28" s="26" t="str">
        <f>IF(GL28="","",((VLOOKUP(Compositions!S44,'HHV-LHV-MW'!$A$3:$F$40,5,FALSE))*(GL28/100)))</f>
        <v/>
      </c>
      <c r="GQ28" s="39" t="str">
        <f>IF(GL28="","",((VLOOKUP(Compositions!S44,'HHV-LHV-MW'!$A$3:$F$40,6,FALSE))*(GL28/100)))</f>
        <v/>
      </c>
      <c r="GR28" s="13"/>
      <c r="GS28" s="13"/>
      <c r="GT28" s="13"/>
      <c r="GU28" s="13"/>
      <c r="GV28" s="13"/>
      <c r="GW28" s="13"/>
      <c r="GY28" s="27" t="str">
        <f>IF(Compositions!Z44="","",IF(Compositions!$Z$25="mol%",Compositions!Z44,GZ28))</f>
        <v/>
      </c>
      <c r="GZ28" s="27" t="str">
        <f t="shared" si="18"/>
        <v/>
      </c>
      <c r="HA28" s="27" t="str">
        <f>IF(Compositions!Z44="","",(Compositions!Z44/(VLOOKUP(Compositions!Y44,'HHV-LHV-MW'!$A$3:$F$40,6,FALSE))))</f>
        <v/>
      </c>
      <c r="HB28" s="25" t="str">
        <f>IF(GY28="","",((VLOOKUP(Compositions!Y44,'HHV-LHV-MW'!$A$3:$F$40,4,FALSE))*(GY28/100)))</f>
        <v/>
      </c>
      <c r="HC28" s="25" t="str">
        <f>IF(GY28="","",((VLOOKUP(Compositions!Y44,'HHV-LHV-MW'!$A$3:$F$40,5,FALSE))*(GY28/100)))</f>
        <v/>
      </c>
      <c r="HD28" s="209" t="str">
        <f>IF(GY28="","",((VLOOKUP(Compositions!Y44,'HHV-LHV-MW'!$A$3:$F$40,6,FALSE))*(GY28/100)))</f>
        <v/>
      </c>
      <c r="HE28" s="25"/>
      <c r="HF28" s="25"/>
      <c r="HG28" s="25"/>
      <c r="HH28" s="180"/>
      <c r="HI28" s="180"/>
      <c r="HJ28" s="180"/>
      <c r="HK28" s="28" t="str">
        <f>IF(Compositions!AA44="","",IF(Compositions!$AA$25="mol%",Compositions!AA44,HL28))</f>
        <v/>
      </c>
      <c r="HL28" s="28" t="str">
        <f t="shared" si="19"/>
        <v/>
      </c>
      <c r="HM28" s="28" t="str">
        <f>IF(Compositions!AA44="","",(Compositions!AA44/(VLOOKUP(Compositions!Y44,'HHV-LHV-MW'!$A$3:$F$40,6,FALSE))))</f>
        <v/>
      </c>
      <c r="HN28" s="26" t="str">
        <f>IF(HK28="","",((VLOOKUP(Compositions!Y44,'HHV-LHV-MW'!$A$3:$F$40,4,FALSE))*(HK28/100)))</f>
        <v/>
      </c>
      <c r="HO28" s="26" t="str">
        <f>IF(HK28="","",((VLOOKUP(Compositions!Y44,'HHV-LHV-MW'!$A$3:$F$40,5,FALSE))*(HK28/100)))</f>
        <v/>
      </c>
      <c r="HP28" s="39" t="str">
        <f>IF(HK28="","",((VLOOKUP(Compositions!Y44,'HHV-LHV-MW'!$A$3:$F$40,6,FALSE))*(HK28/100)))</f>
        <v/>
      </c>
      <c r="HQ28" s="26"/>
      <c r="HR28" s="26"/>
      <c r="HS28" s="26"/>
      <c r="HT28" s="177"/>
      <c r="HU28" s="177"/>
      <c r="HV28" s="177"/>
      <c r="HW28" s="27" t="str">
        <f>IF(Compositions!AB44="","",IF(Compositions!$AB$25="mol%",Compositions!AB44,HX28))</f>
        <v/>
      </c>
      <c r="HX28" s="27" t="str">
        <f t="shared" si="20"/>
        <v/>
      </c>
      <c r="HY28" s="27" t="str">
        <f>IF(Compositions!AB44="","",(Compositions!AB44/(VLOOKUP(Compositions!Y44,'HHV-LHV-MW'!$A$3:$F$40,6,FALSE))))</f>
        <v/>
      </c>
      <c r="HZ28" s="25" t="str">
        <f>IF(HW28="","",((VLOOKUP(Compositions!Y44,'HHV-LHV-MW'!$A$3:$F$40,4,FALSE))*(HW28/100)))</f>
        <v/>
      </c>
      <c r="IA28" s="25" t="str">
        <f>IF(HW28="","",((VLOOKUP(Compositions!Y44,'HHV-LHV-MW'!$A$3:$F$40,5,FALSE))*(HW28/100)))</f>
        <v/>
      </c>
      <c r="IB28" s="209" t="str">
        <f>IF(HW28="","",((VLOOKUP(Compositions!Y44,'HHV-LHV-MW'!$A$3:$F$40,6,FALSE))*(HW28/100)))</f>
        <v/>
      </c>
      <c r="IC28" s="25"/>
      <c r="ID28" s="25"/>
      <c r="IE28" s="25"/>
      <c r="IF28" s="180"/>
      <c r="IG28" s="180"/>
      <c r="IH28" s="180"/>
      <c r="II28" s="28" t="str">
        <f>IF(Compositions!AC44="","",IF(Compositions!$AC$25="mol%",Compositions!AC44,IJ28))</f>
        <v/>
      </c>
      <c r="IJ28" s="28" t="str">
        <f t="shared" si="21"/>
        <v/>
      </c>
      <c r="IK28" s="28" t="str">
        <f>IF(Compositions!AC44="","",(Compositions!AC44/(VLOOKUP(Compositions!Y44,'HHV-LHV-MW'!$A$3:$F$40,6,FALSE))))</f>
        <v/>
      </c>
      <c r="IL28" s="26" t="str">
        <f>IF(II28="","",((VLOOKUP(Compositions!Y44,'HHV-LHV-MW'!$A$3:$F$40,4,FALSE))*(II28/100)))</f>
        <v/>
      </c>
      <c r="IM28" s="26" t="str">
        <f>IF(II28="","",((VLOOKUP(Compositions!Y44,'HHV-LHV-MW'!$A$3:$F$40,5,FALSE))*(II28/100)))</f>
        <v/>
      </c>
      <c r="IN28" s="39" t="str">
        <f>IF(II28="","",((VLOOKUP(Compositions!Y44,'HHV-LHV-MW'!$A$3:$F$40,6,FALSE))*(II28/100)))</f>
        <v/>
      </c>
      <c r="IO28" s="13"/>
      <c r="IP28" s="13"/>
      <c r="IQ28" s="13"/>
      <c r="IR28" s="13"/>
      <c r="IS28" s="13"/>
      <c r="IT28" s="13"/>
      <c r="IV28" s="27" t="str">
        <f>IF(Compositions!AF44="","",IF(Compositions!$AF$25="mol%",Compositions!AF44,IW28))</f>
        <v/>
      </c>
      <c r="IW28" s="27" t="str">
        <f t="shared" si="6"/>
        <v/>
      </c>
      <c r="IX28" s="27" t="str">
        <f>IF(Compositions!AF44="","",(Compositions!AF44/(VLOOKUP(Compositions!AE44,'HHV-LHV-MW'!$A$3:$F$40,6,FALSE))))</f>
        <v/>
      </c>
      <c r="IY28" s="25" t="str">
        <f>IF(IV28="","",((VLOOKUP(Compositions!AE44,'HHV-LHV-MW'!$A$3:$F$40,4,FALSE))*(IV28/100)))</f>
        <v/>
      </c>
      <c r="IZ28" s="25" t="str">
        <f>IF(IV28="","",((VLOOKUP(Compositions!AE44,'HHV-LHV-MW'!$A$3:$F$40,5,FALSE))*(IV28/100)))</f>
        <v/>
      </c>
      <c r="JA28" s="209" t="str">
        <f>IF(IV28="","",((VLOOKUP(Compositions!AE44,'HHV-LHV-MW'!$A$3:$F$40,6,FALSE))*(IV28/100)))</f>
        <v/>
      </c>
      <c r="JB28" s="25"/>
      <c r="JC28" s="25"/>
      <c r="JD28" s="25"/>
      <c r="JE28" s="180"/>
      <c r="JF28" s="180"/>
      <c r="JG28" s="180"/>
      <c r="JH28" s="28" t="str">
        <f>IF(Compositions!AG44="","",IF(Compositions!$AG$25="mol%",Compositions!AG44,JI28))</f>
        <v/>
      </c>
      <c r="JI28" s="28" t="str">
        <f t="shared" si="22"/>
        <v/>
      </c>
      <c r="JJ28" s="28" t="str">
        <f>IF(Compositions!AG44="","",(Compositions!AG44/(VLOOKUP(Compositions!AE44,'HHV-LHV-MW'!$A$3:$F$40,6,FALSE))))</f>
        <v/>
      </c>
      <c r="JK28" s="26" t="str">
        <f>IF(JH28="","",((VLOOKUP(Compositions!AE44,'HHV-LHV-MW'!$A$3:$F$40,4,FALSE))*(JH28/100)))</f>
        <v/>
      </c>
      <c r="JL28" s="26" t="str">
        <f>IF(JH28="","",((VLOOKUP(Compositions!AE44,'HHV-LHV-MW'!$A$3:$F$40,5,FALSE))*(JH28/100)))</f>
        <v/>
      </c>
      <c r="JM28" s="39" t="str">
        <f>IF(JH28="","",((VLOOKUP(Compositions!AE44,'HHV-LHV-MW'!$A$3:$F$40,6,FALSE))*(JH28/100)))</f>
        <v/>
      </c>
      <c r="JN28" s="26"/>
      <c r="JO28" s="26"/>
      <c r="JP28" s="26"/>
      <c r="JQ28" s="177"/>
      <c r="JR28" s="177"/>
      <c r="JS28" s="177"/>
      <c r="JT28" s="27" t="str">
        <f>IF(Compositions!AH44="","",IF(Compositions!$AH$25="mol%",Compositions!AH44,JU28))</f>
        <v/>
      </c>
      <c r="JU28" s="27" t="str">
        <f t="shared" si="23"/>
        <v/>
      </c>
      <c r="JV28" s="27" t="str">
        <f>IF(Compositions!AH44="","",(Compositions!AH44/(VLOOKUP(Compositions!AE44,'HHV-LHV-MW'!$A$3:$F$40,6,FALSE))))</f>
        <v/>
      </c>
      <c r="JW28" s="25" t="str">
        <f>IF(JT28="","",((VLOOKUP(Compositions!AE44,'HHV-LHV-MW'!$A$3:$F$40,4,FALSE))*(JT28/100)))</f>
        <v/>
      </c>
      <c r="JX28" s="25" t="str">
        <f>IF(JT28="","",((VLOOKUP(Compositions!AE44,'HHV-LHV-MW'!$A$3:$F$40,5,FALSE))*(JT28/100)))</f>
        <v/>
      </c>
      <c r="JY28" s="209" t="str">
        <f>IF(JT28="","",((VLOOKUP(Compositions!AE44,'HHV-LHV-MW'!$A$3:$F$40,6,FALSE))*(JT28/100)))</f>
        <v/>
      </c>
      <c r="JZ28" s="25"/>
      <c r="KA28" s="25"/>
      <c r="KB28" s="25"/>
      <c r="KC28" s="180"/>
      <c r="KD28" s="180"/>
      <c r="KE28" s="180"/>
      <c r="KF28" s="28" t="str">
        <f>IF(Compositions!AI44="","",IF(Compositions!$AI$25="mol%",Compositions!AI44,KG28))</f>
        <v/>
      </c>
      <c r="KG28" s="28" t="str">
        <f t="shared" si="24"/>
        <v/>
      </c>
      <c r="KH28" s="28" t="str">
        <f>IF(Compositions!AI44="","",(Compositions!AI44/(VLOOKUP(Compositions!AE44,'HHV-LHV-MW'!$A$3:$F$40,6,FALSE))))</f>
        <v/>
      </c>
      <c r="KI28" s="26" t="str">
        <f>IF(KF28="","",((VLOOKUP(Compositions!AE44,'HHV-LHV-MW'!$A$3:$F$40,4,FALSE))*(KF28/100)))</f>
        <v/>
      </c>
      <c r="KJ28" s="26" t="str">
        <f>IF(KF28="","",((VLOOKUP(Compositions!AE44,'HHV-LHV-MW'!$A$3:$F$40,5,FALSE))*(KF28/100)))</f>
        <v/>
      </c>
      <c r="KK28" s="39" t="str">
        <f>IF(KF28="","",((VLOOKUP(Compositions!AE44,'HHV-LHV-MW'!$A$3:$F$40,6,FALSE))*(KF28/100)))</f>
        <v/>
      </c>
      <c r="KL28" s="13"/>
      <c r="KM28" s="13"/>
      <c r="KN28" s="13"/>
    </row>
    <row r="29" spans="1:300" ht="15.6">
      <c r="A29" s="173" t="s">
        <v>206</v>
      </c>
      <c r="B29" s="19" t="s">
        <v>192</v>
      </c>
      <c r="C29" s="20">
        <v>6</v>
      </c>
      <c r="D29" s="20">
        <v>4.1900000000000004</v>
      </c>
      <c r="E29" s="20">
        <v>3.8774999999999999</v>
      </c>
      <c r="F29" s="20">
        <v>86.177160000000001</v>
      </c>
      <c r="G29" s="20">
        <f t="shared" si="0"/>
        <v>0</v>
      </c>
      <c r="H29" s="20">
        <v>0</v>
      </c>
      <c r="I29" s="170">
        <v>1</v>
      </c>
      <c r="K29" s="27" t="str">
        <f>IF(Compositions!B45="","",IF(Compositions!$B$25="mol%",Compositions!B45,L29))</f>
        <v/>
      </c>
      <c r="L29" s="27" t="str">
        <f t="shared" si="1"/>
        <v/>
      </c>
      <c r="M29" s="27" t="str">
        <f>IF(Compositions!B45="","",(Compositions!B45/(VLOOKUP(Compositions!A45,'HHV-LHV-MW'!$A$3:$F$40,6,FALSE))))</f>
        <v/>
      </c>
      <c r="N29" s="25" t="str">
        <f>IF(K29="","",((VLOOKUP(Compositions!A45,'HHV-LHV-MW'!$A$3:$F$40,4,FALSE))*(K29/100)))</f>
        <v/>
      </c>
      <c r="O29" s="25" t="str">
        <f>IF(K29="","",((VLOOKUP(Compositions!A45,'HHV-LHV-MW'!$A$3:$F$40,5,FALSE))*(K29/100)))</f>
        <v/>
      </c>
      <c r="P29" s="206" t="str">
        <f>IF(K29="","",((VLOOKUP(Compositions!A45,'HHV-LHV-MW'!$A$3:$F$40,6,FALSE))*(K29/100)))</f>
        <v/>
      </c>
      <c r="Q29" s="25"/>
      <c r="R29" s="25"/>
      <c r="S29" s="25"/>
      <c r="T29" s="166"/>
      <c r="U29" s="174"/>
      <c r="V29" s="180"/>
      <c r="W29" s="28" t="str">
        <f>IF(Compositions!C45="","",IF(Compositions!$C$25="mol%",Compositions!C45,X29))</f>
        <v/>
      </c>
      <c r="X29" s="28" t="str">
        <f t="shared" si="2"/>
        <v/>
      </c>
      <c r="Y29" s="28" t="str">
        <f>IF(Compositions!C45="","",(Compositions!C45/(VLOOKUP(Compositions!A45,'HHV-LHV-MW'!$A$3:$F$40,6,FALSE))))</f>
        <v/>
      </c>
      <c r="Z29" s="26" t="str">
        <f>IF(W29="","",((VLOOKUP(Compositions!A45,'HHV-LHV-MW'!$A$3:$F$40,4,FALSE))*(W29/100)))</f>
        <v/>
      </c>
      <c r="AA29" s="26" t="str">
        <f>IF(W29="","",((VLOOKUP(Compositions!A45,'HHV-LHV-MW'!$A$3:$F$40,5,FALSE))*(W29/100)))</f>
        <v/>
      </c>
      <c r="AB29" s="39" t="str">
        <f>IF(W29="","",((VLOOKUP(Compositions!A45,'HHV-LHV-MW'!$A$3:$F$40,6,FALSE))*(W29/100)))</f>
        <v/>
      </c>
      <c r="AC29" s="26"/>
      <c r="AD29" s="26"/>
      <c r="AE29" s="26"/>
      <c r="AF29" s="177"/>
      <c r="AG29" s="177"/>
      <c r="AH29" s="177"/>
      <c r="AI29" s="27" t="str">
        <f>IF(Compositions!D45="","",IF(Compositions!$D$25="mol%",Compositions!D45,AJ29))</f>
        <v/>
      </c>
      <c r="AJ29" s="27" t="str">
        <f t="shared" si="3"/>
        <v/>
      </c>
      <c r="AK29" s="27" t="str">
        <f>IF(Compositions!D45="","",(Compositions!D45/(VLOOKUP(Compositions!A45,'HHV-LHV-MW'!$A$3:$F$40,6,FALSE))))</f>
        <v/>
      </c>
      <c r="AL29" s="25" t="str">
        <f>IF(AI29="","",((VLOOKUP(Compositions!A45,'HHV-LHV-MW'!$A$3:$F$40,4,FALSE))*(AI29/100)))</f>
        <v/>
      </c>
      <c r="AM29" s="25" t="str">
        <f>IF(AI29="","",((VLOOKUP(Compositions!A45,'HHV-LHV-MW'!$A$3:$F$40,5,FALSE))*(AI29/100)))</f>
        <v/>
      </c>
      <c r="AN29" s="209" t="str">
        <f>IF(AI29="","",((VLOOKUP(Compositions!A45,'HHV-LHV-MW'!$A$3:$F$40,6,FALSE))*(AI29/100)))</f>
        <v/>
      </c>
      <c r="AO29" s="25"/>
      <c r="AP29" s="25"/>
      <c r="AQ29" s="25"/>
      <c r="AR29" s="180"/>
      <c r="AS29" s="180"/>
      <c r="AT29" s="180"/>
      <c r="AU29" s="28" t="str">
        <f>IF(Compositions!E45="","",IF(Compositions!$E$25="mol%",Compositions!E45,AV29))</f>
        <v/>
      </c>
      <c r="AV29" s="28" t="str">
        <f t="shared" si="4"/>
        <v/>
      </c>
      <c r="AW29" s="28" t="str">
        <f>IF(Compositions!E45="","",(Compositions!E45/(VLOOKUP(Compositions!A45,'HHV-LHV-MW'!$A$3:$F$40,6,FALSE))))</f>
        <v/>
      </c>
      <c r="AX29" s="26" t="str">
        <f>IF(AU29="","",((VLOOKUP(Compositions!A45,'HHV-LHV-MW'!$A$3:$F$40,4,FALSE))*(AU29/100)))</f>
        <v/>
      </c>
      <c r="AY29" s="26" t="str">
        <f>IF(AU29="","",((VLOOKUP(Compositions!A45,'HHV-LHV-MW'!$A$3:$F$40,5,FALSE))*(AU29/100)))</f>
        <v/>
      </c>
      <c r="AZ29" s="39" t="str">
        <f>IF(AU29="","",((VLOOKUP(Compositions!A45,'HHV-LHV-MW'!$A$3:$F$40,6,FALSE))*(AU29/100)))</f>
        <v/>
      </c>
      <c r="BA29" s="13"/>
      <c r="BB29" s="13"/>
      <c r="BC29" s="13"/>
      <c r="BD29" s="13"/>
      <c r="BE29" s="13"/>
      <c r="BF29" s="13"/>
      <c r="BH29" s="27" t="str">
        <f>IF(Compositions!H45="","",IF(Compositions!$H$25="mol%",Compositions!H45,BI29))</f>
        <v/>
      </c>
      <c r="BI29" s="27" t="str">
        <f t="shared" si="7"/>
        <v/>
      </c>
      <c r="BJ29" s="27" t="str">
        <f>IF(Compositions!H45="","",(Compositions!H45/(VLOOKUP(Compositions!G45,'HHV-LHV-MW'!$A$3:$F$40,6,FALSE))))</f>
        <v/>
      </c>
      <c r="BK29" s="25" t="str">
        <f>IF(BH29="","",((VLOOKUP(Compositions!G45,'HHV-LHV-MW'!$A$3:$F$40,4,FALSE))*(BH29/100)))</f>
        <v/>
      </c>
      <c r="BL29" s="25" t="str">
        <f>IF(BH29="","",((VLOOKUP(Compositions!G45,'HHV-LHV-MW'!$A$3:$F$40,5,FALSE))*(BH29/100)))</f>
        <v/>
      </c>
      <c r="BM29" s="209" t="str">
        <f>IF(BH29="","",((VLOOKUP(Compositions!G45,'HHV-LHV-MW'!$A$3:$F$40,6,FALSE))*(BH29/100)))</f>
        <v/>
      </c>
      <c r="BN29" s="25"/>
      <c r="BO29" s="25"/>
      <c r="BP29" s="25"/>
      <c r="BQ29" s="180"/>
      <c r="BR29" s="180"/>
      <c r="BS29" s="180"/>
      <c r="BT29" s="28" t="str">
        <f>IF(Compositions!I45="","",IF(Compositions!$I$25="mol%",Compositions!I45,BU29))</f>
        <v/>
      </c>
      <c r="BU29" s="28" t="str">
        <f t="shared" si="8"/>
        <v/>
      </c>
      <c r="BV29" s="28" t="str">
        <f>IF(Compositions!I45="","",(Compositions!I45/(VLOOKUP(Compositions!G45,'HHV-LHV-MW'!$A$3:$F$40,6,FALSE))))</f>
        <v/>
      </c>
      <c r="BW29" s="26" t="str">
        <f>IF(BT29="","",((VLOOKUP(Compositions!G45,'HHV-LHV-MW'!$A$3:$F$40,4,FALSE))*(BT29/100)))</f>
        <v/>
      </c>
      <c r="BX29" s="26" t="str">
        <f>IF(BT29="","",((VLOOKUP(Compositions!G45,'HHV-LHV-MW'!$A$3:$F$40,5,FALSE))*(BT29/100)))</f>
        <v/>
      </c>
      <c r="BY29" s="207" t="str">
        <f>IF(BT29="","",((VLOOKUP(Compositions!G45,'HHV-LHV-MW'!$A$3:$F$40,6,FALSE))*(BT29/100)))</f>
        <v/>
      </c>
      <c r="BZ29" s="26"/>
      <c r="CA29" s="26"/>
      <c r="CB29" s="26"/>
      <c r="CC29" s="177"/>
      <c r="CD29" s="177"/>
      <c r="CE29" s="177"/>
      <c r="CF29" s="27" t="str">
        <f>IF(Compositions!J45="","",IF(Compositions!$J$25="mol%",Compositions!J45,CG29))</f>
        <v/>
      </c>
      <c r="CG29" s="27" t="str">
        <f t="shared" si="9"/>
        <v/>
      </c>
      <c r="CH29" s="27" t="str">
        <f>IF(Compositions!J45="","",(Compositions!J45/(VLOOKUP(Compositions!G45,'HHV-LHV-MW'!$A$3:$F$40,6,FALSE))))</f>
        <v/>
      </c>
      <c r="CI29" s="25" t="str">
        <f>IF(CF29="","",((VLOOKUP(Compositions!G45,'HHV-LHV-MW'!$A$3:$F$40,4,FALSE))*(CF29/100)))</f>
        <v/>
      </c>
      <c r="CJ29" s="25" t="str">
        <f>IF(CF29="","",((VLOOKUP(Compositions!G45,'HHV-LHV-MW'!$A$3:$F$40,5,FALSE))*(CF29/100)))</f>
        <v/>
      </c>
      <c r="CK29" s="209" t="str">
        <f>IF(CF29="","",((VLOOKUP(Compositions!G45,'HHV-LHV-MW'!$A$3:$F$40,6,FALSE))*(CF29/100)))</f>
        <v/>
      </c>
      <c r="CL29" s="25"/>
      <c r="CM29" s="25"/>
      <c r="CN29" s="25"/>
      <c r="CO29" s="180"/>
      <c r="CP29" s="180"/>
      <c r="CQ29" s="180"/>
      <c r="CR29" s="28" t="str">
        <f>IF(Compositions!K45="","",IF(Compositions!$K$25="mol%",Compositions!K45,CS29))</f>
        <v/>
      </c>
      <c r="CS29" s="28" t="str">
        <f t="shared" si="10"/>
        <v/>
      </c>
      <c r="CT29" s="28" t="str">
        <f>IF(Compositions!K45="","",(Compositions!K45/(VLOOKUP(Compositions!G45,'HHV-LHV-MW'!$A$3:$F$40,6,FALSE))))</f>
        <v/>
      </c>
      <c r="CU29" s="26" t="str">
        <f>IF(CR29="","",((VLOOKUP(Compositions!G45,'HHV-LHV-MW'!$A$3:$F$40,4,FALSE))*(CR29/100)))</f>
        <v/>
      </c>
      <c r="CV29" s="26" t="str">
        <f>IF(CR29="","",((VLOOKUP(Compositions!G45,'HHV-LHV-MW'!$A$3:$F$40,5,FALSE))*(CR29/100)))</f>
        <v/>
      </c>
      <c r="CW29" s="207" t="str">
        <f>IF(CR29="","",((VLOOKUP(Compositions!G45,'HHV-LHV-MW'!$A$3:$F$40,6,FALSE))*(CR29/100)))</f>
        <v/>
      </c>
      <c r="CX29" s="13"/>
      <c r="CY29" s="13"/>
      <c r="CZ29" s="13"/>
      <c r="DA29" s="13"/>
      <c r="DB29" s="13"/>
      <c r="DC29" s="13"/>
      <c r="DE29" s="27" t="str">
        <f>IF(Compositions!N45="","",IF(Compositions!$N$25="mol%",Compositions!N45,DF29))</f>
        <v/>
      </c>
      <c r="DF29" s="27" t="str">
        <f t="shared" si="5"/>
        <v/>
      </c>
      <c r="DG29" s="27" t="str">
        <f>IF(Compositions!N45="","",(Compositions!N45/(VLOOKUP(Compositions!M45,'HHV-LHV-MW'!$A$3:$F$40,6,FALSE))))</f>
        <v/>
      </c>
      <c r="DH29" s="25" t="str">
        <f>IF(DE29="","",((VLOOKUP(Compositions!M45,'HHV-LHV-MW'!$A$3:$F$40,4,FALSE))*(DE29/100)))</f>
        <v/>
      </c>
      <c r="DI29" s="25" t="str">
        <f>IF(DE29="","",((VLOOKUP(Compositions!M45,'HHV-LHV-MW'!$A$3:$F$40,5,FALSE))*(DE29/100)))</f>
        <v/>
      </c>
      <c r="DJ29" s="209" t="str">
        <f>IF(DE29="","",((VLOOKUP(Compositions!M45,'HHV-LHV-MW'!$A$3:$F$40,6,FALSE))*(DE29/100)))</f>
        <v/>
      </c>
      <c r="DK29" s="25"/>
      <c r="DL29" s="25"/>
      <c r="DM29" s="25"/>
      <c r="DN29" s="180"/>
      <c r="DO29" s="180"/>
      <c r="DP29" s="180"/>
      <c r="DQ29" s="28" t="str">
        <f>IF(Compositions!O45="","",IF(Compositions!$O$25="mol%",Compositions!O45,DR29))</f>
        <v/>
      </c>
      <c r="DR29" s="28" t="str">
        <f t="shared" si="11"/>
        <v/>
      </c>
      <c r="DS29" s="28" t="str">
        <f>IF(Compositions!O45="","",(Compositions!O45/(VLOOKUP(Compositions!M45,'HHV-LHV-MW'!$A$3:$F$40,6,FALSE))))</f>
        <v/>
      </c>
      <c r="DT29" s="26" t="str">
        <f>IF(DQ29="","",((VLOOKUP(Compositions!M45,'HHV-LHV-MW'!$A$3:$F$40,4,FALSE))*(DQ29/100)))</f>
        <v/>
      </c>
      <c r="DU29" s="26" t="str">
        <f>IF(DQ29="","",((VLOOKUP(Compositions!M45,'HHV-LHV-MW'!$A$3:$F$40,5,FALSE))*(DQ29/100)))</f>
        <v/>
      </c>
      <c r="DV29" s="39" t="str">
        <f>IF(DQ29="","",((VLOOKUP(Compositions!M45,'HHV-LHV-MW'!$A$3:$F$40,6,FALSE))*(DQ29/100)))</f>
        <v/>
      </c>
      <c r="DW29" s="26"/>
      <c r="DX29" s="26"/>
      <c r="DY29" s="26"/>
      <c r="DZ29" s="177"/>
      <c r="EA29" s="177"/>
      <c r="EB29" s="177"/>
      <c r="EC29" s="27" t="str">
        <f>IF(Compositions!P45="","",IF(Compositions!$P$25="mol%",Compositions!P45,ED29))</f>
        <v/>
      </c>
      <c r="ED29" s="27" t="str">
        <f t="shared" si="12"/>
        <v/>
      </c>
      <c r="EE29" s="27" t="str">
        <f>IF(Compositions!P45="","",(Compositions!P45/(VLOOKUP(Compositions!M45,'HHV-LHV-MW'!$A$3:$F$40,6,FALSE))))</f>
        <v/>
      </c>
      <c r="EF29" s="25" t="str">
        <f>IF(EC29="","",((VLOOKUP(Compositions!M45,'HHV-LHV-MW'!$A$3:$F$40,4,FALSE))*(EC29/100)))</f>
        <v/>
      </c>
      <c r="EG29" s="25" t="str">
        <f>IF(EC29="","",((VLOOKUP(Compositions!M45,'HHV-LHV-MW'!$A$3:$F$40,5,FALSE))*(EC29/100)))</f>
        <v/>
      </c>
      <c r="EH29" s="209" t="str">
        <f>IF(EC29="","",((VLOOKUP(Compositions!M45,'HHV-LHV-MW'!$A$3:$F$40,6,FALSE))*(EC29/100)))</f>
        <v/>
      </c>
      <c r="EI29" s="25"/>
      <c r="EJ29" s="25"/>
      <c r="EK29" s="25"/>
      <c r="EL29" s="180"/>
      <c r="EM29" s="180"/>
      <c r="EN29" s="180"/>
      <c r="EO29" s="28" t="str">
        <f>IF(Compositions!Q45="","",IF(Compositions!$Q$25="mol%",Compositions!Q45,EP29))</f>
        <v/>
      </c>
      <c r="EP29" s="28" t="str">
        <f t="shared" si="13"/>
        <v/>
      </c>
      <c r="EQ29" s="28" t="str">
        <f>IF(Compositions!Q45="","",(Compositions!Q45/(VLOOKUP(Compositions!M45,'HHV-LHV-MW'!$A$3:$F$40,6,FALSE))))</f>
        <v/>
      </c>
      <c r="ER29" s="26" t="str">
        <f>IF(EO29="","",((VLOOKUP(Compositions!M45,'HHV-LHV-MW'!$A$3:$F$40,4,FALSE))*(EO29/100)))</f>
        <v/>
      </c>
      <c r="ES29" s="26" t="str">
        <f>IF(EO29="","",((VLOOKUP(Compositions!M45,'HHV-LHV-MW'!$A$3:$F$40,5,FALSE))*(EO29/100)))</f>
        <v/>
      </c>
      <c r="ET29" s="39" t="str">
        <f>IF(EO29="","",((VLOOKUP(Compositions!M45,'HHV-LHV-MW'!$A$3:$F$40,6,FALSE))*(EO29/100)))</f>
        <v/>
      </c>
      <c r="EU29" s="13"/>
      <c r="EV29" s="13"/>
      <c r="EW29" s="13"/>
      <c r="EX29" s="13"/>
      <c r="EY29" s="13"/>
      <c r="EZ29" s="13"/>
      <c r="FB29" s="27" t="str">
        <f>IF(Compositions!T45="","",IF(Compositions!$T$25="mol%",Compositions!T45,FC29))</f>
        <v/>
      </c>
      <c r="FC29" s="27" t="str">
        <f t="shared" si="14"/>
        <v/>
      </c>
      <c r="FD29" s="27" t="str">
        <f>IF(Compositions!T45="","",(Compositions!T45/(VLOOKUP(Compositions!S45,'HHV-LHV-MW'!$A$3:$F$40,6,FALSE))))</f>
        <v/>
      </c>
      <c r="FE29" s="25" t="str">
        <f>IF(FB29="","",((VLOOKUP(Compositions!S45,'HHV-LHV-MW'!$A$3:$F$40,4,FALSE))*(FB29/100)))</f>
        <v/>
      </c>
      <c r="FF29" s="25" t="str">
        <f>IF(FB29="","",((VLOOKUP(Compositions!S45,'HHV-LHV-MW'!$A$3:$F$40,5,FALSE))*(FB29/100)))</f>
        <v/>
      </c>
      <c r="FG29" s="209" t="str">
        <f>IF(FB29="","",((VLOOKUP(Compositions!S45,'HHV-LHV-MW'!$A$3:$F$40,6,FALSE))*(FB29/100)))</f>
        <v/>
      </c>
      <c r="FH29" s="25"/>
      <c r="FI29" s="25"/>
      <c r="FJ29" s="25"/>
      <c r="FK29" s="180"/>
      <c r="FL29" s="180"/>
      <c r="FM29" s="180"/>
      <c r="FN29" s="28" t="str">
        <f>IF(Compositions!U45="","",IF(Compositions!$U$25="mol%",Compositions!U45,FO29))</f>
        <v/>
      </c>
      <c r="FO29" s="28" t="str">
        <f t="shared" si="15"/>
        <v/>
      </c>
      <c r="FP29" s="28" t="str">
        <f>IF(Compositions!U45="","",(Compositions!U45/(VLOOKUP(Compositions!S45,'HHV-LHV-MW'!$A$3:$F$40,6,FALSE))))</f>
        <v/>
      </c>
      <c r="FQ29" s="26" t="str">
        <f>IF(FN29="","",((VLOOKUP(Compositions!S45,'HHV-LHV-MW'!$A$3:$F$40,4,FALSE))*(FN29/100)))</f>
        <v/>
      </c>
      <c r="FR29" s="26" t="str">
        <f>IF(FN29="","",((VLOOKUP(Compositions!S45,'HHV-LHV-MW'!$A$3:$F$40,5,FALSE))*(FN29/100)))</f>
        <v/>
      </c>
      <c r="FS29" s="39" t="str">
        <f>IF(FN29="","",((VLOOKUP(Compositions!S45,'HHV-LHV-MW'!$A$3:$F$40,6,FALSE))*(FN29/100)))</f>
        <v/>
      </c>
      <c r="FT29" s="26"/>
      <c r="FU29" s="26"/>
      <c r="FV29" s="26"/>
      <c r="FW29" s="177"/>
      <c r="FX29" s="177"/>
      <c r="FY29" s="177"/>
      <c r="FZ29" s="27" t="str">
        <f>IF(Compositions!V45="","",IF(Compositions!$V$25="mol%",Compositions!V45,GA29))</f>
        <v/>
      </c>
      <c r="GA29" s="27" t="str">
        <f t="shared" si="16"/>
        <v/>
      </c>
      <c r="GB29" s="27" t="str">
        <f>IF(Compositions!V45="","",(Compositions!V45/(VLOOKUP(Compositions!S45,'HHV-LHV-MW'!$A$3:$F$40,6,FALSE))))</f>
        <v/>
      </c>
      <c r="GC29" s="25" t="str">
        <f>IF(FZ29="","",((VLOOKUP(Compositions!S45,'HHV-LHV-MW'!$A$3:$F$40,4,FALSE))*(FZ29/100)))</f>
        <v/>
      </c>
      <c r="GD29" s="25" t="str">
        <f>IF(FZ29="","",((VLOOKUP(Compositions!S45,'HHV-LHV-MW'!$A$3:$F$40,5,FALSE))*(FZ29/100)))</f>
        <v/>
      </c>
      <c r="GE29" s="209" t="str">
        <f>IF(FZ29="","",((VLOOKUP(Compositions!S45,'HHV-LHV-MW'!$A$3:$F$40,6,FALSE))*(FZ29/100)))</f>
        <v/>
      </c>
      <c r="GF29" s="25"/>
      <c r="GG29" s="25"/>
      <c r="GH29" s="25"/>
      <c r="GI29" s="180"/>
      <c r="GJ29" s="180"/>
      <c r="GK29" s="180"/>
      <c r="GL29" s="28" t="str">
        <f>IF(Compositions!W45="","",IF(Compositions!$W$25="mol%",Compositions!W45,GM29))</f>
        <v/>
      </c>
      <c r="GM29" s="28" t="str">
        <f t="shared" si="17"/>
        <v/>
      </c>
      <c r="GN29" s="28" t="str">
        <f>IF(Compositions!W45="","",(Compositions!W45/(VLOOKUP(Compositions!S45,'HHV-LHV-MW'!$A$3:$F$40,6,FALSE))))</f>
        <v/>
      </c>
      <c r="GO29" s="26" t="str">
        <f>IF(GL29="","",((VLOOKUP(Compositions!S45,'HHV-LHV-MW'!$A$3:$F$40,4,FALSE))*(GL29/100)))</f>
        <v/>
      </c>
      <c r="GP29" s="26" t="str">
        <f>IF(GL29="","",((VLOOKUP(Compositions!S45,'HHV-LHV-MW'!$A$3:$F$40,5,FALSE))*(GL29/100)))</f>
        <v/>
      </c>
      <c r="GQ29" s="39" t="str">
        <f>IF(GL29="","",((VLOOKUP(Compositions!S45,'HHV-LHV-MW'!$A$3:$F$40,6,FALSE))*(GL29/100)))</f>
        <v/>
      </c>
      <c r="GR29" s="13"/>
      <c r="GS29" s="13"/>
      <c r="GT29" s="13"/>
      <c r="GU29" s="13"/>
      <c r="GV29" s="13"/>
      <c r="GW29" s="13"/>
      <c r="GY29" s="27" t="str">
        <f>IF(Compositions!Z45="","",IF(Compositions!$Z$25="mol%",Compositions!Z45,GZ29))</f>
        <v/>
      </c>
      <c r="GZ29" s="27" t="str">
        <f t="shared" si="18"/>
        <v/>
      </c>
      <c r="HA29" s="27" t="str">
        <f>IF(Compositions!Z45="","",(Compositions!Z45/(VLOOKUP(Compositions!Y45,'HHV-LHV-MW'!$A$3:$F$40,6,FALSE))))</f>
        <v/>
      </c>
      <c r="HB29" s="25" t="str">
        <f>IF(GY29="","",((VLOOKUP(Compositions!Y45,'HHV-LHV-MW'!$A$3:$F$40,4,FALSE))*(GY29/100)))</f>
        <v/>
      </c>
      <c r="HC29" s="25" t="str">
        <f>IF(GY29="","",((VLOOKUP(Compositions!Y45,'HHV-LHV-MW'!$A$3:$F$40,5,FALSE))*(GY29/100)))</f>
        <v/>
      </c>
      <c r="HD29" s="209" t="str">
        <f>IF(GY29="","",((VLOOKUP(Compositions!Y45,'HHV-LHV-MW'!$A$3:$F$40,6,FALSE))*(GY29/100)))</f>
        <v/>
      </c>
      <c r="HE29" s="25"/>
      <c r="HF29" s="25"/>
      <c r="HG29" s="25"/>
      <c r="HH29" s="180"/>
      <c r="HI29" s="180"/>
      <c r="HJ29" s="180"/>
      <c r="HK29" s="28" t="str">
        <f>IF(Compositions!AA45="","",IF(Compositions!$AA$25="mol%",Compositions!AA45,HL29))</f>
        <v/>
      </c>
      <c r="HL29" s="28" t="str">
        <f t="shared" si="19"/>
        <v/>
      </c>
      <c r="HM29" s="28" t="str">
        <f>IF(Compositions!AA45="","",(Compositions!AA45/(VLOOKUP(Compositions!Y45,'HHV-LHV-MW'!$A$3:$F$40,6,FALSE))))</f>
        <v/>
      </c>
      <c r="HN29" s="26" t="str">
        <f>IF(HK29="","",((VLOOKUP(Compositions!Y45,'HHV-LHV-MW'!$A$3:$F$40,4,FALSE))*(HK29/100)))</f>
        <v/>
      </c>
      <c r="HO29" s="26" t="str">
        <f>IF(HK29="","",((VLOOKUP(Compositions!Y45,'HHV-LHV-MW'!$A$3:$F$40,5,FALSE))*(HK29/100)))</f>
        <v/>
      </c>
      <c r="HP29" s="39" t="str">
        <f>IF(HK29="","",((VLOOKUP(Compositions!Y45,'HHV-LHV-MW'!$A$3:$F$40,6,FALSE))*(HK29/100)))</f>
        <v/>
      </c>
      <c r="HQ29" s="26"/>
      <c r="HR29" s="26"/>
      <c r="HS29" s="26"/>
      <c r="HT29" s="177"/>
      <c r="HU29" s="177"/>
      <c r="HV29" s="177"/>
      <c r="HW29" s="27" t="str">
        <f>IF(Compositions!AB45="","",IF(Compositions!$AB$25="mol%",Compositions!AB45,HX29))</f>
        <v/>
      </c>
      <c r="HX29" s="27" t="str">
        <f t="shared" si="20"/>
        <v/>
      </c>
      <c r="HY29" s="27" t="str">
        <f>IF(Compositions!AB45="","",(Compositions!AB45/(VLOOKUP(Compositions!Y45,'HHV-LHV-MW'!$A$3:$F$40,6,FALSE))))</f>
        <v/>
      </c>
      <c r="HZ29" s="25" t="str">
        <f>IF(HW29="","",((VLOOKUP(Compositions!Y45,'HHV-LHV-MW'!$A$3:$F$40,4,FALSE))*(HW29/100)))</f>
        <v/>
      </c>
      <c r="IA29" s="25" t="str">
        <f>IF(HW29="","",((VLOOKUP(Compositions!Y45,'HHV-LHV-MW'!$A$3:$F$40,5,FALSE))*(HW29/100)))</f>
        <v/>
      </c>
      <c r="IB29" s="209" t="str">
        <f>IF(HW29="","",((VLOOKUP(Compositions!Y45,'HHV-LHV-MW'!$A$3:$F$40,6,FALSE))*(HW29/100)))</f>
        <v/>
      </c>
      <c r="IC29" s="25"/>
      <c r="ID29" s="25"/>
      <c r="IE29" s="25"/>
      <c r="IF29" s="180"/>
      <c r="IG29" s="180"/>
      <c r="IH29" s="180"/>
      <c r="II29" s="28" t="str">
        <f>IF(Compositions!AC45="","",IF(Compositions!$AC$25="mol%",Compositions!AC45,IJ29))</f>
        <v/>
      </c>
      <c r="IJ29" s="28" t="str">
        <f t="shared" si="21"/>
        <v/>
      </c>
      <c r="IK29" s="28" t="str">
        <f>IF(Compositions!AC45="","",(Compositions!AC45/(VLOOKUP(Compositions!Y45,'HHV-LHV-MW'!$A$3:$F$40,6,FALSE))))</f>
        <v/>
      </c>
      <c r="IL29" s="26" t="str">
        <f>IF(II29="","",((VLOOKUP(Compositions!Y45,'HHV-LHV-MW'!$A$3:$F$40,4,FALSE))*(II29/100)))</f>
        <v/>
      </c>
      <c r="IM29" s="26" t="str">
        <f>IF(II29="","",((VLOOKUP(Compositions!Y45,'HHV-LHV-MW'!$A$3:$F$40,5,FALSE))*(II29/100)))</f>
        <v/>
      </c>
      <c r="IN29" s="39" t="str">
        <f>IF(II29="","",((VLOOKUP(Compositions!Y45,'HHV-LHV-MW'!$A$3:$F$40,6,FALSE))*(II29/100)))</f>
        <v/>
      </c>
      <c r="IO29" s="13"/>
      <c r="IP29" s="13"/>
      <c r="IQ29" s="13"/>
      <c r="IR29" s="13"/>
      <c r="IS29" s="13"/>
      <c r="IT29" s="13"/>
      <c r="IV29" s="27" t="str">
        <f>IF(Compositions!AF45="","",IF(Compositions!$AF$25="mol%",Compositions!AF45,IW29))</f>
        <v/>
      </c>
      <c r="IW29" s="27" t="str">
        <f t="shared" si="6"/>
        <v/>
      </c>
      <c r="IX29" s="27" t="str">
        <f>IF(Compositions!AF45="","",(Compositions!AF45/(VLOOKUP(Compositions!AE45,'HHV-LHV-MW'!$A$3:$F$40,6,FALSE))))</f>
        <v/>
      </c>
      <c r="IY29" s="25" t="str">
        <f>IF(IV29="","",((VLOOKUP(Compositions!AE45,'HHV-LHV-MW'!$A$3:$F$40,4,FALSE))*(IV29/100)))</f>
        <v/>
      </c>
      <c r="IZ29" s="25" t="str">
        <f>IF(IV29="","",((VLOOKUP(Compositions!AE45,'HHV-LHV-MW'!$A$3:$F$40,5,FALSE))*(IV29/100)))</f>
        <v/>
      </c>
      <c r="JA29" s="209" t="str">
        <f>IF(IV29="","",((VLOOKUP(Compositions!AE45,'HHV-LHV-MW'!$A$3:$F$40,6,FALSE))*(IV29/100)))</f>
        <v/>
      </c>
      <c r="JB29" s="25"/>
      <c r="JC29" s="25"/>
      <c r="JD29" s="25"/>
      <c r="JE29" s="180"/>
      <c r="JF29" s="180"/>
      <c r="JG29" s="180"/>
      <c r="JH29" s="28" t="str">
        <f>IF(Compositions!AG45="","",IF(Compositions!$AG$25="mol%",Compositions!AG45,JI29))</f>
        <v/>
      </c>
      <c r="JI29" s="28" t="str">
        <f t="shared" si="22"/>
        <v/>
      </c>
      <c r="JJ29" s="28" t="str">
        <f>IF(Compositions!AG45="","",(Compositions!AG45/(VLOOKUP(Compositions!AE45,'HHV-LHV-MW'!$A$3:$F$40,6,FALSE))))</f>
        <v/>
      </c>
      <c r="JK29" s="26" t="str">
        <f>IF(JH29="","",((VLOOKUP(Compositions!AE45,'HHV-LHV-MW'!$A$3:$F$40,4,FALSE))*(JH29/100)))</f>
        <v/>
      </c>
      <c r="JL29" s="26" t="str">
        <f>IF(JH29="","",((VLOOKUP(Compositions!AE45,'HHV-LHV-MW'!$A$3:$F$40,5,FALSE))*(JH29/100)))</f>
        <v/>
      </c>
      <c r="JM29" s="39" t="str">
        <f>IF(JH29="","",((VLOOKUP(Compositions!AE45,'HHV-LHV-MW'!$A$3:$F$40,6,FALSE))*(JH29/100)))</f>
        <v/>
      </c>
      <c r="JN29" s="26"/>
      <c r="JO29" s="26"/>
      <c r="JP29" s="26"/>
      <c r="JQ29" s="177"/>
      <c r="JR29" s="177"/>
      <c r="JS29" s="177"/>
      <c r="JT29" s="27" t="str">
        <f>IF(Compositions!AH45="","",IF(Compositions!$AH$25="mol%",Compositions!AH45,JU29))</f>
        <v/>
      </c>
      <c r="JU29" s="27" t="str">
        <f t="shared" si="23"/>
        <v/>
      </c>
      <c r="JV29" s="27" t="str">
        <f>IF(Compositions!AH45="","",(Compositions!AH45/(VLOOKUP(Compositions!AE45,'HHV-LHV-MW'!$A$3:$F$40,6,FALSE))))</f>
        <v/>
      </c>
      <c r="JW29" s="25" t="str">
        <f>IF(JT29="","",((VLOOKUP(Compositions!AE45,'HHV-LHV-MW'!$A$3:$F$40,4,FALSE))*(JT29/100)))</f>
        <v/>
      </c>
      <c r="JX29" s="25" t="str">
        <f>IF(JT29="","",((VLOOKUP(Compositions!AE45,'HHV-LHV-MW'!$A$3:$F$40,5,FALSE))*(JT29/100)))</f>
        <v/>
      </c>
      <c r="JY29" s="209" t="str">
        <f>IF(JT29="","",((VLOOKUP(Compositions!AE45,'HHV-LHV-MW'!$A$3:$F$40,6,FALSE))*(JT29/100)))</f>
        <v/>
      </c>
      <c r="JZ29" s="25"/>
      <c r="KA29" s="25"/>
      <c r="KB29" s="25"/>
      <c r="KC29" s="180"/>
      <c r="KD29" s="180"/>
      <c r="KE29" s="180"/>
      <c r="KF29" s="28" t="str">
        <f>IF(Compositions!AI45="","",IF(Compositions!$AI$25="mol%",Compositions!AI45,KG29))</f>
        <v/>
      </c>
      <c r="KG29" s="28" t="str">
        <f t="shared" si="24"/>
        <v/>
      </c>
      <c r="KH29" s="28" t="str">
        <f>IF(Compositions!AI45="","",(Compositions!AI45/(VLOOKUP(Compositions!AE45,'HHV-LHV-MW'!$A$3:$F$40,6,FALSE))))</f>
        <v/>
      </c>
      <c r="KI29" s="26" t="str">
        <f>IF(KF29="","",((VLOOKUP(Compositions!AE45,'HHV-LHV-MW'!$A$3:$F$40,4,FALSE))*(KF29/100)))</f>
        <v/>
      </c>
      <c r="KJ29" s="26" t="str">
        <f>IF(KF29="","",((VLOOKUP(Compositions!AE45,'HHV-LHV-MW'!$A$3:$F$40,5,FALSE))*(KF29/100)))</f>
        <v/>
      </c>
      <c r="KK29" s="39" t="str">
        <f>IF(KF29="","",((VLOOKUP(Compositions!AE45,'HHV-LHV-MW'!$A$3:$F$40,6,FALSE))*(KF29/100)))</f>
        <v/>
      </c>
      <c r="KL29" s="13"/>
      <c r="KM29" s="13"/>
      <c r="KN29" s="13"/>
    </row>
    <row r="30" spans="1:300" ht="15.6">
      <c r="A30" s="173" t="s">
        <v>208</v>
      </c>
      <c r="B30" s="19" t="s">
        <v>207</v>
      </c>
      <c r="C30" s="20">
        <v>3</v>
      </c>
      <c r="D30" s="20">
        <v>1.9596</v>
      </c>
      <c r="E30" s="20">
        <v>1.9596</v>
      </c>
      <c r="F30" s="20">
        <v>42.080640000000002</v>
      </c>
      <c r="G30" s="20">
        <f t="shared" si="0"/>
        <v>0</v>
      </c>
      <c r="H30" s="20">
        <v>0</v>
      </c>
      <c r="I30" s="170">
        <v>1</v>
      </c>
      <c r="K30" s="27" t="str">
        <f>IF(Compositions!B46="","",IF(Compositions!$B$25="mol%",Compositions!B46,L30))</f>
        <v/>
      </c>
      <c r="L30" s="27" t="str">
        <f t="shared" si="1"/>
        <v/>
      </c>
      <c r="M30" s="27" t="str">
        <f>IF(Compositions!B46="","",(Compositions!B46/(VLOOKUP(Compositions!A46,'HHV-LHV-MW'!$A$3:$F$40,6,FALSE))))</f>
        <v/>
      </c>
      <c r="N30" s="25" t="str">
        <f>IF(K30="","",((VLOOKUP(Compositions!A46,'HHV-LHV-MW'!$A$3:$F$40,4,FALSE))*(K30/100)))</f>
        <v/>
      </c>
      <c r="O30" s="25" t="str">
        <f>IF(K30="","",((VLOOKUP(Compositions!A46,'HHV-LHV-MW'!$A$3:$F$40,5,FALSE))*(K30/100)))</f>
        <v/>
      </c>
      <c r="P30" s="206" t="str">
        <f>IF(K30="","",((VLOOKUP(Compositions!A46,'HHV-LHV-MW'!$A$3:$F$40,6,FALSE))*(K30/100)))</f>
        <v/>
      </c>
      <c r="Q30" s="25"/>
      <c r="R30" s="25"/>
      <c r="S30" s="25"/>
      <c r="T30" s="166"/>
      <c r="U30" s="174"/>
      <c r="V30" s="180"/>
      <c r="W30" s="28" t="str">
        <f>IF(Compositions!C46="","",IF(Compositions!$C$25="mol%",Compositions!C46,X30))</f>
        <v/>
      </c>
      <c r="X30" s="28" t="str">
        <f t="shared" si="2"/>
        <v/>
      </c>
      <c r="Y30" s="28" t="str">
        <f>IF(Compositions!C46="","",(Compositions!C46/(VLOOKUP(Compositions!A46,'HHV-LHV-MW'!$A$3:$F$40,6,FALSE))))</f>
        <v/>
      </c>
      <c r="Z30" s="26" t="str">
        <f>IF(W30="","",((VLOOKUP(Compositions!A46,'HHV-LHV-MW'!$A$3:$F$40,4,FALSE))*(W30/100)))</f>
        <v/>
      </c>
      <c r="AA30" s="26" t="str">
        <f>IF(W30="","",((VLOOKUP(Compositions!A46,'HHV-LHV-MW'!$A$3:$F$40,5,FALSE))*(W30/100)))</f>
        <v/>
      </c>
      <c r="AB30" s="39" t="str">
        <f>IF(W30="","",((VLOOKUP(Compositions!A46,'HHV-LHV-MW'!$A$3:$F$40,6,FALSE))*(W30/100)))</f>
        <v/>
      </c>
      <c r="AC30" s="26"/>
      <c r="AD30" s="26"/>
      <c r="AE30" s="26"/>
      <c r="AF30" s="177"/>
      <c r="AG30" s="177"/>
      <c r="AH30" s="177"/>
      <c r="AI30" s="27" t="str">
        <f>IF(Compositions!D46="","",IF(Compositions!$D$25="mol%",Compositions!D46,AJ30))</f>
        <v/>
      </c>
      <c r="AJ30" s="27" t="str">
        <f t="shared" si="3"/>
        <v/>
      </c>
      <c r="AK30" s="27" t="str">
        <f>IF(Compositions!D46="","",(Compositions!D46/(VLOOKUP(Compositions!A46,'HHV-LHV-MW'!$A$3:$F$40,6,FALSE))))</f>
        <v/>
      </c>
      <c r="AL30" s="25" t="str">
        <f>IF(AI30="","",((VLOOKUP(Compositions!A46,'HHV-LHV-MW'!$A$3:$F$40,4,FALSE))*(AI30/100)))</f>
        <v/>
      </c>
      <c r="AM30" s="25" t="str">
        <f>IF(AI30="","",((VLOOKUP(Compositions!A46,'HHV-LHV-MW'!$A$3:$F$40,5,FALSE))*(AI30/100)))</f>
        <v/>
      </c>
      <c r="AN30" s="209" t="str">
        <f>IF(AI30="","",((VLOOKUP(Compositions!A46,'HHV-LHV-MW'!$A$3:$F$40,6,FALSE))*(AI30/100)))</f>
        <v/>
      </c>
      <c r="AO30" s="25"/>
      <c r="AP30" s="25"/>
      <c r="AQ30" s="25"/>
      <c r="AR30" s="180"/>
      <c r="AS30" s="180"/>
      <c r="AT30" s="180"/>
      <c r="AU30" s="28" t="str">
        <f>IF(Compositions!E46="","",IF(Compositions!$E$25="mol%",Compositions!E46,AV30))</f>
        <v/>
      </c>
      <c r="AV30" s="28" t="str">
        <f t="shared" si="4"/>
        <v/>
      </c>
      <c r="AW30" s="28" t="str">
        <f>IF(Compositions!E46="","",(Compositions!E46/(VLOOKUP(Compositions!A46,'HHV-LHV-MW'!$A$3:$F$40,6,FALSE))))</f>
        <v/>
      </c>
      <c r="AX30" s="26" t="str">
        <f>IF(AU30="","",((VLOOKUP(Compositions!A46,'HHV-LHV-MW'!$A$3:$F$40,4,FALSE))*(AU30/100)))</f>
        <v/>
      </c>
      <c r="AY30" s="26" t="str">
        <f>IF(AU30="","",((VLOOKUP(Compositions!A46,'HHV-LHV-MW'!$A$3:$F$40,5,FALSE))*(AU30/100)))</f>
        <v/>
      </c>
      <c r="AZ30" s="39" t="str">
        <f>IF(AU30="","",((VLOOKUP(Compositions!A46,'HHV-LHV-MW'!$A$3:$F$40,6,FALSE))*(AU30/100)))</f>
        <v/>
      </c>
      <c r="BA30" s="13"/>
      <c r="BB30" s="13"/>
      <c r="BC30" s="13"/>
      <c r="BD30" s="13"/>
      <c r="BE30" s="13"/>
      <c r="BF30" s="13"/>
      <c r="BH30" s="27" t="str">
        <f>IF(Compositions!H46="","",IF(Compositions!$H$25="mol%",Compositions!H46,BI30))</f>
        <v/>
      </c>
      <c r="BI30" s="27" t="str">
        <f t="shared" si="7"/>
        <v/>
      </c>
      <c r="BJ30" s="27" t="str">
        <f>IF(Compositions!H46="","",(Compositions!H46/(VLOOKUP(Compositions!G46,'HHV-LHV-MW'!$A$3:$F$40,6,FALSE))))</f>
        <v/>
      </c>
      <c r="BK30" s="25" t="str">
        <f>IF(BH30="","",((VLOOKUP(Compositions!G46,'HHV-LHV-MW'!$A$3:$F$40,4,FALSE))*(BH30/100)))</f>
        <v/>
      </c>
      <c r="BL30" s="25" t="str">
        <f>IF(BH30="","",((VLOOKUP(Compositions!G46,'HHV-LHV-MW'!$A$3:$F$40,5,FALSE))*(BH30/100)))</f>
        <v/>
      </c>
      <c r="BM30" s="209" t="str">
        <f>IF(BH30="","",((VLOOKUP(Compositions!G46,'HHV-LHV-MW'!$A$3:$F$40,6,FALSE))*(BH30/100)))</f>
        <v/>
      </c>
      <c r="BN30" s="25"/>
      <c r="BO30" s="25"/>
      <c r="BP30" s="25"/>
      <c r="BQ30" s="180"/>
      <c r="BR30" s="180"/>
      <c r="BS30" s="180"/>
      <c r="BT30" s="28" t="str">
        <f>IF(Compositions!I46="","",IF(Compositions!$I$25="mol%",Compositions!I46,BU30))</f>
        <v/>
      </c>
      <c r="BU30" s="28" t="str">
        <f t="shared" si="8"/>
        <v/>
      </c>
      <c r="BV30" s="28" t="str">
        <f>IF(Compositions!I46="","",(Compositions!I46/(VLOOKUP(Compositions!G46,'HHV-LHV-MW'!$A$3:$F$40,6,FALSE))))</f>
        <v/>
      </c>
      <c r="BW30" s="26" t="str">
        <f>IF(BT30="","",((VLOOKUP(Compositions!G46,'HHV-LHV-MW'!$A$3:$F$40,4,FALSE))*(BT30/100)))</f>
        <v/>
      </c>
      <c r="BX30" s="26" t="str">
        <f>IF(BT30="","",((VLOOKUP(Compositions!G46,'HHV-LHV-MW'!$A$3:$F$40,5,FALSE))*(BT30/100)))</f>
        <v/>
      </c>
      <c r="BY30" s="207" t="str">
        <f>IF(BT30="","",((VLOOKUP(Compositions!G46,'HHV-LHV-MW'!$A$3:$F$40,6,FALSE))*(BT30/100)))</f>
        <v/>
      </c>
      <c r="BZ30" s="26"/>
      <c r="CA30" s="26"/>
      <c r="CB30" s="26"/>
      <c r="CC30" s="177"/>
      <c r="CD30" s="177"/>
      <c r="CE30" s="177"/>
      <c r="CF30" s="27" t="str">
        <f>IF(Compositions!J46="","",IF(Compositions!$J$25="mol%",Compositions!J46,CG30))</f>
        <v/>
      </c>
      <c r="CG30" s="27" t="str">
        <f t="shared" si="9"/>
        <v/>
      </c>
      <c r="CH30" s="27" t="str">
        <f>IF(Compositions!J46="","",(Compositions!J46/(VLOOKUP(Compositions!G46,'HHV-LHV-MW'!$A$3:$F$40,6,FALSE))))</f>
        <v/>
      </c>
      <c r="CI30" s="25" t="str">
        <f>IF(CF30="","",((VLOOKUP(Compositions!G46,'HHV-LHV-MW'!$A$3:$F$40,4,FALSE))*(CF30/100)))</f>
        <v/>
      </c>
      <c r="CJ30" s="25" t="str">
        <f>IF(CF30="","",((VLOOKUP(Compositions!G46,'HHV-LHV-MW'!$A$3:$F$40,5,FALSE))*(CF30/100)))</f>
        <v/>
      </c>
      <c r="CK30" s="209" t="str">
        <f>IF(CF30="","",((VLOOKUP(Compositions!G46,'HHV-LHV-MW'!$A$3:$F$40,6,FALSE))*(CF30/100)))</f>
        <v/>
      </c>
      <c r="CL30" s="25"/>
      <c r="CM30" s="25"/>
      <c r="CN30" s="25"/>
      <c r="CO30" s="180"/>
      <c r="CP30" s="180"/>
      <c r="CQ30" s="180"/>
      <c r="CR30" s="28" t="str">
        <f>IF(Compositions!K46="","",IF(Compositions!$K$25="mol%",Compositions!K46,CS30))</f>
        <v/>
      </c>
      <c r="CS30" s="28" t="str">
        <f t="shared" si="10"/>
        <v/>
      </c>
      <c r="CT30" s="28" t="str">
        <f>IF(Compositions!K46="","",(Compositions!K46/(VLOOKUP(Compositions!G46,'HHV-LHV-MW'!$A$3:$F$40,6,FALSE))))</f>
        <v/>
      </c>
      <c r="CU30" s="26" t="str">
        <f>IF(CR30="","",((VLOOKUP(Compositions!G46,'HHV-LHV-MW'!$A$3:$F$40,4,FALSE))*(CR30/100)))</f>
        <v/>
      </c>
      <c r="CV30" s="26" t="str">
        <f>IF(CR30="","",((VLOOKUP(Compositions!G46,'HHV-LHV-MW'!$A$3:$F$40,5,FALSE))*(CR30/100)))</f>
        <v/>
      </c>
      <c r="CW30" s="207" t="str">
        <f>IF(CR30="","",((VLOOKUP(Compositions!G46,'HHV-LHV-MW'!$A$3:$F$40,6,FALSE))*(CR30/100)))</f>
        <v/>
      </c>
      <c r="CX30" s="13"/>
      <c r="CY30" s="13"/>
      <c r="CZ30" s="13"/>
      <c r="DA30" s="13"/>
      <c r="DB30" s="13"/>
      <c r="DC30" s="13"/>
      <c r="DE30" s="27" t="str">
        <f>IF(Compositions!N46="","",IF(Compositions!$N$25="mol%",Compositions!N46,DF30))</f>
        <v/>
      </c>
      <c r="DF30" s="27" t="str">
        <f t="shared" si="5"/>
        <v/>
      </c>
      <c r="DG30" s="27" t="str">
        <f>IF(Compositions!N46="","",(Compositions!N46/(VLOOKUP(Compositions!M46,'HHV-LHV-MW'!$A$3:$F$40,6,FALSE))))</f>
        <v/>
      </c>
      <c r="DH30" s="25" t="str">
        <f>IF(DE30="","",((VLOOKUP(Compositions!M46,'HHV-LHV-MW'!$A$3:$F$40,4,FALSE))*(DE30/100)))</f>
        <v/>
      </c>
      <c r="DI30" s="25" t="str">
        <f>IF(DE30="","",((VLOOKUP(Compositions!M46,'HHV-LHV-MW'!$A$3:$F$40,5,FALSE))*(DE30/100)))</f>
        <v/>
      </c>
      <c r="DJ30" s="209" t="str">
        <f>IF(DE30="","",((VLOOKUP(Compositions!M46,'HHV-LHV-MW'!$A$3:$F$40,6,FALSE))*(DE30/100)))</f>
        <v/>
      </c>
      <c r="DK30" s="25"/>
      <c r="DL30" s="25"/>
      <c r="DM30" s="25"/>
      <c r="DN30" s="180"/>
      <c r="DO30" s="180"/>
      <c r="DP30" s="180"/>
      <c r="DQ30" s="28" t="str">
        <f>IF(Compositions!O46="","",IF(Compositions!$O$25="mol%",Compositions!O46,DR30))</f>
        <v/>
      </c>
      <c r="DR30" s="28" t="str">
        <f t="shared" si="11"/>
        <v/>
      </c>
      <c r="DS30" s="28" t="str">
        <f>IF(Compositions!O46="","",(Compositions!O46/(VLOOKUP(Compositions!M46,'HHV-LHV-MW'!$A$3:$F$40,6,FALSE))))</f>
        <v/>
      </c>
      <c r="DT30" s="26" t="str">
        <f>IF(DQ30="","",((VLOOKUP(Compositions!M46,'HHV-LHV-MW'!$A$3:$F$40,4,FALSE))*(DQ30/100)))</f>
        <v/>
      </c>
      <c r="DU30" s="26" t="str">
        <f>IF(DQ30="","",((VLOOKUP(Compositions!M46,'HHV-LHV-MW'!$A$3:$F$40,5,FALSE))*(DQ30/100)))</f>
        <v/>
      </c>
      <c r="DV30" s="39" t="str">
        <f>IF(DQ30="","",((VLOOKUP(Compositions!M46,'HHV-LHV-MW'!$A$3:$F$40,6,FALSE))*(DQ30/100)))</f>
        <v/>
      </c>
      <c r="DW30" s="26"/>
      <c r="DX30" s="26"/>
      <c r="DY30" s="26"/>
      <c r="DZ30" s="177"/>
      <c r="EA30" s="177"/>
      <c r="EB30" s="177"/>
      <c r="EC30" s="27" t="str">
        <f>IF(Compositions!P46="","",IF(Compositions!$P$25="mol%",Compositions!P46,ED30))</f>
        <v/>
      </c>
      <c r="ED30" s="27" t="str">
        <f t="shared" si="12"/>
        <v/>
      </c>
      <c r="EE30" s="27" t="str">
        <f>IF(Compositions!P46="","",(Compositions!P46/(VLOOKUP(Compositions!M46,'HHV-LHV-MW'!$A$3:$F$40,6,FALSE))))</f>
        <v/>
      </c>
      <c r="EF30" s="25" t="str">
        <f>IF(EC30="","",((VLOOKUP(Compositions!M46,'HHV-LHV-MW'!$A$3:$F$40,4,FALSE))*(EC30/100)))</f>
        <v/>
      </c>
      <c r="EG30" s="25" t="str">
        <f>IF(EC30="","",((VLOOKUP(Compositions!M46,'HHV-LHV-MW'!$A$3:$F$40,5,FALSE))*(EC30/100)))</f>
        <v/>
      </c>
      <c r="EH30" s="209" t="str">
        <f>IF(EC30="","",((VLOOKUP(Compositions!M46,'HHV-LHV-MW'!$A$3:$F$40,6,FALSE))*(EC30/100)))</f>
        <v/>
      </c>
      <c r="EI30" s="25"/>
      <c r="EJ30" s="25"/>
      <c r="EK30" s="25"/>
      <c r="EL30" s="180"/>
      <c r="EM30" s="180"/>
      <c r="EN30" s="180"/>
      <c r="EO30" s="28" t="str">
        <f>IF(Compositions!Q46="","",IF(Compositions!$Q$25="mol%",Compositions!Q46,EP30))</f>
        <v/>
      </c>
      <c r="EP30" s="28" t="str">
        <f t="shared" si="13"/>
        <v/>
      </c>
      <c r="EQ30" s="28" t="str">
        <f>IF(Compositions!Q46="","",(Compositions!Q46/(VLOOKUP(Compositions!M46,'HHV-LHV-MW'!$A$3:$F$40,6,FALSE))))</f>
        <v/>
      </c>
      <c r="ER30" s="26" t="str">
        <f>IF(EO30="","",((VLOOKUP(Compositions!M46,'HHV-LHV-MW'!$A$3:$F$40,4,FALSE))*(EO30/100)))</f>
        <v/>
      </c>
      <c r="ES30" s="26" t="str">
        <f>IF(EO30="","",((VLOOKUP(Compositions!M46,'HHV-LHV-MW'!$A$3:$F$40,5,FALSE))*(EO30/100)))</f>
        <v/>
      </c>
      <c r="ET30" s="39" t="str">
        <f>IF(EO30="","",((VLOOKUP(Compositions!M46,'HHV-LHV-MW'!$A$3:$F$40,6,FALSE))*(EO30/100)))</f>
        <v/>
      </c>
      <c r="EU30" s="13"/>
      <c r="EV30" s="13"/>
      <c r="EW30" s="13"/>
      <c r="EX30" s="13"/>
      <c r="EY30" s="13"/>
      <c r="EZ30" s="13"/>
      <c r="FB30" s="27" t="str">
        <f>IF(Compositions!T46="","",IF(Compositions!$T$25="mol%",Compositions!T46,FC30))</f>
        <v/>
      </c>
      <c r="FC30" s="27" t="str">
        <f t="shared" si="14"/>
        <v/>
      </c>
      <c r="FD30" s="27" t="str">
        <f>IF(Compositions!T46="","",(Compositions!T46/(VLOOKUP(Compositions!S46,'HHV-LHV-MW'!$A$3:$F$40,6,FALSE))))</f>
        <v/>
      </c>
      <c r="FE30" s="25" t="str">
        <f>IF(FB30="","",((VLOOKUP(Compositions!S46,'HHV-LHV-MW'!$A$3:$F$40,4,FALSE))*(FB30/100)))</f>
        <v/>
      </c>
      <c r="FF30" s="25" t="str">
        <f>IF(FB30="","",((VLOOKUP(Compositions!S46,'HHV-LHV-MW'!$A$3:$F$40,5,FALSE))*(FB30/100)))</f>
        <v/>
      </c>
      <c r="FG30" s="209" t="str">
        <f>IF(FB30="","",((VLOOKUP(Compositions!S46,'HHV-LHV-MW'!$A$3:$F$40,6,FALSE))*(FB30/100)))</f>
        <v/>
      </c>
      <c r="FH30" s="25"/>
      <c r="FI30" s="25"/>
      <c r="FJ30" s="25"/>
      <c r="FK30" s="180"/>
      <c r="FL30" s="180"/>
      <c r="FM30" s="180"/>
      <c r="FN30" s="28" t="str">
        <f>IF(Compositions!U46="","",IF(Compositions!$U$25="mol%",Compositions!U46,FO30))</f>
        <v/>
      </c>
      <c r="FO30" s="28" t="str">
        <f t="shared" si="15"/>
        <v/>
      </c>
      <c r="FP30" s="28" t="str">
        <f>IF(Compositions!U46="","",(Compositions!U46/(VLOOKUP(Compositions!S46,'HHV-LHV-MW'!$A$3:$F$40,6,FALSE))))</f>
        <v/>
      </c>
      <c r="FQ30" s="26" t="str">
        <f>IF(FN30="","",((VLOOKUP(Compositions!S46,'HHV-LHV-MW'!$A$3:$F$40,4,FALSE))*(FN30/100)))</f>
        <v/>
      </c>
      <c r="FR30" s="26" t="str">
        <f>IF(FN30="","",((VLOOKUP(Compositions!S46,'HHV-LHV-MW'!$A$3:$F$40,5,FALSE))*(FN30/100)))</f>
        <v/>
      </c>
      <c r="FS30" s="39" t="str">
        <f>IF(FN30="","",((VLOOKUP(Compositions!S46,'HHV-LHV-MW'!$A$3:$F$40,6,FALSE))*(FN30/100)))</f>
        <v/>
      </c>
      <c r="FT30" s="26"/>
      <c r="FU30" s="26"/>
      <c r="FV30" s="26"/>
      <c r="FW30" s="177"/>
      <c r="FX30" s="177"/>
      <c r="FY30" s="177"/>
      <c r="FZ30" s="27" t="str">
        <f>IF(Compositions!V46="","",IF(Compositions!$V$25="mol%",Compositions!V46,GA30))</f>
        <v/>
      </c>
      <c r="GA30" s="27" t="str">
        <f t="shared" si="16"/>
        <v/>
      </c>
      <c r="GB30" s="27" t="str">
        <f>IF(Compositions!V46="","",(Compositions!V46/(VLOOKUP(Compositions!S46,'HHV-LHV-MW'!$A$3:$F$40,6,FALSE))))</f>
        <v/>
      </c>
      <c r="GC30" s="25" t="str">
        <f>IF(FZ30="","",((VLOOKUP(Compositions!S46,'HHV-LHV-MW'!$A$3:$F$40,4,FALSE))*(FZ30/100)))</f>
        <v/>
      </c>
      <c r="GD30" s="25" t="str">
        <f>IF(FZ30="","",((VLOOKUP(Compositions!S46,'HHV-LHV-MW'!$A$3:$F$40,5,FALSE))*(FZ30/100)))</f>
        <v/>
      </c>
      <c r="GE30" s="209" t="str">
        <f>IF(FZ30="","",((VLOOKUP(Compositions!S46,'HHV-LHV-MW'!$A$3:$F$40,6,FALSE))*(FZ30/100)))</f>
        <v/>
      </c>
      <c r="GF30" s="25"/>
      <c r="GG30" s="25"/>
      <c r="GH30" s="25"/>
      <c r="GI30" s="180"/>
      <c r="GJ30" s="180"/>
      <c r="GK30" s="180"/>
      <c r="GL30" s="28" t="str">
        <f>IF(Compositions!W46="","",IF(Compositions!$W$25="mol%",Compositions!W46,GM30))</f>
        <v/>
      </c>
      <c r="GM30" s="28" t="str">
        <f t="shared" si="17"/>
        <v/>
      </c>
      <c r="GN30" s="28" t="str">
        <f>IF(Compositions!W46="","",(Compositions!W46/(VLOOKUP(Compositions!S46,'HHV-LHV-MW'!$A$3:$F$40,6,FALSE))))</f>
        <v/>
      </c>
      <c r="GO30" s="26" t="str">
        <f>IF(GL30="","",((VLOOKUP(Compositions!S46,'HHV-LHV-MW'!$A$3:$F$40,4,FALSE))*(GL30/100)))</f>
        <v/>
      </c>
      <c r="GP30" s="26" t="str">
        <f>IF(GL30="","",((VLOOKUP(Compositions!S46,'HHV-LHV-MW'!$A$3:$F$40,5,FALSE))*(GL30/100)))</f>
        <v/>
      </c>
      <c r="GQ30" s="39" t="str">
        <f>IF(GL30="","",((VLOOKUP(Compositions!S46,'HHV-LHV-MW'!$A$3:$F$40,6,FALSE))*(GL30/100)))</f>
        <v/>
      </c>
      <c r="GR30" s="13"/>
      <c r="GS30" s="13"/>
      <c r="GT30" s="13"/>
      <c r="GU30" s="13"/>
      <c r="GV30" s="13"/>
      <c r="GW30" s="13"/>
      <c r="GY30" s="27" t="str">
        <f>IF(Compositions!Z46="","",IF(Compositions!$Z$25="mol%",Compositions!Z46,GZ30))</f>
        <v/>
      </c>
      <c r="GZ30" s="27" t="str">
        <f t="shared" si="18"/>
        <v/>
      </c>
      <c r="HA30" s="27" t="str">
        <f>IF(Compositions!Z46="","",(Compositions!Z46/(VLOOKUP(Compositions!Y46,'HHV-LHV-MW'!$A$3:$F$40,6,FALSE))))</f>
        <v/>
      </c>
      <c r="HB30" s="25" t="str">
        <f>IF(GY30="","",((VLOOKUP(Compositions!Y46,'HHV-LHV-MW'!$A$3:$F$40,4,FALSE))*(GY30/100)))</f>
        <v/>
      </c>
      <c r="HC30" s="25" t="str">
        <f>IF(GY30="","",((VLOOKUP(Compositions!Y46,'HHV-LHV-MW'!$A$3:$F$40,5,FALSE))*(GY30/100)))</f>
        <v/>
      </c>
      <c r="HD30" s="209" t="str">
        <f>IF(GY30="","",((VLOOKUP(Compositions!Y46,'HHV-LHV-MW'!$A$3:$F$40,6,FALSE))*(GY30/100)))</f>
        <v/>
      </c>
      <c r="HE30" s="25"/>
      <c r="HF30" s="25"/>
      <c r="HG30" s="25"/>
      <c r="HH30" s="180"/>
      <c r="HI30" s="180"/>
      <c r="HJ30" s="180"/>
      <c r="HK30" s="28" t="str">
        <f>IF(Compositions!AA46="","",IF(Compositions!$AA$25="mol%",Compositions!AA46,HL30))</f>
        <v/>
      </c>
      <c r="HL30" s="28" t="str">
        <f t="shared" si="19"/>
        <v/>
      </c>
      <c r="HM30" s="28" t="str">
        <f>IF(Compositions!AA46="","",(Compositions!AA46/(VLOOKUP(Compositions!Y46,'HHV-LHV-MW'!$A$3:$F$40,6,FALSE))))</f>
        <v/>
      </c>
      <c r="HN30" s="26" t="str">
        <f>IF(HK30="","",((VLOOKUP(Compositions!Y46,'HHV-LHV-MW'!$A$3:$F$40,4,FALSE))*(HK30/100)))</f>
        <v/>
      </c>
      <c r="HO30" s="26" t="str">
        <f>IF(HK30="","",((VLOOKUP(Compositions!Y46,'HHV-LHV-MW'!$A$3:$F$40,5,FALSE))*(HK30/100)))</f>
        <v/>
      </c>
      <c r="HP30" s="39" t="str">
        <f>IF(HK30="","",((VLOOKUP(Compositions!Y46,'HHV-LHV-MW'!$A$3:$F$40,6,FALSE))*(HK30/100)))</f>
        <v/>
      </c>
      <c r="HQ30" s="26"/>
      <c r="HR30" s="26"/>
      <c r="HS30" s="26"/>
      <c r="HT30" s="177"/>
      <c r="HU30" s="177"/>
      <c r="HV30" s="177"/>
      <c r="HW30" s="27" t="str">
        <f>IF(Compositions!AB46="","",IF(Compositions!$AB$25="mol%",Compositions!AB46,HX30))</f>
        <v/>
      </c>
      <c r="HX30" s="27" t="str">
        <f t="shared" si="20"/>
        <v/>
      </c>
      <c r="HY30" s="27" t="str">
        <f>IF(Compositions!AB46="","",(Compositions!AB46/(VLOOKUP(Compositions!Y46,'HHV-LHV-MW'!$A$3:$F$40,6,FALSE))))</f>
        <v/>
      </c>
      <c r="HZ30" s="25" t="str">
        <f>IF(HW30="","",((VLOOKUP(Compositions!Y46,'HHV-LHV-MW'!$A$3:$F$40,4,FALSE))*(HW30/100)))</f>
        <v/>
      </c>
      <c r="IA30" s="25" t="str">
        <f>IF(HW30="","",((VLOOKUP(Compositions!Y46,'HHV-LHV-MW'!$A$3:$F$40,5,FALSE))*(HW30/100)))</f>
        <v/>
      </c>
      <c r="IB30" s="209" t="str">
        <f>IF(HW30="","",((VLOOKUP(Compositions!Y46,'HHV-LHV-MW'!$A$3:$F$40,6,FALSE))*(HW30/100)))</f>
        <v/>
      </c>
      <c r="IC30" s="25"/>
      <c r="ID30" s="25"/>
      <c r="IE30" s="25"/>
      <c r="IF30" s="180"/>
      <c r="IG30" s="180"/>
      <c r="IH30" s="180"/>
      <c r="II30" s="28" t="str">
        <f>IF(Compositions!AC46="","",IF(Compositions!$AC$25="mol%",Compositions!AC46,IJ30))</f>
        <v/>
      </c>
      <c r="IJ30" s="28" t="str">
        <f t="shared" si="21"/>
        <v/>
      </c>
      <c r="IK30" s="28" t="str">
        <f>IF(Compositions!AC46="","",(Compositions!AC46/(VLOOKUP(Compositions!Y46,'HHV-LHV-MW'!$A$3:$F$40,6,FALSE))))</f>
        <v/>
      </c>
      <c r="IL30" s="26" t="str">
        <f>IF(II30="","",((VLOOKUP(Compositions!Y46,'HHV-LHV-MW'!$A$3:$F$40,4,FALSE))*(II30/100)))</f>
        <v/>
      </c>
      <c r="IM30" s="26" t="str">
        <f>IF(II30="","",((VLOOKUP(Compositions!Y46,'HHV-LHV-MW'!$A$3:$F$40,5,FALSE))*(II30/100)))</f>
        <v/>
      </c>
      <c r="IN30" s="39" t="str">
        <f>IF(II30="","",((VLOOKUP(Compositions!Y46,'HHV-LHV-MW'!$A$3:$F$40,6,FALSE))*(II30/100)))</f>
        <v/>
      </c>
      <c r="IO30" s="13"/>
      <c r="IP30" s="13"/>
      <c r="IQ30" s="13"/>
      <c r="IR30" s="13"/>
      <c r="IS30" s="13"/>
      <c r="IT30" s="13"/>
      <c r="IV30" s="27" t="str">
        <f>IF(Compositions!AF46="","",IF(Compositions!$AF$25="mol%",Compositions!AF46,IW30))</f>
        <v/>
      </c>
      <c r="IW30" s="27" t="str">
        <f t="shared" si="6"/>
        <v/>
      </c>
      <c r="IX30" s="27" t="str">
        <f>IF(Compositions!AF46="","",(Compositions!AF46/(VLOOKUP(Compositions!AE46,'HHV-LHV-MW'!$A$3:$F$40,6,FALSE))))</f>
        <v/>
      </c>
      <c r="IY30" s="25" t="str">
        <f>IF(IV30="","",((VLOOKUP(Compositions!AE46,'HHV-LHV-MW'!$A$3:$F$40,4,FALSE))*(IV30/100)))</f>
        <v/>
      </c>
      <c r="IZ30" s="25" t="str">
        <f>IF(IV30="","",((VLOOKUP(Compositions!AE46,'HHV-LHV-MW'!$A$3:$F$40,5,FALSE))*(IV30/100)))</f>
        <v/>
      </c>
      <c r="JA30" s="209" t="str">
        <f>IF(IV30="","",((VLOOKUP(Compositions!AE46,'HHV-LHV-MW'!$A$3:$F$40,6,FALSE))*(IV30/100)))</f>
        <v/>
      </c>
      <c r="JB30" s="25"/>
      <c r="JC30" s="25"/>
      <c r="JD30" s="25"/>
      <c r="JE30" s="180"/>
      <c r="JF30" s="180"/>
      <c r="JG30" s="180"/>
      <c r="JH30" s="28" t="str">
        <f>IF(Compositions!AG46="","",IF(Compositions!$AG$25="mol%",Compositions!AG46,JI30))</f>
        <v/>
      </c>
      <c r="JI30" s="28" t="str">
        <f t="shared" si="22"/>
        <v/>
      </c>
      <c r="JJ30" s="28" t="str">
        <f>IF(Compositions!AG46="","",(Compositions!AG46/(VLOOKUP(Compositions!AE46,'HHV-LHV-MW'!$A$3:$F$40,6,FALSE))))</f>
        <v/>
      </c>
      <c r="JK30" s="26" t="str">
        <f>IF(JH30="","",((VLOOKUP(Compositions!AE46,'HHV-LHV-MW'!$A$3:$F$40,4,FALSE))*(JH30/100)))</f>
        <v/>
      </c>
      <c r="JL30" s="26" t="str">
        <f>IF(JH30="","",((VLOOKUP(Compositions!AE46,'HHV-LHV-MW'!$A$3:$F$40,5,FALSE))*(JH30/100)))</f>
        <v/>
      </c>
      <c r="JM30" s="39" t="str">
        <f>IF(JH30="","",((VLOOKUP(Compositions!AE46,'HHV-LHV-MW'!$A$3:$F$40,6,FALSE))*(JH30/100)))</f>
        <v/>
      </c>
      <c r="JN30" s="26"/>
      <c r="JO30" s="26"/>
      <c r="JP30" s="26"/>
      <c r="JQ30" s="177"/>
      <c r="JR30" s="177"/>
      <c r="JS30" s="177"/>
      <c r="JT30" s="27" t="str">
        <f>IF(Compositions!AH46="","",IF(Compositions!$AH$25="mol%",Compositions!AH46,JU30))</f>
        <v/>
      </c>
      <c r="JU30" s="27" t="str">
        <f t="shared" si="23"/>
        <v/>
      </c>
      <c r="JV30" s="27" t="str">
        <f>IF(Compositions!AH46="","",(Compositions!AH46/(VLOOKUP(Compositions!AE46,'HHV-LHV-MW'!$A$3:$F$40,6,FALSE))))</f>
        <v/>
      </c>
      <c r="JW30" s="25" t="str">
        <f>IF(JT30="","",((VLOOKUP(Compositions!AE46,'HHV-LHV-MW'!$A$3:$F$40,4,FALSE))*(JT30/100)))</f>
        <v/>
      </c>
      <c r="JX30" s="25" t="str">
        <f>IF(JT30="","",((VLOOKUP(Compositions!AE46,'HHV-LHV-MW'!$A$3:$F$40,5,FALSE))*(JT30/100)))</f>
        <v/>
      </c>
      <c r="JY30" s="209" t="str">
        <f>IF(JT30="","",((VLOOKUP(Compositions!AE46,'HHV-LHV-MW'!$A$3:$F$40,6,FALSE))*(JT30/100)))</f>
        <v/>
      </c>
      <c r="JZ30" s="25"/>
      <c r="KA30" s="25"/>
      <c r="KB30" s="25"/>
      <c r="KC30" s="180"/>
      <c r="KD30" s="180"/>
      <c r="KE30" s="180"/>
      <c r="KF30" s="28" t="str">
        <f>IF(Compositions!AI46="","",IF(Compositions!$AI$25="mol%",Compositions!AI46,KG30))</f>
        <v/>
      </c>
      <c r="KG30" s="28" t="str">
        <f t="shared" si="24"/>
        <v/>
      </c>
      <c r="KH30" s="28" t="str">
        <f>IF(Compositions!AI46="","",(Compositions!AI46/(VLOOKUP(Compositions!AE46,'HHV-LHV-MW'!$A$3:$F$40,6,FALSE))))</f>
        <v/>
      </c>
      <c r="KI30" s="26" t="str">
        <f>IF(KF30="","",((VLOOKUP(Compositions!AE46,'HHV-LHV-MW'!$A$3:$F$40,4,FALSE))*(KF30/100)))</f>
        <v/>
      </c>
      <c r="KJ30" s="26" t="str">
        <f>IF(KF30="","",((VLOOKUP(Compositions!AE46,'HHV-LHV-MW'!$A$3:$F$40,5,FALSE))*(KF30/100)))</f>
        <v/>
      </c>
      <c r="KK30" s="39" t="str">
        <f>IF(KF30="","",((VLOOKUP(Compositions!AE46,'HHV-LHV-MW'!$A$3:$F$40,6,FALSE))*(KF30/100)))</f>
        <v/>
      </c>
      <c r="KL30" s="13"/>
      <c r="KM30" s="13"/>
      <c r="KN30" s="13"/>
    </row>
    <row r="31" spans="1:300" ht="15.6">
      <c r="A31" s="173" t="s">
        <v>210</v>
      </c>
      <c r="B31" s="19" t="s">
        <v>209</v>
      </c>
      <c r="C31" s="20">
        <v>4</v>
      </c>
      <c r="D31" s="20">
        <v>2.7469999999999999</v>
      </c>
      <c r="E31" s="20">
        <v>2.5693999999999999</v>
      </c>
      <c r="F31" s="20">
        <v>56.107520000000001</v>
      </c>
      <c r="G31" s="20">
        <f t="shared" si="0"/>
        <v>0</v>
      </c>
      <c r="H31" s="20">
        <v>0</v>
      </c>
      <c r="I31" s="170">
        <v>1</v>
      </c>
      <c r="K31" s="27" t="str">
        <f>IF(Compositions!B47="","",IF(Compositions!$B$25="mol%",Compositions!B47,L31))</f>
        <v/>
      </c>
      <c r="L31" s="27" t="str">
        <f t="shared" si="1"/>
        <v/>
      </c>
      <c r="M31" s="27" t="str">
        <f>IF(Compositions!B47="","",(Compositions!B47/(VLOOKUP(Compositions!A47,'HHV-LHV-MW'!$A$3:$F$40,6,FALSE))))</f>
        <v/>
      </c>
      <c r="N31" s="25" t="str">
        <f>IF(K31="","",((VLOOKUP(Compositions!A47,'HHV-LHV-MW'!$A$3:$F$40,4,FALSE))*(K31/100)))</f>
        <v/>
      </c>
      <c r="O31" s="25" t="str">
        <f>IF(K31="","",((VLOOKUP(Compositions!A47,'HHV-LHV-MW'!$A$3:$F$40,5,FALSE))*(K31/100)))</f>
        <v/>
      </c>
      <c r="P31" s="206" t="str">
        <f>IF(K31="","",((VLOOKUP(Compositions!A47,'HHV-LHV-MW'!$A$3:$F$40,6,FALSE))*(K31/100)))</f>
        <v/>
      </c>
      <c r="Q31" s="25"/>
      <c r="R31" s="25"/>
      <c r="S31" s="25"/>
      <c r="T31" s="166"/>
      <c r="U31" s="174"/>
      <c r="V31" s="180"/>
      <c r="W31" s="28" t="str">
        <f>IF(Compositions!C47="","",IF(Compositions!$C$25="mol%",Compositions!C47,X31))</f>
        <v/>
      </c>
      <c r="X31" s="28" t="str">
        <f t="shared" si="2"/>
        <v/>
      </c>
      <c r="Y31" s="28" t="str">
        <f>IF(Compositions!C47="","",(Compositions!C47/(VLOOKUP(Compositions!A47,'HHV-LHV-MW'!$A$3:$F$40,6,FALSE))))</f>
        <v/>
      </c>
      <c r="Z31" s="26" t="str">
        <f>IF(W31="","",((VLOOKUP(Compositions!A47,'HHV-LHV-MW'!$A$3:$F$40,4,FALSE))*(W31/100)))</f>
        <v/>
      </c>
      <c r="AA31" s="26" t="str">
        <f>IF(W31="","",((VLOOKUP(Compositions!A47,'HHV-LHV-MW'!$A$3:$F$40,5,FALSE))*(W31/100)))</f>
        <v/>
      </c>
      <c r="AB31" s="39" t="str">
        <f>IF(W31="","",((VLOOKUP(Compositions!A47,'HHV-LHV-MW'!$A$3:$F$40,6,FALSE))*(W31/100)))</f>
        <v/>
      </c>
      <c r="AC31" s="26"/>
      <c r="AD31" s="26"/>
      <c r="AE31" s="26"/>
      <c r="AF31" s="177"/>
      <c r="AG31" s="177"/>
      <c r="AH31" s="177"/>
      <c r="AI31" s="27" t="str">
        <f>IF(Compositions!D47="","",IF(Compositions!$D$25="mol%",Compositions!D47,AJ31))</f>
        <v/>
      </c>
      <c r="AJ31" s="27" t="str">
        <f t="shared" si="3"/>
        <v/>
      </c>
      <c r="AK31" s="27" t="str">
        <f>IF(Compositions!D47="","",(Compositions!D47/(VLOOKUP(Compositions!A47,'HHV-LHV-MW'!$A$3:$F$40,6,FALSE))))</f>
        <v/>
      </c>
      <c r="AL31" s="25" t="str">
        <f>IF(AI31="","",((VLOOKUP(Compositions!A47,'HHV-LHV-MW'!$A$3:$F$40,4,FALSE))*(AI31/100)))</f>
        <v/>
      </c>
      <c r="AM31" s="25" t="str">
        <f>IF(AI31="","",((VLOOKUP(Compositions!A47,'HHV-LHV-MW'!$A$3:$F$40,5,FALSE))*(AI31/100)))</f>
        <v/>
      </c>
      <c r="AN31" s="209" t="str">
        <f>IF(AI31="","",((VLOOKUP(Compositions!A47,'HHV-LHV-MW'!$A$3:$F$40,6,FALSE))*(AI31/100)))</f>
        <v/>
      </c>
      <c r="AO31" s="25"/>
      <c r="AP31" s="25"/>
      <c r="AQ31" s="25"/>
      <c r="AR31" s="180"/>
      <c r="AS31" s="180"/>
      <c r="AT31" s="180"/>
      <c r="AU31" s="28" t="str">
        <f>IF(Compositions!E47="","",IF(Compositions!$E$25="mol%",Compositions!E47,AV31))</f>
        <v/>
      </c>
      <c r="AV31" s="28" t="str">
        <f t="shared" si="4"/>
        <v/>
      </c>
      <c r="AW31" s="28" t="str">
        <f>IF(Compositions!E47="","",(Compositions!E47/(VLOOKUP(Compositions!A47,'HHV-LHV-MW'!$A$3:$F$40,6,FALSE))))</f>
        <v/>
      </c>
      <c r="AX31" s="26" t="str">
        <f>IF(AU31="","",((VLOOKUP(Compositions!A47,'HHV-LHV-MW'!$A$3:$F$40,4,FALSE))*(AU31/100)))</f>
        <v/>
      </c>
      <c r="AY31" s="26" t="str">
        <f>IF(AU31="","",((VLOOKUP(Compositions!A47,'HHV-LHV-MW'!$A$3:$F$40,5,FALSE))*(AU31/100)))</f>
        <v/>
      </c>
      <c r="AZ31" s="39" t="str">
        <f>IF(AU31="","",((VLOOKUP(Compositions!A47,'HHV-LHV-MW'!$A$3:$F$40,6,FALSE))*(AU31/100)))</f>
        <v/>
      </c>
      <c r="BA31" s="13"/>
      <c r="BB31" s="13"/>
      <c r="BC31" s="13"/>
      <c r="BD31" s="13"/>
      <c r="BE31" s="13"/>
      <c r="BF31" s="13"/>
      <c r="BH31" s="27" t="str">
        <f>IF(Compositions!H47="","",IF(Compositions!$H$25="mol%",Compositions!H47,BI31))</f>
        <v/>
      </c>
      <c r="BI31" s="27" t="str">
        <f t="shared" si="7"/>
        <v/>
      </c>
      <c r="BJ31" s="27" t="str">
        <f>IF(Compositions!H47="","",(Compositions!H47/(VLOOKUP(Compositions!G47,'HHV-LHV-MW'!$A$3:$F$40,6,FALSE))))</f>
        <v/>
      </c>
      <c r="BK31" s="25" t="str">
        <f>IF(BH31="","",((VLOOKUP(Compositions!G47,'HHV-LHV-MW'!$A$3:$F$40,4,FALSE))*(BH31/100)))</f>
        <v/>
      </c>
      <c r="BL31" s="25" t="str">
        <f>IF(BH31="","",((VLOOKUP(Compositions!G47,'HHV-LHV-MW'!$A$3:$F$40,5,FALSE))*(BH31/100)))</f>
        <v/>
      </c>
      <c r="BM31" s="209" t="str">
        <f>IF(BH31="","",((VLOOKUP(Compositions!G47,'HHV-LHV-MW'!$A$3:$F$40,6,FALSE))*(BH31/100)))</f>
        <v/>
      </c>
      <c r="BN31" s="25"/>
      <c r="BO31" s="25"/>
      <c r="BP31" s="25"/>
      <c r="BQ31" s="180"/>
      <c r="BR31" s="180"/>
      <c r="BS31" s="180"/>
      <c r="BT31" s="28" t="str">
        <f>IF(Compositions!I47="","",IF(Compositions!$I$25="mol%",Compositions!I47,BU31))</f>
        <v/>
      </c>
      <c r="BU31" s="28" t="str">
        <f t="shared" si="8"/>
        <v/>
      </c>
      <c r="BV31" s="28" t="str">
        <f>IF(Compositions!I47="","",(Compositions!I47/(VLOOKUP(Compositions!G47,'HHV-LHV-MW'!$A$3:$F$40,6,FALSE))))</f>
        <v/>
      </c>
      <c r="BW31" s="26" t="str">
        <f>IF(BT31="","",((VLOOKUP(Compositions!G47,'HHV-LHV-MW'!$A$3:$F$40,4,FALSE))*(BT31/100)))</f>
        <v/>
      </c>
      <c r="BX31" s="26" t="str">
        <f>IF(BT31="","",((VLOOKUP(Compositions!G47,'HHV-LHV-MW'!$A$3:$F$40,5,FALSE))*(BT31/100)))</f>
        <v/>
      </c>
      <c r="BY31" s="207" t="str">
        <f>IF(BT31="","",((VLOOKUP(Compositions!G47,'HHV-LHV-MW'!$A$3:$F$40,6,FALSE))*(BT31/100)))</f>
        <v/>
      </c>
      <c r="BZ31" s="26"/>
      <c r="CA31" s="26"/>
      <c r="CB31" s="26"/>
      <c r="CC31" s="177"/>
      <c r="CD31" s="177"/>
      <c r="CE31" s="177"/>
      <c r="CF31" s="27" t="str">
        <f>IF(Compositions!J47="","",IF(Compositions!$J$25="mol%",Compositions!J47,CG31))</f>
        <v/>
      </c>
      <c r="CG31" s="27" t="str">
        <f t="shared" si="9"/>
        <v/>
      </c>
      <c r="CH31" s="27" t="str">
        <f>IF(Compositions!J47="","",(Compositions!J47/(VLOOKUP(Compositions!G47,'HHV-LHV-MW'!$A$3:$F$40,6,FALSE))))</f>
        <v/>
      </c>
      <c r="CI31" s="25" t="str">
        <f>IF(CF31="","",((VLOOKUP(Compositions!G47,'HHV-LHV-MW'!$A$3:$F$40,4,FALSE))*(CF31/100)))</f>
        <v/>
      </c>
      <c r="CJ31" s="25" t="str">
        <f>IF(CF31="","",((VLOOKUP(Compositions!G47,'HHV-LHV-MW'!$A$3:$F$40,5,FALSE))*(CF31/100)))</f>
        <v/>
      </c>
      <c r="CK31" s="209" t="str">
        <f>IF(CF31="","",((VLOOKUP(Compositions!G47,'HHV-LHV-MW'!$A$3:$F$40,6,FALSE))*(CF31/100)))</f>
        <v/>
      </c>
      <c r="CL31" s="25"/>
      <c r="CM31" s="25"/>
      <c r="CN31" s="25"/>
      <c r="CO31" s="180"/>
      <c r="CP31" s="180"/>
      <c r="CQ31" s="180"/>
      <c r="CR31" s="28" t="str">
        <f>IF(Compositions!K47="","",IF(Compositions!$K$25="mol%",Compositions!K47,CS31))</f>
        <v/>
      </c>
      <c r="CS31" s="28" t="str">
        <f t="shared" si="10"/>
        <v/>
      </c>
      <c r="CT31" s="28" t="str">
        <f>IF(Compositions!K47="","",(Compositions!K47/(VLOOKUP(Compositions!G47,'HHV-LHV-MW'!$A$3:$F$40,6,FALSE))))</f>
        <v/>
      </c>
      <c r="CU31" s="26" t="str">
        <f>IF(CR31="","",((VLOOKUP(Compositions!G47,'HHV-LHV-MW'!$A$3:$F$40,4,FALSE))*(CR31/100)))</f>
        <v/>
      </c>
      <c r="CV31" s="26" t="str">
        <f>IF(CR31="","",((VLOOKUP(Compositions!G47,'HHV-LHV-MW'!$A$3:$F$40,5,FALSE))*(CR31/100)))</f>
        <v/>
      </c>
      <c r="CW31" s="207" t="str">
        <f>IF(CR31="","",((VLOOKUP(Compositions!G47,'HHV-LHV-MW'!$A$3:$F$40,6,FALSE))*(CR31/100)))</f>
        <v/>
      </c>
      <c r="CX31" s="13"/>
      <c r="CY31" s="13"/>
      <c r="CZ31" s="13"/>
      <c r="DA31" s="13"/>
      <c r="DB31" s="13"/>
      <c r="DC31" s="13"/>
      <c r="DE31" s="27" t="str">
        <f>IF(Compositions!N47="","",IF(Compositions!$N$25="mol%",Compositions!N47,DF31))</f>
        <v/>
      </c>
      <c r="DF31" s="27" t="str">
        <f t="shared" si="5"/>
        <v/>
      </c>
      <c r="DG31" s="27" t="str">
        <f>IF(Compositions!N47="","",(Compositions!N47/(VLOOKUP(Compositions!M47,'HHV-LHV-MW'!$A$3:$F$40,6,FALSE))))</f>
        <v/>
      </c>
      <c r="DH31" s="25" t="str">
        <f>IF(DE31="","",((VLOOKUP(Compositions!M47,'HHV-LHV-MW'!$A$3:$F$40,4,FALSE))*(DE31/100)))</f>
        <v/>
      </c>
      <c r="DI31" s="25" t="str">
        <f>IF(DE31="","",((VLOOKUP(Compositions!M47,'HHV-LHV-MW'!$A$3:$F$40,5,FALSE))*(DE31/100)))</f>
        <v/>
      </c>
      <c r="DJ31" s="209" t="str">
        <f>IF(DE31="","",((VLOOKUP(Compositions!M47,'HHV-LHV-MW'!$A$3:$F$40,6,FALSE))*(DE31/100)))</f>
        <v/>
      </c>
      <c r="DK31" s="25"/>
      <c r="DL31" s="25"/>
      <c r="DM31" s="25"/>
      <c r="DN31" s="180"/>
      <c r="DO31" s="180"/>
      <c r="DP31" s="180"/>
      <c r="DQ31" s="28" t="str">
        <f>IF(Compositions!O47="","",IF(Compositions!$O$25="mol%",Compositions!O47,DR31))</f>
        <v/>
      </c>
      <c r="DR31" s="28" t="str">
        <f t="shared" si="11"/>
        <v/>
      </c>
      <c r="DS31" s="28" t="str">
        <f>IF(Compositions!O47="","",(Compositions!O47/(VLOOKUP(Compositions!M47,'HHV-LHV-MW'!$A$3:$F$40,6,FALSE))))</f>
        <v/>
      </c>
      <c r="DT31" s="26" t="str">
        <f>IF(DQ31="","",((VLOOKUP(Compositions!M47,'HHV-LHV-MW'!$A$3:$F$40,4,FALSE))*(DQ31/100)))</f>
        <v/>
      </c>
      <c r="DU31" s="26" t="str">
        <f>IF(DQ31="","",((VLOOKUP(Compositions!M47,'HHV-LHV-MW'!$A$3:$F$40,5,FALSE))*(DQ31/100)))</f>
        <v/>
      </c>
      <c r="DV31" s="39" t="str">
        <f>IF(DQ31="","",((VLOOKUP(Compositions!M47,'HHV-LHV-MW'!$A$3:$F$40,6,FALSE))*(DQ31/100)))</f>
        <v/>
      </c>
      <c r="DW31" s="26"/>
      <c r="DX31" s="26"/>
      <c r="DY31" s="26"/>
      <c r="DZ31" s="177"/>
      <c r="EA31" s="177"/>
      <c r="EB31" s="177"/>
      <c r="EC31" s="27" t="str">
        <f>IF(Compositions!P47="","",IF(Compositions!$P$25="mol%",Compositions!P47,ED31))</f>
        <v/>
      </c>
      <c r="ED31" s="27" t="str">
        <f t="shared" si="12"/>
        <v/>
      </c>
      <c r="EE31" s="27" t="str">
        <f>IF(Compositions!P47="","",(Compositions!P47/(VLOOKUP(Compositions!M47,'HHV-LHV-MW'!$A$3:$F$40,6,FALSE))))</f>
        <v/>
      </c>
      <c r="EF31" s="25" t="str">
        <f>IF(EC31="","",((VLOOKUP(Compositions!M47,'HHV-LHV-MW'!$A$3:$F$40,4,FALSE))*(EC31/100)))</f>
        <v/>
      </c>
      <c r="EG31" s="25" t="str">
        <f>IF(EC31="","",((VLOOKUP(Compositions!M47,'HHV-LHV-MW'!$A$3:$F$40,5,FALSE))*(EC31/100)))</f>
        <v/>
      </c>
      <c r="EH31" s="209" t="str">
        <f>IF(EC31="","",((VLOOKUP(Compositions!M47,'HHV-LHV-MW'!$A$3:$F$40,6,FALSE))*(EC31/100)))</f>
        <v/>
      </c>
      <c r="EI31" s="25"/>
      <c r="EJ31" s="25"/>
      <c r="EK31" s="25"/>
      <c r="EL31" s="180"/>
      <c r="EM31" s="180"/>
      <c r="EN31" s="180"/>
      <c r="EO31" s="28" t="str">
        <f>IF(Compositions!Q47="","",IF(Compositions!$Q$25="mol%",Compositions!Q47,EP31))</f>
        <v/>
      </c>
      <c r="EP31" s="28" t="str">
        <f t="shared" si="13"/>
        <v/>
      </c>
      <c r="EQ31" s="28" t="str">
        <f>IF(Compositions!Q47="","",(Compositions!Q47/(VLOOKUP(Compositions!M47,'HHV-LHV-MW'!$A$3:$F$40,6,FALSE))))</f>
        <v/>
      </c>
      <c r="ER31" s="26" t="str">
        <f>IF(EO31="","",((VLOOKUP(Compositions!M47,'HHV-LHV-MW'!$A$3:$F$40,4,FALSE))*(EO31/100)))</f>
        <v/>
      </c>
      <c r="ES31" s="26" t="str">
        <f>IF(EO31="","",((VLOOKUP(Compositions!M47,'HHV-LHV-MW'!$A$3:$F$40,5,FALSE))*(EO31/100)))</f>
        <v/>
      </c>
      <c r="ET31" s="39" t="str">
        <f>IF(EO31="","",((VLOOKUP(Compositions!M47,'HHV-LHV-MW'!$A$3:$F$40,6,FALSE))*(EO31/100)))</f>
        <v/>
      </c>
      <c r="EU31" s="13"/>
      <c r="EV31" s="13"/>
      <c r="EW31" s="13"/>
      <c r="EX31" s="13"/>
      <c r="EY31" s="13"/>
      <c r="EZ31" s="13"/>
      <c r="FB31" s="27" t="str">
        <f>IF(Compositions!T47="","",IF(Compositions!$T$25="mol%",Compositions!T47,FC31))</f>
        <v/>
      </c>
      <c r="FC31" s="27" t="str">
        <f t="shared" si="14"/>
        <v/>
      </c>
      <c r="FD31" s="27" t="str">
        <f>IF(Compositions!T47="","",(Compositions!T47/(VLOOKUP(Compositions!S47,'HHV-LHV-MW'!$A$3:$F$40,6,FALSE))))</f>
        <v/>
      </c>
      <c r="FE31" s="25" t="str">
        <f>IF(FB31="","",((VLOOKUP(Compositions!S47,'HHV-LHV-MW'!$A$3:$F$40,4,FALSE))*(FB31/100)))</f>
        <v/>
      </c>
      <c r="FF31" s="25" t="str">
        <f>IF(FB31="","",((VLOOKUP(Compositions!S47,'HHV-LHV-MW'!$A$3:$F$40,5,FALSE))*(FB31/100)))</f>
        <v/>
      </c>
      <c r="FG31" s="209" t="str">
        <f>IF(FB31="","",((VLOOKUP(Compositions!S47,'HHV-LHV-MW'!$A$3:$F$40,6,FALSE))*(FB31/100)))</f>
        <v/>
      </c>
      <c r="FH31" s="25"/>
      <c r="FI31" s="25"/>
      <c r="FJ31" s="25"/>
      <c r="FK31" s="180"/>
      <c r="FL31" s="180"/>
      <c r="FM31" s="180"/>
      <c r="FN31" s="28" t="str">
        <f>IF(Compositions!U47="","",IF(Compositions!$U$25="mol%",Compositions!U47,FO31))</f>
        <v/>
      </c>
      <c r="FO31" s="28" t="str">
        <f t="shared" si="15"/>
        <v/>
      </c>
      <c r="FP31" s="28" t="str">
        <f>IF(Compositions!U47="","",(Compositions!U47/(VLOOKUP(Compositions!S47,'HHV-LHV-MW'!$A$3:$F$40,6,FALSE))))</f>
        <v/>
      </c>
      <c r="FQ31" s="26" t="str">
        <f>IF(FN31="","",((VLOOKUP(Compositions!S47,'HHV-LHV-MW'!$A$3:$F$40,4,FALSE))*(FN31/100)))</f>
        <v/>
      </c>
      <c r="FR31" s="26" t="str">
        <f>IF(FN31="","",((VLOOKUP(Compositions!S47,'HHV-LHV-MW'!$A$3:$F$40,5,FALSE))*(FN31/100)))</f>
        <v/>
      </c>
      <c r="FS31" s="39" t="str">
        <f>IF(FN31="","",((VLOOKUP(Compositions!S47,'HHV-LHV-MW'!$A$3:$F$40,6,FALSE))*(FN31/100)))</f>
        <v/>
      </c>
      <c r="FT31" s="26"/>
      <c r="FU31" s="26"/>
      <c r="FV31" s="26"/>
      <c r="FW31" s="177"/>
      <c r="FX31" s="177"/>
      <c r="FY31" s="177"/>
      <c r="FZ31" s="27" t="str">
        <f>IF(Compositions!V47="","",IF(Compositions!$V$25="mol%",Compositions!V47,GA31))</f>
        <v/>
      </c>
      <c r="GA31" s="27" t="str">
        <f t="shared" si="16"/>
        <v/>
      </c>
      <c r="GB31" s="27" t="str">
        <f>IF(Compositions!V47="","",(Compositions!V47/(VLOOKUP(Compositions!S47,'HHV-LHV-MW'!$A$3:$F$40,6,FALSE))))</f>
        <v/>
      </c>
      <c r="GC31" s="25" t="str">
        <f>IF(FZ31="","",((VLOOKUP(Compositions!S47,'HHV-LHV-MW'!$A$3:$F$40,4,FALSE))*(FZ31/100)))</f>
        <v/>
      </c>
      <c r="GD31" s="25" t="str">
        <f>IF(FZ31="","",((VLOOKUP(Compositions!S47,'HHV-LHV-MW'!$A$3:$F$40,5,FALSE))*(FZ31/100)))</f>
        <v/>
      </c>
      <c r="GE31" s="209" t="str">
        <f>IF(FZ31="","",((VLOOKUP(Compositions!S47,'HHV-LHV-MW'!$A$3:$F$40,6,FALSE))*(FZ31/100)))</f>
        <v/>
      </c>
      <c r="GF31" s="25"/>
      <c r="GG31" s="25"/>
      <c r="GH31" s="25"/>
      <c r="GI31" s="180"/>
      <c r="GJ31" s="180"/>
      <c r="GK31" s="180"/>
      <c r="GL31" s="28" t="str">
        <f>IF(Compositions!W47="","",IF(Compositions!$W$25="mol%",Compositions!W47,GM31))</f>
        <v/>
      </c>
      <c r="GM31" s="28" t="str">
        <f t="shared" si="17"/>
        <v/>
      </c>
      <c r="GN31" s="28" t="str">
        <f>IF(Compositions!W47="","",(Compositions!W47/(VLOOKUP(Compositions!S47,'HHV-LHV-MW'!$A$3:$F$40,6,FALSE))))</f>
        <v/>
      </c>
      <c r="GO31" s="26" t="str">
        <f>IF(GL31="","",((VLOOKUP(Compositions!S47,'HHV-LHV-MW'!$A$3:$F$40,4,FALSE))*(GL31/100)))</f>
        <v/>
      </c>
      <c r="GP31" s="26" t="str">
        <f>IF(GL31="","",((VLOOKUP(Compositions!S47,'HHV-LHV-MW'!$A$3:$F$40,5,FALSE))*(GL31/100)))</f>
        <v/>
      </c>
      <c r="GQ31" s="39" t="str">
        <f>IF(GL31="","",((VLOOKUP(Compositions!S47,'HHV-LHV-MW'!$A$3:$F$40,6,FALSE))*(GL31/100)))</f>
        <v/>
      </c>
      <c r="GR31" s="13"/>
      <c r="GS31" s="13"/>
      <c r="GT31" s="13"/>
      <c r="GU31" s="13"/>
      <c r="GV31" s="13"/>
      <c r="GW31" s="13"/>
      <c r="GY31" s="27" t="str">
        <f>IF(Compositions!Z47="","",IF(Compositions!$Z$25="mol%",Compositions!Z47,GZ31))</f>
        <v/>
      </c>
      <c r="GZ31" s="27" t="str">
        <f t="shared" si="18"/>
        <v/>
      </c>
      <c r="HA31" s="27" t="str">
        <f>IF(Compositions!Z47="","",(Compositions!Z47/(VLOOKUP(Compositions!Y47,'HHV-LHV-MW'!$A$3:$F$40,6,FALSE))))</f>
        <v/>
      </c>
      <c r="HB31" s="25" t="str">
        <f>IF(GY31="","",((VLOOKUP(Compositions!Y47,'HHV-LHV-MW'!$A$3:$F$40,4,FALSE))*(GY31/100)))</f>
        <v/>
      </c>
      <c r="HC31" s="25" t="str">
        <f>IF(GY31="","",((VLOOKUP(Compositions!Y47,'HHV-LHV-MW'!$A$3:$F$40,5,FALSE))*(GY31/100)))</f>
        <v/>
      </c>
      <c r="HD31" s="209" t="str">
        <f>IF(GY31="","",((VLOOKUP(Compositions!Y47,'HHV-LHV-MW'!$A$3:$F$40,6,FALSE))*(GY31/100)))</f>
        <v/>
      </c>
      <c r="HE31" s="25"/>
      <c r="HF31" s="25"/>
      <c r="HG31" s="25"/>
      <c r="HH31" s="180"/>
      <c r="HI31" s="180"/>
      <c r="HJ31" s="180"/>
      <c r="HK31" s="28" t="str">
        <f>IF(Compositions!AA47="","",IF(Compositions!$AA$25="mol%",Compositions!AA47,HL31))</f>
        <v/>
      </c>
      <c r="HL31" s="28" t="str">
        <f t="shared" si="19"/>
        <v/>
      </c>
      <c r="HM31" s="28" t="str">
        <f>IF(Compositions!AA47="","",(Compositions!AA47/(VLOOKUP(Compositions!Y47,'HHV-LHV-MW'!$A$3:$F$40,6,FALSE))))</f>
        <v/>
      </c>
      <c r="HN31" s="26" t="str">
        <f>IF(HK31="","",((VLOOKUP(Compositions!Y47,'HHV-LHV-MW'!$A$3:$F$40,4,FALSE))*(HK31/100)))</f>
        <v/>
      </c>
      <c r="HO31" s="26" t="str">
        <f>IF(HK31="","",((VLOOKUP(Compositions!Y47,'HHV-LHV-MW'!$A$3:$F$40,5,FALSE))*(HK31/100)))</f>
        <v/>
      </c>
      <c r="HP31" s="39" t="str">
        <f>IF(HK31="","",((VLOOKUP(Compositions!Y47,'HHV-LHV-MW'!$A$3:$F$40,6,FALSE))*(HK31/100)))</f>
        <v/>
      </c>
      <c r="HQ31" s="26"/>
      <c r="HR31" s="26"/>
      <c r="HS31" s="26"/>
      <c r="HT31" s="177"/>
      <c r="HU31" s="177"/>
      <c r="HV31" s="177"/>
      <c r="HW31" s="27" t="str">
        <f>IF(Compositions!AB47="","",IF(Compositions!$AB$25="mol%",Compositions!AB47,HX31))</f>
        <v/>
      </c>
      <c r="HX31" s="27" t="str">
        <f t="shared" si="20"/>
        <v/>
      </c>
      <c r="HY31" s="27" t="str">
        <f>IF(Compositions!AB47="","",(Compositions!AB47/(VLOOKUP(Compositions!Y47,'HHV-LHV-MW'!$A$3:$F$40,6,FALSE))))</f>
        <v/>
      </c>
      <c r="HZ31" s="25" t="str">
        <f>IF(HW31="","",((VLOOKUP(Compositions!Y47,'HHV-LHV-MW'!$A$3:$F$40,4,FALSE))*(HW31/100)))</f>
        <v/>
      </c>
      <c r="IA31" s="25" t="str">
        <f>IF(HW31="","",((VLOOKUP(Compositions!Y47,'HHV-LHV-MW'!$A$3:$F$40,5,FALSE))*(HW31/100)))</f>
        <v/>
      </c>
      <c r="IB31" s="209" t="str">
        <f>IF(HW31="","",((VLOOKUP(Compositions!Y47,'HHV-LHV-MW'!$A$3:$F$40,6,FALSE))*(HW31/100)))</f>
        <v/>
      </c>
      <c r="IC31" s="25"/>
      <c r="ID31" s="25"/>
      <c r="IE31" s="25"/>
      <c r="IF31" s="180"/>
      <c r="IG31" s="180"/>
      <c r="IH31" s="180"/>
      <c r="II31" s="28" t="str">
        <f>IF(Compositions!AC47="","",IF(Compositions!$AC$25="mol%",Compositions!AC47,IJ31))</f>
        <v/>
      </c>
      <c r="IJ31" s="28" t="str">
        <f t="shared" si="21"/>
        <v/>
      </c>
      <c r="IK31" s="28" t="str">
        <f>IF(Compositions!AC47="","",(Compositions!AC47/(VLOOKUP(Compositions!Y47,'HHV-LHV-MW'!$A$3:$F$40,6,FALSE))))</f>
        <v/>
      </c>
      <c r="IL31" s="26" t="str">
        <f>IF(II31="","",((VLOOKUP(Compositions!Y47,'HHV-LHV-MW'!$A$3:$F$40,4,FALSE))*(II31/100)))</f>
        <v/>
      </c>
      <c r="IM31" s="26" t="str">
        <f>IF(II31="","",((VLOOKUP(Compositions!Y47,'HHV-LHV-MW'!$A$3:$F$40,5,FALSE))*(II31/100)))</f>
        <v/>
      </c>
      <c r="IN31" s="39" t="str">
        <f>IF(II31="","",((VLOOKUP(Compositions!Y47,'HHV-LHV-MW'!$A$3:$F$40,6,FALSE))*(II31/100)))</f>
        <v/>
      </c>
      <c r="IO31" s="13"/>
      <c r="IP31" s="13"/>
      <c r="IQ31" s="13"/>
      <c r="IR31" s="13"/>
      <c r="IS31" s="13"/>
      <c r="IT31" s="13"/>
      <c r="IV31" s="27" t="str">
        <f>IF(Compositions!AF47="","",IF(Compositions!$AF$25="mol%",Compositions!AF47,IW31))</f>
        <v/>
      </c>
      <c r="IW31" s="27" t="str">
        <f t="shared" si="6"/>
        <v/>
      </c>
      <c r="IX31" s="27" t="str">
        <f>IF(Compositions!AF47="","",(Compositions!AF47/(VLOOKUP(Compositions!AE47,'HHV-LHV-MW'!$A$3:$F$40,6,FALSE))))</f>
        <v/>
      </c>
      <c r="IY31" s="25" t="str">
        <f>IF(IV31="","",((VLOOKUP(Compositions!AE47,'HHV-LHV-MW'!$A$3:$F$40,4,FALSE))*(IV31/100)))</f>
        <v/>
      </c>
      <c r="IZ31" s="25" t="str">
        <f>IF(IV31="","",((VLOOKUP(Compositions!AE47,'HHV-LHV-MW'!$A$3:$F$40,5,FALSE))*(IV31/100)))</f>
        <v/>
      </c>
      <c r="JA31" s="209" t="str">
        <f>IF(IV31="","",((VLOOKUP(Compositions!AE47,'HHV-LHV-MW'!$A$3:$F$40,6,FALSE))*(IV31/100)))</f>
        <v/>
      </c>
      <c r="JB31" s="25"/>
      <c r="JC31" s="25"/>
      <c r="JD31" s="25"/>
      <c r="JE31" s="180"/>
      <c r="JF31" s="180"/>
      <c r="JG31" s="180"/>
      <c r="JH31" s="28" t="str">
        <f>IF(Compositions!AG47="","",IF(Compositions!$AG$25="mol%",Compositions!AG47,JI31))</f>
        <v/>
      </c>
      <c r="JI31" s="28" t="str">
        <f t="shared" si="22"/>
        <v/>
      </c>
      <c r="JJ31" s="28" t="str">
        <f>IF(Compositions!AG47="","",(Compositions!AG47/(VLOOKUP(Compositions!AE47,'HHV-LHV-MW'!$A$3:$F$40,6,FALSE))))</f>
        <v/>
      </c>
      <c r="JK31" s="26" t="str">
        <f>IF(JH31="","",((VLOOKUP(Compositions!AE47,'HHV-LHV-MW'!$A$3:$F$40,4,FALSE))*(JH31/100)))</f>
        <v/>
      </c>
      <c r="JL31" s="26" t="str">
        <f>IF(JH31="","",((VLOOKUP(Compositions!AE47,'HHV-LHV-MW'!$A$3:$F$40,5,FALSE))*(JH31/100)))</f>
        <v/>
      </c>
      <c r="JM31" s="39" t="str">
        <f>IF(JH31="","",((VLOOKUP(Compositions!AE47,'HHV-LHV-MW'!$A$3:$F$40,6,FALSE))*(JH31/100)))</f>
        <v/>
      </c>
      <c r="JN31" s="26"/>
      <c r="JO31" s="26"/>
      <c r="JP31" s="26"/>
      <c r="JQ31" s="177"/>
      <c r="JR31" s="177"/>
      <c r="JS31" s="177"/>
      <c r="JT31" s="27" t="str">
        <f>IF(Compositions!AH47="","",IF(Compositions!$AH$25="mol%",Compositions!AH47,JU31))</f>
        <v/>
      </c>
      <c r="JU31" s="27" t="str">
        <f t="shared" si="23"/>
        <v/>
      </c>
      <c r="JV31" s="27" t="str">
        <f>IF(Compositions!AH47="","",(Compositions!AH47/(VLOOKUP(Compositions!AE47,'HHV-LHV-MW'!$A$3:$F$40,6,FALSE))))</f>
        <v/>
      </c>
      <c r="JW31" s="25" t="str">
        <f>IF(JT31="","",((VLOOKUP(Compositions!AE47,'HHV-LHV-MW'!$A$3:$F$40,4,FALSE))*(JT31/100)))</f>
        <v/>
      </c>
      <c r="JX31" s="25" t="str">
        <f>IF(JT31="","",((VLOOKUP(Compositions!AE47,'HHV-LHV-MW'!$A$3:$F$40,5,FALSE))*(JT31/100)))</f>
        <v/>
      </c>
      <c r="JY31" s="209" t="str">
        <f>IF(JT31="","",((VLOOKUP(Compositions!AE47,'HHV-LHV-MW'!$A$3:$F$40,6,FALSE))*(JT31/100)))</f>
        <v/>
      </c>
      <c r="JZ31" s="25"/>
      <c r="KA31" s="25"/>
      <c r="KB31" s="25"/>
      <c r="KC31" s="180"/>
      <c r="KD31" s="180"/>
      <c r="KE31" s="180"/>
      <c r="KF31" s="28" t="str">
        <f>IF(Compositions!AI47="","",IF(Compositions!$AI$25="mol%",Compositions!AI47,KG31))</f>
        <v/>
      </c>
      <c r="KG31" s="28" t="str">
        <f t="shared" si="24"/>
        <v/>
      </c>
      <c r="KH31" s="28" t="str">
        <f>IF(Compositions!AI47="","",(Compositions!AI47/(VLOOKUP(Compositions!AE47,'HHV-LHV-MW'!$A$3:$F$40,6,FALSE))))</f>
        <v/>
      </c>
      <c r="KI31" s="26" t="str">
        <f>IF(KF31="","",((VLOOKUP(Compositions!AE47,'HHV-LHV-MW'!$A$3:$F$40,4,FALSE))*(KF31/100)))</f>
        <v/>
      </c>
      <c r="KJ31" s="26" t="str">
        <f>IF(KF31="","",((VLOOKUP(Compositions!AE47,'HHV-LHV-MW'!$A$3:$F$40,5,FALSE))*(KF31/100)))</f>
        <v/>
      </c>
      <c r="KK31" s="39" t="str">
        <f>IF(KF31="","",((VLOOKUP(Compositions!AE47,'HHV-LHV-MW'!$A$3:$F$40,6,FALSE))*(KF31/100)))</f>
        <v/>
      </c>
      <c r="KL31" s="13"/>
      <c r="KM31" s="13"/>
      <c r="KN31" s="13"/>
    </row>
    <row r="32" spans="1:300" ht="15.6">
      <c r="A32" s="173" t="s">
        <v>212</v>
      </c>
      <c r="B32" s="19" t="s">
        <v>211</v>
      </c>
      <c r="C32" s="20">
        <v>5</v>
      </c>
      <c r="D32" s="20">
        <v>3.3235000000000001</v>
      </c>
      <c r="E32" s="20">
        <v>3.1</v>
      </c>
      <c r="F32" s="20">
        <v>70.134399999999999</v>
      </c>
      <c r="G32" s="20">
        <f t="shared" si="0"/>
        <v>0</v>
      </c>
      <c r="H32" s="20">
        <v>0</v>
      </c>
      <c r="I32" s="170">
        <v>1</v>
      </c>
      <c r="K32" s="27" t="str">
        <f>IF(Compositions!B48="","",IF(Compositions!$B$25="mol%",Compositions!B48,L32))</f>
        <v/>
      </c>
      <c r="L32" s="27" t="str">
        <f t="shared" si="1"/>
        <v/>
      </c>
      <c r="M32" s="27" t="str">
        <f>IF(Compositions!B48="","",(Compositions!B48/(VLOOKUP(Compositions!A48,'HHV-LHV-MW'!$A$3:$F$40,6,FALSE))))</f>
        <v/>
      </c>
      <c r="N32" s="25" t="str">
        <f>IF(K32="","",((VLOOKUP(Compositions!A48,'HHV-LHV-MW'!$A$3:$F$40,4,FALSE))*(K32/100)))</f>
        <v/>
      </c>
      <c r="O32" s="25" t="str">
        <f>IF(K32="","",((VLOOKUP(Compositions!A48,'HHV-LHV-MW'!$A$3:$F$40,5,FALSE))*(K32/100)))</f>
        <v/>
      </c>
      <c r="P32" s="206" t="str">
        <f>IF(K32="","",((VLOOKUP(Compositions!A48,'HHV-LHV-MW'!$A$3:$F$40,6,FALSE))*(K32/100)))</f>
        <v/>
      </c>
      <c r="Q32" s="25"/>
      <c r="R32" s="25"/>
      <c r="S32" s="25"/>
      <c r="T32" s="166"/>
      <c r="U32" s="174"/>
      <c r="V32" s="180"/>
      <c r="W32" s="28" t="str">
        <f>IF(Compositions!C48="","",IF(Compositions!$C$25="mol%",Compositions!C48,X32))</f>
        <v/>
      </c>
      <c r="X32" s="28" t="str">
        <f t="shared" si="2"/>
        <v/>
      </c>
      <c r="Y32" s="28" t="str">
        <f>IF(Compositions!C48="","",(Compositions!C48/(VLOOKUP(Compositions!A48,'HHV-LHV-MW'!$A$3:$F$40,6,FALSE))))</f>
        <v/>
      </c>
      <c r="Z32" s="26" t="str">
        <f>IF(W32="","",((VLOOKUP(Compositions!A48,'HHV-LHV-MW'!$A$3:$F$40,4,FALSE))*(W32/100)))</f>
        <v/>
      </c>
      <c r="AA32" s="26" t="str">
        <f>IF(W32="","",((VLOOKUP(Compositions!A48,'HHV-LHV-MW'!$A$3:$F$40,5,FALSE))*(W32/100)))</f>
        <v/>
      </c>
      <c r="AB32" s="39" t="str">
        <f>IF(W32="","",((VLOOKUP(Compositions!A48,'HHV-LHV-MW'!$A$3:$F$40,6,FALSE))*(W32/100)))</f>
        <v/>
      </c>
      <c r="AC32" s="26"/>
      <c r="AD32" s="26"/>
      <c r="AE32" s="26"/>
      <c r="AF32" s="177"/>
      <c r="AG32" s="177"/>
      <c r="AH32" s="177"/>
      <c r="AI32" s="27" t="str">
        <f>IF(Compositions!D48="","",IF(Compositions!$D$25="mol%",Compositions!D48,AJ32))</f>
        <v/>
      </c>
      <c r="AJ32" s="27" t="str">
        <f t="shared" si="3"/>
        <v/>
      </c>
      <c r="AK32" s="27" t="str">
        <f>IF(Compositions!D48="","",(Compositions!D48/(VLOOKUP(Compositions!A48,'HHV-LHV-MW'!$A$3:$F$40,6,FALSE))))</f>
        <v/>
      </c>
      <c r="AL32" s="25" t="str">
        <f>IF(AI32="","",((VLOOKUP(Compositions!A48,'HHV-LHV-MW'!$A$3:$F$40,4,FALSE))*(AI32/100)))</f>
        <v/>
      </c>
      <c r="AM32" s="25" t="str">
        <f>IF(AI32="","",((VLOOKUP(Compositions!A48,'HHV-LHV-MW'!$A$3:$F$40,5,FALSE))*(AI32/100)))</f>
        <v/>
      </c>
      <c r="AN32" s="209" t="str">
        <f>IF(AI32="","",((VLOOKUP(Compositions!A48,'HHV-LHV-MW'!$A$3:$F$40,6,FALSE))*(AI32/100)))</f>
        <v/>
      </c>
      <c r="AO32" s="25"/>
      <c r="AP32" s="25"/>
      <c r="AQ32" s="25"/>
      <c r="AR32" s="180"/>
      <c r="AS32" s="180"/>
      <c r="AT32" s="180"/>
      <c r="AU32" s="28" t="str">
        <f>IF(Compositions!E48="","",IF(Compositions!$E$25="mol%",Compositions!E48,AV32))</f>
        <v/>
      </c>
      <c r="AV32" s="28" t="str">
        <f t="shared" si="4"/>
        <v/>
      </c>
      <c r="AW32" s="28" t="str">
        <f>IF(Compositions!E48="","",(Compositions!E48/(VLOOKUP(Compositions!A48,'HHV-LHV-MW'!$A$3:$F$40,6,FALSE))))</f>
        <v/>
      </c>
      <c r="AX32" s="26" t="str">
        <f>IF(AU32="","",((VLOOKUP(Compositions!A48,'HHV-LHV-MW'!$A$3:$F$40,4,FALSE))*(AU32/100)))</f>
        <v/>
      </c>
      <c r="AY32" s="26" t="str">
        <f>IF(AU32="","",((VLOOKUP(Compositions!A48,'HHV-LHV-MW'!$A$3:$F$40,5,FALSE))*(AU32/100)))</f>
        <v/>
      </c>
      <c r="AZ32" s="39" t="str">
        <f>IF(AU32="","",((VLOOKUP(Compositions!A48,'HHV-LHV-MW'!$A$3:$F$40,6,FALSE))*(AU32/100)))</f>
        <v/>
      </c>
      <c r="BA32" s="13"/>
      <c r="BB32" s="13"/>
      <c r="BC32" s="13"/>
      <c r="BD32" s="13"/>
      <c r="BE32" s="13"/>
      <c r="BF32" s="13"/>
      <c r="BH32" s="27" t="str">
        <f>IF(Compositions!H48="","",IF(Compositions!$H$25="mol%",Compositions!H48,BI32))</f>
        <v/>
      </c>
      <c r="BI32" s="27" t="str">
        <f t="shared" si="7"/>
        <v/>
      </c>
      <c r="BJ32" s="27" t="str">
        <f>IF(Compositions!H48="","",(Compositions!H48/(VLOOKUP(Compositions!G48,'HHV-LHV-MW'!$A$3:$F$40,6,FALSE))))</f>
        <v/>
      </c>
      <c r="BK32" s="25" t="str">
        <f>IF(BH32="","",((VLOOKUP(Compositions!G48,'HHV-LHV-MW'!$A$3:$F$40,4,FALSE))*(BH32/100)))</f>
        <v/>
      </c>
      <c r="BL32" s="25" t="str">
        <f>IF(BH32="","",((VLOOKUP(Compositions!G48,'HHV-LHV-MW'!$A$3:$F$40,5,FALSE))*(BH32/100)))</f>
        <v/>
      </c>
      <c r="BM32" s="209" t="str">
        <f>IF(BH32="","",((VLOOKUP(Compositions!G48,'HHV-LHV-MW'!$A$3:$F$40,6,FALSE))*(BH32/100)))</f>
        <v/>
      </c>
      <c r="BN32" s="25"/>
      <c r="BO32" s="25"/>
      <c r="BP32" s="25"/>
      <c r="BQ32" s="180"/>
      <c r="BR32" s="180"/>
      <c r="BS32" s="180"/>
      <c r="BT32" s="28" t="str">
        <f>IF(Compositions!I48="","",IF(Compositions!$I$25="mol%",Compositions!I48,BU32))</f>
        <v/>
      </c>
      <c r="BU32" s="28" t="str">
        <f t="shared" si="8"/>
        <v/>
      </c>
      <c r="BV32" s="28" t="str">
        <f>IF(Compositions!I48="","",(Compositions!I48/(VLOOKUP(Compositions!G48,'HHV-LHV-MW'!$A$3:$F$40,6,FALSE))))</f>
        <v/>
      </c>
      <c r="BW32" s="26" t="str">
        <f>IF(BT32="","",((VLOOKUP(Compositions!G48,'HHV-LHV-MW'!$A$3:$F$40,4,FALSE))*(BT32/100)))</f>
        <v/>
      </c>
      <c r="BX32" s="26" t="str">
        <f>IF(BT32="","",((VLOOKUP(Compositions!G48,'HHV-LHV-MW'!$A$3:$F$40,5,FALSE))*(BT32/100)))</f>
        <v/>
      </c>
      <c r="BY32" s="207" t="str">
        <f>IF(BT32="","",((VLOOKUP(Compositions!G48,'HHV-LHV-MW'!$A$3:$F$40,6,FALSE))*(BT32/100)))</f>
        <v/>
      </c>
      <c r="BZ32" s="26"/>
      <c r="CA32" s="26"/>
      <c r="CB32" s="26"/>
      <c r="CC32" s="177"/>
      <c r="CD32" s="177"/>
      <c r="CE32" s="177"/>
      <c r="CF32" s="27" t="str">
        <f>IF(Compositions!J48="","",IF(Compositions!$J$25="mol%",Compositions!J48,CG32))</f>
        <v/>
      </c>
      <c r="CG32" s="27" t="str">
        <f t="shared" si="9"/>
        <v/>
      </c>
      <c r="CH32" s="27" t="str">
        <f>IF(Compositions!J48="","",(Compositions!J48/(VLOOKUP(Compositions!G48,'HHV-LHV-MW'!$A$3:$F$40,6,FALSE))))</f>
        <v/>
      </c>
      <c r="CI32" s="25" t="str">
        <f>IF(CF32="","",((VLOOKUP(Compositions!G48,'HHV-LHV-MW'!$A$3:$F$40,4,FALSE))*(CF32/100)))</f>
        <v/>
      </c>
      <c r="CJ32" s="25" t="str">
        <f>IF(CF32="","",((VLOOKUP(Compositions!G48,'HHV-LHV-MW'!$A$3:$F$40,5,FALSE))*(CF32/100)))</f>
        <v/>
      </c>
      <c r="CK32" s="209" t="str">
        <f>IF(CF32="","",((VLOOKUP(Compositions!G48,'HHV-LHV-MW'!$A$3:$F$40,6,FALSE))*(CF32/100)))</f>
        <v/>
      </c>
      <c r="CL32" s="25"/>
      <c r="CM32" s="25"/>
      <c r="CN32" s="25"/>
      <c r="CO32" s="180"/>
      <c r="CP32" s="180"/>
      <c r="CQ32" s="180"/>
      <c r="CR32" s="28" t="str">
        <f>IF(Compositions!K48="","",IF(Compositions!$K$25="mol%",Compositions!K48,CS32))</f>
        <v/>
      </c>
      <c r="CS32" s="28" t="str">
        <f t="shared" si="10"/>
        <v/>
      </c>
      <c r="CT32" s="28" t="str">
        <f>IF(Compositions!K48="","",(Compositions!K48/(VLOOKUP(Compositions!G48,'HHV-LHV-MW'!$A$3:$F$40,6,FALSE))))</f>
        <v/>
      </c>
      <c r="CU32" s="26" t="str">
        <f>IF(CR32="","",((VLOOKUP(Compositions!G48,'HHV-LHV-MW'!$A$3:$F$40,4,FALSE))*(CR32/100)))</f>
        <v/>
      </c>
      <c r="CV32" s="26" t="str">
        <f>IF(CR32="","",((VLOOKUP(Compositions!G48,'HHV-LHV-MW'!$A$3:$F$40,5,FALSE))*(CR32/100)))</f>
        <v/>
      </c>
      <c r="CW32" s="207" t="str">
        <f>IF(CR32="","",((VLOOKUP(Compositions!G48,'HHV-LHV-MW'!$A$3:$F$40,6,FALSE))*(CR32/100)))</f>
        <v/>
      </c>
      <c r="CX32" s="13"/>
      <c r="CY32" s="13"/>
      <c r="CZ32" s="13"/>
      <c r="DA32" s="13"/>
      <c r="DB32" s="13"/>
      <c r="DC32" s="13"/>
      <c r="DE32" s="27" t="str">
        <f>IF(Compositions!N48="","",IF(Compositions!$N$25="mol%",Compositions!N48,DF32))</f>
        <v/>
      </c>
      <c r="DF32" s="27" t="str">
        <f t="shared" si="5"/>
        <v/>
      </c>
      <c r="DG32" s="27" t="str">
        <f>IF(Compositions!N48="","",(Compositions!N48/(VLOOKUP(Compositions!M48,'HHV-LHV-MW'!$A$3:$F$40,6,FALSE))))</f>
        <v/>
      </c>
      <c r="DH32" s="25" t="str">
        <f>IF(DE32="","",((VLOOKUP(Compositions!M48,'HHV-LHV-MW'!$A$3:$F$40,4,FALSE))*(DE32/100)))</f>
        <v/>
      </c>
      <c r="DI32" s="25" t="str">
        <f>IF(DE32="","",((VLOOKUP(Compositions!M48,'HHV-LHV-MW'!$A$3:$F$40,5,FALSE))*(DE32/100)))</f>
        <v/>
      </c>
      <c r="DJ32" s="209" t="str">
        <f>IF(DE32="","",((VLOOKUP(Compositions!M48,'HHV-LHV-MW'!$A$3:$F$40,6,FALSE))*(DE32/100)))</f>
        <v/>
      </c>
      <c r="DK32" s="25"/>
      <c r="DL32" s="25"/>
      <c r="DM32" s="25"/>
      <c r="DN32" s="180"/>
      <c r="DO32" s="180"/>
      <c r="DP32" s="180"/>
      <c r="DQ32" s="28" t="str">
        <f>IF(Compositions!O48="","",IF(Compositions!$O$25="mol%",Compositions!O48,DR32))</f>
        <v/>
      </c>
      <c r="DR32" s="28" t="str">
        <f t="shared" si="11"/>
        <v/>
      </c>
      <c r="DS32" s="28" t="str">
        <f>IF(Compositions!O48="","",(Compositions!O48/(VLOOKUP(Compositions!M48,'HHV-LHV-MW'!$A$3:$F$40,6,FALSE))))</f>
        <v/>
      </c>
      <c r="DT32" s="26" t="str">
        <f>IF(DQ32="","",((VLOOKUP(Compositions!M48,'HHV-LHV-MW'!$A$3:$F$40,4,FALSE))*(DQ32/100)))</f>
        <v/>
      </c>
      <c r="DU32" s="26" t="str">
        <f>IF(DQ32="","",((VLOOKUP(Compositions!M48,'HHV-LHV-MW'!$A$3:$F$40,5,FALSE))*(DQ32/100)))</f>
        <v/>
      </c>
      <c r="DV32" s="39" t="str">
        <f>IF(DQ32="","",((VLOOKUP(Compositions!M48,'HHV-LHV-MW'!$A$3:$F$40,6,FALSE))*(DQ32/100)))</f>
        <v/>
      </c>
      <c r="DW32" s="26"/>
      <c r="DX32" s="26"/>
      <c r="DY32" s="26"/>
      <c r="DZ32" s="177"/>
      <c r="EA32" s="177"/>
      <c r="EB32" s="177"/>
      <c r="EC32" s="27" t="str">
        <f>IF(Compositions!P48="","",IF(Compositions!$P$25="mol%",Compositions!P48,ED32))</f>
        <v/>
      </c>
      <c r="ED32" s="27" t="str">
        <f t="shared" si="12"/>
        <v/>
      </c>
      <c r="EE32" s="27" t="str">
        <f>IF(Compositions!P48="","",(Compositions!P48/(VLOOKUP(Compositions!M48,'HHV-LHV-MW'!$A$3:$F$40,6,FALSE))))</f>
        <v/>
      </c>
      <c r="EF32" s="25" t="str">
        <f>IF(EC32="","",((VLOOKUP(Compositions!M48,'HHV-LHV-MW'!$A$3:$F$40,4,FALSE))*(EC32/100)))</f>
        <v/>
      </c>
      <c r="EG32" s="25" t="str">
        <f>IF(EC32="","",((VLOOKUP(Compositions!M48,'HHV-LHV-MW'!$A$3:$F$40,5,FALSE))*(EC32/100)))</f>
        <v/>
      </c>
      <c r="EH32" s="209" t="str">
        <f>IF(EC32="","",((VLOOKUP(Compositions!M48,'HHV-LHV-MW'!$A$3:$F$40,6,FALSE))*(EC32/100)))</f>
        <v/>
      </c>
      <c r="EI32" s="25"/>
      <c r="EJ32" s="25"/>
      <c r="EK32" s="25"/>
      <c r="EL32" s="180"/>
      <c r="EM32" s="180"/>
      <c r="EN32" s="180"/>
      <c r="EO32" s="28" t="str">
        <f>IF(Compositions!Q48="","",IF(Compositions!$Q$25="mol%",Compositions!Q48,EP32))</f>
        <v/>
      </c>
      <c r="EP32" s="28" t="str">
        <f t="shared" si="13"/>
        <v/>
      </c>
      <c r="EQ32" s="28" t="str">
        <f>IF(Compositions!Q48="","",(Compositions!Q48/(VLOOKUP(Compositions!M48,'HHV-LHV-MW'!$A$3:$F$40,6,FALSE))))</f>
        <v/>
      </c>
      <c r="ER32" s="26" t="str">
        <f>IF(EO32="","",((VLOOKUP(Compositions!M48,'HHV-LHV-MW'!$A$3:$F$40,4,FALSE))*(EO32/100)))</f>
        <v/>
      </c>
      <c r="ES32" s="26" t="str">
        <f>IF(EO32="","",((VLOOKUP(Compositions!M48,'HHV-LHV-MW'!$A$3:$F$40,5,FALSE))*(EO32/100)))</f>
        <v/>
      </c>
      <c r="ET32" s="39" t="str">
        <f>IF(EO32="","",((VLOOKUP(Compositions!M48,'HHV-LHV-MW'!$A$3:$F$40,6,FALSE))*(EO32/100)))</f>
        <v/>
      </c>
      <c r="EU32" s="13"/>
      <c r="EV32" s="13"/>
      <c r="EW32" s="13"/>
      <c r="EX32" s="13"/>
      <c r="EY32" s="13"/>
      <c r="EZ32" s="13"/>
      <c r="FB32" s="27" t="str">
        <f>IF(Compositions!T48="","",IF(Compositions!$T$25="mol%",Compositions!T48,FC32))</f>
        <v/>
      </c>
      <c r="FC32" s="27" t="str">
        <f t="shared" si="14"/>
        <v/>
      </c>
      <c r="FD32" s="27" t="str">
        <f>IF(Compositions!T48="","",(Compositions!T48/(VLOOKUP(Compositions!S48,'HHV-LHV-MW'!$A$3:$F$40,6,FALSE))))</f>
        <v/>
      </c>
      <c r="FE32" s="25" t="str">
        <f>IF(FB32="","",((VLOOKUP(Compositions!S48,'HHV-LHV-MW'!$A$3:$F$40,4,FALSE))*(FB32/100)))</f>
        <v/>
      </c>
      <c r="FF32" s="25" t="str">
        <f>IF(FB32="","",((VLOOKUP(Compositions!S48,'HHV-LHV-MW'!$A$3:$F$40,5,FALSE))*(FB32/100)))</f>
        <v/>
      </c>
      <c r="FG32" s="209" t="str">
        <f>IF(FB32="","",((VLOOKUP(Compositions!S48,'HHV-LHV-MW'!$A$3:$F$40,6,FALSE))*(FB32/100)))</f>
        <v/>
      </c>
      <c r="FH32" s="25"/>
      <c r="FI32" s="25"/>
      <c r="FJ32" s="25"/>
      <c r="FK32" s="180"/>
      <c r="FL32" s="180"/>
      <c r="FM32" s="180"/>
      <c r="FN32" s="28" t="str">
        <f>IF(Compositions!U48="","",IF(Compositions!$U$25="mol%",Compositions!U48,FO32))</f>
        <v/>
      </c>
      <c r="FO32" s="28" t="str">
        <f t="shared" si="15"/>
        <v/>
      </c>
      <c r="FP32" s="28" t="str">
        <f>IF(Compositions!U48="","",(Compositions!U48/(VLOOKUP(Compositions!S48,'HHV-LHV-MW'!$A$3:$F$40,6,FALSE))))</f>
        <v/>
      </c>
      <c r="FQ32" s="26" t="str">
        <f>IF(FN32="","",((VLOOKUP(Compositions!S48,'HHV-LHV-MW'!$A$3:$F$40,4,FALSE))*(FN32/100)))</f>
        <v/>
      </c>
      <c r="FR32" s="26" t="str">
        <f>IF(FN32="","",((VLOOKUP(Compositions!S48,'HHV-LHV-MW'!$A$3:$F$40,5,FALSE))*(FN32/100)))</f>
        <v/>
      </c>
      <c r="FS32" s="39" t="str">
        <f>IF(FN32="","",((VLOOKUP(Compositions!S48,'HHV-LHV-MW'!$A$3:$F$40,6,FALSE))*(FN32/100)))</f>
        <v/>
      </c>
      <c r="FT32" s="26"/>
      <c r="FU32" s="26"/>
      <c r="FV32" s="26"/>
      <c r="FW32" s="177"/>
      <c r="FX32" s="177"/>
      <c r="FY32" s="177"/>
      <c r="FZ32" s="27" t="str">
        <f>IF(Compositions!V48="","",IF(Compositions!$V$25="mol%",Compositions!V48,GA32))</f>
        <v/>
      </c>
      <c r="GA32" s="27" t="str">
        <f t="shared" si="16"/>
        <v/>
      </c>
      <c r="GB32" s="27" t="str">
        <f>IF(Compositions!V48="","",(Compositions!V48/(VLOOKUP(Compositions!S48,'HHV-LHV-MW'!$A$3:$F$40,6,FALSE))))</f>
        <v/>
      </c>
      <c r="GC32" s="25" t="str">
        <f>IF(FZ32="","",((VLOOKUP(Compositions!S48,'HHV-LHV-MW'!$A$3:$F$40,4,FALSE))*(FZ32/100)))</f>
        <v/>
      </c>
      <c r="GD32" s="25" t="str">
        <f>IF(FZ32="","",((VLOOKUP(Compositions!S48,'HHV-LHV-MW'!$A$3:$F$40,5,FALSE))*(FZ32/100)))</f>
        <v/>
      </c>
      <c r="GE32" s="209" t="str">
        <f>IF(FZ32="","",((VLOOKUP(Compositions!S48,'HHV-LHV-MW'!$A$3:$F$40,6,FALSE))*(FZ32/100)))</f>
        <v/>
      </c>
      <c r="GF32" s="25"/>
      <c r="GG32" s="25"/>
      <c r="GH32" s="25"/>
      <c r="GI32" s="180"/>
      <c r="GJ32" s="180"/>
      <c r="GK32" s="180"/>
      <c r="GL32" s="28" t="str">
        <f>IF(Compositions!W48="","",IF(Compositions!$W$25="mol%",Compositions!W48,GM32))</f>
        <v/>
      </c>
      <c r="GM32" s="28" t="str">
        <f t="shared" si="17"/>
        <v/>
      </c>
      <c r="GN32" s="28" t="str">
        <f>IF(Compositions!W48="","",(Compositions!W48/(VLOOKUP(Compositions!S48,'HHV-LHV-MW'!$A$3:$F$40,6,FALSE))))</f>
        <v/>
      </c>
      <c r="GO32" s="26" t="str">
        <f>IF(GL32="","",((VLOOKUP(Compositions!S48,'HHV-LHV-MW'!$A$3:$F$40,4,FALSE))*(GL32/100)))</f>
        <v/>
      </c>
      <c r="GP32" s="26" t="str">
        <f>IF(GL32="","",((VLOOKUP(Compositions!S48,'HHV-LHV-MW'!$A$3:$F$40,5,FALSE))*(GL32/100)))</f>
        <v/>
      </c>
      <c r="GQ32" s="39" t="str">
        <f>IF(GL32="","",((VLOOKUP(Compositions!S48,'HHV-LHV-MW'!$A$3:$F$40,6,FALSE))*(GL32/100)))</f>
        <v/>
      </c>
      <c r="GR32" s="13"/>
      <c r="GS32" s="13"/>
      <c r="GT32" s="13"/>
      <c r="GU32" s="13"/>
      <c r="GV32" s="13"/>
      <c r="GW32" s="13"/>
      <c r="GY32" s="27" t="str">
        <f>IF(Compositions!Z48="","",IF(Compositions!$Z$25="mol%",Compositions!Z48,GZ32))</f>
        <v/>
      </c>
      <c r="GZ32" s="27" t="str">
        <f t="shared" si="18"/>
        <v/>
      </c>
      <c r="HA32" s="27" t="str">
        <f>IF(Compositions!Z48="","",(Compositions!Z48/(VLOOKUP(Compositions!Y48,'HHV-LHV-MW'!$A$3:$F$40,6,FALSE))))</f>
        <v/>
      </c>
      <c r="HB32" s="25" t="str">
        <f>IF(GY32="","",((VLOOKUP(Compositions!Y48,'HHV-LHV-MW'!$A$3:$F$40,4,FALSE))*(GY32/100)))</f>
        <v/>
      </c>
      <c r="HC32" s="25" t="str">
        <f>IF(GY32="","",((VLOOKUP(Compositions!Y48,'HHV-LHV-MW'!$A$3:$F$40,5,FALSE))*(GY32/100)))</f>
        <v/>
      </c>
      <c r="HD32" s="209" t="str">
        <f>IF(GY32="","",((VLOOKUP(Compositions!Y48,'HHV-LHV-MW'!$A$3:$F$40,6,FALSE))*(GY32/100)))</f>
        <v/>
      </c>
      <c r="HE32" s="25"/>
      <c r="HF32" s="25"/>
      <c r="HG32" s="25"/>
      <c r="HH32" s="180"/>
      <c r="HI32" s="180"/>
      <c r="HJ32" s="180"/>
      <c r="HK32" s="28" t="str">
        <f>IF(Compositions!AA48="","",IF(Compositions!$AA$25="mol%",Compositions!AA48,HL32))</f>
        <v/>
      </c>
      <c r="HL32" s="28" t="str">
        <f t="shared" si="19"/>
        <v/>
      </c>
      <c r="HM32" s="28" t="str">
        <f>IF(Compositions!AA48="","",(Compositions!AA48/(VLOOKUP(Compositions!Y48,'HHV-LHV-MW'!$A$3:$F$40,6,FALSE))))</f>
        <v/>
      </c>
      <c r="HN32" s="26" t="str">
        <f>IF(HK32="","",((VLOOKUP(Compositions!Y48,'HHV-LHV-MW'!$A$3:$F$40,4,FALSE))*(HK32/100)))</f>
        <v/>
      </c>
      <c r="HO32" s="26" t="str">
        <f>IF(HK32="","",((VLOOKUP(Compositions!Y48,'HHV-LHV-MW'!$A$3:$F$40,5,FALSE))*(HK32/100)))</f>
        <v/>
      </c>
      <c r="HP32" s="39" t="str">
        <f>IF(HK32="","",((VLOOKUP(Compositions!Y48,'HHV-LHV-MW'!$A$3:$F$40,6,FALSE))*(HK32/100)))</f>
        <v/>
      </c>
      <c r="HQ32" s="26"/>
      <c r="HR32" s="26"/>
      <c r="HS32" s="26"/>
      <c r="HT32" s="177"/>
      <c r="HU32" s="177"/>
      <c r="HV32" s="177"/>
      <c r="HW32" s="27" t="str">
        <f>IF(Compositions!AB48="","",IF(Compositions!$AB$25="mol%",Compositions!AB48,HX32))</f>
        <v/>
      </c>
      <c r="HX32" s="27" t="str">
        <f t="shared" si="20"/>
        <v/>
      </c>
      <c r="HY32" s="27" t="str">
        <f>IF(Compositions!AB48="","",(Compositions!AB48/(VLOOKUP(Compositions!Y48,'HHV-LHV-MW'!$A$3:$F$40,6,FALSE))))</f>
        <v/>
      </c>
      <c r="HZ32" s="25" t="str">
        <f>IF(HW32="","",((VLOOKUP(Compositions!Y48,'HHV-LHV-MW'!$A$3:$F$40,4,FALSE))*(HW32/100)))</f>
        <v/>
      </c>
      <c r="IA32" s="25" t="str">
        <f>IF(HW32="","",((VLOOKUP(Compositions!Y48,'HHV-LHV-MW'!$A$3:$F$40,5,FALSE))*(HW32/100)))</f>
        <v/>
      </c>
      <c r="IB32" s="209" t="str">
        <f>IF(HW32="","",((VLOOKUP(Compositions!Y48,'HHV-LHV-MW'!$A$3:$F$40,6,FALSE))*(HW32/100)))</f>
        <v/>
      </c>
      <c r="IC32" s="25"/>
      <c r="ID32" s="25"/>
      <c r="IE32" s="25"/>
      <c r="IF32" s="180"/>
      <c r="IG32" s="180"/>
      <c r="IH32" s="180"/>
      <c r="II32" s="28" t="str">
        <f>IF(Compositions!AC48="","",IF(Compositions!$AC$25="mol%",Compositions!AC48,IJ32))</f>
        <v/>
      </c>
      <c r="IJ32" s="28" t="str">
        <f t="shared" si="21"/>
        <v/>
      </c>
      <c r="IK32" s="28" t="str">
        <f>IF(Compositions!AC48="","",(Compositions!AC48/(VLOOKUP(Compositions!Y48,'HHV-LHV-MW'!$A$3:$F$40,6,FALSE))))</f>
        <v/>
      </c>
      <c r="IL32" s="26" t="str">
        <f>IF(II32="","",((VLOOKUP(Compositions!Y48,'HHV-LHV-MW'!$A$3:$F$40,4,FALSE))*(II32/100)))</f>
        <v/>
      </c>
      <c r="IM32" s="26" t="str">
        <f>IF(II32="","",((VLOOKUP(Compositions!Y48,'HHV-LHV-MW'!$A$3:$F$40,5,FALSE))*(II32/100)))</f>
        <v/>
      </c>
      <c r="IN32" s="39" t="str">
        <f>IF(II32="","",((VLOOKUP(Compositions!Y48,'HHV-LHV-MW'!$A$3:$F$40,6,FALSE))*(II32/100)))</f>
        <v/>
      </c>
      <c r="IO32" s="13"/>
      <c r="IP32" s="13"/>
      <c r="IQ32" s="13"/>
      <c r="IR32" s="13"/>
      <c r="IS32" s="13"/>
      <c r="IT32" s="13"/>
      <c r="IV32" s="27" t="str">
        <f>IF(Compositions!AF48="","",IF(Compositions!$AF$25="mol%",Compositions!AF48,IW32))</f>
        <v/>
      </c>
      <c r="IW32" s="27" t="str">
        <f t="shared" si="6"/>
        <v/>
      </c>
      <c r="IX32" s="27" t="str">
        <f>IF(Compositions!AF48="","",(Compositions!AF48/(VLOOKUP(Compositions!AE48,'HHV-LHV-MW'!$A$3:$F$40,6,FALSE))))</f>
        <v/>
      </c>
      <c r="IY32" s="25" t="str">
        <f>IF(IV32="","",((VLOOKUP(Compositions!AE48,'HHV-LHV-MW'!$A$3:$F$40,4,FALSE))*(IV32/100)))</f>
        <v/>
      </c>
      <c r="IZ32" s="25" t="str">
        <f>IF(IV32="","",((VLOOKUP(Compositions!AE48,'HHV-LHV-MW'!$A$3:$F$40,5,FALSE))*(IV32/100)))</f>
        <v/>
      </c>
      <c r="JA32" s="209" t="str">
        <f>IF(IV32="","",((VLOOKUP(Compositions!AE48,'HHV-LHV-MW'!$A$3:$F$40,6,FALSE))*(IV32/100)))</f>
        <v/>
      </c>
      <c r="JB32" s="25"/>
      <c r="JC32" s="25"/>
      <c r="JD32" s="25"/>
      <c r="JE32" s="180"/>
      <c r="JF32" s="180"/>
      <c r="JG32" s="180"/>
      <c r="JH32" s="28" t="str">
        <f>IF(Compositions!AG48="","",IF(Compositions!$AG$25="mol%",Compositions!AG48,JI32))</f>
        <v/>
      </c>
      <c r="JI32" s="28" t="str">
        <f t="shared" si="22"/>
        <v/>
      </c>
      <c r="JJ32" s="28" t="str">
        <f>IF(Compositions!AG48="","",(Compositions!AG48/(VLOOKUP(Compositions!AE48,'HHV-LHV-MW'!$A$3:$F$40,6,FALSE))))</f>
        <v/>
      </c>
      <c r="JK32" s="26" t="str">
        <f>IF(JH32="","",((VLOOKUP(Compositions!AE48,'HHV-LHV-MW'!$A$3:$F$40,4,FALSE))*(JH32/100)))</f>
        <v/>
      </c>
      <c r="JL32" s="26" t="str">
        <f>IF(JH32="","",((VLOOKUP(Compositions!AE48,'HHV-LHV-MW'!$A$3:$F$40,5,FALSE))*(JH32/100)))</f>
        <v/>
      </c>
      <c r="JM32" s="39" t="str">
        <f>IF(JH32="","",((VLOOKUP(Compositions!AE48,'HHV-LHV-MW'!$A$3:$F$40,6,FALSE))*(JH32/100)))</f>
        <v/>
      </c>
      <c r="JN32" s="26"/>
      <c r="JO32" s="26"/>
      <c r="JP32" s="26"/>
      <c r="JQ32" s="177"/>
      <c r="JR32" s="177"/>
      <c r="JS32" s="177"/>
      <c r="JT32" s="27" t="str">
        <f>IF(Compositions!AH48="","",IF(Compositions!$AH$25="mol%",Compositions!AH48,JU32))</f>
        <v/>
      </c>
      <c r="JU32" s="27" t="str">
        <f t="shared" si="23"/>
        <v/>
      </c>
      <c r="JV32" s="27" t="str">
        <f>IF(Compositions!AH48="","",(Compositions!AH48/(VLOOKUP(Compositions!AE48,'HHV-LHV-MW'!$A$3:$F$40,6,FALSE))))</f>
        <v/>
      </c>
      <c r="JW32" s="25" t="str">
        <f>IF(JT32="","",((VLOOKUP(Compositions!AE48,'HHV-LHV-MW'!$A$3:$F$40,4,FALSE))*(JT32/100)))</f>
        <v/>
      </c>
      <c r="JX32" s="25" t="str">
        <f>IF(JT32="","",((VLOOKUP(Compositions!AE48,'HHV-LHV-MW'!$A$3:$F$40,5,FALSE))*(JT32/100)))</f>
        <v/>
      </c>
      <c r="JY32" s="209" t="str">
        <f>IF(JT32="","",((VLOOKUP(Compositions!AE48,'HHV-LHV-MW'!$A$3:$F$40,6,FALSE))*(JT32/100)))</f>
        <v/>
      </c>
      <c r="JZ32" s="25"/>
      <c r="KA32" s="25"/>
      <c r="KB32" s="25"/>
      <c r="KC32" s="180"/>
      <c r="KD32" s="180"/>
      <c r="KE32" s="180"/>
      <c r="KF32" s="28" t="str">
        <f>IF(Compositions!AI48="","",IF(Compositions!$AI$25="mol%",Compositions!AI48,KG32))</f>
        <v/>
      </c>
      <c r="KG32" s="28" t="str">
        <f t="shared" si="24"/>
        <v/>
      </c>
      <c r="KH32" s="28" t="str">
        <f>IF(Compositions!AI48="","",(Compositions!AI48/(VLOOKUP(Compositions!AE48,'HHV-LHV-MW'!$A$3:$F$40,6,FALSE))))</f>
        <v/>
      </c>
      <c r="KI32" s="26" t="str">
        <f>IF(KF32="","",((VLOOKUP(Compositions!AE48,'HHV-LHV-MW'!$A$3:$F$40,4,FALSE))*(KF32/100)))</f>
        <v/>
      </c>
      <c r="KJ32" s="26" t="str">
        <f>IF(KF32="","",((VLOOKUP(Compositions!AE48,'HHV-LHV-MW'!$A$3:$F$40,5,FALSE))*(KF32/100)))</f>
        <v/>
      </c>
      <c r="KK32" s="39" t="str">
        <f>IF(KF32="","",((VLOOKUP(Compositions!AE48,'HHV-LHV-MW'!$A$3:$F$40,6,FALSE))*(KF32/100)))</f>
        <v/>
      </c>
      <c r="KL32" s="13"/>
      <c r="KM32" s="13"/>
      <c r="KN32" s="13"/>
    </row>
    <row r="33" spans="1:300" ht="15.6">
      <c r="A33" s="173" t="s">
        <v>214</v>
      </c>
      <c r="B33" s="19" t="s">
        <v>213</v>
      </c>
      <c r="C33" s="20">
        <v>6</v>
      </c>
      <c r="D33" s="20">
        <v>3.9575</v>
      </c>
      <c r="E33" s="20">
        <v>3.6894</v>
      </c>
      <c r="F33" s="20">
        <v>84.161280000000005</v>
      </c>
      <c r="G33" s="20">
        <f t="shared" si="0"/>
        <v>0</v>
      </c>
      <c r="H33" s="20">
        <v>0</v>
      </c>
      <c r="I33" s="170">
        <v>1</v>
      </c>
      <c r="K33" s="27" t="str">
        <f>IF(Compositions!B49="","",IF(Compositions!$B$25="mol%",Compositions!B49,L33))</f>
        <v/>
      </c>
      <c r="L33" s="27" t="str">
        <f t="shared" si="1"/>
        <v/>
      </c>
      <c r="M33" s="27" t="str">
        <f>IF(Compositions!B49="","",(Compositions!B49/(VLOOKUP(Compositions!A49,'HHV-LHV-MW'!$A$3:$F$40,6,FALSE))))</f>
        <v/>
      </c>
      <c r="N33" s="25" t="str">
        <f>IF(K33="","",((VLOOKUP(Compositions!A49,'HHV-LHV-MW'!$A$3:$F$40,4,FALSE))*(K33/100)))</f>
        <v/>
      </c>
      <c r="O33" s="25" t="str">
        <f>IF(K33="","",((VLOOKUP(Compositions!A49,'HHV-LHV-MW'!$A$3:$F$40,5,FALSE))*(K33/100)))</f>
        <v/>
      </c>
      <c r="P33" s="206" t="str">
        <f>IF(K33="","",((VLOOKUP(Compositions!A49,'HHV-LHV-MW'!$A$3:$F$40,6,FALSE))*(K33/100)))</f>
        <v/>
      </c>
      <c r="Q33" s="25"/>
      <c r="R33" s="25"/>
      <c r="S33" s="25"/>
      <c r="T33" s="166"/>
      <c r="U33" s="174"/>
      <c r="V33" s="180"/>
      <c r="W33" s="28" t="str">
        <f>IF(Compositions!C49="","",IF(Compositions!$C$25="mol%",Compositions!C49,X33))</f>
        <v/>
      </c>
      <c r="X33" s="28" t="str">
        <f t="shared" si="2"/>
        <v/>
      </c>
      <c r="Y33" s="28" t="str">
        <f>IF(Compositions!C49="","",(Compositions!C49/(VLOOKUP(Compositions!A49,'HHV-LHV-MW'!$A$3:$F$40,6,FALSE))))</f>
        <v/>
      </c>
      <c r="Z33" s="26" t="str">
        <f>IF(W33="","",((VLOOKUP(Compositions!A49,'HHV-LHV-MW'!$A$3:$F$40,4,FALSE))*(W33/100)))</f>
        <v/>
      </c>
      <c r="AA33" s="26" t="str">
        <f>IF(W33="","",((VLOOKUP(Compositions!A49,'HHV-LHV-MW'!$A$3:$F$40,5,FALSE))*(W33/100)))</f>
        <v/>
      </c>
      <c r="AB33" s="39" t="str">
        <f>IF(W33="","",((VLOOKUP(Compositions!A49,'HHV-LHV-MW'!$A$3:$F$40,6,FALSE))*(W33/100)))</f>
        <v/>
      </c>
      <c r="AC33" s="26"/>
      <c r="AD33" s="26"/>
      <c r="AE33" s="26"/>
      <c r="AF33" s="177"/>
      <c r="AG33" s="177"/>
      <c r="AH33" s="177"/>
      <c r="AI33" s="27" t="str">
        <f>IF(Compositions!D49="","",IF(Compositions!$D$25="mol%",Compositions!D49,AJ33))</f>
        <v/>
      </c>
      <c r="AJ33" s="27" t="str">
        <f t="shared" si="3"/>
        <v/>
      </c>
      <c r="AK33" s="27" t="str">
        <f>IF(Compositions!D49="","",(Compositions!D49/(VLOOKUP(Compositions!A49,'HHV-LHV-MW'!$A$3:$F$40,6,FALSE))))</f>
        <v/>
      </c>
      <c r="AL33" s="25" t="str">
        <f>IF(AI33="","",((VLOOKUP(Compositions!A49,'HHV-LHV-MW'!$A$3:$F$40,4,FALSE))*(AI33/100)))</f>
        <v/>
      </c>
      <c r="AM33" s="25" t="str">
        <f>IF(AI33="","",((VLOOKUP(Compositions!A49,'HHV-LHV-MW'!$A$3:$F$40,5,FALSE))*(AI33/100)))</f>
        <v/>
      </c>
      <c r="AN33" s="209" t="str">
        <f>IF(AI33="","",((VLOOKUP(Compositions!A49,'HHV-LHV-MW'!$A$3:$F$40,6,FALSE))*(AI33/100)))</f>
        <v/>
      </c>
      <c r="AO33" s="25"/>
      <c r="AP33" s="25"/>
      <c r="AQ33" s="25"/>
      <c r="AR33" s="180"/>
      <c r="AS33" s="180"/>
      <c r="AT33" s="180"/>
      <c r="AU33" s="28" t="str">
        <f>IF(Compositions!E49="","",IF(Compositions!$E$25="mol%",Compositions!E49,AV33))</f>
        <v/>
      </c>
      <c r="AV33" s="28" t="str">
        <f t="shared" si="4"/>
        <v/>
      </c>
      <c r="AW33" s="28" t="str">
        <f>IF(Compositions!E49="","",(Compositions!E49/(VLOOKUP(Compositions!A49,'HHV-LHV-MW'!$A$3:$F$40,6,FALSE))))</f>
        <v/>
      </c>
      <c r="AX33" s="26" t="str">
        <f>IF(AU33="","",((VLOOKUP(Compositions!A49,'HHV-LHV-MW'!$A$3:$F$40,4,FALSE))*(AU33/100)))</f>
        <v/>
      </c>
      <c r="AY33" s="26" t="str">
        <f>IF(AU33="","",((VLOOKUP(Compositions!A49,'HHV-LHV-MW'!$A$3:$F$40,5,FALSE))*(AU33/100)))</f>
        <v/>
      </c>
      <c r="AZ33" s="39" t="str">
        <f>IF(AU33="","",((VLOOKUP(Compositions!A49,'HHV-LHV-MW'!$A$3:$F$40,6,FALSE))*(AU33/100)))</f>
        <v/>
      </c>
      <c r="BA33" s="13"/>
      <c r="BB33" s="13"/>
      <c r="BC33" s="13"/>
      <c r="BD33" s="13"/>
      <c r="BE33" s="13"/>
      <c r="BF33" s="13"/>
      <c r="BH33" s="27" t="str">
        <f>IF(Compositions!H49="","",IF(Compositions!$H$25="mol%",Compositions!H49,BI33))</f>
        <v/>
      </c>
      <c r="BI33" s="27" t="str">
        <f t="shared" si="7"/>
        <v/>
      </c>
      <c r="BJ33" s="27" t="str">
        <f>IF(Compositions!H49="","",(Compositions!H49/(VLOOKUP(Compositions!G49,'HHV-LHV-MW'!$A$3:$F$40,6,FALSE))))</f>
        <v/>
      </c>
      <c r="BK33" s="25" t="str">
        <f>IF(BH33="","",((VLOOKUP(Compositions!G49,'HHV-LHV-MW'!$A$3:$F$40,4,FALSE))*(BH33/100)))</f>
        <v/>
      </c>
      <c r="BL33" s="25" t="str">
        <f>IF(BH33="","",((VLOOKUP(Compositions!G49,'HHV-LHV-MW'!$A$3:$F$40,5,FALSE))*(BH33/100)))</f>
        <v/>
      </c>
      <c r="BM33" s="209" t="str">
        <f>IF(BH33="","",((VLOOKUP(Compositions!G49,'HHV-LHV-MW'!$A$3:$F$40,6,FALSE))*(BH33/100)))</f>
        <v/>
      </c>
      <c r="BN33" s="25"/>
      <c r="BO33" s="25"/>
      <c r="BP33" s="25"/>
      <c r="BQ33" s="180"/>
      <c r="BR33" s="180"/>
      <c r="BS33" s="180"/>
      <c r="BT33" s="28" t="str">
        <f>IF(Compositions!I49="","",IF(Compositions!$I$25="mol%",Compositions!I49,BU33))</f>
        <v/>
      </c>
      <c r="BU33" s="28" t="str">
        <f t="shared" si="8"/>
        <v/>
      </c>
      <c r="BV33" s="28" t="str">
        <f>IF(Compositions!I49="","",(Compositions!I49/(VLOOKUP(Compositions!G49,'HHV-LHV-MW'!$A$3:$F$40,6,FALSE))))</f>
        <v/>
      </c>
      <c r="BW33" s="26" t="str">
        <f>IF(BT33="","",((VLOOKUP(Compositions!G49,'HHV-LHV-MW'!$A$3:$F$40,4,FALSE))*(BT33/100)))</f>
        <v/>
      </c>
      <c r="BX33" s="26" t="str">
        <f>IF(BT33="","",((VLOOKUP(Compositions!G49,'HHV-LHV-MW'!$A$3:$F$40,5,FALSE))*(BT33/100)))</f>
        <v/>
      </c>
      <c r="BY33" s="207" t="str">
        <f>IF(BT33="","",((VLOOKUP(Compositions!G49,'HHV-LHV-MW'!$A$3:$F$40,6,FALSE))*(BT33/100)))</f>
        <v/>
      </c>
      <c r="BZ33" s="26"/>
      <c r="CA33" s="26"/>
      <c r="CB33" s="26"/>
      <c r="CC33" s="177"/>
      <c r="CD33" s="177"/>
      <c r="CE33" s="177"/>
      <c r="CF33" s="27" t="str">
        <f>IF(Compositions!J49="","",IF(Compositions!$J$25="mol%",Compositions!J49,CG33))</f>
        <v/>
      </c>
      <c r="CG33" s="27" t="str">
        <f t="shared" si="9"/>
        <v/>
      </c>
      <c r="CH33" s="27" t="str">
        <f>IF(Compositions!J49="","",(Compositions!J49/(VLOOKUP(Compositions!G49,'HHV-LHV-MW'!$A$3:$F$40,6,FALSE))))</f>
        <v/>
      </c>
      <c r="CI33" s="25" t="str">
        <f>IF(CF33="","",((VLOOKUP(Compositions!G49,'HHV-LHV-MW'!$A$3:$F$40,4,FALSE))*(CF33/100)))</f>
        <v/>
      </c>
      <c r="CJ33" s="25" t="str">
        <f>IF(CF33="","",((VLOOKUP(Compositions!G49,'HHV-LHV-MW'!$A$3:$F$40,5,FALSE))*(CF33/100)))</f>
        <v/>
      </c>
      <c r="CK33" s="209" t="str">
        <f>IF(CF33="","",((VLOOKUP(Compositions!G49,'HHV-LHV-MW'!$A$3:$F$40,6,FALSE))*(CF33/100)))</f>
        <v/>
      </c>
      <c r="CL33" s="25"/>
      <c r="CM33" s="25"/>
      <c r="CN33" s="25"/>
      <c r="CO33" s="180"/>
      <c r="CP33" s="180"/>
      <c r="CQ33" s="180"/>
      <c r="CR33" s="28" t="str">
        <f>IF(Compositions!K49="","",IF(Compositions!$K$25="mol%",Compositions!K49,CS33))</f>
        <v/>
      </c>
      <c r="CS33" s="28" t="str">
        <f t="shared" si="10"/>
        <v/>
      </c>
      <c r="CT33" s="28" t="str">
        <f>IF(Compositions!K49="","",(Compositions!K49/(VLOOKUP(Compositions!G49,'HHV-LHV-MW'!$A$3:$F$40,6,FALSE))))</f>
        <v/>
      </c>
      <c r="CU33" s="26" t="str">
        <f>IF(CR33="","",((VLOOKUP(Compositions!G49,'HHV-LHV-MW'!$A$3:$F$40,4,FALSE))*(CR33/100)))</f>
        <v/>
      </c>
      <c r="CV33" s="26" t="str">
        <f>IF(CR33="","",((VLOOKUP(Compositions!G49,'HHV-LHV-MW'!$A$3:$F$40,5,FALSE))*(CR33/100)))</f>
        <v/>
      </c>
      <c r="CW33" s="207" t="str">
        <f>IF(CR33="","",((VLOOKUP(Compositions!G49,'HHV-LHV-MW'!$A$3:$F$40,6,FALSE))*(CR33/100)))</f>
        <v/>
      </c>
      <c r="CX33" s="13"/>
      <c r="CY33" s="13"/>
      <c r="CZ33" s="13"/>
      <c r="DA33" s="13"/>
      <c r="DB33" s="13"/>
      <c r="DC33" s="13"/>
      <c r="DE33" s="27" t="str">
        <f>IF(Compositions!N49="","",IF(Compositions!$N$25="mol%",Compositions!N49,DF33))</f>
        <v/>
      </c>
      <c r="DF33" s="27" t="str">
        <f>IF(DG33="","",((DG33/$DG$34)*100))</f>
        <v/>
      </c>
      <c r="DG33" s="27" t="str">
        <f>IF(Compositions!N49="","",(Compositions!N49/(VLOOKUP(Compositions!M49,'HHV-LHV-MW'!$A$3:$F$40,6,FALSE))))</f>
        <v/>
      </c>
      <c r="DH33" s="25" t="str">
        <f>IF(DE33="","",((VLOOKUP(Compositions!M49,'HHV-LHV-MW'!$A$3:$F$40,4,FALSE))*(DE33/100)))</f>
        <v/>
      </c>
      <c r="DI33" s="25" t="str">
        <f>IF(DE33="","",((VLOOKUP(Compositions!M49,'HHV-LHV-MW'!$A$3:$F$40,5,FALSE))*(DE33/100)))</f>
        <v/>
      </c>
      <c r="DJ33" s="209" t="str">
        <f>IF(DE33="","",((VLOOKUP(Compositions!M49,'HHV-LHV-MW'!$A$3:$F$40,6,FALSE))*(DE33/100)))</f>
        <v/>
      </c>
      <c r="DK33" s="25"/>
      <c r="DL33" s="25"/>
      <c r="DM33" s="25"/>
      <c r="DN33" s="180"/>
      <c r="DO33" s="180"/>
      <c r="DP33" s="180"/>
      <c r="DQ33" s="28" t="str">
        <f>IF(Compositions!O49="","",IF(Compositions!$O$25="mol%",Compositions!O49,DR33))</f>
        <v/>
      </c>
      <c r="DR33" s="28" t="str">
        <f t="shared" si="11"/>
        <v/>
      </c>
      <c r="DS33" s="28" t="str">
        <f>IF(Compositions!O49="","",(Compositions!O49/(VLOOKUP(Compositions!M49,'HHV-LHV-MW'!$A$3:$F$40,6,FALSE))))</f>
        <v/>
      </c>
      <c r="DT33" s="26" t="str">
        <f>IF(DQ33="","",((VLOOKUP(Compositions!M49,'HHV-LHV-MW'!$A$3:$F$40,4,FALSE))*(DQ33/100)))</f>
        <v/>
      </c>
      <c r="DU33" s="26" t="str">
        <f>IF(DQ33="","",((VLOOKUP(Compositions!M49,'HHV-LHV-MW'!$A$3:$F$40,5,FALSE))*(DQ33/100)))</f>
        <v/>
      </c>
      <c r="DV33" s="39" t="str">
        <f>IF(DQ33="","",((VLOOKUP(Compositions!M49,'HHV-LHV-MW'!$A$3:$F$40,6,FALSE))*(DQ33/100)))</f>
        <v/>
      </c>
      <c r="DW33" s="26"/>
      <c r="DX33" s="26"/>
      <c r="DY33" s="26"/>
      <c r="DZ33" s="177"/>
      <c r="EA33" s="177"/>
      <c r="EB33" s="177"/>
      <c r="EC33" s="27" t="str">
        <f>IF(Compositions!P49="","",IF(Compositions!$P$25="mol%",Compositions!P49,ED33))</f>
        <v/>
      </c>
      <c r="ED33" s="27" t="str">
        <f t="shared" si="12"/>
        <v/>
      </c>
      <c r="EE33" s="27" t="str">
        <f>IF(Compositions!P49="","",(Compositions!P49/(VLOOKUP(Compositions!M49,'HHV-LHV-MW'!$A$3:$F$40,6,FALSE))))</f>
        <v/>
      </c>
      <c r="EF33" s="25" t="str">
        <f>IF(EC33="","",((VLOOKUP(Compositions!M49,'HHV-LHV-MW'!$A$3:$F$40,4,FALSE))*(EC33/100)))</f>
        <v/>
      </c>
      <c r="EG33" s="25" t="str">
        <f>IF(EC33="","",((VLOOKUP(Compositions!M49,'HHV-LHV-MW'!$A$3:$F$40,5,FALSE))*(EC33/100)))</f>
        <v/>
      </c>
      <c r="EH33" s="209" t="str">
        <f>IF(EC33="","",((VLOOKUP(Compositions!M49,'HHV-LHV-MW'!$A$3:$F$40,6,FALSE))*(EC33/100)))</f>
        <v/>
      </c>
      <c r="EI33" s="25"/>
      <c r="EJ33" s="25"/>
      <c r="EK33" s="25"/>
      <c r="EL33" s="180"/>
      <c r="EM33" s="180"/>
      <c r="EN33" s="180"/>
      <c r="EO33" s="28" t="str">
        <f>IF(Compositions!Q49="","",IF(Compositions!$Q$25="mol%",Compositions!Q49,EP33))</f>
        <v/>
      </c>
      <c r="EP33" s="28" t="str">
        <f t="shared" si="13"/>
        <v/>
      </c>
      <c r="EQ33" s="28" t="str">
        <f>IF(Compositions!Q49="","",(Compositions!Q49/(VLOOKUP(Compositions!M49,'HHV-LHV-MW'!$A$3:$F$40,6,FALSE))))</f>
        <v/>
      </c>
      <c r="ER33" s="26" t="str">
        <f>IF(EO33="","",((VLOOKUP(Compositions!M49,'HHV-LHV-MW'!$A$3:$F$40,4,FALSE))*(EO33/100)))</f>
        <v/>
      </c>
      <c r="ES33" s="26" t="str">
        <f>IF(EO33="","",((VLOOKUP(Compositions!M49,'HHV-LHV-MW'!$A$3:$F$40,5,FALSE))*(EO33/100)))</f>
        <v/>
      </c>
      <c r="ET33" s="39" t="str">
        <f>IF(EO33="","",((VLOOKUP(Compositions!M49,'HHV-LHV-MW'!$A$3:$F$40,6,FALSE))*(EO33/100)))</f>
        <v/>
      </c>
      <c r="EU33" s="13"/>
      <c r="EV33" s="13"/>
      <c r="EW33" s="13"/>
      <c r="EX33" s="13"/>
      <c r="EY33" s="13"/>
      <c r="EZ33" s="13"/>
      <c r="FB33" s="27" t="str">
        <f>IF(Compositions!T49="","",IF(Compositions!$T$25="mol%",Compositions!T49,FC33))</f>
        <v/>
      </c>
      <c r="FC33" s="27" t="str">
        <f t="shared" si="14"/>
        <v/>
      </c>
      <c r="FD33" s="27" t="str">
        <f>IF(Compositions!T49="","",(Compositions!T49/(VLOOKUP(Compositions!S49,'HHV-LHV-MW'!$A$3:$F$40,6,FALSE))))</f>
        <v/>
      </c>
      <c r="FE33" s="25" t="str">
        <f>IF(FB33="","",((VLOOKUP(Compositions!S49,'HHV-LHV-MW'!$A$3:$F$40,4,FALSE))*(FB33/100)))</f>
        <v/>
      </c>
      <c r="FF33" s="25" t="str">
        <f>IF(FB33="","",((VLOOKUP(Compositions!S49,'HHV-LHV-MW'!$A$3:$F$40,5,FALSE))*(FB33/100)))</f>
        <v/>
      </c>
      <c r="FG33" s="209" t="str">
        <f>IF(FB33="","",((VLOOKUP(Compositions!S49,'HHV-LHV-MW'!$A$3:$F$40,6,FALSE))*(FB33/100)))</f>
        <v/>
      </c>
      <c r="FH33" s="25"/>
      <c r="FI33" s="25"/>
      <c r="FJ33" s="25"/>
      <c r="FK33" s="180"/>
      <c r="FL33" s="180"/>
      <c r="FM33" s="180"/>
      <c r="FN33" s="28" t="str">
        <f>IF(Compositions!U49="","",IF(Compositions!$U$25="mol%",Compositions!U49,FO33))</f>
        <v/>
      </c>
      <c r="FO33" s="28" t="str">
        <f t="shared" si="15"/>
        <v/>
      </c>
      <c r="FP33" s="28" t="str">
        <f>IF(Compositions!U49="","",(Compositions!U49/(VLOOKUP(Compositions!S49,'HHV-LHV-MW'!$A$3:$F$40,6,FALSE))))</f>
        <v/>
      </c>
      <c r="FQ33" s="26" t="str">
        <f>IF(FN33="","",((VLOOKUP(Compositions!S49,'HHV-LHV-MW'!$A$3:$F$40,4,FALSE))*(FN33/100)))</f>
        <v/>
      </c>
      <c r="FR33" s="26" t="str">
        <f>IF(FN33="","",((VLOOKUP(Compositions!S49,'HHV-LHV-MW'!$A$3:$F$40,5,FALSE))*(FN33/100)))</f>
        <v/>
      </c>
      <c r="FS33" s="39" t="str">
        <f>IF(FN33="","",((VLOOKUP(Compositions!S49,'HHV-LHV-MW'!$A$3:$F$40,6,FALSE))*(FN33/100)))</f>
        <v/>
      </c>
      <c r="FT33" s="26"/>
      <c r="FU33" s="26"/>
      <c r="FV33" s="26"/>
      <c r="FW33" s="177"/>
      <c r="FX33" s="177"/>
      <c r="FY33" s="177"/>
      <c r="FZ33" s="27" t="str">
        <f>IF(Compositions!V49="","",IF(Compositions!$V$25="mol%",Compositions!V49,GA33))</f>
        <v/>
      </c>
      <c r="GA33" s="27" t="str">
        <f t="shared" si="16"/>
        <v/>
      </c>
      <c r="GB33" s="27" t="str">
        <f>IF(Compositions!V49="","",(Compositions!V49/(VLOOKUP(Compositions!S49,'HHV-LHV-MW'!$A$3:$F$40,6,FALSE))))</f>
        <v/>
      </c>
      <c r="GC33" s="25" t="str">
        <f>IF(FZ33="","",((VLOOKUP(Compositions!S49,'HHV-LHV-MW'!$A$3:$F$40,4,FALSE))*(FZ33/100)))</f>
        <v/>
      </c>
      <c r="GD33" s="25" t="str">
        <f>IF(FZ33="","",((VLOOKUP(Compositions!S49,'HHV-LHV-MW'!$A$3:$F$40,5,FALSE))*(FZ33/100)))</f>
        <v/>
      </c>
      <c r="GE33" s="209" t="str">
        <f>IF(FZ33="","",((VLOOKUP(Compositions!S49,'HHV-LHV-MW'!$A$3:$F$40,6,FALSE))*(FZ33/100)))</f>
        <v/>
      </c>
      <c r="GF33" s="25"/>
      <c r="GG33" s="25"/>
      <c r="GH33" s="25"/>
      <c r="GI33" s="180"/>
      <c r="GJ33" s="180"/>
      <c r="GK33" s="180"/>
      <c r="GL33" s="28" t="str">
        <f>IF(Compositions!W49="","",IF(Compositions!$W$25="mol%",Compositions!W49,GM33))</f>
        <v/>
      </c>
      <c r="GM33" s="28" t="str">
        <f t="shared" si="17"/>
        <v/>
      </c>
      <c r="GN33" s="28" t="str">
        <f>IF(Compositions!W49="","",(Compositions!W49/(VLOOKUP(Compositions!S49,'HHV-LHV-MW'!$A$3:$F$40,6,FALSE))))</f>
        <v/>
      </c>
      <c r="GO33" s="26" t="str">
        <f>IF(GL33="","",((VLOOKUP(Compositions!S49,'HHV-LHV-MW'!$A$3:$F$40,4,FALSE))*(GL33/100)))</f>
        <v/>
      </c>
      <c r="GP33" s="26" t="str">
        <f>IF(GL33="","",((VLOOKUP(Compositions!S49,'HHV-LHV-MW'!$A$3:$F$40,5,FALSE))*(GL33/100)))</f>
        <v/>
      </c>
      <c r="GQ33" s="39" t="str">
        <f>IF(GL33="","",((VLOOKUP(Compositions!S49,'HHV-LHV-MW'!$A$3:$F$40,6,FALSE))*(GL33/100)))</f>
        <v/>
      </c>
      <c r="GR33" s="13"/>
      <c r="GS33" s="13"/>
      <c r="GT33" s="13"/>
      <c r="GU33" s="13"/>
      <c r="GV33" s="13"/>
      <c r="GW33" s="13"/>
      <c r="GY33" s="27" t="str">
        <f>IF(Compositions!Z49="","",IF(Compositions!$Z$25="mol%",Compositions!Z49,GZ33))</f>
        <v/>
      </c>
      <c r="GZ33" s="27" t="str">
        <f t="shared" si="18"/>
        <v/>
      </c>
      <c r="HA33" s="27" t="str">
        <f>IF(Compositions!Z49="","",(Compositions!Z49/(VLOOKUP(Compositions!Y49,'HHV-LHV-MW'!$A$3:$F$40,6,FALSE))))</f>
        <v/>
      </c>
      <c r="HB33" s="25" t="str">
        <f>IF(GY33="","",((VLOOKUP(Compositions!Y49,'HHV-LHV-MW'!$A$3:$F$40,4,FALSE))*(GY33/100)))</f>
        <v/>
      </c>
      <c r="HC33" s="25" t="str">
        <f>IF(GY33="","",((VLOOKUP(Compositions!Y49,'HHV-LHV-MW'!$A$3:$F$40,5,FALSE))*(GY33/100)))</f>
        <v/>
      </c>
      <c r="HD33" s="209" t="str">
        <f>IF(GY33="","",((VLOOKUP(Compositions!Y49,'HHV-LHV-MW'!$A$3:$F$40,6,FALSE))*(GY33/100)))</f>
        <v/>
      </c>
      <c r="HE33" s="25"/>
      <c r="HF33" s="25"/>
      <c r="HG33" s="25"/>
      <c r="HH33" s="180"/>
      <c r="HI33" s="180"/>
      <c r="HJ33" s="180"/>
      <c r="HK33" s="28" t="str">
        <f>IF(Compositions!AA49="","",IF(Compositions!$AA$25="mol%",Compositions!AA49,HL33))</f>
        <v/>
      </c>
      <c r="HL33" s="28" t="str">
        <f t="shared" si="19"/>
        <v/>
      </c>
      <c r="HM33" s="28" t="str">
        <f>IF(Compositions!AA49="","",(Compositions!AA49/(VLOOKUP(Compositions!Y49,'HHV-LHV-MW'!$A$3:$F$40,6,FALSE))))</f>
        <v/>
      </c>
      <c r="HN33" s="26" t="str">
        <f>IF(HK33="","",((VLOOKUP(Compositions!Y49,'HHV-LHV-MW'!$A$3:$F$40,4,FALSE))*(HK33/100)))</f>
        <v/>
      </c>
      <c r="HO33" s="26" t="str">
        <f>IF(HK33="","",((VLOOKUP(Compositions!Y49,'HHV-LHV-MW'!$A$3:$F$40,5,FALSE))*(HK33/100)))</f>
        <v/>
      </c>
      <c r="HP33" s="39" t="str">
        <f>IF(HK33="","",((VLOOKUP(Compositions!Y49,'HHV-LHV-MW'!$A$3:$F$40,6,FALSE))*(HK33/100)))</f>
        <v/>
      </c>
      <c r="HQ33" s="26"/>
      <c r="HR33" s="26"/>
      <c r="HS33" s="26"/>
      <c r="HT33" s="177"/>
      <c r="HU33" s="177"/>
      <c r="HV33" s="177"/>
      <c r="HW33" s="27" t="str">
        <f>IF(Compositions!AB49="","",IF(Compositions!$AB$25="mol%",Compositions!AB49,HX33))</f>
        <v/>
      </c>
      <c r="HX33" s="27" t="str">
        <f t="shared" si="20"/>
        <v/>
      </c>
      <c r="HY33" s="27" t="str">
        <f>IF(Compositions!AB49="","",(Compositions!AB49/(VLOOKUP(Compositions!Y49,'HHV-LHV-MW'!$A$3:$F$40,6,FALSE))))</f>
        <v/>
      </c>
      <c r="HZ33" s="25" t="str">
        <f>IF(HW33="","",((VLOOKUP(Compositions!Y49,'HHV-LHV-MW'!$A$3:$F$40,4,FALSE))*(HW33/100)))</f>
        <v/>
      </c>
      <c r="IA33" s="25" t="str">
        <f>IF(HW33="","",((VLOOKUP(Compositions!Y49,'HHV-LHV-MW'!$A$3:$F$40,5,FALSE))*(HW33/100)))</f>
        <v/>
      </c>
      <c r="IB33" s="209" t="str">
        <f>IF(HW33="","",((VLOOKUP(Compositions!Y49,'HHV-LHV-MW'!$A$3:$F$40,6,FALSE))*(HW33/100)))</f>
        <v/>
      </c>
      <c r="IC33" s="25"/>
      <c r="ID33" s="25"/>
      <c r="IE33" s="25"/>
      <c r="IF33" s="180"/>
      <c r="IG33" s="180"/>
      <c r="IH33" s="180"/>
      <c r="II33" s="28" t="str">
        <f>IF(Compositions!AC49="","",IF(Compositions!$AC$25="mol%",Compositions!AC49,IJ33))</f>
        <v/>
      </c>
      <c r="IJ33" s="28" t="str">
        <f t="shared" si="21"/>
        <v/>
      </c>
      <c r="IK33" s="28" t="str">
        <f>IF(Compositions!AC49="","",(Compositions!AC49/(VLOOKUP(Compositions!Y49,'HHV-LHV-MW'!$A$3:$F$40,6,FALSE))))</f>
        <v/>
      </c>
      <c r="IL33" s="26" t="str">
        <f>IF(II33="","",((VLOOKUP(Compositions!Y49,'HHV-LHV-MW'!$A$3:$F$40,4,FALSE))*(II33/100)))</f>
        <v/>
      </c>
      <c r="IM33" s="26" t="str">
        <f>IF(II33="","",((VLOOKUP(Compositions!Y49,'HHV-LHV-MW'!$A$3:$F$40,5,FALSE))*(II33/100)))</f>
        <v/>
      </c>
      <c r="IN33" s="39" t="str">
        <f>IF(II33="","",((VLOOKUP(Compositions!Y49,'HHV-LHV-MW'!$A$3:$F$40,6,FALSE))*(II33/100)))</f>
        <v/>
      </c>
      <c r="IO33" s="13"/>
      <c r="IP33" s="13"/>
      <c r="IQ33" s="13"/>
      <c r="IR33" s="13"/>
      <c r="IS33" s="13"/>
      <c r="IT33" s="13"/>
      <c r="IV33" s="27" t="str">
        <f>IF(Compositions!AF49="","",IF(Compositions!$AF$25="mol%",Compositions!AF49,IW33))</f>
        <v/>
      </c>
      <c r="IW33" s="27" t="str">
        <f>IF(IX33="","",((IX33/$IX$34)*100))</f>
        <v/>
      </c>
      <c r="IX33" s="27" t="str">
        <f>IF(Compositions!AF49="","",(Compositions!AF49/(VLOOKUP(Compositions!AE49,'HHV-LHV-MW'!$A$3:$F$40,6,FALSE))))</f>
        <v/>
      </c>
      <c r="IY33" s="25" t="str">
        <f>IF(IV33="","",((VLOOKUP(Compositions!AE49,'HHV-LHV-MW'!$A$3:$F$40,4,FALSE))*(IV33/100)))</f>
        <v/>
      </c>
      <c r="IZ33" s="25" t="str">
        <f>IF(IV33="","",((VLOOKUP(Compositions!AE49,'HHV-LHV-MW'!$A$3:$F$40,5,FALSE))*(IV33/100)))</f>
        <v/>
      </c>
      <c r="JA33" s="209" t="str">
        <f>IF(IV33="","",((VLOOKUP(Compositions!AE49,'HHV-LHV-MW'!$A$3:$F$40,6,FALSE))*(IV33/100)))</f>
        <v/>
      </c>
      <c r="JB33" s="25"/>
      <c r="JC33" s="25"/>
      <c r="JD33" s="25"/>
      <c r="JE33" s="180"/>
      <c r="JF33" s="180"/>
      <c r="JG33" s="180"/>
      <c r="JH33" s="28" t="str">
        <f>IF(Compositions!AG49="","",IF(Compositions!$AG$25="mol%",Compositions!AG49,JI33))</f>
        <v/>
      </c>
      <c r="JI33" s="28" t="str">
        <f t="shared" si="22"/>
        <v/>
      </c>
      <c r="JJ33" s="28" t="str">
        <f>IF(Compositions!AG49="","",(Compositions!AG49/(VLOOKUP(Compositions!AE49,'HHV-LHV-MW'!$A$3:$F$40,6,FALSE))))</f>
        <v/>
      </c>
      <c r="JK33" s="26" t="str">
        <f>IF(JH33="","",((VLOOKUP(Compositions!AE49,'HHV-LHV-MW'!$A$3:$F$40,4,FALSE))*(JH33/100)))</f>
        <v/>
      </c>
      <c r="JL33" s="26" t="str">
        <f>IF(JH33="","",((VLOOKUP(Compositions!AE49,'HHV-LHV-MW'!$A$3:$F$40,5,FALSE))*(JH33/100)))</f>
        <v/>
      </c>
      <c r="JM33" s="39" t="str">
        <f>IF(JH33="","",((VLOOKUP(Compositions!AE49,'HHV-LHV-MW'!$A$3:$F$40,6,FALSE))*(JH33/100)))</f>
        <v/>
      </c>
      <c r="JN33" s="26"/>
      <c r="JO33" s="26"/>
      <c r="JP33" s="26"/>
      <c r="JQ33" s="177"/>
      <c r="JR33" s="177"/>
      <c r="JS33" s="177"/>
      <c r="JT33" s="27" t="str">
        <f>IF(Compositions!AH49="","",IF(Compositions!$AH$25="mol%",Compositions!AH49,JU33))</f>
        <v/>
      </c>
      <c r="JU33" s="27" t="str">
        <f t="shared" si="23"/>
        <v/>
      </c>
      <c r="JV33" s="27" t="str">
        <f>IF(Compositions!AH49="","",(Compositions!AH49/(VLOOKUP(Compositions!AE49,'HHV-LHV-MW'!$A$3:$F$40,6,FALSE))))</f>
        <v/>
      </c>
      <c r="JW33" s="25" t="str">
        <f>IF(JT33="","",((VLOOKUP(Compositions!AE49,'HHV-LHV-MW'!$A$3:$F$40,4,FALSE))*(JT33/100)))</f>
        <v/>
      </c>
      <c r="JX33" s="25" t="str">
        <f>IF(JT33="","",((VLOOKUP(Compositions!AE49,'HHV-LHV-MW'!$A$3:$F$40,5,FALSE))*(JT33/100)))</f>
        <v/>
      </c>
      <c r="JY33" s="209" t="str">
        <f>IF(JT33="","",((VLOOKUP(Compositions!AE49,'HHV-LHV-MW'!$A$3:$F$40,6,FALSE))*(JT33/100)))</f>
        <v/>
      </c>
      <c r="JZ33" s="25"/>
      <c r="KA33" s="25"/>
      <c r="KB33" s="25"/>
      <c r="KC33" s="180"/>
      <c r="KD33" s="180"/>
      <c r="KE33" s="180"/>
      <c r="KF33" s="28" t="str">
        <f>IF(Compositions!AI49="","",IF(Compositions!$AI$25="mol%",Compositions!AI49,KG33))</f>
        <v/>
      </c>
      <c r="KG33" s="28" t="str">
        <f t="shared" si="24"/>
        <v/>
      </c>
      <c r="KH33" s="28" t="str">
        <f>IF(Compositions!AI49="","",(Compositions!AI49/(VLOOKUP(Compositions!AE49,'HHV-LHV-MW'!$A$3:$F$40,6,FALSE))))</f>
        <v/>
      </c>
      <c r="KI33" s="26" t="str">
        <f>IF(KF33="","",((VLOOKUP(Compositions!AE49,'HHV-LHV-MW'!$A$3:$F$40,4,FALSE))*(KF33/100)))</f>
        <v/>
      </c>
      <c r="KJ33" s="26" t="str">
        <f>IF(KF33="","",((VLOOKUP(Compositions!AE49,'HHV-LHV-MW'!$A$3:$F$40,5,FALSE))*(KF33/100)))</f>
        <v/>
      </c>
      <c r="KK33" s="39" t="str">
        <f>IF(KF33="","",((VLOOKUP(Compositions!AE49,'HHV-LHV-MW'!$A$3:$F$40,6,FALSE))*(KF33/100)))</f>
        <v/>
      </c>
      <c r="KL33" s="13"/>
      <c r="KM33" s="13"/>
      <c r="KN33" s="13"/>
    </row>
    <row r="34" spans="1:300" ht="15.6">
      <c r="A34" s="173" t="s">
        <v>216</v>
      </c>
      <c r="B34" s="19" t="s">
        <v>215</v>
      </c>
      <c r="C34" s="20">
        <v>2</v>
      </c>
      <c r="D34" s="20">
        <v>1.3028999999999999</v>
      </c>
      <c r="E34" s="20">
        <v>1.2568999999999999</v>
      </c>
      <c r="F34" s="20">
        <v>26.037880000000001</v>
      </c>
      <c r="G34" s="20">
        <f t="shared" si="0"/>
        <v>0</v>
      </c>
      <c r="H34" s="20">
        <v>0</v>
      </c>
      <c r="I34" s="170">
        <v>1</v>
      </c>
      <c r="K34" s="29">
        <f>SUMIF(K11:K33,"&lt;&gt;#N/A")</f>
        <v>0</v>
      </c>
      <c r="L34" s="29">
        <f>SUMIF(L11:L33,"&lt;&gt;#N/A")</f>
        <v>0</v>
      </c>
      <c r="M34" s="29">
        <f>SUMIF(M11:M33,"&lt;&gt;#N/A")</f>
        <v>0</v>
      </c>
      <c r="N34" s="30" t="str">
        <f>IF(N11="","",SUMIF(N11:N33,"&lt;&gt;#N/A")/$M$3)</f>
        <v/>
      </c>
      <c r="O34" s="30" t="str">
        <f>IF(O11="","",SUMIF(O11:O33,"&lt;&gt;#N/A")/$M$3)</f>
        <v/>
      </c>
      <c r="P34" s="30" t="str">
        <f>IF(P11="","",SUMIF(P11:P33,"&lt;&gt;#N/A"))</f>
        <v/>
      </c>
      <c r="Q34" s="30"/>
      <c r="R34" s="30"/>
      <c r="S34" s="30"/>
      <c r="T34" s="30"/>
      <c r="U34" s="30"/>
      <c r="V34" s="30"/>
      <c r="W34" s="31">
        <f>SUMIF(W11:W33,"&lt;&gt;#N/A")</f>
        <v>0</v>
      </c>
      <c r="X34" s="31">
        <f>SUMIF(X11:X33,"&lt;&gt;#N/A")</f>
        <v>0</v>
      </c>
      <c r="Y34" s="31">
        <f>SUMIF(Y11:Y33,"&lt;&gt;#N/A")</f>
        <v>0</v>
      </c>
      <c r="Z34" s="32" t="str">
        <f>IF(Z11="","",SUMIF(Z11:Z33,"&lt;&gt;#N/A")/$M$3)</f>
        <v/>
      </c>
      <c r="AA34" s="32" t="str">
        <f>IF(AA11="","",SUMIF(AA11:AA33,"&lt;&gt;#N/A")/$M$3)</f>
        <v/>
      </c>
      <c r="AB34" s="210" t="str">
        <f>IF(AB11="","",SUMIF(AB11:AB33,"&lt;&gt;#N/A"))</f>
        <v/>
      </c>
      <c r="AC34" s="32"/>
      <c r="AD34" s="32"/>
      <c r="AE34" s="32"/>
      <c r="AF34" s="32"/>
      <c r="AG34" s="32"/>
      <c r="AH34" s="32"/>
      <c r="AI34" s="29">
        <f>SUMIF(AI11:AI33,"&lt;&gt;#N/A")</f>
        <v>0</v>
      </c>
      <c r="AJ34" s="29">
        <f>SUMIF(AJ11:AJ33,"&lt;&gt;#N/A")</f>
        <v>0</v>
      </c>
      <c r="AK34" s="29">
        <f>SUMIF(AK11:AK33,"&lt;&gt;#N/A")</f>
        <v>0</v>
      </c>
      <c r="AL34" s="30" t="str">
        <f>IF(AL11="","",SUMIF(AL11:AL33,"&lt;&gt;#N/A")/$M$3)</f>
        <v/>
      </c>
      <c r="AM34" s="30" t="str">
        <f>IF(AM11="","",SUMIF(AM11:AM33,"&lt;&gt;#N/A")/$M$3)</f>
        <v/>
      </c>
      <c r="AN34" s="30" t="str">
        <f>IF(AN11="","",SUMIF(AN11:AN33,"&lt;&gt;#N/A"))</f>
        <v/>
      </c>
      <c r="AO34" s="30"/>
      <c r="AP34" s="30"/>
      <c r="AQ34" s="30"/>
      <c r="AR34" s="30"/>
      <c r="AS34" s="30"/>
      <c r="AT34" s="30"/>
      <c r="AU34" s="31">
        <f>SUMIF(AU11:AU33,"&lt;&gt;#N/A")</f>
        <v>0</v>
      </c>
      <c r="AV34" s="31">
        <f>SUMIF(AV11:AV33,"&lt;&gt;#N/A")</f>
        <v>0</v>
      </c>
      <c r="AW34" s="31">
        <f>SUMIF(AW11:AW33,"&lt;&gt;#N/A")</f>
        <v>0</v>
      </c>
      <c r="AX34" s="32" t="str">
        <f>IF(AX11="","",SUMIF(AX11:AX33,"&lt;&gt;#N/A")/$M$3)</f>
        <v/>
      </c>
      <c r="AY34" s="32" t="str">
        <f>IF(AY11="","",SUMIF(AY11:AY33,"&lt;&gt;#N/A")/$M$3)</f>
        <v/>
      </c>
      <c r="AZ34" s="32" t="str">
        <f>IF(AZ11="","",SUMIF(AZ11:AZ33,"&lt;&gt;#N/A"))</f>
        <v/>
      </c>
      <c r="BA34" s="33"/>
      <c r="BB34" s="33"/>
      <c r="BC34" s="33"/>
      <c r="BD34" s="33"/>
      <c r="BE34" s="33"/>
      <c r="BF34" s="33"/>
      <c r="BH34" s="29">
        <f>SUMIF(BH11:BH33,"&lt;&gt;#N/A")</f>
        <v>0</v>
      </c>
      <c r="BI34" s="29">
        <f>SUMIF(BI11:BI33,"&lt;&gt;#N/A")</f>
        <v>0</v>
      </c>
      <c r="BJ34" s="29">
        <f>SUMIF(BJ11:BJ33,"&lt;&gt;#N/A")</f>
        <v>0</v>
      </c>
      <c r="BK34" s="30" t="str">
        <f>IF(BK11="","",SUMIF(BK11:BK33,"&lt;&gt;#N/A")/$M$3)</f>
        <v/>
      </c>
      <c r="BL34" s="30" t="str">
        <f>IF(BL11="","",SUMIF(BL11:BL33,"&lt;&gt;#N/A")/$M$3)</f>
        <v/>
      </c>
      <c r="BM34" s="30" t="str">
        <f>IF(BM11="","",SUMIF(BM11:BM33,"&lt;&gt;#N/A"))</f>
        <v/>
      </c>
      <c r="BN34" s="30"/>
      <c r="BO34" s="30"/>
      <c r="BP34" s="30"/>
      <c r="BQ34" s="30"/>
      <c r="BR34" s="30"/>
      <c r="BS34" s="30"/>
      <c r="BT34" s="31">
        <f>SUMIF(BT11:BT33,"&lt;&gt;#N/A")</f>
        <v>0</v>
      </c>
      <c r="BU34" s="31">
        <f>SUMIF(BU11:BU33,"&lt;&gt;#N/A")</f>
        <v>0</v>
      </c>
      <c r="BV34" s="31">
        <f>SUMIF(BV11:BV33,"&lt;&gt;#N/A")</f>
        <v>0</v>
      </c>
      <c r="BW34" s="32" t="str">
        <f>IF(BW11="","",SUMIF(BW11:BW33,"&lt;&gt;#N/A")/$M$3)</f>
        <v/>
      </c>
      <c r="BX34" s="32" t="str">
        <f>IF(BX11="","",SUMIF(BX11:BX33,"&lt;&gt;#N/A")/$M$3)</f>
        <v/>
      </c>
      <c r="BY34" s="32" t="str">
        <f>IF(BY11="","",SUMIF(BY11:BY33,"&lt;&gt;#N/A"))</f>
        <v/>
      </c>
      <c r="BZ34" s="32"/>
      <c r="CA34" s="32"/>
      <c r="CB34" s="32"/>
      <c r="CC34" s="32"/>
      <c r="CD34" s="32"/>
      <c r="CE34" s="32"/>
      <c r="CF34" s="29">
        <f>SUMIF(CF11:CF33,"&lt;&gt;#N/A")</f>
        <v>0</v>
      </c>
      <c r="CG34" s="29">
        <f>SUMIF(CG11:CG33,"&lt;&gt;#N/A")</f>
        <v>0</v>
      </c>
      <c r="CH34" s="29">
        <f>SUMIF(CH11:CH33,"&lt;&gt;#N/A")</f>
        <v>0</v>
      </c>
      <c r="CI34" s="30" t="str">
        <f>IF(CI11="","",SUMIF(CI11:CI33,"&lt;&gt;#N/A")/$M$3)</f>
        <v/>
      </c>
      <c r="CJ34" s="30" t="str">
        <f>IF(CJ11="","",SUMIF(CJ11:CJ33,"&lt;&gt;#N/A")/$M$3)</f>
        <v/>
      </c>
      <c r="CK34" s="30" t="str">
        <f>IF(CK11="","",SUMIF(CK11:CK33,"&lt;&gt;#N/A"))</f>
        <v/>
      </c>
      <c r="CL34" s="30"/>
      <c r="CM34" s="30"/>
      <c r="CN34" s="30"/>
      <c r="CO34" s="30"/>
      <c r="CP34" s="30"/>
      <c r="CQ34" s="30"/>
      <c r="CR34" s="31">
        <f>SUMIF(CR11:CR33,"&lt;&gt;#N/A")</f>
        <v>0</v>
      </c>
      <c r="CS34" s="31">
        <f>SUMIF(CS11:CS33,"&lt;&gt;#N/A")</f>
        <v>0</v>
      </c>
      <c r="CT34" s="31">
        <f>SUMIF(CT11:CT33,"&lt;&gt;#N/A")</f>
        <v>0</v>
      </c>
      <c r="CU34" s="32" t="str">
        <f>IF(CU11="","",SUMIF(CU11:CU33,"&lt;&gt;#N/A")/$M$3)</f>
        <v/>
      </c>
      <c r="CV34" s="32" t="str">
        <f>IF(CV11="","",SUMIF(CV11:CV33,"&lt;&gt;#N/A")/$M$3)</f>
        <v/>
      </c>
      <c r="CW34" s="32" t="str">
        <f>IF(CW11="","",SUMIF(CW11:CW33,"&lt;&gt;#N/A"))</f>
        <v/>
      </c>
      <c r="CX34" s="33"/>
      <c r="CY34" s="33"/>
      <c r="CZ34" s="33"/>
      <c r="DA34" s="33"/>
      <c r="DB34" s="33"/>
      <c r="DC34" s="33"/>
      <c r="DE34" s="29">
        <f>SUMIF(DE11:DE33,"&lt;&gt;#N/A")</f>
        <v>0</v>
      </c>
      <c r="DF34" s="29">
        <f>SUMIF(DF11:DF33,"&lt;&gt;#N/A")</f>
        <v>0</v>
      </c>
      <c r="DG34" s="29">
        <f>SUMIF(DG11:DG33,"&lt;&gt;#N/A")</f>
        <v>0</v>
      </c>
      <c r="DH34" s="30" t="str">
        <f>IF(DH11="","",SUMIF(DH11:DH33,"&lt;&gt;#N/A")/$M$3)</f>
        <v/>
      </c>
      <c r="DI34" s="30" t="str">
        <f>IF(DI11="","",SUMIF(DI11:DI33,"&lt;&gt;#N/A")/$M$3)</f>
        <v/>
      </c>
      <c r="DJ34" s="30" t="str">
        <f>IF(DJ11="","",SUMIF(DJ11:DJ33,"&lt;&gt;#N/A"))</f>
        <v/>
      </c>
      <c r="DK34" s="30"/>
      <c r="DL34" s="30"/>
      <c r="DM34" s="30"/>
      <c r="DN34" s="30"/>
      <c r="DO34" s="30"/>
      <c r="DP34" s="30"/>
      <c r="DQ34" s="31">
        <f>SUMIF(DQ11:DQ33,"&lt;&gt;#N/A")</f>
        <v>0</v>
      </c>
      <c r="DR34" s="31">
        <f>SUMIF(DR11:DR33,"&lt;&gt;#N/A")</f>
        <v>0</v>
      </c>
      <c r="DS34" s="31">
        <f>SUMIF(DS11:DS33,"&lt;&gt;#N/A")</f>
        <v>0</v>
      </c>
      <c r="DT34" s="32" t="str">
        <f>IF(DT11="","",SUMIF(DT11:DT33,"&lt;&gt;#N/A")/$M$3)</f>
        <v/>
      </c>
      <c r="DU34" s="32" t="str">
        <f>IF(DU11="","",SUMIF(DU11:DU33,"&lt;&gt;#N/A")/$M$3)</f>
        <v/>
      </c>
      <c r="DV34" s="210" t="str">
        <f>IF(DV11="","",SUMIF(DV11:DV33,"&lt;&gt;#N/A"))</f>
        <v/>
      </c>
      <c r="DW34" s="32"/>
      <c r="DX34" s="32"/>
      <c r="DY34" s="32"/>
      <c r="DZ34" s="32"/>
      <c r="EA34" s="32"/>
      <c r="EB34" s="32"/>
      <c r="EC34" s="29">
        <f>SUMIF(EC11:EC33,"&lt;&gt;#N/A")</f>
        <v>0</v>
      </c>
      <c r="ED34" s="29">
        <f>SUMIF(ED11:ED33,"&lt;&gt;#N/A")</f>
        <v>0</v>
      </c>
      <c r="EE34" s="29">
        <f>SUMIF(EE11:EE33,"&lt;&gt;#N/A")</f>
        <v>0</v>
      </c>
      <c r="EF34" s="30" t="str">
        <f>IF(EF11="","",SUMIF(EF11:EF33,"&lt;&gt;#N/A")/$M$3)</f>
        <v/>
      </c>
      <c r="EG34" s="30" t="str">
        <f>IF(EG11="","",SUMIF(EG11:EG33,"&lt;&gt;#N/A")/$M$3)</f>
        <v/>
      </c>
      <c r="EH34" s="30" t="str">
        <f>IF(EH11="","",SUMIF(EH11:EH33,"&lt;&gt;#N/A"))</f>
        <v/>
      </c>
      <c r="EI34" s="30"/>
      <c r="EJ34" s="30"/>
      <c r="EK34" s="30"/>
      <c r="EL34" s="30"/>
      <c r="EM34" s="30"/>
      <c r="EN34" s="30"/>
      <c r="EO34" s="31">
        <f>SUMIF(EO11:EO33,"&lt;&gt;#N/A")</f>
        <v>0</v>
      </c>
      <c r="EP34" s="31">
        <f>SUMIF(EP11:EP33,"&lt;&gt;#N/A")</f>
        <v>0</v>
      </c>
      <c r="EQ34" s="31">
        <f>SUMIF(EQ11:EQ33,"&lt;&gt;#N/A")</f>
        <v>0</v>
      </c>
      <c r="ER34" s="32" t="str">
        <f>IF(ER11="","",SUMIF(ER11:ER33,"&lt;&gt;#N/A")/$M$3)</f>
        <v/>
      </c>
      <c r="ES34" s="32" t="str">
        <f>IF(ES11="","",SUMIF(ES11:ES33,"&lt;&gt;#N/A")/$M$3)</f>
        <v/>
      </c>
      <c r="ET34" s="32" t="str">
        <f>IF(ET11="","",SUMIF(ET11:ET33,"&lt;&gt;#N/A"))</f>
        <v/>
      </c>
      <c r="EU34" s="33"/>
      <c r="EV34" s="33"/>
      <c r="EW34" s="33"/>
      <c r="EX34" s="33"/>
      <c r="EY34" s="33"/>
      <c r="EZ34" s="33"/>
      <c r="FB34" s="29">
        <f>SUMIF(FB11:FB33,"&lt;&gt;#N/A")</f>
        <v>0</v>
      </c>
      <c r="FC34" s="29">
        <f>SUMIF(FC11:FC33,"&lt;&gt;#N/A")</f>
        <v>0</v>
      </c>
      <c r="FD34" s="29">
        <f>SUMIF(FD11:FD33,"&lt;&gt;#N/A")</f>
        <v>0</v>
      </c>
      <c r="FE34" s="30" t="str">
        <f>IF(FE11="","",SUMIF(FE11:FE33,"&lt;&gt;#N/A")/$M$3)</f>
        <v/>
      </c>
      <c r="FF34" s="30" t="str">
        <f>IF(FF11="","",SUMIF(FF11:FF33,"&lt;&gt;#N/A")/$M$3)</f>
        <v/>
      </c>
      <c r="FG34" s="30" t="str">
        <f>IF(FG11="","",SUMIF(FG11:FG33,"&lt;&gt;#N/A"))</f>
        <v/>
      </c>
      <c r="FH34" s="30"/>
      <c r="FI34" s="30"/>
      <c r="FJ34" s="30"/>
      <c r="FK34" s="30"/>
      <c r="FL34" s="30"/>
      <c r="FM34" s="30"/>
      <c r="FN34" s="31">
        <f>SUMIF(FN11:FN33,"&lt;&gt;#N/A")</f>
        <v>0</v>
      </c>
      <c r="FO34" s="31">
        <f>SUMIF(FO11:FO33,"&lt;&gt;#N/A")</f>
        <v>0</v>
      </c>
      <c r="FP34" s="31">
        <f>SUMIF(FP11:FP33,"&lt;&gt;#N/A")</f>
        <v>0</v>
      </c>
      <c r="FQ34" s="32" t="str">
        <f>IF(FQ11="","",SUMIF(FQ11:FQ33,"&lt;&gt;#N/A")/$M$3)</f>
        <v/>
      </c>
      <c r="FR34" s="32" t="str">
        <f>IF(FR11="","",SUMIF(FR11:FR33,"&lt;&gt;#N/A")/$M$3)</f>
        <v/>
      </c>
      <c r="FS34" s="32" t="str">
        <f>IF(FS11="","",SUMIF(FS11:FS33,"&lt;&gt;#N/A"))</f>
        <v/>
      </c>
      <c r="FT34" s="32"/>
      <c r="FU34" s="32"/>
      <c r="FV34" s="32"/>
      <c r="FW34" s="32"/>
      <c r="FX34" s="32"/>
      <c r="FY34" s="32"/>
      <c r="FZ34" s="29">
        <f>SUMIF(FZ11:FZ33,"&lt;&gt;#N/A")</f>
        <v>0</v>
      </c>
      <c r="GA34" s="29">
        <f>SUMIF(GA11:GA33,"&lt;&gt;#N/A")</f>
        <v>0</v>
      </c>
      <c r="GB34" s="29">
        <f>SUMIF(GB11:GB33,"&lt;&gt;#N/A")</f>
        <v>0</v>
      </c>
      <c r="GC34" s="30" t="str">
        <f>IF(GC11="","",SUMIF(GC11:GC33,"&lt;&gt;#N/A")/$M$3)</f>
        <v/>
      </c>
      <c r="GD34" s="30" t="str">
        <f>IF(GD11="","",SUMIF(GD11:GD33,"&lt;&gt;#N/A")/$M$3)</f>
        <v/>
      </c>
      <c r="GE34" s="30" t="str">
        <f>IF(GE11="","",SUMIF(GE11:GE33,"&lt;&gt;#N/A"))</f>
        <v/>
      </c>
      <c r="GF34" s="30"/>
      <c r="GG34" s="30"/>
      <c r="GH34" s="30"/>
      <c r="GI34" s="30"/>
      <c r="GJ34" s="30"/>
      <c r="GK34" s="30"/>
      <c r="GL34" s="31">
        <f>SUMIF(GL11:GL33,"&lt;&gt;#N/A")</f>
        <v>0</v>
      </c>
      <c r="GM34" s="31">
        <f>SUMIF(GM11:GM33,"&lt;&gt;#N/A")</f>
        <v>0</v>
      </c>
      <c r="GN34" s="31">
        <f>SUMIF(GN11:GN33,"&lt;&gt;#N/A")</f>
        <v>0</v>
      </c>
      <c r="GO34" s="32" t="str">
        <f>IF(GO11="","",SUMIF(GO11:GO33,"&lt;&gt;#N/A")/$M$3)</f>
        <v/>
      </c>
      <c r="GP34" s="32" t="str">
        <f>IF(GP11="","",SUMIF(GP11:GP33,"&lt;&gt;#N/A")/$M$3)</f>
        <v/>
      </c>
      <c r="GQ34" s="32" t="str">
        <f>IF(GQ11="","",SUMIF(GQ11:GQ33,"&lt;&gt;#N/A"))</f>
        <v/>
      </c>
      <c r="GR34" s="33"/>
      <c r="GS34" s="33"/>
      <c r="GT34" s="33"/>
      <c r="GU34" s="33"/>
      <c r="GV34" s="33"/>
      <c r="GW34" s="33"/>
      <c r="GY34" s="29">
        <f>SUMIF(GY11:GY33,"&lt;&gt;#N/A")</f>
        <v>0</v>
      </c>
      <c r="GZ34" s="29">
        <f>SUMIF(GZ11:GZ33,"&lt;&gt;#N/A")</f>
        <v>0</v>
      </c>
      <c r="HA34" s="29">
        <f>SUMIF(HA11:HA33,"&lt;&gt;#N/A")</f>
        <v>0</v>
      </c>
      <c r="HB34" s="30" t="str">
        <f>IF(HB11="","",SUMIF(HB11:HB33,"&lt;&gt;#N/A")/$M$3)</f>
        <v/>
      </c>
      <c r="HC34" s="30" t="str">
        <f>IF(HC11="","",SUMIF(HC11:HC33,"&lt;&gt;#N/A")/$M$3)</f>
        <v/>
      </c>
      <c r="HD34" s="30" t="str">
        <f>IF(HD11="","",SUMIF(HD11:HD33,"&lt;&gt;#N/A"))</f>
        <v/>
      </c>
      <c r="HE34" s="30"/>
      <c r="HF34" s="30"/>
      <c r="HG34" s="30"/>
      <c r="HH34" s="30"/>
      <c r="HI34" s="30"/>
      <c r="HJ34" s="30"/>
      <c r="HK34" s="31">
        <f>SUMIF(HK11:HK33,"&lt;&gt;#N/A")</f>
        <v>0</v>
      </c>
      <c r="HL34" s="31">
        <f>SUMIF(HL11:HL33,"&lt;&gt;#N/A")</f>
        <v>0</v>
      </c>
      <c r="HM34" s="31">
        <f>SUMIF(HM11:HM33,"&lt;&gt;#N/A")</f>
        <v>0</v>
      </c>
      <c r="HN34" s="32" t="str">
        <f>IF(HN11="","",SUMIF(HN11:HN33,"&lt;&gt;#N/A")/$M$3)</f>
        <v/>
      </c>
      <c r="HO34" s="32" t="str">
        <f>IF(HO11="","",SUMIF(HO11:HO33,"&lt;&gt;#N/A")/$M$3)</f>
        <v/>
      </c>
      <c r="HP34" s="32" t="str">
        <f>IF(HP11="","",SUMIF(HP11:HP33,"&lt;&gt;#N/A"))</f>
        <v/>
      </c>
      <c r="HQ34" s="32"/>
      <c r="HR34" s="32"/>
      <c r="HS34" s="32"/>
      <c r="HT34" s="32"/>
      <c r="HU34" s="32"/>
      <c r="HV34" s="32"/>
      <c r="HW34" s="29">
        <f>SUMIF(HW11:HW33,"&lt;&gt;#N/A")</f>
        <v>0</v>
      </c>
      <c r="HX34" s="29">
        <f>SUMIF(HX11:HX33,"&lt;&gt;#N/A")</f>
        <v>0</v>
      </c>
      <c r="HY34" s="29">
        <f>SUMIF(HY11:HY33,"&lt;&gt;#N/A")</f>
        <v>0</v>
      </c>
      <c r="HZ34" s="30" t="str">
        <f>IF(HZ11="","",SUMIF(HZ11:HZ33,"&lt;&gt;#N/A")/$M$3)</f>
        <v/>
      </c>
      <c r="IA34" s="30" t="str">
        <f>IF(IA11="","",SUMIF(IA11:IA33,"&lt;&gt;#N/A")/$M$3)</f>
        <v/>
      </c>
      <c r="IB34" s="30" t="str">
        <f>IF(IB11="","",SUMIF(IB11:IB33,"&lt;&gt;#N/A"))</f>
        <v/>
      </c>
      <c r="IC34" s="30"/>
      <c r="ID34" s="30"/>
      <c r="IE34" s="30"/>
      <c r="IF34" s="30"/>
      <c r="IG34" s="30"/>
      <c r="IH34" s="30"/>
      <c r="II34" s="31">
        <f>SUMIF(II11:II33,"&lt;&gt;#N/A")</f>
        <v>0</v>
      </c>
      <c r="IJ34" s="31">
        <f>SUMIF(IJ11:IJ33,"&lt;&gt;#N/A")</f>
        <v>0</v>
      </c>
      <c r="IK34" s="31">
        <f>SUMIF(IK11:IK33,"&lt;&gt;#N/A")</f>
        <v>0</v>
      </c>
      <c r="IL34" s="32" t="str">
        <f>IF(IL11="","",SUMIF(IL11:IL33,"&lt;&gt;#N/A")/$M$3)</f>
        <v/>
      </c>
      <c r="IM34" s="32" t="str">
        <f>IF(IM11="","",SUMIF(IM11:IM33,"&lt;&gt;#N/A")/$M$3)</f>
        <v/>
      </c>
      <c r="IN34" s="32" t="str">
        <f>IF(IN11="","",SUMIF(IN11:IN33,"&lt;&gt;#N/A"))</f>
        <v/>
      </c>
      <c r="IO34" s="33"/>
      <c r="IP34" s="33"/>
      <c r="IQ34" s="33"/>
      <c r="IR34" s="33"/>
      <c r="IS34" s="33"/>
      <c r="IT34" s="33"/>
      <c r="IV34" s="29">
        <f>SUMIF(IV11:IV33,"&lt;&gt;#N/A")</f>
        <v>0</v>
      </c>
      <c r="IW34" s="29">
        <f>SUMIF(IW11:IW33,"&lt;&gt;#N/A")</f>
        <v>0</v>
      </c>
      <c r="IX34" s="29">
        <f>SUMIF(IX11:IX33,"&lt;&gt;#N/A")</f>
        <v>0</v>
      </c>
      <c r="IY34" s="30" t="str">
        <f>IF(IY11="","",SUMIF(IY11:IY33,"&lt;&gt;#N/A")/$M$3)</f>
        <v/>
      </c>
      <c r="IZ34" s="30" t="str">
        <f>IF(IZ11="","",SUMIF(IZ11:IZ33,"&lt;&gt;#N/A")/$M$3)</f>
        <v/>
      </c>
      <c r="JA34" s="30" t="str">
        <f>IF(JA11="","",SUMIF(JA11:JA33,"&lt;&gt;#N/A"))</f>
        <v/>
      </c>
      <c r="JB34" s="30"/>
      <c r="JC34" s="30"/>
      <c r="JD34" s="30"/>
      <c r="JE34" s="30"/>
      <c r="JF34" s="30"/>
      <c r="JG34" s="30"/>
      <c r="JH34" s="31">
        <f>SUMIF(JH11:JH33,"&lt;&gt;#N/A")</f>
        <v>0</v>
      </c>
      <c r="JI34" s="31">
        <f>SUMIF(JI11:JI33,"&lt;&gt;#N/A")</f>
        <v>0</v>
      </c>
      <c r="JJ34" s="31">
        <f>SUMIF(JJ11:JJ33,"&lt;&gt;#N/A")</f>
        <v>0</v>
      </c>
      <c r="JK34" s="32" t="str">
        <f>IF(JK11="","",SUMIF(JK11:JK33,"&lt;&gt;#N/A")/$M$3)</f>
        <v/>
      </c>
      <c r="JL34" s="32" t="str">
        <f>IF(JL11="","",SUMIF(JL11:JL33,"&lt;&gt;#N/A")/$M$3)</f>
        <v/>
      </c>
      <c r="JM34" s="32" t="str">
        <f>IF(JM11="","",SUMIF(JM11:JM33,"&lt;&gt;#N/A"))</f>
        <v/>
      </c>
      <c r="JN34" s="32"/>
      <c r="JO34" s="32"/>
      <c r="JP34" s="32"/>
      <c r="JQ34" s="32"/>
      <c r="JR34" s="32"/>
      <c r="JS34" s="32"/>
      <c r="JT34" s="29">
        <f>SUMIF(JT11:JT33,"&lt;&gt;#N/A")</f>
        <v>0</v>
      </c>
      <c r="JU34" s="29">
        <f>SUMIF(JU11:JU33,"&lt;&gt;#N/A")</f>
        <v>0</v>
      </c>
      <c r="JV34" s="29">
        <f>SUMIF(JV11:JV33,"&lt;&gt;#N/A")</f>
        <v>0</v>
      </c>
      <c r="JW34" s="30" t="str">
        <f>IF(JW11="","",SUMIF(JW11:JW33,"&lt;&gt;#N/A")/$M$3)</f>
        <v/>
      </c>
      <c r="JX34" s="30" t="str">
        <f>IF(JX11="","",SUMIF(JX11:JX33,"&lt;&gt;#N/A")/$M$3)</f>
        <v/>
      </c>
      <c r="JY34" s="30" t="str">
        <f>IF(JY11="","",SUMIF(JY11:JY33,"&lt;&gt;#N/A"))</f>
        <v/>
      </c>
      <c r="JZ34" s="30"/>
      <c r="KA34" s="30"/>
      <c r="KB34" s="30"/>
      <c r="KC34" s="30"/>
      <c r="KD34" s="30"/>
      <c r="KE34" s="30"/>
      <c r="KF34" s="31">
        <f>SUMIF(KF11:KF33,"&lt;&gt;#N/A")</f>
        <v>0</v>
      </c>
      <c r="KG34" s="31">
        <f>SUMIF(KG11:KG33,"&lt;&gt;#N/A")</f>
        <v>0</v>
      </c>
      <c r="KH34" s="31">
        <f>SUMIF(KH11:KH33,"&lt;&gt;#N/A")</f>
        <v>0</v>
      </c>
      <c r="KI34" s="32" t="str">
        <f>IF(KI11="","",SUMIF(KI11:KI33,"&lt;&gt;#N/A")/$M$3)</f>
        <v/>
      </c>
      <c r="KJ34" s="32" t="str">
        <f>IF(KJ11="","",SUMIF(KJ11:KJ33,"&lt;&gt;#N/A")/$M$3)</f>
        <v/>
      </c>
      <c r="KK34" s="32" t="str">
        <f>IF(KK11="","",SUMIF(KK11:KK33,"&lt;&gt;#N/A"))</f>
        <v/>
      </c>
      <c r="KL34" s="33"/>
      <c r="KM34" s="33"/>
      <c r="KN34" s="33"/>
    </row>
    <row r="35" spans="1:300" ht="15.6">
      <c r="A35" s="173" t="s">
        <v>218</v>
      </c>
      <c r="B35" s="19" t="s">
        <v>217</v>
      </c>
      <c r="C35" s="20">
        <v>2</v>
      </c>
      <c r="D35" s="20">
        <v>1.4126000000000001</v>
      </c>
      <c r="E35" s="20">
        <v>1.3231999999999999</v>
      </c>
      <c r="F35" s="20">
        <v>28.05376</v>
      </c>
      <c r="G35" s="20">
        <f t="shared" si="0"/>
        <v>0</v>
      </c>
      <c r="H35" s="20">
        <v>0</v>
      </c>
      <c r="I35" s="170">
        <v>1</v>
      </c>
    </row>
    <row r="36" spans="1:300" ht="15.6">
      <c r="A36" s="173" t="s">
        <v>219</v>
      </c>
      <c r="B36" s="19" t="s">
        <v>207</v>
      </c>
      <c r="C36" s="20">
        <v>3</v>
      </c>
      <c r="D36" s="20">
        <v>2.0598999999999998</v>
      </c>
      <c r="E36" s="20">
        <v>1.9260999999999999</v>
      </c>
      <c r="F36" s="20">
        <v>42.080640000000002</v>
      </c>
      <c r="G36" s="20">
        <f t="shared" si="0"/>
        <v>0</v>
      </c>
      <c r="H36" s="20">
        <v>0</v>
      </c>
      <c r="I36" s="170">
        <v>1</v>
      </c>
    </row>
    <row r="37" spans="1:300" ht="15.6">
      <c r="A37" s="173" t="s">
        <v>221</v>
      </c>
      <c r="B37" s="19" t="s">
        <v>220</v>
      </c>
      <c r="C37" s="20">
        <v>6</v>
      </c>
      <c r="D37" s="20">
        <v>3.3041</v>
      </c>
      <c r="E37" s="20">
        <v>3.1695000000000002</v>
      </c>
      <c r="F37" s="20">
        <v>78.113640000000004</v>
      </c>
      <c r="G37" s="20">
        <f t="shared" si="0"/>
        <v>0</v>
      </c>
      <c r="H37" s="20">
        <v>0</v>
      </c>
      <c r="I37" s="170">
        <v>1</v>
      </c>
      <c r="N37" s="17"/>
    </row>
    <row r="38" spans="1:300" ht="15.6">
      <c r="A38" s="173" t="s">
        <v>222</v>
      </c>
      <c r="B38" s="19" t="s">
        <v>186</v>
      </c>
      <c r="C38" s="20">
        <v>4</v>
      </c>
      <c r="D38" s="20">
        <v>2.8727999999999998</v>
      </c>
      <c r="E38" s="20">
        <v>2.653</v>
      </c>
      <c r="F38" s="20">
        <v>58.123399999999997</v>
      </c>
      <c r="G38" s="20">
        <f t="shared" si="0"/>
        <v>0</v>
      </c>
      <c r="H38" s="20">
        <v>0</v>
      </c>
      <c r="I38" s="170">
        <v>1</v>
      </c>
      <c r="O38" s="17"/>
    </row>
    <row r="39" spans="1:300" ht="15.6">
      <c r="A39" s="173" t="s">
        <v>223</v>
      </c>
      <c r="B39" s="19" t="s">
        <v>189</v>
      </c>
      <c r="C39" s="20">
        <v>5</v>
      </c>
      <c r="D39" s="20">
        <v>3.5011000000000001</v>
      </c>
      <c r="E39" s="20">
        <v>3.2669999999999999</v>
      </c>
      <c r="F39" s="20">
        <v>72.150279999999995</v>
      </c>
      <c r="G39" s="20">
        <f t="shared" si="0"/>
        <v>0</v>
      </c>
      <c r="H39" s="20">
        <v>0</v>
      </c>
      <c r="I39" s="170">
        <v>1</v>
      </c>
    </row>
    <row r="40" spans="1:300" ht="15.6">
      <c r="A40" s="173" t="s">
        <v>224</v>
      </c>
      <c r="B40" s="19" t="s">
        <v>192</v>
      </c>
      <c r="C40" s="20">
        <v>6</v>
      </c>
      <c r="D40" s="20">
        <v>4.1143000000000001</v>
      </c>
      <c r="E40" s="20">
        <v>3.879</v>
      </c>
      <c r="F40" s="20">
        <v>86.177160000000001</v>
      </c>
      <c r="G40" s="20">
        <f t="shared" si="0"/>
        <v>0</v>
      </c>
      <c r="H40" s="20">
        <v>0</v>
      </c>
      <c r="I40" s="170">
        <v>1</v>
      </c>
      <c r="AU40" s="6"/>
      <c r="AV40" s="6"/>
      <c r="AW40" s="6"/>
    </row>
    <row r="45" spans="1:300" ht="69">
      <c r="A45" s="2588" t="s">
        <v>160</v>
      </c>
      <c r="B45" s="2588" t="s">
        <v>159</v>
      </c>
      <c r="C45" s="2588" t="s">
        <v>158</v>
      </c>
      <c r="D45" s="15" t="s">
        <v>155</v>
      </c>
      <c r="E45" s="15" t="s">
        <v>156</v>
      </c>
      <c r="F45" s="15" t="s">
        <v>157</v>
      </c>
      <c r="G45" s="2588" t="s">
        <v>931</v>
      </c>
      <c r="H45" s="168"/>
      <c r="I45" s="634"/>
      <c r="J45" s="168"/>
      <c r="L45" s="168"/>
      <c r="X45" s="34"/>
      <c r="Y45" s="35"/>
      <c r="Z45" s="35"/>
      <c r="AA45" s="36"/>
      <c r="AB45" s="36"/>
      <c r="AC45" s="36"/>
      <c r="AD45" s="36"/>
      <c r="AE45" s="36"/>
      <c r="AF45" s="36"/>
      <c r="AG45" s="36"/>
      <c r="AH45" s="36"/>
      <c r="AI45" s="36"/>
      <c r="AJ45" s="36"/>
      <c r="AK45" s="36"/>
      <c r="AL45" s="36"/>
      <c r="AM45" s="36"/>
      <c r="AN45" s="36"/>
      <c r="AO45" s="36"/>
      <c r="AP45" s="36"/>
      <c r="AQ45" s="36"/>
      <c r="AR45" s="36"/>
      <c r="AS45" s="36"/>
      <c r="AT45" s="36"/>
      <c r="AU45" s="37"/>
    </row>
    <row r="46" spans="1:300" ht="15.6">
      <c r="A46" s="2588"/>
      <c r="B46" s="2588"/>
      <c r="C46" s="2588"/>
      <c r="D46" s="16" t="s">
        <v>161</v>
      </c>
      <c r="E46" s="16" t="s">
        <v>161</v>
      </c>
      <c r="F46" s="16" t="s">
        <v>162</v>
      </c>
      <c r="G46" s="2588"/>
      <c r="H46" s="168"/>
      <c r="I46" s="634"/>
      <c r="J46" s="168"/>
      <c r="X46" s="38">
        <v>8.3144626181532395</v>
      </c>
      <c r="Y46" s="26"/>
      <c r="Z46" s="26" t="s">
        <v>336</v>
      </c>
      <c r="AA46" s="26"/>
      <c r="AB46" s="2562" t="s">
        <v>338</v>
      </c>
      <c r="AC46" s="2562"/>
      <c r="AD46" s="2562"/>
      <c r="AE46" s="2562"/>
      <c r="AF46" s="2562"/>
      <c r="AG46" s="2562"/>
      <c r="AH46" s="2562"/>
      <c r="AI46" s="2562"/>
      <c r="AJ46" s="2562"/>
      <c r="AK46" s="2562"/>
      <c r="AL46" s="2562"/>
      <c r="AM46" s="2562"/>
      <c r="AN46" s="2562"/>
      <c r="AO46" s="2562"/>
      <c r="AP46" s="2562"/>
      <c r="AQ46" s="2562"/>
      <c r="AR46" s="2562"/>
      <c r="AS46" s="2562"/>
      <c r="AT46" s="2562"/>
      <c r="AU46" s="2562"/>
    </row>
    <row r="47" spans="1:300" ht="15.6">
      <c r="A47" s="18" t="s">
        <v>164</v>
      </c>
      <c r="B47" s="19" t="s">
        <v>163</v>
      </c>
      <c r="C47" s="20">
        <v>0</v>
      </c>
      <c r="D47" s="20">
        <v>0.28549999999999998</v>
      </c>
      <c r="E47" s="20">
        <v>0.24179999999999999</v>
      </c>
      <c r="F47" s="20">
        <v>2.0158800000000001</v>
      </c>
      <c r="G47" s="20">
        <v>0</v>
      </c>
      <c r="H47" s="168"/>
      <c r="I47" s="634"/>
      <c r="J47" s="168"/>
    </row>
    <row r="48" spans="1:300">
      <c r="A48" s="171" t="s">
        <v>932</v>
      </c>
      <c r="B48" s="172" t="s">
        <v>933</v>
      </c>
      <c r="C48" s="20">
        <v>1</v>
      </c>
      <c r="D48" s="20">
        <v>1.6872</v>
      </c>
      <c r="E48" s="20">
        <v>1.6872</v>
      </c>
      <c r="F48" s="20">
        <v>76.13</v>
      </c>
      <c r="G48" s="20">
        <v>2</v>
      </c>
      <c r="H48" s="168"/>
      <c r="I48" s="634"/>
      <c r="J48" s="168"/>
      <c r="K48" s="168"/>
      <c r="L48" s="168"/>
      <c r="M48" s="168"/>
      <c r="N48" s="168"/>
      <c r="O48" s="168"/>
      <c r="P48" s="168"/>
      <c r="Q48" s="168"/>
      <c r="R48" s="168"/>
      <c r="S48" s="168"/>
      <c r="AA48" s="168"/>
      <c r="AB48" s="168"/>
      <c r="AC48" s="168"/>
      <c r="AD48" s="168"/>
      <c r="AE48" s="168"/>
      <c r="AI48" s="168"/>
      <c r="AJ48" s="168"/>
      <c r="AK48" s="168"/>
      <c r="AL48" s="168"/>
      <c r="AM48" s="168"/>
      <c r="AN48" s="168"/>
      <c r="AO48" s="168"/>
      <c r="AP48" s="168"/>
      <c r="AQ48" s="168"/>
      <c r="AU48" s="168"/>
      <c r="AV48" s="168"/>
      <c r="AW48" s="168"/>
      <c r="AX48" s="168"/>
      <c r="AY48" s="168"/>
      <c r="AZ48" s="168"/>
      <c r="BA48" s="168"/>
      <c r="BB48" s="168"/>
      <c r="BC48" s="168"/>
      <c r="BH48" s="168"/>
      <c r="BI48" s="168"/>
      <c r="BJ48" s="168"/>
      <c r="BK48" s="168"/>
      <c r="BL48" s="168"/>
      <c r="BM48" s="168"/>
      <c r="BN48" s="168"/>
      <c r="BO48" s="168"/>
      <c r="BP48" s="168"/>
      <c r="BX48" s="168"/>
      <c r="BY48" s="168"/>
      <c r="BZ48" s="168"/>
      <c r="CA48" s="168"/>
      <c r="CB48" s="168"/>
      <c r="CF48" s="168"/>
      <c r="CG48" s="168"/>
      <c r="CH48" s="168"/>
      <c r="CI48" s="168"/>
      <c r="CJ48" s="168"/>
      <c r="CK48" s="168"/>
      <c r="CL48" s="168"/>
      <c r="CM48" s="168"/>
      <c r="CN48" s="168"/>
      <c r="CR48" s="168"/>
      <c r="CS48" s="168"/>
      <c r="CT48" s="168"/>
      <c r="CU48" s="168"/>
      <c r="CV48" s="168"/>
      <c r="CW48" s="168"/>
      <c r="CX48" s="168"/>
      <c r="CY48" s="168"/>
      <c r="CZ48" s="168"/>
      <c r="DE48" s="168"/>
      <c r="DF48" s="168"/>
      <c r="DG48" s="168"/>
      <c r="DH48" s="168"/>
      <c r="DI48" s="168"/>
      <c r="DJ48" s="168"/>
      <c r="DK48" s="168"/>
      <c r="DL48" s="168"/>
      <c r="DM48" s="168"/>
      <c r="DU48" s="168"/>
      <c r="DV48" s="168"/>
      <c r="DW48" s="168"/>
      <c r="DX48" s="168"/>
      <c r="DY48" s="168"/>
      <c r="EC48" s="168"/>
      <c r="ED48" s="168"/>
      <c r="EE48" s="168"/>
      <c r="EF48" s="168"/>
      <c r="EG48" s="168"/>
      <c r="EH48" s="168"/>
      <c r="EI48" s="168"/>
      <c r="EJ48" s="168"/>
      <c r="EK48" s="168"/>
      <c r="EO48" s="168"/>
      <c r="EP48" s="168"/>
      <c r="EQ48" s="168"/>
      <c r="ER48" s="168"/>
      <c r="ES48" s="168"/>
      <c r="ET48" s="168"/>
      <c r="EU48" s="168"/>
      <c r="EV48" s="168"/>
      <c r="EW48" s="168"/>
      <c r="FB48" s="168"/>
      <c r="FC48" s="168"/>
      <c r="FD48" s="168"/>
      <c r="FE48" s="168"/>
      <c r="FF48" s="168"/>
      <c r="FG48" s="168"/>
      <c r="FH48" s="168"/>
      <c r="FI48" s="168"/>
      <c r="FJ48" s="168"/>
      <c r="FR48" s="168"/>
      <c r="FS48" s="168"/>
      <c r="FT48" s="168"/>
      <c r="FU48" s="168"/>
      <c r="FV48" s="168"/>
      <c r="FZ48" s="168"/>
      <c r="GA48" s="168"/>
      <c r="GB48" s="168"/>
      <c r="GC48" s="168"/>
      <c r="GD48" s="168"/>
      <c r="GE48" s="168"/>
      <c r="GF48" s="168"/>
      <c r="GG48" s="168"/>
      <c r="GH48" s="168"/>
      <c r="GL48" s="168"/>
      <c r="GM48" s="168"/>
      <c r="GN48" s="168"/>
      <c r="GO48" s="168"/>
      <c r="GP48" s="168"/>
      <c r="GQ48" s="168"/>
      <c r="GR48" s="168"/>
      <c r="GS48" s="168"/>
      <c r="GT48" s="168"/>
      <c r="GY48" s="168"/>
      <c r="GZ48" s="168"/>
      <c r="HA48" s="168"/>
      <c r="HB48" s="168"/>
      <c r="HC48" s="168"/>
      <c r="HD48" s="168"/>
      <c r="HE48" s="168"/>
      <c r="HF48" s="168"/>
      <c r="HG48" s="168"/>
      <c r="HO48" s="168"/>
      <c r="HP48" s="168"/>
      <c r="HQ48" s="168"/>
      <c r="HR48" s="168"/>
      <c r="HS48" s="168"/>
      <c r="HW48" s="168"/>
      <c r="HX48" s="168"/>
      <c r="HY48" s="168"/>
      <c r="HZ48" s="168"/>
      <c r="IA48" s="168"/>
      <c r="IB48" s="168"/>
      <c r="IC48" s="168"/>
      <c r="ID48" s="168"/>
      <c r="IE48" s="168"/>
      <c r="II48" s="168"/>
      <c r="IJ48" s="168"/>
      <c r="IK48" s="168"/>
      <c r="IL48" s="168"/>
      <c r="IM48" s="168"/>
      <c r="IN48" s="168"/>
      <c r="IO48" s="168"/>
      <c r="IP48" s="168"/>
      <c r="IQ48" s="168"/>
      <c r="IV48" s="168"/>
      <c r="IW48" s="168"/>
      <c r="IX48" s="168"/>
      <c r="IY48" s="168"/>
      <c r="IZ48" s="168"/>
      <c r="JA48" s="168"/>
      <c r="JB48" s="168"/>
      <c r="JC48" s="168"/>
      <c r="JD48" s="168"/>
      <c r="JL48" s="168"/>
      <c r="JM48" s="168"/>
      <c r="JN48" s="168"/>
      <c r="JO48" s="168"/>
      <c r="JP48" s="168"/>
      <c r="JT48" s="168"/>
      <c r="JU48" s="168"/>
      <c r="JV48" s="168"/>
      <c r="JW48" s="168"/>
      <c r="JX48" s="168"/>
      <c r="JY48" s="168"/>
      <c r="JZ48" s="168"/>
      <c r="KA48" s="168"/>
      <c r="KB48" s="168"/>
      <c r="KF48" s="168"/>
      <c r="KG48" s="168"/>
      <c r="KH48" s="168"/>
      <c r="KI48" s="168"/>
      <c r="KJ48" s="168"/>
      <c r="KK48" s="168"/>
      <c r="KL48" s="168"/>
      <c r="KM48" s="168"/>
      <c r="KN48" s="168"/>
    </row>
    <row r="49" spans="1:500">
      <c r="A49" s="18" t="s">
        <v>166</v>
      </c>
      <c r="B49" s="19" t="s">
        <v>165</v>
      </c>
      <c r="C49" s="20">
        <v>0</v>
      </c>
      <c r="D49" s="20">
        <v>0</v>
      </c>
      <c r="E49" s="20">
        <v>0</v>
      </c>
      <c r="F49" s="20">
        <v>4.0030000000000001</v>
      </c>
      <c r="G49" s="20">
        <v>0</v>
      </c>
      <c r="H49" s="170"/>
      <c r="I49" s="170"/>
    </row>
    <row r="50" spans="1:500" ht="20.399999999999999">
      <c r="A50" s="18" t="s">
        <v>168</v>
      </c>
      <c r="B50" s="19" t="s">
        <v>167</v>
      </c>
      <c r="C50" s="20">
        <v>0</v>
      </c>
      <c r="D50" s="20">
        <v>0</v>
      </c>
      <c r="E50" s="20">
        <v>0</v>
      </c>
      <c r="F50" s="20">
        <v>18.015280000000001</v>
      </c>
      <c r="G50" s="20">
        <v>0</v>
      </c>
      <c r="H50" s="170"/>
      <c r="I50" s="170"/>
      <c r="K50" s="2592" t="s">
        <v>345</v>
      </c>
      <c r="L50" s="2593"/>
      <c r="M50" s="2593"/>
      <c r="N50" s="2593"/>
      <c r="O50" s="2593"/>
      <c r="P50" s="2593"/>
      <c r="Q50" s="2593"/>
      <c r="R50" s="2593"/>
      <c r="S50" s="2593"/>
      <c r="T50" s="2593"/>
      <c r="U50" s="2593"/>
      <c r="V50" s="2593"/>
      <c r="W50" s="2593"/>
      <c r="X50" s="2593"/>
      <c r="Y50" s="2593"/>
      <c r="Z50" s="2593"/>
      <c r="AA50" s="2593"/>
      <c r="AB50" s="2593"/>
      <c r="AC50" s="2593"/>
      <c r="AD50" s="2593"/>
      <c r="AE50" s="2593"/>
      <c r="AF50" s="2593"/>
      <c r="AG50" s="2593"/>
      <c r="AH50" s="2593"/>
      <c r="AI50" s="2593"/>
      <c r="AJ50" s="2593"/>
      <c r="AK50" s="2593"/>
      <c r="AL50" s="2593"/>
      <c r="AM50" s="2593"/>
      <c r="AN50" s="2593"/>
      <c r="AO50" s="2593"/>
      <c r="AP50" s="2593"/>
      <c r="AQ50" s="2593"/>
      <c r="AR50" s="2593"/>
      <c r="AS50" s="2593"/>
      <c r="AT50" s="2593"/>
      <c r="AU50" s="2593"/>
      <c r="AV50" s="2593"/>
      <c r="AW50" s="2593"/>
      <c r="AX50" s="2593"/>
      <c r="AY50" s="2593"/>
      <c r="AZ50" s="2593"/>
      <c r="BA50" s="2593"/>
      <c r="BB50" s="2593"/>
      <c r="BC50" s="2593"/>
      <c r="BD50" s="2593"/>
      <c r="BE50" s="2593"/>
      <c r="BF50" s="2594"/>
      <c r="BH50" s="2592" t="s">
        <v>344</v>
      </c>
      <c r="BI50" s="2593"/>
      <c r="BJ50" s="2593"/>
      <c r="BK50" s="2593"/>
      <c r="BL50" s="2593"/>
      <c r="BM50" s="2593"/>
      <c r="BN50" s="2593"/>
      <c r="BO50" s="2593"/>
      <c r="BP50" s="2593"/>
      <c r="BQ50" s="2593"/>
      <c r="BR50" s="2593"/>
      <c r="BS50" s="2593"/>
      <c r="BT50" s="2593"/>
      <c r="BU50" s="2593"/>
      <c r="BV50" s="2593"/>
      <c r="BW50" s="2593"/>
      <c r="BX50" s="2593"/>
      <c r="BY50" s="2593"/>
      <c r="BZ50" s="2593"/>
      <c r="CA50" s="2593"/>
      <c r="CB50" s="2593"/>
      <c r="CC50" s="2593"/>
      <c r="CD50" s="2593"/>
      <c r="CE50" s="2593"/>
      <c r="CF50" s="2593"/>
      <c r="CG50" s="2593"/>
      <c r="CH50" s="2593"/>
      <c r="CI50" s="2593"/>
      <c r="CJ50" s="2593"/>
      <c r="CK50" s="2593"/>
      <c r="CL50" s="2593"/>
      <c r="CM50" s="2593"/>
      <c r="CN50" s="2593"/>
      <c r="CO50" s="2593"/>
      <c r="CP50" s="2593"/>
      <c r="CQ50" s="2593"/>
      <c r="CR50" s="2593"/>
      <c r="CS50" s="2593"/>
      <c r="CT50" s="2593"/>
      <c r="CU50" s="2593"/>
      <c r="CV50" s="2593"/>
      <c r="CW50" s="2593"/>
      <c r="CX50" s="2593"/>
      <c r="CY50" s="2593"/>
      <c r="CZ50" s="2593"/>
      <c r="DA50" s="2593"/>
      <c r="DB50" s="2593"/>
      <c r="DC50" s="2594"/>
      <c r="DE50" s="2592" t="s">
        <v>343</v>
      </c>
      <c r="DF50" s="2593"/>
      <c r="DG50" s="2593"/>
      <c r="DH50" s="2593"/>
      <c r="DI50" s="2593"/>
      <c r="DJ50" s="2593"/>
      <c r="DK50" s="2593"/>
      <c r="DL50" s="2593"/>
      <c r="DM50" s="2593"/>
      <c r="DN50" s="2593"/>
      <c r="DO50" s="2593"/>
      <c r="DP50" s="2593"/>
      <c r="DQ50" s="2593"/>
      <c r="DR50" s="2593"/>
      <c r="DS50" s="2593"/>
      <c r="DT50" s="2593"/>
      <c r="DU50" s="2593"/>
      <c r="DV50" s="2593"/>
      <c r="DW50" s="2593"/>
      <c r="DX50" s="2593"/>
      <c r="DY50" s="2593"/>
      <c r="DZ50" s="2593"/>
      <c r="EA50" s="2593"/>
      <c r="EB50" s="2593"/>
      <c r="EC50" s="2593"/>
      <c r="ED50" s="2593"/>
      <c r="EE50" s="2593"/>
      <c r="EF50" s="2593"/>
      <c r="EG50" s="2593"/>
      <c r="EH50" s="2593"/>
      <c r="EI50" s="2593"/>
      <c r="EJ50" s="2593"/>
      <c r="EK50" s="2593"/>
      <c r="EL50" s="2593"/>
      <c r="EM50" s="2593"/>
      <c r="EN50" s="2593"/>
      <c r="EO50" s="2593"/>
      <c r="EP50" s="2593"/>
      <c r="EQ50" s="2593"/>
      <c r="ER50" s="2593"/>
      <c r="ES50" s="2593"/>
      <c r="ET50" s="2593"/>
      <c r="EU50" s="2593"/>
      <c r="EV50" s="2593"/>
      <c r="EW50" s="2593"/>
      <c r="EX50" s="2593"/>
      <c r="EY50" s="2593"/>
      <c r="EZ50" s="2594"/>
      <c r="FB50" s="2592" t="s">
        <v>342</v>
      </c>
      <c r="FC50" s="2593"/>
      <c r="FD50" s="2593"/>
      <c r="FE50" s="2593"/>
      <c r="FF50" s="2593"/>
      <c r="FG50" s="2593"/>
      <c r="FH50" s="2593"/>
      <c r="FI50" s="2593"/>
      <c r="FJ50" s="2593"/>
      <c r="FK50" s="2593"/>
      <c r="FL50" s="2593"/>
      <c r="FM50" s="2593"/>
      <c r="FN50" s="2593"/>
      <c r="FO50" s="2593"/>
      <c r="FP50" s="2593"/>
      <c r="FQ50" s="2593"/>
      <c r="FR50" s="2593"/>
      <c r="FS50" s="2593"/>
      <c r="FT50" s="2593"/>
      <c r="FU50" s="2593"/>
      <c r="FV50" s="2593"/>
      <c r="FW50" s="2593"/>
      <c r="FX50" s="2593"/>
      <c r="FY50" s="2593"/>
      <c r="FZ50" s="2593"/>
      <c r="GA50" s="2593"/>
      <c r="GB50" s="2593"/>
      <c r="GC50" s="2593"/>
      <c r="GD50" s="2593"/>
      <c r="GE50" s="2593"/>
      <c r="GF50" s="2593"/>
      <c r="GG50" s="2593"/>
      <c r="GH50" s="2593"/>
      <c r="GI50" s="2593"/>
      <c r="GJ50" s="2593"/>
      <c r="GK50" s="2593"/>
      <c r="GL50" s="2593"/>
      <c r="GM50" s="2593"/>
      <c r="GN50" s="2593"/>
      <c r="GO50" s="2593"/>
      <c r="GP50" s="2593"/>
      <c r="GQ50" s="2593"/>
      <c r="GR50" s="2593"/>
      <c r="GS50" s="2593"/>
      <c r="GT50" s="2593"/>
      <c r="GU50" s="2593"/>
      <c r="GV50" s="2593"/>
      <c r="GW50" s="2594"/>
      <c r="GY50" s="2592" t="s">
        <v>341</v>
      </c>
      <c r="GZ50" s="2593"/>
      <c r="HA50" s="2593"/>
      <c r="HB50" s="2593"/>
      <c r="HC50" s="2593"/>
      <c r="HD50" s="2593"/>
      <c r="HE50" s="2593"/>
      <c r="HF50" s="2593"/>
      <c r="HG50" s="2593"/>
      <c r="HH50" s="2593"/>
      <c r="HI50" s="2593"/>
      <c r="HJ50" s="2593"/>
      <c r="HK50" s="2593"/>
      <c r="HL50" s="2593"/>
      <c r="HM50" s="2593"/>
      <c r="HN50" s="2593"/>
      <c r="HO50" s="2593"/>
      <c r="HP50" s="2593"/>
      <c r="HQ50" s="2593"/>
      <c r="HR50" s="2593"/>
      <c r="HS50" s="2593"/>
      <c r="HT50" s="2593"/>
      <c r="HU50" s="2593"/>
      <c r="HV50" s="2593"/>
      <c r="HW50" s="2593"/>
      <c r="HX50" s="2593"/>
      <c r="HY50" s="2593"/>
      <c r="HZ50" s="2593"/>
      <c r="IA50" s="2593"/>
      <c r="IB50" s="2593"/>
      <c r="IC50" s="2593"/>
      <c r="ID50" s="2593"/>
      <c r="IE50" s="2593"/>
      <c r="IF50" s="2593"/>
      <c r="IG50" s="2593"/>
      <c r="IH50" s="2593"/>
      <c r="II50" s="2593"/>
      <c r="IJ50" s="2593"/>
      <c r="IK50" s="2593"/>
      <c r="IL50" s="2593"/>
      <c r="IM50" s="2593"/>
      <c r="IN50" s="2593"/>
      <c r="IO50" s="2593"/>
      <c r="IP50" s="2593"/>
      <c r="IQ50" s="2593"/>
      <c r="IR50" s="2593"/>
      <c r="IS50" s="2593"/>
      <c r="IT50" s="2594"/>
      <c r="IV50" s="2592" t="s">
        <v>340</v>
      </c>
      <c r="IW50" s="2593"/>
      <c r="IX50" s="2593"/>
      <c r="IY50" s="2593"/>
      <c r="IZ50" s="2593"/>
      <c r="JA50" s="2593"/>
      <c r="JB50" s="2593"/>
      <c r="JC50" s="2593"/>
      <c r="JD50" s="2593"/>
      <c r="JE50" s="2593"/>
      <c r="JF50" s="2593"/>
      <c r="JG50" s="2593"/>
      <c r="JH50" s="2593"/>
      <c r="JI50" s="2593"/>
      <c r="JJ50" s="2593"/>
      <c r="JK50" s="2593"/>
      <c r="JL50" s="2593"/>
      <c r="JM50" s="2593"/>
      <c r="JN50" s="2593"/>
      <c r="JO50" s="2593"/>
      <c r="JP50" s="2593"/>
      <c r="JQ50" s="2593"/>
      <c r="JR50" s="2593"/>
      <c r="JS50" s="2593"/>
      <c r="JT50" s="2593"/>
      <c r="JU50" s="2593"/>
      <c r="JV50" s="2593"/>
      <c r="JW50" s="2593"/>
      <c r="JX50" s="2593"/>
      <c r="JY50" s="2593"/>
      <c r="JZ50" s="2593"/>
      <c r="KA50" s="2593"/>
      <c r="KB50" s="2593"/>
      <c r="KC50" s="2593"/>
      <c r="KD50" s="2593"/>
      <c r="KE50" s="2593"/>
      <c r="KF50" s="2593"/>
      <c r="KG50" s="2593"/>
      <c r="KH50" s="2593"/>
      <c r="KI50" s="2593"/>
      <c r="KJ50" s="2593"/>
      <c r="KK50" s="2593"/>
      <c r="KL50" s="2593"/>
      <c r="KM50" s="2593"/>
      <c r="KN50" s="2593"/>
      <c r="KO50" s="2593"/>
      <c r="KP50" s="2593"/>
      <c r="KQ50" s="2594"/>
      <c r="KS50" s="2592" t="s">
        <v>941</v>
      </c>
      <c r="KT50" s="2593"/>
      <c r="KU50" s="2593"/>
      <c r="KV50" s="2593"/>
      <c r="KW50" s="2593"/>
      <c r="KX50" s="2593"/>
      <c r="KY50" s="2593"/>
      <c r="KZ50" s="2593"/>
      <c r="LA50" s="2593"/>
      <c r="LB50" s="2593"/>
      <c r="LC50" s="2593"/>
      <c r="LD50" s="2593"/>
      <c r="LE50" s="2593"/>
      <c r="LF50" s="2593"/>
      <c r="LG50" s="2593"/>
      <c r="LH50" s="2593"/>
      <c r="LI50" s="2593"/>
      <c r="LJ50" s="2593"/>
      <c r="LK50" s="2593"/>
      <c r="LL50" s="2593"/>
      <c r="LM50" s="2593"/>
      <c r="LN50" s="2593"/>
      <c r="LO50" s="2593"/>
      <c r="LP50" s="2593"/>
      <c r="LQ50" s="2593"/>
      <c r="LR50" s="2593"/>
      <c r="LS50" s="2593"/>
      <c r="LT50" s="2593"/>
      <c r="LU50" s="2593"/>
      <c r="LV50" s="2593"/>
      <c r="LW50" s="2593"/>
      <c r="LX50" s="2593"/>
      <c r="LY50" s="2593"/>
      <c r="LZ50" s="2593"/>
      <c r="MA50" s="2593"/>
      <c r="MB50" s="2593"/>
      <c r="MC50" s="2593"/>
      <c r="MD50" s="2593"/>
      <c r="ME50" s="2593"/>
      <c r="MF50" s="2593"/>
      <c r="MG50" s="2593"/>
      <c r="MH50" s="2593"/>
      <c r="MI50" s="2593"/>
      <c r="MJ50" s="2593"/>
      <c r="MK50" s="2593"/>
      <c r="ML50" s="2593"/>
      <c r="MM50" s="2593"/>
      <c r="MN50" s="2594"/>
      <c r="MP50" s="2592" t="s">
        <v>942</v>
      </c>
      <c r="MQ50" s="2593"/>
      <c r="MR50" s="2593"/>
      <c r="MS50" s="2593"/>
      <c r="MT50" s="2593"/>
      <c r="MU50" s="2593"/>
      <c r="MV50" s="2593"/>
      <c r="MW50" s="2593"/>
      <c r="MX50" s="2593"/>
      <c r="MY50" s="2593"/>
      <c r="MZ50" s="2593"/>
      <c r="NA50" s="2593"/>
      <c r="NB50" s="2593"/>
      <c r="NC50" s="2593"/>
      <c r="ND50" s="2593"/>
      <c r="NE50" s="2593"/>
      <c r="NF50" s="2593"/>
      <c r="NG50" s="2593"/>
      <c r="NH50" s="2593"/>
      <c r="NI50" s="2593"/>
      <c r="NJ50" s="2593"/>
      <c r="NK50" s="2593"/>
      <c r="NL50" s="2593"/>
      <c r="NM50" s="2593"/>
      <c r="NN50" s="2593"/>
      <c r="NO50" s="2593"/>
      <c r="NP50" s="2593"/>
      <c r="NQ50" s="2593"/>
      <c r="NR50" s="2593"/>
      <c r="NS50" s="2593"/>
      <c r="NT50" s="2593"/>
      <c r="NU50" s="2593"/>
      <c r="NV50" s="2593"/>
      <c r="NW50" s="2593"/>
      <c r="NX50" s="2593"/>
      <c r="NY50" s="2593"/>
      <c r="NZ50" s="2593"/>
      <c r="OA50" s="2593"/>
      <c r="OB50" s="2593"/>
      <c r="OC50" s="2593"/>
      <c r="OD50" s="2593"/>
      <c r="OE50" s="2593"/>
      <c r="OF50" s="2593"/>
      <c r="OG50" s="2593"/>
      <c r="OH50" s="2593"/>
      <c r="OI50" s="2593"/>
      <c r="OJ50" s="2593"/>
      <c r="OK50" s="2594"/>
      <c r="ON50" s="2592" t="s">
        <v>943</v>
      </c>
      <c r="OO50" s="2593"/>
      <c r="OP50" s="2593"/>
      <c r="OQ50" s="2593"/>
      <c r="OR50" s="2593"/>
      <c r="OS50" s="2593"/>
      <c r="OT50" s="2593"/>
      <c r="OU50" s="2593"/>
      <c r="OV50" s="2593"/>
      <c r="OW50" s="2593"/>
      <c r="OX50" s="2593"/>
      <c r="OY50" s="2593"/>
      <c r="OZ50" s="2593"/>
      <c r="PA50" s="2593"/>
      <c r="PB50" s="2593"/>
      <c r="PC50" s="2593"/>
      <c r="PD50" s="2593"/>
      <c r="PE50" s="2593"/>
      <c r="PF50" s="2593"/>
      <c r="PG50" s="2593"/>
      <c r="PH50" s="2593"/>
      <c r="PI50" s="2593"/>
      <c r="PJ50" s="2593"/>
      <c r="PK50" s="2593"/>
      <c r="PL50" s="2593"/>
      <c r="PM50" s="2593"/>
      <c r="PN50" s="2593"/>
      <c r="PO50" s="2593"/>
      <c r="PP50" s="2593"/>
      <c r="PQ50" s="2593"/>
      <c r="PR50" s="2593"/>
      <c r="PS50" s="2593"/>
      <c r="PT50" s="2593"/>
      <c r="PU50" s="2593"/>
      <c r="PV50" s="2593"/>
      <c r="PW50" s="2593"/>
      <c r="PX50" s="2593"/>
      <c r="PY50" s="2593"/>
      <c r="PZ50" s="2593"/>
      <c r="QA50" s="2593"/>
      <c r="QB50" s="2593"/>
      <c r="QC50" s="2593"/>
      <c r="QD50" s="2593"/>
      <c r="QE50" s="2593"/>
      <c r="QF50" s="2593"/>
      <c r="QG50" s="2593"/>
      <c r="QH50" s="2593"/>
      <c r="QI50" s="2594"/>
      <c r="QK50" s="2592" t="s">
        <v>944</v>
      </c>
      <c r="QL50" s="2593"/>
      <c r="QM50" s="2593"/>
      <c r="QN50" s="2593"/>
      <c r="QO50" s="2593"/>
      <c r="QP50" s="2593"/>
      <c r="QQ50" s="2593"/>
      <c r="QR50" s="2593"/>
      <c r="QS50" s="2593"/>
      <c r="QT50" s="2593"/>
      <c r="QU50" s="2593"/>
      <c r="QV50" s="2593"/>
      <c r="QW50" s="2593"/>
      <c r="QX50" s="2593"/>
      <c r="QY50" s="2593"/>
      <c r="QZ50" s="2593"/>
      <c r="RA50" s="2593"/>
      <c r="RB50" s="2593"/>
      <c r="RC50" s="2593"/>
      <c r="RD50" s="2593"/>
      <c r="RE50" s="2593"/>
      <c r="RF50" s="2593"/>
      <c r="RG50" s="2593"/>
      <c r="RH50" s="2593"/>
      <c r="RI50" s="2593"/>
      <c r="RJ50" s="2593"/>
      <c r="RK50" s="2593"/>
      <c r="RL50" s="2593"/>
      <c r="RM50" s="2593"/>
      <c r="RN50" s="2593"/>
      <c r="RO50" s="2593"/>
      <c r="RP50" s="2593"/>
      <c r="RQ50" s="2593"/>
      <c r="RR50" s="2593"/>
      <c r="RS50" s="2593"/>
      <c r="RT50" s="2593"/>
      <c r="RU50" s="2593"/>
      <c r="RV50" s="2593"/>
      <c r="RW50" s="2593"/>
      <c r="RX50" s="2593"/>
      <c r="RY50" s="2593"/>
      <c r="RZ50" s="2593"/>
      <c r="SA50" s="2593"/>
      <c r="SB50" s="2593"/>
      <c r="SC50" s="2593"/>
      <c r="SD50" s="2593"/>
      <c r="SE50" s="2593"/>
      <c r="SF50" s="2594"/>
    </row>
    <row r="51" spans="1:500" ht="19.2" thickBot="1">
      <c r="A51" s="18" t="s">
        <v>169</v>
      </c>
      <c r="B51" s="19" t="s">
        <v>39</v>
      </c>
      <c r="C51" s="20">
        <v>1</v>
      </c>
      <c r="D51" s="20">
        <v>0.28289999999999998</v>
      </c>
      <c r="E51" s="20">
        <v>0.28289999999999998</v>
      </c>
      <c r="F51" s="20">
        <v>28.010400000000001</v>
      </c>
      <c r="G51" s="20">
        <v>0</v>
      </c>
      <c r="H51" s="170"/>
      <c r="I51" s="170"/>
      <c r="K51" s="2598" t="s">
        <v>237</v>
      </c>
      <c r="L51" s="2599"/>
      <c r="M51" s="2599"/>
      <c r="N51" s="2599"/>
      <c r="O51" s="2599"/>
      <c r="P51" s="2599"/>
      <c r="Q51" s="2599"/>
      <c r="R51" s="2599"/>
      <c r="S51" s="2599"/>
      <c r="T51" s="2599"/>
      <c r="U51" s="2599"/>
      <c r="V51" s="2600"/>
      <c r="W51" s="2601" t="s">
        <v>238</v>
      </c>
      <c r="X51" s="2602"/>
      <c r="Y51" s="2602"/>
      <c r="Z51" s="2602"/>
      <c r="AA51" s="2602"/>
      <c r="AB51" s="2602"/>
      <c r="AC51" s="2602"/>
      <c r="AD51" s="2602"/>
      <c r="AE51" s="2602"/>
      <c r="AF51" s="2602"/>
      <c r="AG51" s="2602"/>
      <c r="AH51" s="2603"/>
      <c r="AI51" s="2604" t="s">
        <v>239</v>
      </c>
      <c r="AJ51" s="2605"/>
      <c r="AK51" s="2605"/>
      <c r="AL51" s="2605"/>
      <c r="AM51" s="2605"/>
      <c r="AN51" s="2605"/>
      <c r="AO51" s="2605"/>
      <c r="AP51" s="2605"/>
      <c r="AQ51" s="2605"/>
      <c r="AR51" s="2605"/>
      <c r="AS51" s="2605"/>
      <c r="AT51" s="2606"/>
      <c r="AU51" s="2585" t="s">
        <v>240</v>
      </c>
      <c r="AV51" s="2586"/>
      <c r="AW51" s="2586"/>
      <c r="AX51" s="2586"/>
      <c r="AY51" s="2586"/>
      <c r="AZ51" s="2586"/>
      <c r="BA51" s="2586"/>
      <c r="BB51" s="2586"/>
      <c r="BC51" s="2586"/>
      <c r="BD51" s="2586"/>
      <c r="BE51" s="2586"/>
      <c r="BF51" s="2587"/>
      <c r="BH51" s="2595" t="s">
        <v>237</v>
      </c>
      <c r="BI51" s="2596"/>
      <c r="BJ51" s="2596"/>
      <c r="BK51" s="2596"/>
      <c r="BL51" s="2596"/>
      <c r="BM51" s="2596"/>
      <c r="BN51" s="2596"/>
      <c r="BO51" s="2596"/>
      <c r="BP51" s="2596"/>
      <c r="BQ51" s="2596"/>
      <c r="BR51" s="2596"/>
      <c r="BS51" s="2597"/>
      <c r="BT51" s="2585" t="s">
        <v>238</v>
      </c>
      <c r="BU51" s="2586"/>
      <c r="BV51" s="2586"/>
      <c r="BW51" s="2586"/>
      <c r="BX51" s="2586"/>
      <c r="BY51" s="2586"/>
      <c r="BZ51" s="2586"/>
      <c r="CA51" s="2586"/>
      <c r="CB51" s="2586"/>
      <c r="CC51" s="2586"/>
      <c r="CD51" s="2586"/>
      <c r="CE51" s="2587"/>
      <c r="CF51" s="2595" t="s">
        <v>239</v>
      </c>
      <c r="CG51" s="2596"/>
      <c r="CH51" s="2596"/>
      <c r="CI51" s="2596"/>
      <c r="CJ51" s="2596"/>
      <c r="CK51" s="2596"/>
      <c r="CL51" s="2596"/>
      <c r="CM51" s="2596"/>
      <c r="CN51" s="2596"/>
      <c r="CO51" s="2596"/>
      <c r="CP51" s="2596"/>
      <c r="CQ51" s="2597"/>
      <c r="CR51" s="2585" t="s">
        <v>240</v>
      </c>
      <c r="CS51" s="2586"/>
      <c r="CT51" s="2586"/>
      <c r="CU51" s="2586"/>
      <c r="CV51" s="2586"/>
      <c r="CW51" s="2586"/>
      <c r="CX51" s="2586"/>
      <c r="CY51" s="2586"/>
      <c r="CZ51" s="2586"/>
      <c r="DA51" s="2586"/>
      <c r="DB51" s="2586"/>
      <c r="DC51" s="2587"/>
      <c r="DE51" s="2595" t="s">
        <v>237</v>
      </c>
      <c r="DF51" s="2596"/>
      <c r="DG51" s="2596"/>
      <c r="DH51" s="2596"/>
      <c r="DI51" s="2596"/>
      <c r="DJ51" s="2596"/>
      <c r="DK51" s="2596"/>
      <c r="DL51" s="2596"/>
      <c r="DM51" s="2596"/>
      <c r="DN51" s="2596"/>
      <c r="DO51" s="2596"/>
      <c r="DP51" s="2597"/>
      <c r="DQ51" s="2585" t="s">
        <v>238</v>
      </c>
      <c r="DR51" s="2586"/>
      <c r="DS51" s="2586"/>
      <c r="DT51" s="2586"/>
      <c r="DU51" s="2586"/>
      <c r="DV51" s="2586"/>
      <c r="DW51" s="2586"/>
      <c r="DX51" s="2586"/>
      <c r="DY51" s="2586"/>
      <c r="DZ51" s="2586"/>
      <c r="EA51" s="2586"/>
      <c r="EB51" s="2587"/>
      <c r="EC51" s="2595" t="s">
        <v>239</v>
      </c>
      <c r="ED51" s="2596"/>
      <c r="EE51" s="2596"/>
      <c r="EF51" s="2596"/>
      <c r="EG51" s="2596"/>
      <c r="EH51" s="2596"/>
      <c r="EI51" s="2596"/>
      <c r="EJ51" s="2596"/>
      <c r="EK51" s="2596"/>
      <c r="EL51" s="2596"/>
      <c r="EM51" s="2596"/>
      <c r="EN51" s="2597"/>
      <c r="EO51" s="2585" t="s">
        <v>240</v>
      </c>
      <c r="EP51" s="2586"/>
      <c r="EQ51" s="2586"/>
      <c r="ER51" s="2586"/>
      <c r="ES51" s="2586"/>
      <c r="ET51" s="2586"/>
      <c r="EU51" s="2586"/>
      <c r="EV51" s="2586"/>
      <c r="EW51" s="2586"/>
      <c r="EX51" s="2586"/>
      <c r="EY51" s="2586"/>
      <c r="EZ51" s="2587"/>
      <c r="FB51" s="2595" t="s">
        <v>237</v>
      </c>
      <c r="FC51" s="2596"/>
      <c r="FD51" s="2596"/>
      <c r="FE51" s="2596"/>
      <c r="FF51" s="2596"/>
      <c r="FG51" s="2596"/>
      <c r="FH51" s="2596"/>
      <c r="FI51" s="2596"/>
      <c r="FJ51" s="2596"/>
      <c r="FK51" s="2596"/>
      <c r="FL51" s="2596"/>
      <c r="FM51" s="2597"/>
      <c r="FN51" s="2585" t="s">
        <v>238</v>
      </c>
      <c r="FO51" s="2586"/>
      <c r="FP51" s="2586"/>
      <c r="FQ51" s="2586"/>
      <c r="FR51" s="2586"/>
      <c r="FS51" s="2586"/>
      <c r="FT51" s="2586"/>
      <c r="FU51" s="2586"/>
      <c r="FV51" s="2586"/>
      <c r="FW51" s="2586"/>
      <c r="FX51" s="2586"/>
      <c r="FY51" s="2587"/>
      <c r="FZ51" s="2595" t="s">
        <v>239</v>
      </c>
      <c r="GA51" s="2596"/>
      <c r="GB51" s="2596"/>
      <c r="GC51" s="2596"/>
      <c r="GD51" s="2596"/>
      <c r="GE51" s="2596"/>
      <c r="GF51" s="2596"/>
      <c r="GG51" s="2596"/>
      <c r="GH51" s="2596"/>
      <c r="GI51" s="2596"/>
      <c r="GJ51" s="2596"/>
      <c r="GK51" s="2597"/>
      <c r="GL51" s="2585" t="s">
        <v>240</v>
      </c>
      <c r="GM51" s="2586"/>
      <c r="GN51" s="2586"/>
      <c r="GO51" s="2586"/>
      <c r="GP51" s="2586"/>
      <c r="GQ51" s="2586"/>
      <c r="GR51" s="2586"/>
      <c r="GS51" s="2586"/>
      <c r="GT51" s="2586"/>
      <c r="GU51" s="2586"/>
      <c r="GV51" s="2586"/>
      <c r="GW51" s="2587"/>
      <c r="GY51" s="2595" t="s">
        <v>237</v>
      </c>
      <c r="GZ51" s="2596"/>
      <c r="HA51" s="2596"/>
      <c r="HB51" s="2596"/>
      <c r="HC51" s="2596"/>
      <c r="HD51" s="2596"/>
      <c r="HE51" s="2596"/>
      <c r="HF51" s="2596"/>
      <c r="HG51" s="2596"/>
      <c r="HH51" s="2596"/>
      <c r="HI51" s="2596"/>
      <c r="HJ51" s="2597"/>
      <c r="HK51" s="2585" t="s">
        <v>238</v>
      </c>
      <c r="HL51" s="2586"/>
      <c r="HM51" s="2586"/>
      <c r="HN51" s="2586"/>
      <c r="HO51" s="2586"/>
      <c r="HP51" s="2586"/>
      <c r="HQ51" s="2586"/>
      <c r="HR51" s="2586"/>
      <c r="HS51" s="2586"/>
      <c r="HT51" s="2586"/>
      <c r="HU51" s="2586"/>
      <c r="HV51" s="2587"/>
      <c r="HW51" s="2595" t="s">
        <v>239</v>
      </c>
      <c r="HX51" s="2596"/>
      <c r="HY51" s="2596"/>
      <c r="HZ51" s="2596"/>
      <c r="IA51" s="2596"/>
      <c r="IB51" s="2596"/>
      <c r="IC51" s="2596"/>
      <c r="ID51" s="2596"/>
      <c r="IE51" s="2596"/>
      <c r="IF51" s="2596"/>
      <c r="IG51" s="2596"/>
      <c r="IH51" s="2597"/>
      <c r="II51" s="2585" t="s">
        <v>240</v>
      </c>
      <c r="IJ51" s="2586"/>
      <c r="IK51" s="2586"/>
      <c r="IL51" s="2586"/>
      <c r="IM51" s="2586"/>
      <c r="IN51" s="2586"/>
      <c r="IO51" s="2586"/>
      <c r="IP51" s="2586"/>
      <c r="IQ51" s="2586"/>
      <c r="IR51" s="2586"/>
      <c r="IS51" s="2586"/>
      <c r="IT51" s="2587"/>
      <c r="IV51" s="2595" t="s">
        <v>237</v>
      </c>
      <c r="IW51" s="2596"/>
      <c r="IX51" s="2596"/>
      <c r="IY51" s="2596"/>
      <c r="IZ51" s="2596"/>
      <c r="JA51" s="2596"/>
      <c r="JB51" s="2596"/>
      <c r="JC51" s="2596"/>
      <c r="JD51" s="2596"/>
      <c r="JE51" s="2596"/>
      <c r="JF51" s="2596"/>
      <c r="JG51" s="2597"/>
      <c r="JH51" s="2585" t="s">
        <v>238</v>
      </c>
      <c r="JI51" s="2586"/>
      <c r="JJ51" s="2586"/>
      <c r="JK51" s="2586"/>
      <c r="JL51" s="2586"/>
      <c r="JM51" s="2586"/>
      <c r="JN51" s="2586"/>
      <c r="JO51" s="2586"/>
      <c r="JP51" s="2586"/>
      <c r="JQ51" s="2586"/>
      <c r="JR51" s="2586"/>
      <c r="JS51" s="2587"/>
      <c r="JT51" s="2595" t="s">
        <v>239</v>
      </c>
      <c r="JU51" s="2596"/>
      <c r="JV51" s="2596"/>
      <c r="JW51" s="2596"/>
      <c r="JX51" s="2596"/>
      <c r="JY51" s="2596"/>
      <c r="JZ51" s="2596"/>
      <c r="KA51" s="2596"/>
      <c r="KB51" s="2596"/>
      <c r="KC51" s="2596"/>
      <c r="KD51" s="2596"/>
      <c r="KE51" s="2597"/>
      <c r="KF51" s="2585" t="s">
        <v>240</v>
      </c>
      <c r="KG51" s="2586"/>
      <c r="KH51" s="2586"/>
      <c r="KI51" s="2586"/>
      <c r="KJ51" s="2586"/>
      <c r="KK51" s="2586"/>
      <c r="KL51" s="2586"/>
      <c r="KM51" s="2586"/>
      <c r="KN51" s="2586"/>
      <c r="KO51" s="2586"/>
      <c r="KP51" s="2586"/>
      <c r="KQ51" s="2587"/>
      <c r="KS51" s="2595" t="s">
        <v>237</v>
      </c>
      <c r="KT51" s="2596"/>
      <c r="KU51" s="2596"/>
      <c r="KV51" s="2596"/>
      <c r="KW51" s="2596"/>
      <c r="KX51" s="2596"/>
      <c r="KY51" s="2596"/>
      <c r="KZ51" s="2596"/>
      <c r="LA51" s="2596"/>
      <c r="LB51" s="2596"/>
      <c r="LC51" s="2596"/>
      <c r="LD51" s="2597"/>
      <c r="LE51" s="2585" t="s">
        <v>238</v>
      </c>
      <c r="LF51" s="2586"/>
      <c r="LG51" s="2586"/>
      <c r="LH51" s="2586"/>
      <c r="LI51" s="2586"/>
      <c r="LJ51" s="2586"/>
      <c r="LK51" s="2586"/>
      <c r="LL51" s="2586"/>
      <c r="LM51" s="2586"/>
      <c r="LN51" s="2586"/>
      <c r="LO51" s="2586"/>
      <c r="LP51" s="2587"/>
      <c r="LQ51" s="2595" t="s">
        <v>239</v>
      </c>
      <c r="LR51" s="2596"/>
      <c r="LS51" s="2596"/>
      <c r="LT51" s="2596"/>
      <c r="LU51" s="2596"/>
      <c r="LV51" s="2596"/>
      <c r="LW51" s="2596"/>
      <c r="LX51" s="2596"/>
      <c r="LY51" s="2596"/>
      <c r="LZ51" s="2596"/>
      <c r="MA51" s="2596"/>
      <c r="MB51" s="2597"/>
      <c r="MC51" s="2585" t="s">
        <v>240</v>
      </c>
      <c r="MD51" s="2586"/>
      <c r="ME51" s="2586"/>
      <c r="MF51" s="2586"/>
      <c r="MG51" s="2586"/>
      <c r="MH51" s="2586"/>
      <c r="MI51" s="2586"/>
      <c r="MJ51" s="2586"/>
      <c r="MK51" s="2586"/>
      <c r="ML51" s="2586"/>
      <c r="MM51" s="2586"/>
      <c r="MN51" s="2587"/>
      <c r="MP51" s="2595" t="s">
        <v>237</v>
      </c>
      <c r="MQ51" s="2596"/>
      <c r="MR51" s="2596"/>
      <c r="MS51" s="2596"/>
      <c r="MT51" s="2596"/>
      <c r="MU51" s="2596"/>
      <c r="MV51" s="2596"/>
      <c r="MW51" s="2596"/>
      <c r="MX51" s="2596"/>
      <c r="MY51" s="2596"/>
      <c r="MZ51" s="2596"/>
      <c r="NA51" s="2597"/>
      <c r="NB51" s="2585" t="s">
        <v>238</v>
      </c>
      <c r="NC51" s="2586"/>
      <c r="ND51" s="2586"/>
      <c r="NE51" s="2586"/>
      <c r="NF51" s="2586"/>
      <c r="NG51" s="2586"/>
      <c r="NH51" s="2586"/>
      <c r="NI51" s="2586"/>
      <c r="NJ51" s="2586"/>
      <c r="NK51" s="2586"/>
      <c r="NL51" s="2586"/>
      <c r="NM51" s="2587"/>
      <c r="NN51" s="2595" t="s">
        <v>239</v>
      </c>
      <c r="NO51" s="2596"/>
      <c r="NP51" s="2596"/>
      <c r="NQ51" s="2596"/>
      <c r="NR51" s="2596"/>
      <c r="NS51" s="2596"/>
      <c r="NT51" s="2596"/>
      <c r="NU51" s="2596"/>
      <c r="NV51" s="2596"/>
      <c r="NW51" s="2596"/>
      <c r="NX51" s="2596"/>
      <c r="NY51" s="2597"/>
      <c r="NZ51" s="2585" t="s">
        <v>240</v>
      </c>
      <c r="OA51" s="2586"/>
      <c r="OB51" s="2586"/>
      <c r="OC51" s="2586"/>
      <c r="OD51" s="2586"/>
      <c r="OE51" s="2586"/>
      <c r="OF51" s="2586"/>
      <c r="OG51" s="2586"/>
      <c r="OH51" s="2586"/>
      <c r="OI51" s="2586"/>
      <c r="OJ51" s="2586"/>
      <c r="OK51" s="2587"/>
      <c r="ON51" s="2595" t="s">
        <v>237</v>
      </c>
      <c r="OO51" s="2596"/>
      <c r="OP51" s="2596"/>
      <c r="OQ51" s="2596"/>
      <c r="OR51" s="2596"/>
      <c r="OS51" s="2596"/>
      <c r="OT51" s="2596"/>
      <c r="OU51" s="2596"/>
      <c r="OV51" s="2596"/>
      <c r="OW51" s="2596"/>
      <c r="OX51" s="2596"/>
      <c r="OY51" s="2597"/>
      <c r="OZ51" s="2585" t="s">
        <v>238</v>
      </c>
      <c r="PA51" s="2586"/>
      <c r="PB51" s="2586"/>
      <c r="PC51" s="2586"/>
      <c r="PD51" s="2586"/>
      <c r="PE51" s="2586"/>
      <c r="PF51" s="2586"/>
      <c r="PG51" s="2586"/>
      <c r="PH51" s="2586"/>
      <c r="PI51" s="2586"/>
      <c r="PJ51" s="2586"/>
      <c r="PK51" s="2587"/>
      <c r="PL51" s="2595" t="s">
        <v>239</v>
      </c>
      <c r="PM51" s="2596"/>
      <c r="PN51" s="2596"/>
      <c r="PO51" s="2596"/>
      <c r="PP51" s="2596"/>
      <c r="PQ51" s="2596"/>
      <c r="PR51" s="2596"/>
      <c r="PS51" s="2596"/>
      <c r="PT51" s="2596"/>
      <c r="PU51" s="2596"/>
      <c r="PV51" s="2596"/>
      <c r="PW51" s="2597"/>
      <c r="PX51" s="2585" t="s">
        <v>240</v>
      </c>
      <c r="PY51" s="2586"/>
      <c r="PZ51" s="2586"/>
      <c r="QA51" s="2586"/>
      <c r="QB51" s="2586"/>
      <c r="QC51" s="2586"/>
      <c r="QD51" s="2586"/>
      <c r="QE51" s="2586"/>
      <c r="QF51" s="2586"/>
      <c r="QG51" s="2586"/>
      <c r="QH51" s="2586"/>
      <c r="QI51" s="2587"/>
      <c r="QK51" s="2595" t="s">
        <v>237</v>
      </c>
      <c r="QL51" s="2596"/>
      <c r="QM51" s="2596"/>
      <c r="QN51" s="2596"/>
      <c r="QO51" s="2596"/>
      <c r="QP51" s="2596"/>
      <c r="QQ51" s="2596"/>
      <c r="QR51" s="2596"/>
      <c r="QS51" s="2596"/>
      <c r="QT51" s="2596"/>
      <c r="QU51" s="2596"/>
      <c r="QV51" s="2597"/>
      <c r="QW51" s="2585" t="s">
        <v>238</v>
      </c>
      <c r="QX51" s="2586"/>
      <c r="QY51" s="2586"/>
      <c r="QZ51" s="2586"/>
      <c r="RA51" s="2586"/>
      <c r="RB51" s="2586"/>
      <c r="RC51" s="2586"/>
      <c r="RD51" s="2586"/>
      <c r="RE51" s="2586"/>
      <c r="RF51" s="2586"/>
      <c r="RG51" s="2586"/>
      <c r="RH51" s="2587"/>
      <c r="RI51" s="2595" t="s">
        <v>239</v>
      </c>
      <c r="RJ51" s="2596"/>
      <c r="RK51" s="2596"/>
      <c r="RL51" s="2596"/>
      <c r="RM51" s="2596"/>
      <c r="RN51" s="2596"/>
      <c r="RO51" s="2596"/>
      <c r="RP51" s="2596"/>
      <c r="RQ51" s="2596"/>
      <c r="RR51" s="2596"/>
      <c r="RS51" s="2596"/>
      <c r="RT51" s="2597"/>
      <c r="RU51" s="2585" t="s">
        <v>240</v>
      </c>
      <c r="RV51" s="2586"/>
      <c r="RW51" s="2586"/>
      <c r="RX51" s="2586"/>
      <c r="RY51" s="2586"/>
      <c r="RZ51" s="2586"/>
      <c r="SA51" s="2586"/>
      <c r="SB51" s="2586"/>
      <c r="SC51" s="2586"/>
      <c r="SD51" s="2586"/>
      <c r="SE51" s="2586"/>
      <c r="SF51" s="2587"/>
    </row>
    <row r="52" spans="1:500" ht="19.2" thickBot="1">
      <c r="A52" s="18" t="s">
        <v>171</v>
      </c>
      <c r="B52" s="19" t="s">
        <v>170</v>
      </c>
      <c r="C52" s="20">
        <v>0</v>
      </c>
      <c r="D52" s="20">
        <v>0</v>
      </c>
      <c r="E52" s="20">
        <v>0</v>
      </c>
      <c r="F52" s="20">
        <v>28.013400000000001</v>
      </c>
      <c r="G52" s="20">
        <v>0</v>
      </c>
      <c r="H52" s="170"/>
      <c r="I52" s="170"/>
      <c r="K52" s="190" t="s">
        <v>337</v>
      </c>
      <c r="L52" s="191" t="str">
        <f>IF(P78="","",(101325*P78)/(8.31446261815324*288.6)/1000)</f>
        <v/>
      </c>
      <c r="M52" s="192" t="s">
        <v>327</v>
      </c>
      <c r="N52" s="193" t="s">
        <v>951</v>
      </c>
      <c r="O52" s="193" t="s">
        <v>951</v>
      </c>
      <c r="P52" s="193" t="s">
        <v>952</v>
      </c>
      <c r="Q52" s="196"/>
      <c r="R52" s="197"/>
      <c r="S52" s="194" t="s">
        <v>953</v>
      </c>
      <c r="T52" s="194" t="s">
        <v>954</v>
      </c>
      <c r="U52" s="194" t="s">
        <v>954</v>
      </c>
      <c r="V52" s="193" t="s">
        <v>952</v>
      </c>
      <c r="W52" s="198" t="s">
        <v>337</v>
      </c>
      <c r="X52" s="199" t="str">
        <f>IF(AB78="","",(101325*AB78)/(8.31446261815324*288.6)/1000)</f>
        <v/>
      </c>
      <c r="Y52" s="200" t="s">
        <v>327</v>
      </c>
      <c r="Z52" s="201" t="s">
        <v>951</v>
      </c>
      <c r="AA52" s="201" t="s">
        <v>951</v>
      </c>
      <c r="AB52" s="201" t="s">
        <v>952</v>
      </c>
      <c r="AC52" s="202"/>
      <c r="AD52" s="203"/>
      <c r="AE52" s="204" t="s">
        <v>953</v>
      </c>
      <c r="AF52" s="204" t="s">
        <v>954</v>
      </c>
      <c r="AG52" s="204" t="s">
        <v>954</v>
      </c>
      <c r="AH52" s="201" t="s">
        <v>952</v>
      </c>
      <c r="AI52" s="190" t="s">
        <v>337</v>
      </c>
      <c r="AJ52" s="191" t="str">
        <f>IF(AN78="","",(101325*AN78)/(8.31446261815324*288.6)/1000)</f>
        <v/>
      </c>
      <c r="AK52" s="192" t="s">
        <v>327</v>
      </c>
      <c r="AL52" s="193" t="s">
        <v>951</v>
      </c>
      <c r="AM52" s="193" t="s">
        <v>951</v>
      </c>
      <c r="AN52" s="193" t="s">
        <v>952</v>
      </c>
      <c r="AO52" s="196"/>
      <c r="AP52" s="197"/>
      <c r="AQ52" s="194" t="s">
        <v>953</v>
      </c>
      <c r="AR52" s="194" t="s">
        <v>954</v>
      </c>
      <c r="AS52" s="194" t="s">
        <v>954</v>
      </c>
      <c r="AT52" s="193" t="s">
        <v>952</v>
      </c>
      <c r="AU52" s="198" t="s">
        <v>337</v>
      </c>
      <c r="AV52" s="199" t="str">
        <f>IF(AZ78="","",(101325*AZ78)/(8.31446261815324*288.6)/1000)</f>
        <v/>
      </c>
      <c r="AW52" s="200" t="s">
        <v>327</v>
      </c>
      <c r="AX52" s="201" t="s">
        <v>951</v>
      </c>
      <c r="AY52" s="201" t="s">
        <v>951</v>
      </c>
      <c r="AZ52" s="201" t="s">
        <v>952</v>
      </c>
      <c r="BA52" s="202"/>
      <c r="BB52" s="203"/>
      <c r="BC52" s="204" t="s">
        <v>953</v>
      </c>
      <c r="BD52" s="204" t="s">
        <v>954</v>
      </c>
      <c r="BE52" s="204" t="s">
        <v>954</v>
      </c>
      <c r="BF52" s="201" t="s">
        <v>952</v>
      </c>
      <c r="BH52" s="190" t="s">
        <v>337</v>
      </c>
      <c r="BI52" s="191" t="str">
        <f>IF(BM78="","",(101325*BM78)/(8.31446261815324*288.6)/1000)</f>
        <v/>
      </c>
      <c r="BJ52" s="192" t="s">
        <v>327</v>
      </c>
      <c r="BK52" s="193" t="s">
        <v>951</v>
      </c>
      <c r="BL52" s="193" t="s">
        <v>951</v>
      </c>
      <c r="BM52" s="193" t="s">
        <v>952</v>
      </c>
      <c r="BN52" s="196"/>
      <c r="BO52" s="197"/>
      <c r="BP52" s="194" t="s">
        <v>953</v>
      </c>
      <c r="BQ52" s="194" t="s">
        <v>954</v>
      </c>
      <c r="BR52" s="194" t="s">
        <v>954</v>
      </c>
      <c r="BS52" s="193" t="s">
        <v>952</v>
      </c>
      <c r="BT52" s="198" t="s">
        <v>337</v>
      </c>
      <c r="BU52" s="199" t="str">
        <f>IF(BY78="","",(101325*BY78)/(8.31446261815324*288.6)/1000)</f>
        <v/>
      </c>
      <c r="BV52" s="200" t="s">
        <v>327</v>
      </c>
      <c r="BW52" s="201" t="s">
        <v>951</v>
      </c>
      <c r="BX52" s="201" t="s">
        <v>951</v>
      </c>
      <c r="BY52" s="201" t="s">
        <v>952</v>
      </c>
      <c r="BZ52" s="202"/>
      <c r="CA52" s="203"/>
      <c r="CB52" s="204" t="s">
        <v>953</v>
      </c>
      <c r="CC52" s="204" t="s">
        <v>954</v>
      </c>
      <c r="CD52" s="204" t="s">
        <v>954</v>
      </c>
      <c r="CE52" s="201" t="s">
        <v>952</v>
      </c>
      <c r="CF52" s="190" t="s">
        <v>337</v>
      </c>
      <c r="CG52" s="191" t="str">
        <f>IF(CK78="","",(101325*CK78)/(8.31446261815324*288.6)/1000)</f>
        <v/>
      </c>
      <c r="CH52" s="192" t="s">
        <v>327</v>
      </c>
      <c r="CI52" s="193" t="s">
        <v>951</v>
      </c>
      <c r="CJ52" s="193" t="s">
        <v>951</v>
      </c>
      <c r="CK52" s="193" t="s">
        <v>952</v>
      </c>
      <c r="CL52" s="196"/>
      <c r="CM52" s="197"/>
      <c r="CN52" s="194" t="s">
        <v>953</v>
      </c>
      <c r="CO52" s="194" t="s">
        <v>954</v>
      </c>
      <c r="CP52" s="194" t="s">
        <v>954</v>
      </c>
      <c r="CQ52" s="193" t="s">
        <v>952</v>
      </c>
      <c r="CR52" s="198" t="s">
        <v>337</v>
      </c>
      <c r="CS52" s="199" t="str">
        <f>IF(CW78="","",(101325*CW78)/(8.31446261815324*288.6)/1000)</f>
        <v/>
      </c>
      <c r="CT52" s="200" t="s">
        <v>327</v>
      </c>
      <c r="CU52" s="201" t="s">
        <v>951</v>
      </c>
      <c r="CV52" s="201" t="s">
        <v>951</v>
      </c>
      <c r="CW52" s="201" t="s">
        <v>952</v>
      </c>
      <c r="CX52" s="202"/>
      <c r="CY52" s="203"/>
      <c r="CZ52" s="204" t="s">
        <v>953</v>
      </c>
      <c r="DA52" s="204" t="s">
        <v>954</v>
      </c>
      <c r="DB52" s="204" t="s">
        <v>954</v>
      </c>
      <c r="DC52" s="201" t="s">
        <v>952</v>
      </c>
      <c r="DE52" s="190" t="s">
        <v>337</v>
      </c>
      <c r="DF52" s="191" t="str">
        <f>IF(DJ78="","",(101325*DJ78)/(8.31446261815324*288.6)/1000)</f>
        <v/>
      </c>
      <c r="DG52" s="192" t="s">
        <v>327</v>
      </c>
      <c r="DH52" s="193" t="s">
        <v>951</v>
      </c>
      <c r="DI52" s="193" t="s">
        <v>951</v>
      </c>
      <c r="DJ52" s="193" t="s">
        <v>952</v>
      </c>
      <c r="DK52" s="196"/>
      <c r="DL52" s="197"/>
      <c r="DM52" s="194" t="s">
        <v>953</v>
      </c>
      <c r="DN52" s="194" t="s">
        <v>954</v>
      </c>
      <c r="DO52" s="194" t="s">
        <v>954</v>
      </c>
      <c r="DP52" s="193" t="s">
        <v>952</v>
      </c>
      <c r="DQ52" s="198" t="s">
        <v>337</v>
      </c>
      <c r="DR52" s="199" t="str">
        <f>IF(DV78="","",(101325*DV78)/(8.31446261815324*288.6)/1000)</f>
        <v/>
      </c>
      <c r="DS52" s="200" t="s">
        <v>327</v>
      </c>
      <c r="DT52" s="201" t="s">
        <v>951</v>
      </c>
      <c r="DU52" s="201" t="s">
        <v>951</v>
      </c>
      <c r="DV52" s="201" t="s">
        <v>952</v>
      </c>
      <c r="DW52" s="202"/>
      <c r="DX52" s="203"/>
      <c r="DY52" s="204" t="s">
        <v>953</v>
      </c>
      <c r="DZ52" s="204" t="s">
        <v>954</v>
      </c>
      <c r="EA52" s="204" t="s">
        <v>954</v>
      </c>
      <c r="EB52" s="201" t="s">
        <v>952</v>
      </c>
      <c r="EC52" s="190" t="s">
        <v>337</v>
      </c>
      <c r="ED52" s="191" t="str">
        <f>IF(EH78="","",(101325*EH78)/(8.31446261815324*288.6)/1000)</f>
        <v/>
      </c>
      <c r="EE52" s="192" t="s">
        <v>327</v>
      </c>
      <c r="EF52" s="193" t="s">
        <v>951</v>
      </c>
      <c r="EG52" s="193" t="s">
        <v>951</v>
      </c>
      <c r="EH52" s="193" t="s">
        <v>952</v>
      </c>
      <c r="EI52" s="196"/>
      <c r="EJ52" s="197"/>
      <c r="EK52" s="194" t="s">
        <v>953</v>
      </c>
      <c r="EL52" s="194" t="s">
        <v>954</v>
      </c>
      <c r="EM52" s="194" t="s">
        <v>954</v>
      </c>
      <c r="EN52" s="193" t="s">
        <v>952</v>
      </c>
      <c r="EO52" s="198" t="s">
        <v>337</v>
      </c>
      <c r="EP52" s="199" t="str">
        <f>IF(ET78="","",(101325*ET78)/(8.31446261815324*288.6)/1000)</f>
        <v/>
      </c>
      <c r="EQ52" s="200" t="s">
        <v>327</v>
      </c>
      <c r="ER52" s="201" t="s">
        <v>951</v>
      </c>
      <c r="ES52" s="201" t="s">
        <v>951</v>
      </c>
      <c r="ET52" s="201" t="s">
        <v>952</v>
      </c>
      <c r="EU52" s="202"/>
      <c r="EV52" s="203"/>
      <c r="EW52" s="204" t="s">
        <v>953</v>
      </c>
      <c r="EX52" s="204" t="s">
        <v>954</v>
      </c>
      <c r="EY52" s="204" t="s">
        <v>954</v>
      </c>
      <c r="EZ52" s="201" t="s">
        <v>952</v>
      </c>
      <c r="FB52" s="190" t="s">
        <v>337</v>
      </c>
      <c r="FC52" s="191" t="str">
        <f>IF(FG78="","",(101325*FG78)/(8.31446261815324*288.6)/1000)</f>
        <v/>
      </c>
      <c r="FD52" s="192" t="s">
        <v>327</v>
      </c>
      <c r="FE52" s="193" t="s">
        <v>951</v>
      </c>
      <c r="FF52" s="193" t="s">
        <v>951</v>
      </c>
      <c r="FG52" s="193" t="s">
        <v>952</v>
      </c>
      <c r="FH52" s="196"/>
      <c r="FI52" s="197"/>
      <c r="FJ52" s="194" t="s">
        <v>953</v>
      </c>
      <c r="FK52" s="194" t="s">
        <v>954</v>
      </c>
      <c r="FL52" s="194" t="s">
        <v>954</v>
      </c>
      <c r="FM52" s="193" t="s">
        <v>952</v>
      </c>
      <c r="FN52" s="198" t="s">
        <v>337</v>
      </c>
      <c r="FO52" s="199" t="str">
        <f>IF(FS78="","",(101325*FS78)/(8.31446261815324*288.6)/1000)</f>
        <v/>
      </c>
      <c r="FP52" s="200" t="s">
        <v>327</v>
      </c>
      <c r="FQ52" s="201" t="s">
        <v>951</v>
      </c>
      <c r="FR52" s="201" t="s">
        <v>951</v>
      </c>
      <c r="FS52" s="201" t="s">
        <v>952</v>
      </c>
      <c r="FT52" s="202"/>
      <c r="FU52" s="203"/>
      <c r="FV52" s="204" t="s">
        <v>953</v>
      </c>
      <c r="FW52" s="204" t="s">
        <v>954</v>
      </c>
      <c r="FX52" s="204" t="s">
        <v>954</v>
      </c>
      <c r="FY52" s="201" t="s">
        <v>952</v>
      </c>
      <c r="FZ52" s="190" t="s">
        <v>337</v>
      </c>
      <c r="GA52" s="191" t="str">
        <f>IF(GE78="","",(101325*GE78)/(8.31446261815324*288.6)/1000)</f>
        <v/>
      </c>
      <c r="GB52" s="192" t="s">
        <v>327</v>
      </c>
      <c r="GC52" s="193" t="s">
        <v>951</v>
      </c>
      <c r="GD52" s="193" t="s">
        <v>951</v>
      </c>
      <c r="GE52" s="193" t="s">
        <v>952</v>
      </c>
      <c r="GF52" s="196"/>
      <c r="GG52" s="197"/>
      <c r="GH52" s="194" t="s">
        <v>953</v>
      </c>
      <c r="GI52" s="194" t="s">
        <v>954</v>
      </c>
      <c r="GJ52" s="194" t="s">
        <v>954</v>
      </c>
      <c r="GK52" s="193" t="s">
        <v>952</v>
      </c>
      <c r="GL52" s="198" t="s">
        <v>337</v>
      </c>
      <c r="GM52" s="199" t="str">
        <f>IF(GQ78="","",(101325*GQ78)/(8.31446261815324*288.6)/1000)</f>
        <v/>
      </c>
      <c r="GN52" s="200" t="s">
        <v>327</v>
      </c>
      <c r="GO52" s="201" t="s">
        <v>951</v>
      </c>
      <c r="GP52" s="201" t="s">
        <v>951</v>
      </c>
      <c r="GQ52" s="201" t="s">
        <v>952</v>
      </c>
      <c r="GR52" s="202"/>
      <c r="GS52" s="203"/>
      <c r="GT52" s="204" t="s">
        <v>953</v>
      </c>
      <c r="GU52" s="204" t="s">
        <v>954</v>
      </c>
      <c r="GV52" s="204" t="s">
        <v>954</v>
      </c>
      <c r="GW52" s="201" t="s">
        <v>952</v>
      </c>
      <c r="GY52" s="190" t="s">
        <v>337</v>
      </c>
      <c r="GZ52" s="191" t="str">
        <f>IF(HD78="","",(101325*HD78)/(8.31446261815324*288.6)/1000)</f>
        <v/>
      </c>
      <c r="HA52" s="192" t="s">
        <v>327</v>
      </c>
      <c r="HB52" s="193" t="s">
        <v>951</v>
      </c>
      <c r="HC52" s="193" t="s">
        <v>951</v>
      </c>
      <c r="HD52" s="193" t="s">
        <v>952</v>
      </c>
      <c r="HE52" s="196"/>
      <c r="HF52" s="197"/>
      <c r="HG52" s="194" t="s">
        <v>953</v>
      </c>
      <c r="HH52" s="194" t="s">
        <v>954</v>
      </c>
      <c r="HI52" s="194" t="s">
        <v>954</v>
      </c>
      <c r="HJ52" s="193" t="s">
        <v>952</v>
      </c>
      <c r="HK52" s="198" t="s">
        <v>337</v>
      </c>
      <c r="HL52" s="199" t="str">
        <f>IF(HP78="","",(101325*HP78)/(8.31446261815324*288.6)/1000)</f>
        <v/>
      </c>
      <c r="HM52" s="200" t="s">
        <v>327</v>
      </c>
      <c r="HN52" s="201" t="s">
        <v>951</v>
      </c>
      <c r="HO52" s="201" t="s">
        <v>951</v>
      </c>
      <c r="HP52" s="201" t="s">
        <v>952</v>
      </c>
      <c r="HQ52" s="202"/>
      <c r="HR52" s="203"/>
      <c r="HS52" s="204" t="s">
        <v>953</v>
      </c>
      <c r="HT52" s="204" t="s">
        <v>954</v>
      </c>
      <c r="HU52" s="204" t="s">
        <v>954</v>
      </c>
      <c r="HV52" s="201" t="s">
        <v>952</v>
      </c>
      <c r="HW52" s="190" t="s">
        <v>337</v>
      </c>
      <c r="HX52" s="191" t="str">
        <f>IF(IB78="","",(101325*IB78)/(8.31446261815324*288.6)/1000)</f>
        <v/>
      </c>
      <c r="HY52" s="192" t="s">
        <v>327</v>
      </c>
      <c r="HZ52" s="193" t="s">
        <v>951</v>
      </c>
      <c r="IA52" s="193" t="s">
        <v>951</v>
      </c>
      <c r="IB52" s="193" t="s">
        <v>952</v>
      </c>
      <c r="IC52" s="196"/>
      <c r="ID52" s="197"/>
      <c r="IE52" s="194" t="s">
        <v>953</v>
      </c>
      <c r="IF52" s="194" t="s">
        <v>954</v>
      </c>
      <c r="IG52" s="194" t="s">
        <v>954</v>
      </c>
      <c r="IH52" s="193" t="s">
        <v>952</v>
      </c>
      <c r="II52" s="198" t="s">
        <v>337</v>
      </c>
      <c r="IJ52" s="199" t="str">
        <f>IF(IN78="","",(101325*IN78)/(8.31446261815324*288.6)/1000)</f>
        <v/>
      </c>
      <c r="IK52" s="200" t="s">
        <v>327</v>
      </c>
      <c r="IL52" s="201" t="s">
        <v>951</v>
      </c>
      <c r="IM52" s="201" t="s">
        <v>951</v>
      </c>
      <c r="IN52" s="201" t="s">
        <v>952</v>
      </c>
      <c r="IO52" s="202"/>
      <c r="IP52" s="203"/>
      <c r="IQ52" s="204" t="s">
        <v>953</v>
      </c>
      <c r="IR52" s="204" t="s">
        <v>954</v>
      </c>
      <c r="IS52" s="204" t="s">
        <v>954</v>
      </c>
      <c r="IT52" s="201" t="s">
        <v>952</v>
      </c>
      <c r="IV52" s="190" t="s">
        <v>337</v>
      </c>
      <c r="IW52" s="191" t="str">
        <f>IF(JA78="","",(101325*JA78)/(8.31446261815324*288.6)/1000)</f>
        <v/>
      </c>
      <c r="IX52" s="192" t="s">
        <v>327</v>
      </c>
      <c r="IY52" s="193" t="s">
        <v>951</v>
      </c>
      <c r="IZ52" s="193" t="s">
        <v>951</v>
      </c>
      <c r="JA52" s="193" t="s">
        <v>952</v>
      </c>
      <c r="JB52" s="196"/>
      <c r="JC52" s="197"/>
      <c r="JD52" s="194" t="s">
        <v>953</v>
      </c>
      <c r="JE52" s="194" t="s">
        <v>954</v>
      </c>
      <c r="JF52" s="194" t="s">
        <v>954</v>
      </c>
      <c r="JG52" s="193" t="s">
        <v>952</v>
      </c>
      <c r="JH52" s="198" t="s">
        <v>337</v>
      </c>
      <c r="JI52" s="199" t="str">
        <f>IF(JM78="","",(101325*JM78)/(8.31446261815324*288.6)/1000)</f>
        <v/>
      </c>
      <c r="JJ52" s="200" t="s">
        <v>327</v>
      </c>
      <c r="JK52" s="201" t="s">
        <v>951</v>
      </c>
      <c r="JL52" s="201" t="s">
        <v>951</v>
      </c>
      <c r="JM52" s="201" t="s">
        <v>952</v>
      </c>
      <c r="JN52" s="202"/>
      <c r="JO52" s="203"/>
      <c r="JP52" s="204" t="s">
        <v>953</v>
      </c>
      <c r="JQ52" s="204" t="s">
        <v>954</v>
      </c>
      <c r="JR52" s="204" t="s">
        <v>954</v>
      </c>
      <c r="JS52" s="201" t="s">
        <v>952</v>
      </c>
      <c r="JT52" s="190" t="s">
        <v>337</v>
      </c>
      <c r="JU52" s="191" t="str">
        <f>IF(JY78="","",(101325*JY78)/(8.31446261815324*288.6)/1000)</f>
        <v/>
      </c>
      <c r="JV52" s="192" t="s">
        <v>327</v>
      </c>
      <c r="JW52" s="193" t="s">
        <v>951</v>
      </c>
      <c r="JX52" s="193" t="s">
        <v>951</v>
      </c>
      <c r="JY52" s="193" t="s">
        <v>952</v>
      </c>
      <c r="JZ52" s="196"/>
      <c r="KA52" s="197"/>
      <c r="KB52" s="194" t="s">
        <v>953</v>
      </c>
      <c r="KC52" s="194" t="s">
        <v>954</v>
      </c>
      <c r="KD52" s="194" t="s">
        <v>954</v>
      </c>
      <c r="KE52" s="193" t="s">
        <v>952</v>
      </c>
      <c r="KF52" s="198" t="s">
        <v>337</v>
      </c>
      <c r="KG52" s="199" t="str">
        <f>IF(KK78="","",(101325*KK78)/(8.31446261815324*288.6)/1000)</f>
        <v/>
      </c>
      <c r="KH52" s="200" t="s">
        <v>327</v>
      </c>
      <c r="KI52" s="201" t="s">
        <v>951</v>
      </c>
      <c r="KJ52" s="201" t="s">
        <v>951</v>
      </c>
      <c r="KK52" s="201" t="s">
        <v>952</v>
      </c>
      <c r="KL52" s="202"/>
      <c r="KM52" s="203"/>
      <c r="KN52" s="204" t="s">
        <v>953</v>
      </c>
      <c r="KO52" s="204" t="s">
        <v>954</v>
      </c>
      <c r="KP52" s="204" t="s">
        <v>954</v>
      </c>
      <c r="KQ52" s="201" t="s">
        <v>952</v>
      </c>
      <c r="KS52" s="190" t="s">
        <v>337</v>
      </c>
      <c r="KT52" s="191" t="str">
        <f>IF(KX78="","",(101325*KX78)/(8.31446261815324*288.6)/1000)</f>
        <v/>
      </c>
      <c r="KU52" s="192" t="s">
        <v>327</v>
      </c>
      <c r="KV52" s="193" t="s">
        <v>951</v>
      </c>
      <c r="KW52" s="193" t="s">
        <v>951</v>
      </c>
      <c r="KX52" s="193" t="s">
        <v>952</v>
      </c>
      <c r="KY52" s="196"/>
      <c r="KZ52" s="197"/>
      <c r="LA52" s="194" t="s">
        <v>953</v>
      </c>
      <c r="LB52" s="194" t="s">
        <v>954</v>
      </c>
      <c r="LC52" s="194" t="s">
        <v>954</v>
      </c>
      <c r="LD52" s="193" t="s">
        <v>952</v>
      </c>
      <c r="LE52" s="198" t="s">
        <v>337</v>
      </c>
      <c r="LF52" s="199" t="str">
        <f>IF(LJ78="","",(101325*LJ78)/(8.31446261815324*288.6)/1000)</f>
        <v/>
      </c>
      <c r="LG52" s="200" t="s">
        <v>327</v>
      </c>
      <c r="LH52" s="201" t="s">
        <v>951</v>
      </c>
      <c r="LI52" s="201" t="s">
        <v>951</v>
      </c>
      <c r="LJ52" s="201" t="s">
        <v>952</v>
      </c>
      <c r="LK52" s="202"/>
      <c r="LL52" s="203"/>
      <c r="LM52" s="204" t="s">
        <v>953</v>
      </c>
      <c r="LN52" s="204" t="s">
        <v>954</v>
      </c>
      <c r="LO52" s="204" t="s">
        <v>954</v>
      </c>
      <c r="LP52" s="201" t="s">
        <v>952</v>
      </c>
      <c r="LQ52" s="190" t="s">
        <v>337</v>
      </c>
      <c r="LR52" s="191" t="str">
        <f>IF(LV78="","",(101325*LV78)/(8.31446261815324*288.6)/1000)</f>
        <v/>
      </c>
      <c r="LS52" s="192" t="s">
        <v>327</v>
      </c>
      <c r="LT52" s="193" t="s">
        <v>951</v>
      </c>
      <c r="LU52" s="193" t="s">
        <v>951</v>
      </c>
      <c r="LV52" s="193" t="s">
        <v>952</v>
      </c>
      <c r="LW52" s="196"/>
      <c r="LX52" s="197"/>
      <c r="LY52" s="194" t="s">
        <v>953</v>
      </c>
      <c r="LZ52" s="194" t="s">
        <v>954</v>
      </c>
      <c r="MA52" s="194" t="s">
        <v>954</v>
      </c>
      <c r="MB52" s="193" t="s">
        <v>952</v>
      </c>
      <c r="MC52" s="198" t="s">
        <v>337</v>
      </c>
      <c r="MD52" s="199" t="str">
        <f>IF(MH78="","",(101325*MH78)/(8.31446261815324*288.6)/1000)</f>
        <v/>
      </c>
      <c r="ME52" s="200" t="s">
        <v>327</v>
      </c>
      <c r="MF52" s="201" t="s">
        <v>951</v>
      </c>
      <c r="MG52" s="201" t="s">
        <v>951</v>
      </c>
      <c r="MH52" s="201" t="s">
        <v>952</v>
      </c>
      <c r="MI52" s="202"/>
      <c r="MJ52" s="203"/>
      <c r="MK52" s="204" t="s">
        <v>953</v>
      </c>
      <c r="ML52" s="204" t="s">
        <v>954</v>
      </c>
      <c r="MM52" s="204" t="s">
        <v>954</v>
      </c>
      <c r="MN52" s="201" t="s">
        <v>952</v>
      </c>
      <c r="MP52" s="190" t="s">
        <v>337</v>
      </c>
      <c r="MQ52" s="191" t="str">
        <f>IF(MU78="","",(101325*MU78)/(8.31446261815324*288.6)/1000)</f>
        <v/>
      </c>
      <c r="MR52" s="192" t="s">
        <v>327</v>
      </c>
      <c r="MS52" s="193" t="s">
        <v>951</v>
      </c>
      <c r="MT52" s="193" t="s">
        <v>951</v>
      </c>
      <c r="MU52" s="193" t="s">
        <v>952</v>
      </c>
      <c r="MV52" s="196"/>
      <c r="MW52" s="197"/>
      <c r="MX52" s="194" t="s">
        <v>953</v>
      </c>
      <c r="MY52" s="194" t="s">
        <v>954</v>
      </c>
      <c r="MZ52" s="194" t="s">
        <v>954</v>
      </c>
      <c r="NA52" s="193" t="s">
        <v>952</v>
      </c>
      <c r="NB52" s="198" t="s">
        <v>337</v>
      </c>
      <c r="NC52" s="199" t="str">
        <f>IF(NG78="","",(101325*NG78)/(8.31446261815324*288.6)/1000)</f>
        <v/>
      </c>
      <c r="ND52" s="200" t="s">
        <v>327</v>
      </c>
      <c r="NE52" s="201" t="s">
        <v>951</v>
      </c>
      <c r="NF52" s="201" t="s">
        <v>951</v>
      </c>
      <c r="NG52" s="201" t="s">
        <v>952</v>
      </c>
      <c r="NH52" s="202"/>
      <c r="NI52" s="203"/>
      <c r="NJ52" s="204" t="s">
        <v>953</v>
      </c>
      <c r="NK52" s="204" t="s">
        <v>954</v>
      </c>
      <c r="NL52" s="204" t="s">
        <v>954</v>
      </c>
      <c r="NM52" s="201" t="s">
        <v>952</v>
      </c>
      <c r="NN52" s="190" t="s">
        <v>337</v>
      </c>
      <c r="NO52" s="191" t="str">
        <f>IF(NS78="","",(101325*NS78)/(8.31446261815324*288.6)/1000)</f>
        <v/>
      </c>
      <c r="NP52" s="192" t="s">
        <v>327</v>
      </c>
      <c r="NQ52" s="193" t="s">
        <v>951</v>
      </c>
      <c r="NR52" s="193" t="s">
        <v>951</v>
      </c>
      <c r="NS52" s="193" t="s">
        <v>952</v>
      </c>
      <c r="NT52" s="196"/>
      <c r="NU52" s="197"/>
      <c r="NV52" s="194" t="s">
        <v>953</v>
      </c>
      <c r="NW52" s="194" t="s">
        <v>954</v>
      </c>
      <c r="NX52" s="194" t="s">
        <v>954</v>
      </c>
      <c r="NY52" s="193" t="s">
        <v>952</v>
      </c>
      <c r="NZ52" s="198" t="s">
        <v>337</v>
      </c>
      <c r="OA52" s="199" t="str">
        <f>IF(OE78="","",(101325*OE78)/(8.31446261815324*288.6)/1000)</f>
        <v/>
      </c>
      <c r="OB52" s="200" t="s">
        <v>327</v>
      </c>
      <c r="OC52" s="201" t="s">
        <v>951</v>
      </c>
      <c r="OD52" s="201" t="s">
        <v>951</v>
      </c>
      <c r="OE52" s="201" t="s">
        <v>952</v>
      </c>
      <c r="OF52" s="202"/>
      <c r="OG52" s="203"/>
      <c r="OH52" s="204" t="s">
        <v>953</v>
      </c>
      <c r="OI52" s="204" t="s">
        <v>954</v>
      </c>
      <c r="OJ52" s="204" t="s">
        <v>954</v>
      </c>
      <c r="OK52" s="201" t="s">
        <v>952</v>
      </c>
      <c r="ON52" s="190" t="s">
        <v>337</v>
      </c>
      <c r="OO52" s="191" t="str">
        <f>IF(OS78="","",(101325*OS78)/(8.31446261815324*288.6)/1000)</f>
        <v/>
      </c>
      <c r="OP52" s="192" t="s">
        <v>327</v>
      </c>
      <c r="OQ52" s="193" t="s">
        <v>951</v>
      </c>
      <c r="OR52" s="193" t="s">
        <v>951</v>
      </c>
      <c r="OS52" s="193" t="s">
        <v>952</v>
      </c>
      <c r="OT52" s="196"/>
      <c r="OU52" s="197"/>
      <c r="OV52" s="194" t="s">
        <v>953</v>
      </c>
      <c r="OW52" s="194" t="s">
        <v>954</v>
      </c>
      <c r="OX52" s="194" t="s">
        <v>954</v>
      </c>
      <c r="OY52" s="193" t="s">
        <v>952</v>
      </c>
      <c r="OZ52" s="198" t="s">
        <v>337</v>
      </c>
      <c r="PA52" s="199" t="str">
        <f>IF(PE78="","",(101325*PE78)/(8.31446261815324*288.6)/1000)</f>
        <v/>
      </c>
      <c r="PB52" s="200" t="s">
        <v>327</v>
      </c>
      <c r="PC52" s="201" t="s">
        <v>951</v>
      </c>
      <c r="PD52" s="201" t="s">
        <v>951</v>
      </c>
      <c r="PE52" s="201" t="s">
        <v>952</v>
      </c>
      <c r="PF52" s="202"/>
      <c r="PG52" s="203"/>
      <c r="PH52" s="204" t="s">
        <v>953</v>
      </c>
      <c r="PI52" s="204" t="s">
        <v>954</v>
      </c>
      <c r="PJ52" s="204" t="s">
        <v>954</v>
      </c>
      <c r="PK52" s="201" t="s">
        <v>952</v>
      </c>
      <c r="PL52" s="190" t="s">
        <v>337</v>
      </c>
      <c r="PM52" s="191" t="str">
        <f>IF(PQ78="","",(101325*PQ78)/(8.31446261815324*288.6)/1000)</f>
        <v/>
      </c>
      <c r="PN52" s="192" t="s">
        <v>327</v>
      </c>
      <c r="PO52" s="193" t="s">
        <v>951</v>
      </c>
      <c r="PP52" s="193" t="s">
        <v>951</v>
      </c>
      <c r="PQ52" s="193" t="s">
        <v>952</v>
      </c>
      <c r="PR52" s="196"/>
      <c r="PS52" s="197"/>
      <c r="PT52" s="194" t="s">
        <v>953</v>
      </c>
      <c r="PU52" s="194" t="s">
        <v>954</v>
      </c>
      <c r="PV52" s="194" t="s">
        <v>954</v>
      </c>
      <c r="PW52" s="193" t="s">
        <v>952</v>
      </c>
      <c r="PX52" s="198" t="s">
        <v>337</v>
      </c>
      <c r="PY52" s="199" t="str">
        <f>IF(QC78="","",(101325*QC78)/(8.31446261815324*288.6)/1000)</f>
        <v/>
      </c>
      <c r="PZ52" s="200" t="s">
        <v>327</v>
      </c>
      <c r="QA52" s="201" t="s">
        <v>951</v>
      </c>
      <c r="QB52" s="201" t="s">
        <v>951</v>
      </c>
      <c r="QC52" s="201" t="s">
        <v>952</v>
      </c>
      <c r="QD52" s="202"/>
      <c r="QE52" s="203"/>
      <c r="QF52" s="204" t="s">
        <v>953</v>
      </c>
      <c r="QG52" s="204" t="s">
        <v>954</v>
      </c>
      <c r="QH52" s="204" t="s">
        <v>954</v>
      </c>
      <c r="QI52" s="201" t="s">
        <v>952</v>
      </c>
      <c r="QK52" s="190" t="s">
        <v>337</v>
      </c>
      <c r="QL52" s="191" t="str">
        <f>IF(QP78="","",(101325*QP78)/(8.31446261815324*288.6)/1000)</f>
        <v/>
      </c>
      <c r="QM52" s="192" t="s">
        <v>327</v>
      </c>
      <c r="QN52" s="193" t="s">
        <v>951</v>
      </c>
      <c r="QO52" s="193" t="s">
        <v>951</v>
      </c>
      <c r="QP52" s="193" t="s">
        <v>952</v>
      </c>
      <c r="QQ52" s="196"/>
      <c r="QR52" s="197"/>
      <c r="QS52" s="194" t="s">
        <v>953</v>
      </c>
      <c r="QT52" s="194" t="s">
        <v>954</v>
      </c>
      <c r="QU52" s="194" t="s">
        <v>954</v>
      </c>
      <c r="QV52" s="193" t="s">
        <v>952</v>
      </c>
      <c r="QW52" s="198" t="s">
        <v>337</v>
      </c>
      <c r="QX52" s="199" t="str">
        <f>IF(RB78="","",(101325*RB78)/(8.31446261815324*288.6)/1000)</f>
        <v/>
      </c>
      <c r="QY52" s="200" t="s">
        <v>327</v>
      </c>
      <c r="QZ52" s="201" t="s">
        <v>951</v>
      </c>
      <c r="RA52" s="201" t="s">
        <v>951</v>
      </c>
      <c r="RB52" s="201" t="s">
        <v>952</v>
      </c>
      <c r="RC52" s="202"/>
      <c r="RD52" s="203"/>
      <c r="RE52" s="204" t="s">
        <v>953</v>
      </c>
      <c r="RF52" s="204" t="s">
        <v>954</v>
      </c>
      <c r="RG52" s="204" t="s">
        <v>954</v>
      </c>
      <c r="RH52" s="201" t="s">
        <v>952</v>
      </c>
      <c r="RI52" s="190" t="s">
        <v>337</v>
      </c>
      <c r="RJ52" s="191" t="str">
        <f>IF(RN78="","",(101325*RN78)/(8.31446261815324*288.6)/1000)</f>
        <v/>
      </c>
      <c r="RK52" s="192" t="s">
        <v>327</v>
      </c>
      <c r="RL52" s="193" t="s">
        <v>951</v>
      </c>
      <c r="RM52" s="193" t="s">
        <v>951</v>
      </c>
      <c r="RN52" s="193" t="s">
        <v>952</v>
      </c>
      <c r="RO52" s="196"/>
      <c r="RP52" s="197"/>
      <c r="RQ52" s="194" t="s">
        <v>953</v>
      </c>
      <c r="RR52" s="194" t="s">
        <v>954</v>
      </c>
      <c r="RS52" s="194" t="s">
        <v>954</v>
      </c>
      <c r="RT52" s="193" t="s">
        <v>952</v>
      </c>
      <c r="RU52" s="198" t="s">
        <v>337</v>
      </c>
      <c r="RV52" s="199" t="str">
        <f>IF(RZ78="","",(101325*RZ78)/(8.31446261815324*288.6)/1000)</f>
        <v/>
      </c>
      <c r="RW52" s="200" t="s">
        <v>327</v>
      </c>
      <c r="RX52" s="201" t="s">
        <v>951</v>
      </c>
      <c r="RY52" s="201" t="s">
        <v>951</v>
      </c>
      <c r="RZ52" s="201" t="s">
        <v>952</v>
      </c>
      <c r="SA52" s="202"/>
      <c r="SB52" s="203"/>
      <c r="SC52" s="204" t="s">
        <v>953</v>
      </c>
      <c r="SD52" s="204" t="s">
        <v>954</v>
      </c>
      <c r="SE52" s="204" t="s">
        <v>954</v>
      </c>
      <c r="SF52" s="201" t="s">
        <v>952</v>
      </c>
    </row>
    <row r="53" spans="1:500" ht="15" customHeight="1">
      <c r="A53" s="18" t="s">
        <v>173</v>
      </c>
      <c r="B53" s="19" t="s">
        <v>172</v>
      </c>
      <c r="C53" s="20">
        <v>0</v>
      </c>
      <c r="D53" s="20">
        <v>0</v>
      </c>
      <c r="E53" s="20">
        <v>0</v>
      </c>
      <c r="F53" s="20">
        <v>31.998799999999999</v>
      </c>
      <c r="G53" s="20">
        <v>0</v>
      </c>
      <c r="H53" s="170"/>
      <c r="I53" s="170"/>
      <c r="K53" s="2577" t="s">
        <v>228</v>
      </c>
      <c r="L53" s="2579" t="s">
        <v>335</v>
      </c>
      <c r="M53" s="2573" t="s">
        <v>945</v>
      </c>
      <c r="N53" s="2564" t="s">
        <v>229</v>
      </c>
      <c r="O53" s="2564" t="s">
        <v>230</v>
      </c>
      <c r="P53" s="2564" t="s">
        <v>339</v>
      </c>
      <c r="Q53" s="2572" t="s">
        <v>346</v>
      </c>
      <c r="R53" s="2572" t="s">
        <v>225</v>
      </c>
      <c r="S53" s="2564" t="s">
        <v>347</v>
      </c>
      <c r="T53" s="2564" t="s">
        <v>934</v>
      </c>
      <c r="U53" s="2564" t="s">
        <v>935</v>
      </c>
      <c r="V53" s="2564" t="s">
        <v>936</v>
      </c>
      <c r="W53" s="2581" t="s">
        <v>228</v>
      </c>
      <c r="X53" s="2583" t="s">
        <v>335</v>
      </c>
      <c r="Y53" s="2575" t="s">
        <v>945</v>
      </c>
      <c r="Z53" s="2566" t="s">
        <v>229</v>
      </c>
      <c r="AA53" s="2566" t="s">
        <v>230</v>
      </c>
      <c r="AB53" s="2566" t="s">
        <v>339</v>
      </c>
      <c r="AC53" s="2571" t="s">
        <v>346</v>
      </c>
      <c r="AD53" s="2571" t="s">
        <v>225</v>
      </c>
      <c r="AE53" s="2566" t="s">
        <v>347</v>
      </c>
      <c r="AF53" s="2566" t="s">
        <v>934</v>
      </c>
      <c r="AG53" s="2566" t="s">
        <v>935</v>
      </c>
      <c r="AH53" s="2566" t="s">
        <v>936</v>
      </c>
      <c r="AI53" s="2577" t="s">
        <v>228</v>
      </c>
      <c r="AJ53" s="2579" t="s">
        <v>335</v>
      </c>
      <c r="AK53" s="2573" t="s">
        <v>945</v>
      </c>
      <c r="AL53" s="2564" t="s">
        <v>229</v>
      </c>
      <c r="AM53" s="2564" t="s">
        <v>230</v>
      </c>
      <c r="AN53" s="2564" t="s">
        <v>339</v>
      </c>
      <c r="AO53" s="2572" t="s">
        <v>346</v>
      </c>
      <c r="AP53" s="2572" t="s">
        <v>225</v>
      </c>
      <c r="AQ53" s="2564" t="s">
        <v>347</v>
      </c>
      <c r="AR53" s="2564" t="s">
        <v>934</v>
      </c>
      <c r="AS53" s="2564" t="s">
        <v>935</v>
      </c>
      <c r="AT53" s="2564" t="s">
        <v>936</v>
      </c>
      <c r="AU53" s="2581" t="s">
        <v>228</v>
      </c>
      <c r="AV53" s="2583" t="s">
        <v>335</v>
      </c>
      <c r="AW53" s="2575" t="s">
        <v>945</v>
      </c>
      <c r="AX53" s="2566" t="s">
        <v>229</v>
      </c>
      <c r="AY53" s="2566" t="s">
        <v>230</v>
      </c>
      <c r="AZ53" s="2566" t="s">
        <v>339</v>
      </c>
      <c r="BA53" s="2571" t="s">
        <v>346</v>
      </c>
      <c r="BB53" s="2571" t="s">
        <v>225</v>
      </c>
      <c r="BC53" s="2566" t="s">
        <v>347</v>
      </c>
      <c r="BD53" s="2566" t="s">
        <v>934</v>
      </c>
      <c r="BE53" s="2566" t="s">
        <v>935</v>
      </c>
      <c r="BF53" s="2566" t="s">
        <v>936</v>
      </c>
      <c r="BH53" s="2577" t="s">
        <v>228</v>
      </c>
      <c r="BI53" s="2579" t="s">
        <v>335</v>
      </c>
      <c r="BJ53" s="2573" t="s">
        <v>945</v>
      </c>
      <c r="BK53" s="2564" t="s">
        <v>229</v>
      </c>
      <c r="BL53" s="2564" t="s">
        <v>230</v>
      </c>
      <c r="BM53" s="2564" t="s">
        <v>339</v>
      </c>
      <c r="BN53" s="2572" t="s">
        <v>346</v>
      </c>
      <c r="BO53" s="2572" t="s">
        <v>225</v>
      </c>
      <c r="BP53" s="2564" t="s">
        <v>347</v>
      </c>
      <c r="BQ53" s="2564" t="s">
        <v>934</v>
      </c>
      <c r="BR53" s="2564" t="s">
        <v>935</v>
      </c>
      <c r="BS53" s="2564" t="s">
        <v>936</v>
      </c>
      <c r="BT53" s="2581" t="s">
        <v>228</v>
      </c>
      <c r="BU53" s="2583" t="s">
        <v>335</v>
      </c>
      <c r="BV53" s="2575" t="s">
        <v>945</v>
      </c>
      <c r="BW53" s="2566" t="s">
        <v>229</v>
      </c>
      <c r="BX53" s="2566" t="s">
        <v>230</v>
      </c>
      <c r="BY53" s="2566" t="s">
        <v>339</v>
      </c>
      <c r="BZ53" s="2571" t="s">
        <v>346</v>
      </c>
      <c r="CA53" s="2571" t="s">
        <v>225</v>
      </c>
      <c r="CB53" s="2566" t="s">
        <v>347</v>
      </c>
      <c r="CC53" s="2566" t="s">
        <v>934</v>
      </c>
      <c r="CD53" s="2566" t="s">
        <v>935</v>
      </c>
      <c r="CE53" s="2566" t="s">
        <v>936</v>
      </c>
      <c r="CF53" s="2577" t="s">
        <v>228</v>
      </c>
      <c r="CG53" s="2579" t="s">
        <v>335</v>
      </c>
      <c r="CH53" s="2573" t="s">
        <v>945</v>
      </c>
      <c r="CI53" s="2564" t="s">
        <v>229</v>
      </c>
      <c r="CJ53" s="2564" t="s">
        <v>230</v>
      </c>
      <c r="CK53" s="2564" t="s">
        <v>339</v>
      </c>
      <c r="CL53" s="2572" t="s">
        <v>346</v>
      </c>
      <c r="CM53" s="2572" t="s">
        <v>225</v>
      </c>
      <c r="CN53" s="2564" t="s">
        <v>347</v>
      </c>
      <c r="CO53" s="2564" t="s">
        <v>934</v>
      </c>
      <c r="CP53" s="2564" t="s">
        <v>935</v>
      </c>
      <c r="CQ53" s="2564" t="s">
        <v>936</v>
      </c>
      <c r="CR53" s="2581" t="s">
        <v>228</v>
      </c>
      <c r="CS53" s="2583" t="s">
        <v>335</v>
      </c>
      <c r="CT53" s="2575" t="s">
        <v>945</v>
      </c>
      <c r="CU53" s="2566" t="s">
        <v>229</v>
      </c>
      <c r="CV53" s="2566" t="s">
        <v>230</v>
      </c>
      <c r="CW53" s="2566" t="s">
        <v>339</v>
      </c>
      <c r="CX53" s="2571" t="s">
        <v>346</v>
      </c>
      <c r="CY53" s="2571" t="s">
        <v>225</v>
      </c>
      <c r="CZ53" s="2566" t="s">
        <v>347</v>
      </c>
      <c r="DA53" s="2566" t="s">
        <v>934</v>
      </c>
      <c r="DB53" s="2566" t="s">
        <v>935</v>
      </c>
      <c r="DC53" s="2566" t="s">
        <v>936</v>
      </c>
      <c r="DE53" s="2577" t="s">
        <v>228</v>
      </c>
      <c r="DF53" s="2579" t="s">
        <v>335</v>
      </c>
      <c r="DG53" s="2573" t="s">
        <v>945</v>
      </c>
      <c r="DH53" s="2564" t="s">
        <v>229</v>
      </c>
      <c r="DI53" s="2564" t="s">
        <v>230</v>
      </c>
      <c r="DJ53" s="2564" t="s">
        <v>339</v>
      </c>
      <c r="DK53" s="2572" t="s">
        <v>346</v>
      </c>
      <c r="DL53" s="2572" t="s">
        <v>225</v>
      </c>
      <c r="DM53" s="2564" t="s">
        <v>347</v>
      </c>
      <c r="DN53" s="2564" t="s">
        <v>934</v>
      </c>
      <c r="DO53" s="2564" t="s">
        <v>935</v>
      </c>
      <c r="DP53" s="2564" t="s">
        <v>936</v>
      </c>
      <c r="DQ53" s="2581" t="s">
        <v>228</v>
      </c>
      <c r="DR53" s="2583" t="s">
        <v>335</v>
      </c>
      <c r="DS53" s="2575" t="s">
        <v>945</v>
      </c>
      <c r="DT53" s="2566" t="s">
        <v>229</v>
      </c>
      <c r="DU53" s="2566" t="s">
        <v>230</v>
      </c>
      <c r="DV53" s="2566" t="s">
        <v>339</v>
      </c>
      <c r="DW53" s="2571" t="s">
        <v>346</v>
      </c>
      <c r="DX53" s="2571" t="s">
        <v>225</v>
      </c>
      <c r="DY53" s="2566" t="s">
        <v>347</v>
      </c>
      <c r="DZ53" s="2566" t="s">
        <v>934</v>
      </c>
      <c r="EA53" s="2566" t="s">
        <v>935</v>
      </c>
      <c r="EB53" s="2566" t="s">
        <v>936</v>
      </c>
      <c r="EC53" s="2577" t="s">
        <v>228</v>
      </c>
      <c r="ED53" s="2579" t="s">
        <v>335</v>
      </c>
      <c r="EE53" s="2573" t="s">
        <v>945</v>
      </c>
      <c r="EF53" s="2564" t="s">
        <v>229</v>
      </c>
      <c r="EG53" s="2564" t="s">
        <v>230</v>
      </c>
      <c r="EH53" s="2564" t="s">
        <v>339</v>
      </c>
      <c r="EI53" s="2572" t="s">
        <v>346</v>
      </c>
      <c r="EJ53" s="2572" t="s">
        <v>225</v>
      </c>
      <c r="EK53" s="2564" t="s">
        <v>347</v>
      </c>
      <c r="EL53" s="2564" t="s">
        <v>934</v>
      </c>
      <c r="EM53" s="2564" t="s">
        <v>935</v>
      </c>
      <c r="EN53" s="2564" t="s">
        <v>936</v>
      </c>
      <c r="EO53" s="2581" t="s">
        <v>228</v>
      </c>
      <c r="EP53" s="2583" t="s">
        <v>335</v>
      </c>
      <c r="EQ53" s="2575" t="s">
        <v>945</v>
      </c>
      <c r="ER53" s="2566" t="s">
        <v>229</v>
      </c>
      <c r="ES53" s="2566" t="s">
        <v>230</v>
      </c>
      <c r="ET53" s="2566" t="s">
        <v>339</v>
      </c>
      <c r="EU53" s="2571" t="s">
        <v>346</v>
      </c>
      <c r="EV53" s="2571" t="s">
        <v>225</v>
      </c>
      <c r="EW53" s="2566" t="s">
        <v>347</v>
      </c>
      <c r="EX53" s="2566" t="s">
        <v>934</v>
      </c>
      <c r="EY53" s="2566" t="s">
        <v>935</v>
      </c>
      <c r="EZ53" s="2566" t="s">
        <v>936</v>
      </c>
      <c r="FB53" s="2577" t="s">
        <v>228</v>
      </c>
      <c r="FC53" s="2579" t="s">
        <v>335</v>
      </c>
      <c r="FD53" s="2573" t="s">
        <v>945</v>
      </c>
      <c r="FE53" s="2564" t="s">
        <v>229</v>
      </c>
      <c r="FF53" s="2564" t="s">
        <v>230</v>
      </c>
      <c r="FG53" s="2564" t="s">
        <v>339</v>
      </c>
      <c r="FH53" s="2572" t="s">
        <v>346</v>
      </c>
      <c r="FI53" s="2572" t="s">
        <v>225</v>
      </c>
      <c r="FJ53" s="2564" t="s">
        <v>347</v>
      </c>
      <c r="FK53" s="2564" t="s">
        <v>934</v>
      </c>
      <c r="FL53" s="2564" t="s">
        <v>935</v>
      </c>
      <c r="FM53" s="2564" t="s">
        <v>936</v>
      </c>
      <c r="FN53" s="2581" t="s">
        <v>228</v>
      </c>
      <c r="FO53" s="2583" t="s">
        <v>335</v>
      </c>
      <c r="FP53" s="2575" t="s">
        <v>945</v>
      </c>
      <c r="FQ53" s="2566" t="s">
        <v>229</v>
      </c>
      <c r="FR53" s="2566" t="s">
        <v>230</v>
      </c>
      <c r="FS53" s="2566" t="s">
        <v>339</v>
      </c>
      <c r="FT53" s="2571" t="s">
        <v>346</v>
      </c>
      <c r="FU53" s="2571" t="s">
        <v>225</v>
      </c>
      <c r="FV53" s="2566" t="s">
        <v>347</v>
      </c>
      <c r="FW53" s="2566" t="s">
        <v>934</v>
      </c>
      <c r="FX53" s="2566" t="s">
        <v>935</v>
      </c>
      <c r="FY53" s="2566" t="s">
        <v>936</v>
      </c>
      <c r="FZ53" s="2577" t="s">
        <v>228</v>
      </c>
      <c r="GA53" s="2579" t="s">
        <v>335</v>
      </c>
      <c r="GB53" s="2573" t="s">
        <v>945</v>
      </c>
      <c r="GC53" s="2564" t="s">
        <v>229</v>
      </c>
      <c r="GD53" s="2564" t="s">
        <v>230</v>
      </c>
      <c r="GE53" s="2564" t="s">
        <v>339</v>
      </c>
      <c r="GF53" s="2572" t="s">
        <v>346</v>
      </c>
      <c r="GG53" s="2572" t="s">
        <v>225</v>
      </c>
      <c r="GH53" s="2564" t="s">
        <v>347</v>
      </c>
      <c r="GI53" s="2564" t="s">
        <v>934</v>
      </c>
      <c r="GJ53" s="2564" t="s">
        <v>935</v>
      </c>
      <c r="GK53" s="2564" t="s">
        <v>936</v>
      </c>
      <c r="GL53" s="2581" t="s">
        <v>228</v>
      </c>
      <c r="GM53" s="2583" t="s">
        <v>335</v>
      </c>
      <c r="GN53" s="2575" t="s">
        <v>945</v>
      </c>
      <c r="GO53" s="2566" t="s">
        <v>229</v>
      </c>
      <c r="GP53" s="2566" t="s">
        <v>230</v>
      </c>
      <c r="GQ53" s="2566" t="s">
        <v>339</v>
      </c>
      <c r="GR53" s="2571" t="s">
        <v>346</v>
      </c>
      <c r="GS53" s="2571" t="s">
        <v>225</v>
      </c>
      <c r="GT53" s="2566" t="s">
        <v>347</v>
      </c>
      <c r="GU53" s="2566" t="s">
        <v>934</v>
      </c>
      <c r="GV53" s="2566" t="s">
        <v>935</v>
      </c>
      <c r="GW53" s="2566" t="s">
        <v>936</v>
      </c>
      <c r="GY53" s="2577" t="s">
        <v>228</v>
      </c>
      <c r="GZ53" s="2579" t="s">
        <v>335</v>
      </c>
      <c r="HA53" s="2573" t="s">
        <v>945</v>
      </c>
      <c r="HB53" s="2564" t="s">
        <v>229</v>
      </c>
      <c r="HC53" s="2564" t="s">
        <v>230</v>
      </c>
      <c r="HD53" s="2564" t="s">
        <v>339</v>
      </c>
      <c r="HE53" s="2572" t="s">
        <v>346</v>
      </c>
      <c r="HF53" s="2572" t="s">
        <v>225</v>
      </c>
      <c r="HG53" s="2564" t="s">
        <v>347</v>
      </c>
      <c r="HH53" s="2564" t="s">
        <v>934</v>
      </c>
      <c r="HI53" s="2564" t="s">
        <v>935</v>
      </c>
      <c r="HJ53" s="2564" t="s">
        <v>936</v>
      </c>
      <c r="HK53" s="2581" t="s">
        <v>228</v>
      </c>
      <c r="HL53" s="2583" t="s">
        <v>335</v>
      </c>
      <c r="HM53" s="2575" t="s">
        <v>945</v>
      </c>
      <c r="HN53" s="2566" t="s">
        <v>229</v>
      </c>
      <c r="HO53" s="2566" t="s">
        <v>230</v>
      </c>
      <c r="HP53" s="2566" t="s">
        <v>339</v>
      </c>
      <c r="HQ53" s="2571" t="s">
        <v>346</v>
      </c>
      <c r="HR53" s="2571" t="s">
        <v>225</v>
      </c>
      <c r="HS53" s="2566" t="s">
        <v>347</v>
      </c>
      <c r="HT53" s="2566" t="s">
        <v>934</v>
      </c>
      <c r="HU53" s="2566" t="s">
        <v>935</v>
      </c>
      <c r="HV53" s="2566" t="s">
        <v>936</v>
      </c>
      <c r="HW53" s="2577" t="s">
        <v>228</v>
      </c>
      <c r="HX53" s="2579" t="s">
        <v>335</v>
      </c>
      <c r="HY53" s="2573" t="s">
        <v>945</v>
      </c>
      <c r="HZ53" s="2564" t="s">
        <v>229</v>
      </c>
      <c r="IA53" s="2564" t="s">
        <v>230</v>
      </c>
      <c r="IB53" s="2564" t="s">
        <v>339</v>
      </c>
      <c r="IC53" s="2572" t="s">
        <v>346</v>
      </c>
      <c r="ID53" s="2572" t="s">
        <v>225</v>
      </c>
      <c r="IE53" s="2564" t="s">
        <v>347</v>
      </c>
      <c r="IF53" s="2564" t="s">
        <v>934</v>
      </c>
      <c r="IG53" s="2564" t="s">
        <v>935</v>
      </c>
      <c r="IH53" s="2564" t="s">
        <v>936</v>
      </c>
      <c r="II53" s="2581" t="s">
        <v>228</v>
      </c>
      <c r="IJ53" s="2583" t="s">
        <v>335</v>
      </c>
      <c r="IK53" s="2575" t="s">
        <v>945</v>
      </c>
      <c r="IL53" s="2566" t="s">
        <v>229</v>
      </c>
      <c r="IM53" s="2566" t="s">
        <v>230</v>
      </c>
      <c r="IN53" s="2566" t="s">
        <v>339</v>
      </c>
      <c r="IO53" s="2571" t="s">
        <v>346</v>
      </c>
      <c r="IP53" s="2571" t="s">
        <v>225</v>
      </c>
      <c r="IQ53" s="2566" t="s">
        <v>347</v>
      </c>
      <c r="IR53" s="2566" t="s">
        <v>934</v>
      </c>
      <c r="IS53" s="2566" t="s">
        <v>935</v>
      </c>
      <c r="IT53" s="2566" t="s">
        <v>936</v>
      </c>
      <c r="IV53" s="2577" t="s">
        <v>228</v>
      </c>
      <c r="IW53" s="2579" t="s">
        <v>335</v>
      </c>
      <c r="IX53" s="2573" t="s">
        <v>945</v>
      </c>
      <c r="IY53" s="2564" t="s">
        <v>229</v>
      </c>
      <c r="IZ53" s="2564" t="s">
        <v>230</v>
      </c>
      <c r="JA53" s="2564" t="s">
        <v>339</v>
      </c>
      <c r="JB53" s="2572" t="s">
        <v>346</v>
      </c>
      <c r="JC53" s="2572" t="s">
        <v>225</v>
      </c>
      <c r="JD53" s="2564" t="s">
        <v>347</v>
      </c>
      <c r="JE53" s="2564" t="s">
        <v>934</v>
      </c>
      <c r="JF53" s="2564" t="s">
        <v>935</v>
      </c>
      <c r="JG53" s="2564" t="s">
        <v>936</v>
      </c>
      <c r="JH53" s="2581" t="s">
        <v>228</v>
      </c>
      <c r="JI53" s="2583" t="s">
        <v>335</v>
      </c>
      <c r="JJ53" s="2575" t="s">
        <v>945</v>
      </c>
      <c r="JK53" s="2566" t="s">
        <v>229</v>
      </c>
      <c r="JL53" s="2566" t="s">
        <v>230</v>
      </c>
      <c r="JM53" s="2566" t="s">
        <v>339</v>
      </c>
      <c r="JN53" s="2571" t="s">
        <v>346</v>
      </c>
      <c r="JO53" s="2571" t="s">
        <v>225</v>
      </c>
      <c r="JP53" s="2566" t="s">
        <v>347</v>
      </c>
      <c r="JQ53" s="2566" t="s">
        <v>934</v>
      </c>
      <c r="JR53" s="2566" t="s">
        <v>935</v>
      </c>
      <c r="JS53" s="2566" t="s">
        <v>936</v>
      </c>
      <c r="JT53" s="2577" t="s">
        <v>228</v>
      </c>
      <c r="JU53" s="2579" t="s">
        <v>335</v>
      </c>
      <c r="JV53" s="2573" t="s">
        <v>945</v>
      </c>
      <c r="JW53" s="2564" t="s">
        <v>229</v>
      </c>
      <c r="JX53" s="2564" t="s">
        <v>230</v>
      </c>
      <c r="JY53" s="2564" t="s">
        <v>339</v>
      </c>
      <c r="JZ53" s="2572" t="s">
        <v>346</v>
      </c>
      <c r="KA53" s="2572" t="s">
        <v>225</v>
      </c>
      <c r="KB53" s="2564" t="s">
        <v>347</v>
      </c>
      <c r="KC53" s="2564" t="s">
        <v>934</v>
      </c>
      <c r="KD53" s="2564" t="s">
        <v>935</v>
      </c>
      <c r="KE53" s="2564" t="s">
        <v>936</v>
      </c>
      <c r="KF53" s="2581" t="s">
        <v>228</v>
      </c>
      <c r="KG53" s="2583" t="s">
        <v>335</v>
      </c>
      <c r="KH53" s="2575" t="s">
        <v>945</v>
      </c>
      <c r="KI53" s="2566" t="s">
        <v>229</v>
      </c>
      <c r="KJ53" s="2566" t="s">
        <v>230</v>
      </c>
      <c r="KK53" s="2566" t="s">
        <v>339</v>
      </c>
      <c r="KL53" s="2571" t="s">
        <v>346</v>
      </c>
      <c r="KM53" s="2571" t="s">
        <v>225</v>
      </c>
      <c r="KN53" s="2566" t="s">
        <v>347</v>
      </c>
      <c r="KO53" s="2566" t="s">
        <v>934</v>
      </c>
      <c r="KP53" s="2566" t="s">
        <v>935</v>
      </c>
      <c r="KQ53" s="2566" t="s">
        <v>936</v>
      </c>
      <c r="KS53" s="2577" t="s">
        <v>228</v>
      </c>
      <c r="KT53" s="2579" t="s">
        <v>335</v>
      </c>
      <c r="KU53" s="2573" t="s">
        <v>945</v>
      </c>
      <c r="KV53" s="2564" t="s">
        <v>229</v>
      </c>
      <c r="KW53" s="2564" t="s">
        <v>230</v>
      </c>
      <c r="KX53" s="2564" t="s">
        <v>339</v>
      </c>
      <c r="KY53" s="2572" t="s">
        <v>346</v>
      </c>
      <c r="KZ53" s="2572" t="s">
        <v>225</v>
      </c>
      <c r="LA53" s="2564" t="s">
        <v>347</v>
      </c>
      <c r="LB53" s="2564" t="s">
        <v>934</v>
      </c>
      <c r="LC53" s="2564" t="s">
        <v>935</v>
      </c>
      <c r="LD53" s="2564" t="s">
        <v>936</v>
      </c>
      <c r="LE53" s="2581" t="s">
        <v>228</v>
      </c>
      <c r="LF53" s="2583" t="s">
        <v>335</v>
      </c>
      <c r="LG53" s="2575" t="s">
        <v>945</v>
      </c>
      <c r="LH53" s="2566" t="s">
        <v>229</v>
      </c>
      <c r="LI53" s="2566" t="s">
        <v>230</v>
      </c>
      <c r="LJ53" s="2566" t="s">
        <v>339</v>
      </c>
      <c r="LK53" s="2571" t="s">
        <v>346</v>
      </c>
      <c r="LL53" s="2571" t="s">
        <v>225</v>
      </c>
      <c r="LM53" s="2566" t="s">
        <v>347</v>
      </c>
      <c r="LN53" s="2566" t="s">
        <v>934</v>
      </c>
      <c r="LO53" s="2566" t="s">
        <v>935</v>
      </c>
      <c r="LP53" s="2566" t="s">
        <v>936</v>
      </c>
      <c r="LQ53" s="2577" t="s">
        <v>228</v>
      </c>
      <c r="LR53" s="2579" t="s">
        <v>335</v>
      </c>
      <c r="LS53" s="2573" t="s">
        <v>945</v>
      </c>
      <c r="LT53" s="2564" t="s">
        <v>229</v>
      </c>
      <c r="LU53" s="2564" t="s">
        <v>230</v>
      </c>
      <c r="LV53" s="2564" t="s">
        <v>339</v>
      </c>
      <c r="LW53" s="2572" t="s">
        <v>346</v>
      </c>
      <c r="LX53" s="2572" t="s">
        <v>225</v>
      </c>
      <c r="LY53" s="2564" t="s">
        <v>347</v>
      </c>
      <c r="LZ53" s="2564" t="s">
        <v>934</v>
      </c>
      <c r="MA53" s="2564" t="s">
        <v>935</v>
      </c>
      <c r="MB53" s="2564" t="s">
        <v>936</v>
      </c>
      <c r="MC53" s="2581" t="s">
        <v>228</v>
      </c>
      <c r="MD53" s="2583" t="s">
        <v>335</v>
      </c>
      <c r="ME53" s="2575" t="s">
        <v>945</v>
      </c>
      <c r="MF53" s="2566" t="s">
        <v>229</v>
      </c>
      <c r="MG53" s="2566" t="s">
        <v>230</v>
      </c>
      <c r="MH53" s="2566" t="s">
        <v>339</v>
      </c>
      <c r="MI53" s="2571" t="s">
        <v>346</v>
      </c>
      <c r="MJ53" s="2571" t="s">
        <v>225</v>
      </c>
      <c r="MK53" s="2566" t="s">
        <v>347</v>
      </c>
      <c r="ML53" s="2566" t="s">
        <v>934</v>
      </c>
      <c r="MM53" s="2566" t="s">
        <v>935</v>
      </c>
      <c r="MN53" s="2566" t="s">
        <v>936</v>
      </c>
      <c r="MP53" s="2577" t="s">
        <v>228</v>
      </c>
      <c r="MQ53" s="2579" t="s">
        <v>335</v>
      </c>
      <c r="MR53" s="2573" t="s">
        <v>945</v>
      </c>
      <c r="MS53" s="2564" t="s">
        <v>229</v>
      </c>
      <c r="MT53" s="2564" t="s">
        <v>230</v>
      </c>
      <c r="MU53" s="2564" t="s">
        <v>339</v>
      </c>
      <c r="MV53" s="2572" t="s">
        <v>346</v>
      </c>
      <c r="MW53" s="2572" t="s">
        <v>225</v>
      </c>
      <c r="MX53" s="2564" t="s">
        <v>347</v>
      </c>
      <c r="MY53" s="2564" t="s">
        <v>934</v>
      </c>
      <c r="MZ53" s="2564" t="s">
        <v>935</v>
      </c>
      <c r="NA53" s="2564" t="s">
        <v>936</v>
      </c>
      <c r="NB53" s="2581" t="s">
        <v>228</v>
      </c>
      <c r="NC53" s="2583" t="s">
        <v>335</v>
      </c>
      <c r="ND53" s="2575" t="s">
        <v>945</v>
      </c>
      <c r="NE53" s="2566" t="s">
        <v>229</v>
      </c>
      <c r="NF53" s="2566" t="s">
        <v>230</v>
      </c>
      <c r="NG53" s="2566" t="s">
        <v>339</v>
      </c>
      <c r="NH53" s="2571" t="s">
        <v>346</v>
      </c>
      <c r="NI53" s="2571" t="s">
        <v>225</v>
      </c>
      <c r="NJ53" s="2566" t="s">
        <v>347</v>
      </c>
      <c r="NK53" s="2566" t="s">
        <v>934</v>
      </c>
      <c r="NL53" s="2566" t="s">
        <v>935</v>
      </c>
      <c r="NM53" s="2566" t="s">
        <v>936</v>
      </c>
      <c r="NN53" s="2577" t="s">
        <v>228</v>
      </c>
      <c r="NO53" s="2579" t="s">
        <v>335</v>
      </c>
      <c r="NP53" s="2573" t="s">
        <v>945</v>
      </c>
      <c r="NQ53" s="2564" t="s">
        <v>229</v>
      </c>
      <c r="NR53" s="2564" t="s">
        <v>230</v>
      </c>
      <c r="NS53" s="2564" t="s">
        <v>339</v>
      </c>
      <c r="NT53" s="2572" t="s">
        <v>346</v>
      </c>
      <c r="NU53" s="2572" t="s">
        <v>225</v>
      </c>
      <c r="NV53" s="2564" t="s">
        <v>347</v>
      </c>
      <c r="NW53" s="2564" t="s">
        <v>934</v>
      </c>
      <c r="NX53" s="2564" t="s">
        <v>935</v>
      </c>
      <c r="NY53" s="2564" t="s">
        <v>936</v>
      </c>
      <c r="NZ53" s="2581" t="s">
        <v>228</v>
      </c>
      <c r="OA53" s="2583" t="s">
        <v>335</v>
      </c>
      <c r="OB53" s="2575" t="s">
        <v>945</v>
      </c>
      <c r="OC53" s="2566" t="s">
        <v>229</v>
      </c>
      <c r="OD53" s="2566" t="s">
        <v>230</v>
      </c>
      <c r="OE53" s="2566" t="s">
        <v>339</v>
      </c>
      <c r="OF53" s="2571" t="s">
        <v>346</v>
      </c>
      <c r="OG53" s="2571" t="s">
        <v>225</v>
      </c>
      <c r="OH53" s="2566" t="s">
        <v>347</v>
      </c>
      <c r="OI53" s="2566" t="s">
        <v>934</v>
      </c>
      <c r="OJ53" s="2566" t="s">
        <v>935</v>
      </c>
      <c r="OK53" s="2566" t="s">
        <v>936</v>
      </c>
      <c r="ON53" s="2577" t="s">
        <v>228</v>
      </c>
      <c r="OO53" s="2579" t="s">
        <v>335</v>
      </c>
      <c r="OP53" s="2573" t="s">
        <v>945</v>
      </c>
      <c r="OQ53" s="2564" t="s">
        <v>229</v>
      </c>
      <c r="OR53" s="2564" t="s">
        <v>230</v>
      </c>
      <c r="OS53" s="2564" t="s">
        <v>339</v>
      </c>
      <c r="OT53" s="2572" t="s">
        <v>346</v>
      </c>
      <c r="OU53" s="2572" t="s">
        <v>225</v>
      </c>
      <c r="OV53" s="2564" t="s">
        <v>347</v>
      </c>
      <c r="OW53" s="2564" t="s">
        <v>934</v>
      </c>
      <c r="OX53" s="2564" t="s">
        <v>935</v>
      </c>
      <c r="OY53" s="2564" t="s">
        <v>936</v>
      </c>
      <c r="OZ53" s="2581" t="s">
        <v>228</v>
      </c>
      <c r="PA53" s="2583" t="s">
        <v>335</v>
      </c>
      <c r="PB53" s="2575" t="s">
        <v>945</v>
      </c>
      <c r="PC53" s="2566" t="s">
        <v>229</v>
      </c>
      <c r="PD53" s="2566" t="s">
        <v>230</v>
      </c>
      <c r="PE53" s="2566" t="s">
        <v>339</v>
      </c>
      <c r="PF53" s="2571" t="s">
        <v>346</v>
      </c>
      <c r="PG53" s="2571" t="s">
        <v>225</v>
      </c>
      <c r="PH53" s="2566" t="s">
        <v>347</v>
      </c>
      <c r="PI53" s="2566" t="s">
        <v>934</v>
      </c>
      <c r="PJ53" s="2566" t="s">
        <v>935</v>
      </c>
      <c r="PK53" s="2566" t="s">
        <v>936</v>
      </c>
      <c r="PL53" s="2577" t="s">
        <v>228</v>
      </c>
      <c r="PM53" s="2579" t="s">
        <v>335</v>
      </c>
      <c r="PN53" s="2573" t="s">
        <v>945</v>
      </c>
      <c r="PO53" s="2564" t="s">
        <v>229</v>
      </c>
      <c r="PP53" s="2564" t="s">
        <v>230</v>
      </c>
      <c r="PQ53" s="2564" t="s">
        <v>339</v>
      </c>
      <c r="PR53" s="2572" t="s">
        <v>346</v>
      </c>
      <c r="PS53" s="2572" t="s">
        <v>225</v>
      </c>
      <c r="PT53" s="2564" t="s">
        <v>347</v>
      </c>
      <c r="PU53" s="2564" t="s">
        <v>934</v>
      </c>
      <c r="PV53" s="2564" t="s">
        <v>935</v>
      </c>
      <c r="PW53" s="2564" t="s">
        <v>936</v>
      </c>
      <c r="PX53" s="2581" t="s">
        <v>228</v>
      </c>
      <c r="PY53" s="2583" t="s">
        <v>335</v>
      </c>
      <c r="PZ53" s="2575" t="s">
        <v>945</v>
      </c>
      <c r="QA53" s="2566" t="s">
        <v>229</v>
      </c>
      <c r="QB53" s="2566" t="s">
        <v>230</v>
      </c>
      <c r="QC53" s="2566" t="s">
        <v>339</v>
      </c>
      <c r="QD53" s="2571" t="s">
        <v>346</v>
      </c>
      <c r="QE53" s="2571" t="s">
        <v>225</v>
      </c>
      <c r="QF53" s="2566" t="s">
        <v>347</v>
      </c>
      <c r="QG53" s="2566" t="s">
        <v>934</v>
      </c>
      <c r="QH53" s="2566" t="s">
        <v>935</v>
      </c>
      <c r="QI53" s="2566" t="s">
        <v>936</v>
      </c>
      <c r="QK53" s="2577" t="s">
        <v>228</v>
      </c>
      <c r="QL53" s="2579" t="s">
        <v>335</v>
      </c>
      <c r="QM53" s="2573" t="s">
        <v>945</v>
      </c>
      <c r="QN53" s="2564" t="s">
        <v>229</v>
      </c>
      <c r="QO53" s="2564" t="s">
        <v>230</v>
      </c>
      <c r="QP53" s="2564" t="s">
        <v>339</v>
      </c>
      <c r="QQ53" s="2572" t="s">
        <v>346</v>
      </c>
      <c r="QR53" s="2572" t="s">
        <v>225</v>
      </c>
      <c r="QS53" s="2564" t="s">
        <v>347</v>
      </c>
      <c r="QT53" s="2564" t="s">
        <v>934</v>
      </c>
      <c r="QU53" s="2564" t="s">
        <v>935</v>
      </c>
      <c r="QV53" s="2564" t="s">
        <v>936</v>
      </c>
      <c r="QW53" s="2581" t="s">
        <v>228</v>
      </c>
      <c r="QX53" s="2583" t="s">
        <v>335</v>
      </c>
      <c r="QY53" s="2575" t="s">
        <v>945</v>
      </c>
      <c r="QZ53" s="2566" t="s">
        <v>229</v>
      </c>
      <c r="RA53" s="2566" t="s">
        <v>230</v>
      </c>
      <c r="RB53" s="2566" t="s">
        <v>339</v>
      </c>
      <c r="RC53" s="2571" t="s">
        <v>346</v>
      </c>
      <c r="RD53" s="2571" t="s">
        <v>225</v>
      </c>
      <c r="RE53" s="2566" t="s">
        <v>347</v>
      </c>
      <c r="RF53" s="2566" t="s">
        <v>934</v>
      </c>
      <c r="RG53" s="2566" t="s">
        <v>935</v>
      </c>
      <c r="RH53" s="2566" t="s">
        <v>936</v>
      </c>
      <c r="RI53" s="2577" t="s">
        <v>228</v>
      </c>
      <c r="RJ53" s="2579" t="s">
        <v>335</v>
      </c>
      <c r="RK53" s="2573" t="s">
        <v>945</v>
      </c>
      <c r="RL53" s="2564" t="s">
        <v>229</v>
      </c>
      <c r="RM53" s="2564" t="s">
        <v>230</v>
      </c>
      <c r="RN53" s="2564" t="s">
        <v>339</v>
      </c>
      <c r="RO53" s="2572" t="s">
        <v>346</v>
      </c>
      <c r="RP53" s="2572" t="s">
        <v>225</v>
      </c>
      <c r="RQ53" s="2564" t="s">
        <v>347</v>
      </c>
      <c r="RR53" s="2564" t="s">
        <v>934</v>
      </c>
      <c r="RS53" s="2564" t="s">
        <v>935</v>
      </c>
      <c r="RT53" s="2564" t="s">
        <v>936</v>
      </c>
      <c r="RU53" s="2581" t="s">
        <v>228</v>
      </c>
      <c r="RV53" s="2583" t="s">
        <v>335</v>
      </c>
      <c r="RW53" s="2575" t="s">
        <v>945</v>
      </c>
      <c r="RX53" s="2566" t="s">
        <v>229</v>
      </c>
      <c r="RY53" s="2566" t="s">
        <v>230</v>
      </c>
      <c r="RZ53" s="2566" t="s">
        <v>339</v>
      </c>
      <c r="SA53" s="2571" t="s">
        <v>346</v>
      </c>
      <c r="SB53" s="2571" t="s">
        <v>225</v>
      </c>
      <c r="SC53" s="2566" t="s">
        <v>347</v>
      </c>
      <c r="SD53" s="2566" t="s">
        <v>934</v>
      </c>
      <c r="SE53" s="2566" t="s">
        <v>935</v>
      </c>
      <c r="SF53" s="2566" t="s">
        <v>936</v>
      </c>
    </row>
    <row r="54" spans="1:500" ht="16.2" thickBot="1">
      <c r="A54" s="171" t="s">
        <v>175</v>
      </c>
      <c r="B54" s="172" t="s">
        <v>174</v>
      </c>
      <c r="C54" s="20">
        <v>0</v>
      </c>
      <c r="D54" s="20">
        <v>0.59199999999999997</v>
      </c>
      <c r="E54" s="20">
        <v>0.51800000000000002</v>
      </c>
      <c r="F54" s="20">
        <v>34.075879999999998</v>
      </c>
      <c r="G54" s="20">
        <v>1</v>
      </c>
      <c r="H54" s="170"/>
      <c r="I54" s="170"/>
      <c r="K54" s="2578"/>
      <c r="L54" s="2580"/>
      <c r="M54" s="2574"/>
      <c r="N54" s="2565"/>
      <c r="O54" s="2565"/>
      <c r="P54" s="2565"/>
      <c r="Q54" s="2565"/>
      <c r="R54" s="2565"/>
      <c r="S54" s="2565"/>
      <c r="T54" s="2565"/>
      <c r="U54" s="2565"/>
      <c r="V54" s="2565"/>
      <c r="W54" s="2582"/>
      <c r="X54" s="2584"/>
      <c r="Y54" s="2576"/>
      <c r="Z54" s="2567"/>
      <c r="AA54" s="2567"/>
      <c r="AB54" s="2567"/>
      <c r="AC54" s="2567"/>
      <c r="AD54" s="2567"/>
      <c r="AE54" s="2567"/>
      <c r="AF54" s="2567"/>
      <c r="AG54" s="2567"/>
      <c r="AH54" s="2567"/>
      <c r="AI54" s="2578"/>
      <c r="AJ54" s="2580"/>
      <c r="AK54" s="2574"/>
      <c r="AL54" s="2565"/>
      <c r="AM54" s="2565"/>
      <c r="AN54" s="2565"/>
      <c r="AO54" s="2565"/>
      <c r="AP54" s="2565"/>
      <c r="AQ54" s="2565"/>
      <c r="AR54" s="2565"/>
      <c r="AS54" s="2565"/>
      <c r="AT54" s="2565"/>
      <c r="AU54" s="2582"/>
      <c r="AV54" s="2584"/>
      <c r="AW54" s="2576"/>
      <c r="AX54" s="2567"/>
      <c r="AY54" s="2567"/>
      <c r="AZ54" s="2567"/>
      <c r="BA54" s="2567"/>
      <c r="BB54" s="2567"/>
      <c r="BC54" s="2567"/>
      <c r="BD54" s="2567"/>
      <c r="BE54" s="2567"/>
      <c r="BF54" s="2567"/>
      <c r="BH54" s="2578"/>
      <c r="BI54" s="2580"/>
      <c r="BJ54" s="2574"/>
      <c r="BK54" s="2565"/>
      <c r="BL54" s="2565"/>
      <c r="BM54" s="2565"/>
      <c r="BN54" s="2565"/>
      <c r="BO54" s="2565"/>
      <c r="BP54" s="2565"/>
      <c r="BQ54" s="2565"/>
      <c r="BR54" s="2565"/>
      <c r="BS54" s="2565"/>
      <c r="BT54" s="2582"/>
      <c r="BU54" s="2584"/>
      <c r="BV54" s="2576"/>
      <c r="BW54" s="2567"/>
      <c r="BX54" s="2567"/>
      <c r="BY54" s="2567"/>
      <c r="BZ54" s="2567"/>
      <c r="CA54" s="2567"/>
      <c r="CB54" s="2567"/>
      <c r="CC54" s="2567"/>
      <c r="CD54" s="2567"/>
      <c r="CE54" s="2567"/>
      <c r="CF54" s="2578"/>
      <c r="CG54" s="2580"/>
      <c r="CH54" s="2574"/>
      <c r="CI54" s="2565"/>
      <c r="CJ54" s="2565"/>
      <c r="CK54" s="2565"/>
      <c r="CL54" s="2565"/>
      <c r="CM54" s="2565"/>
      <c r="CN54" s="2565"/>
      <c r="CO54" s="2565"/>
      <c r="CP54" s="2565"/>
      <c r="CQ54" s="2565"/>
      <c r="CR54" s="2582"/>
      <c r="CS54" s="2584"/>
      <c r="CT54" s="2576"/>
      <c r="CU54" s="2567"/>
      <c r="CV54" s="2567"/>
      <c r="CW54" s="2567"/>
      <c r="CX54" s="2567"/>
      <c r="CY54" s="2567"/>
      <c r="CZ54" s="2567"/>
      <c r="DA54" s="2567"/>
      <c r="DB54" s="2567"/>
      <c r="DC54" s="2567"/>
      <c r="DE54" s="2578"/>
      <c r="DF54" s="2580"/>
      <c r="DG54" s="2574"/>
      <c r="DH54" s="2565"/>
      <c r="DI54" s="2565"/>
      <c r="DJ54" s="2565"/>
      <c r="DK54" s="2565"/>
      <c r="DL54" s="2565"/>
      <c r="DM54" s="2565"/>
      <c r="DN54" s="2565"/>
      <c r="DO54" s="2565"/>
      <c r="DP54" s="2565"/>
      <c r="DQ54" s="2582"/>
      <c r="DR54" s="2584"/>
      <c r="DS54" s="2576"/>
      <c r="DT54" s="2567"/>
      <c r="DU54" s="2567"/>
      <c r="DV54" s="2567"/>
      <c r="DW54" s="2567"/>
      <c r="DX54" s="2567"/>
      <c r="DY54" s="2567"/>
      <c r="DZ54" s="2567"/>
      <c r="EA54" s="2567"/>
      <c r="EB54" s="2567"/>
      <c r="EC54" s="2578"/>
      <c r="ED54" s="2580"/>
      <c r="EE54" s="2574"/>
      <c r="EF54" s="2565"/>
      <c r="EG54" s="2565"/>
      <c r="EH54" s="2565"/>
      <c r="EI54" s="2565"/>
      <c r="EJ54" s="2565"/>
      <c r="EK54" s="2565"/>
      <c r="EL54" s="2565"/>
      <c r="EM54" s="2565"/>
      <c r="EN54" s="2565"/>
      <c r="EO54" s="2582"/>
      <c r="EP54" s="2584"/>
      <c r="EQ54" s="2576"/>
      <c r="ER54" s="2567"/>
      <c r="ES54" s="2567"/>
      <c r="ET54" s="2567"/>
      <c r="EU54" s="2567"/>
      <c r="EV54" s="2567"/>
      <c r="EW54" s="2567"/>
      <c r="EX54" s="2567"/>
      <c r="EY54" s="2567"/>
      <c r="EZ54" s="2567"/>
      <c r="FB54" s="2578"/>
      <c r="FC54" s="2580"/>
      <c r="FD54" s="2574"/>
      <c r="FE54" s="2565"/>
      <c r="FF54" s="2565"/>
      <c r="FG54" s="2565"/>
      <c r="FH54" s="2565"/>
      <c r="FI54" s="2565"/>
      <c r="FJ54" s="2565"/>
      <c r="FK54" s="2565"/>
      <c r="FL54" s="2565"/>
      <c r="FM54" s="2565"/>
      <c r="FN54" s="2582"/>
      <c r="FO54" s="2584"/>
      <c r="FP54" s="2576"/>
      <c r="FQ54" s="2567"/>
      <c r="FR54" s="2567"/>
      <c r="FS54" s="2567"/>
      <c r="FT54" s="2567"/>
      <c r="FU54" s="2567"/>
      <c r="FV54" s="2567"/>
      <c r="FW54" s="2567"/>
      <c r="FX54" s="2567"/>
      <c r="FY54" s="2567"/>
      <c r="FZ54" s="2578"/>
      <c r="GA54" s="2580"/>
      <c r="GB54" s="2574"/>
      <c r="GC54" s="2565"/>
      <c r="GD54" s="2565"/>
      <c r="GE54" s="2565"/>
      <c r="GF54" s="2565"/>
      <c r="GG54" s="2565"/>
      <c r="GH54" s="2565"/>
      <c r="GI54" s="2565"/>
      <c r="GJ54" s="2565"/>
      <c r="GK54" s="2565"/>
      <c r="GL54" s="2582"/>
      <c r="GM54" s="2584"/>
      <c r="GN54" s="2576"/>
      <c r="GO54" s="2567"/>
      <c r="GP54" s="2567"/>
      <c r="GQ54" s="2567"/>
      <c r="GR54" s="2567"/>
      <c r="GS54" s="2567"/>
      <c r="GT54" s="2567"/>
      <c r="GU54" s="2567"/>
      <c r="GV54" s="2567"/>
      <c r="GW54" s="2567"/>
      <c r="GY54" s="2578"/>
      <c r="GZ54" s="2580"/>
      <c r="HA54" s="2574"/>
      <c r="HB54" s="2565"/>
      <c r="HC54" s="2565"/>
      <c r="HD54" s="2565"/>
      <c r="HE54" s="2565"/>
      <c r="HF54" s="2565"/>
      <c r="HG54" s="2565"/>
      <c r="HH54" s="2565"/>
      <c r="HI54" s="2565"/>
      <c r="HJ54" s="2565"/>
      <c r="HK54" s="2582"/>
      <c r="HL54" s="2584"/>
      <c r="HM54" s="2576"/>
      <c r="HN54" s="2567"/>
      <c r="HO54" s="2567"/>
      <c r="HP54" s="2567"/>
      <c r="HQ54" s="2567"/>
      <c r="HR54" s="2567"/>
      <c r="HS54" s="2567"/>
      <c r="HT54" s="2567"/>
      <c r="HU54" s="2567"/>
      <c r="HV54" s="2567"/>
      <c r="HW54" s="2578"/>
      <c r="HX54" s="2580"/>
      <c r="HY54" s="2574"/>
      <c r="HZ54" s="2565"/>
      <c r="IA54" s="2565"/>
      <c r="IB54" s="2565"/>
      <c r="IC54" s="2565"/>
      <c r="ID54" s="2565"/>
      <c r="IE54" s="2565"/>
      <c r="IF54" s="2565"/>
      <c r="IG54" s="2565"/>
      <c r="IH54" s="2565"/>
      <c r="II54" s="2582"/>
      <c r="IJ54" s="2584"/>
      <c r="IK54" s="2576"/>
      <c r="IL54" s="2567"/>
      <c r="IM54" s="2567"/>
      <c r="IN54" s="2567"/>
      <c r="IO54" s="2567"/>
      <c r="IP54" s="2567"/>
      <c r="IQ54" s="2567"/>
      <c r="IR54" s="2567"/>
      <c r="IS54" s="2567"/>
      <c r="IT54" s="2567"/>
      <c r="IV54" s="2578"/>
      <c r="IW54" s="2580"/>
      <c r="IX54" s="2574"/>
      <c r="IY54" s="2565"/>
      <c r="IZ54" s="2565"/>
      <c r="JA54" s="2565"/>
      <c r="JB54" s="2565"/>
      <c r="JC54" s="2565"/>
      <c r="JD54" s="2565"/>
      <c r="JE54" s="2565"/>
      <c r="JF54" s="2565"/>
      <c r="JG54" s="2565"/>
      <c r="JH54" s="2582"/>
      <c r="JI54" s="2584"/>
      <c r="JJ54" s="2576"/>
      <c r="JK54" s="2567"/>
      <c r="JL54" s="2567"/>
      <c r="JM54" s="2567"/>
      <c r="JN54" s="2567"/>
      <c r="JO54" s="2567"/>
      <c r="JP54" s="2567"/>
      <c r="JQ54" s="2567"/>
      <c r="JR54" s="2567"/>
      <c r="JS54" s="2567"/>
      <c r="JT54" s="2578"/>
      <c r="JU54" s="2580"/>
      <c r="JV54" s="2574"/>
      <c r="JW54" s="2565"/>
      <c r="JX54" s="2565"/>
      <c r="JY54" s="2565"/>
      <c r="JZ54" s="2565"/>
      <c r="KA54" s="2565"/>
      <c r="KB54" s="2565"/>
      <c r="KC54" s="2565"/>
      <c r="KD54" s="2565"/>
      <c r="KE54" s="2565"/>
      <c r="KF54" s="2582"/>
      <c r="KG54" s="2584"/>
      <c r="KH54" s="2576"/>
      <c r="KI54" s="2567"/>
      <c r="KJ54" s="2567"/>
      <c r="KK54" s="2567"/>
      <c r="KL54" s="2567"/>
      <c r="KM54" s="2567"/>
      <c r="KN54" s="2567"/>
      <c r="KO54" s="2567"/>
      <c r="KP54" s="2567"/>
      <c r="KQ54" s="2567"/>
      <c r="KS54" s="2578"/>
      <c r="KT54" s="2580"/>
      <c r="KU54" s="2574"/>
      <c r="KV54" s="2565"/>
      <c r="KW54" s="2565"/>
      <c r="KX54" s="2565"/>
      <c r="KY54" s="2565"/>
      <c r="KZ54" s="2565"/>
      <c r="LA54" s="2565"/>
      <c r="LB54" s="2565"/>
      <c r="LC54" s="2565"/>
      <c r="LD54" s="2565"/>
      <c r="LE54" s="2582"/>
      <c r="LF54" s="2584"/>
      <c r="LG54" s="2576"/>
      <c r="LH54" s="2567"/>
      <c r="LI54" s="2567"/>
      <c r="LJ54" s="2567"/>
      <c r="LK54" s="2567"/>
      <c r="LL54" s="2567"/>
      <c r="LM54" s="2567"/>
      <c r="LN54" s="2567"/>
      <c r="LO54" s="2567"/>
      <c r="LP54" s="2567"/>
      <c r="LQ54" s="2578"/>
      <c r="LR54" s="2580"/>
      <c r="LS54" s="2574"/>
      <c r="LT54" s="2565"/>
      <c r="LU54" s="2565"/>
      <c r="LV54" s="2565"/>
      <c r="LW54" s="2565"/>
      <c r="LX54" s="2565"/>
      <c r="LY54" s="2565"/>
      <c r="LZ54" s="2565"/>
      <c r="MA54" s="2565"/>
      <c r="MB54" s="2565"/>
      <c r="MC54" s="2582"/>
      <c r="MD54" s="2584"/>
      <c r="ME54" s="2576"/>
      <c r="MF54" s="2567"/>
      <c r="MG54" s="2567"/>
      <c r="MH54" s="2567"/>
      <c r="MI54" s="2567"/>
      <c r="MJ54" s="2567"/>
      <c r="MK54" s="2567"/>
      <c r="ML54" s="2567"/>
      <c r="MM54" s="2567"/>
      <c r="MN54" s="2567"/>
      <c r="MP54" s="2578"/>
      <c r="MQ54" s="2580"/>
      <c r="MR54" s="2574"/>
      <c r="MS54" s="2565"/>
      <c r="MT54" s="2565"/>
      <c r="MU54" s="2565"/>
      <c r="MV54" s="2565"/>
      <c r="MW54" s="2565"/>
      <c r="MX54" s="2565"/>
      <c r="MY54" s="2565"/>
      <c r="MZ54" s="2565"/>
      <c r="NA54" s="2565"/>
      <c r="NB54" s="2582"/>
      <c r="NC54" s="2584"/>
      <c r="ND54" s="2576"/>
      <c r="NE54" s="2567"/>
      <c r="NF54" s="2567"/>
      <c r="NG54" s="2567"/>
      <c r="NH54" s="2567"/>
      <c r="NI54" s="2567"/>
      <c r="NJ54" s="2567"/>
      <c r="NK54" s="2567"/>
      <c r="NL54" s="2567"/>
      <c r="NM54" s="2567"/>
      <c r="NN54" s="2578"/>
      <c r="NO54" s="2580"/>
      <c r="NP54" s="2574"/>
      <c r="NQ54" s="2565"/>
      <c r="NR54" s="2565"/>
      <c r="NS54" s="2565"/>
      <c r="NT54" s="2565"/>
      <c r="NU54" s="2565"/>
      <c r="NV54" s="2565"/>
      <c r="NW54" s="2565"/>
      <c r="NX54" s="2565"/>
      <c r="NY54" s="2565"/>
      <c r="NZ54" s="2582"/>
      <c r="OA54" s="2584"/>
      <c r="OB54" s="2576"/>
      <c r="OC54" s="2567"/>
      <c r="OD54" s="2567"/>
      <c r="OE54" s="2567"/>
      <c r="OF54" s="2567"/>
      <c r="OG54" s="2567"/>
      <c r="OH54" s="2567"/>
      <c r="OI54" s="2567"/>
      <c r="OJ54" s="2567"/>
      <c r="OK54" s="2567"/>
      <c r="ON54" s="2578"/>
      <c r="OO54" s="2580"/>
      <c r="OP54" s="2574"/>
      <c r="OQ54" s="2565"/>
      <c r="OR54" s="2565"/>
      <c r="OS54" s="2565"/>
      <c r="OT54" s="2565"/>
      <c r="OU54" s="2565"/>
      <c r="OV54" s="2565"/>
      <c r="OW54" s="2565"/>
      <c r="OX54" s="2565"/>
      <c r="OY54" s="2565"/>
      <c r="OZ54" s="2582"/>
      <c r="PA54" s="2584"/>
      <c r="PB54" s="2576"/>
      <c r="PC54" s="2567"/>
      <c r="PD54" s="2567"/>
      <c r="PE54" s="2567"/>
      <c r="PF54" s="2567"/>
      <c r="PG54" s="2567"/>
      <c r="PH54" s="2567"/>
      <c r="PI54" s="2567"/>
      <c r="PJ54" s="2567"/>
      <c r="PK54" s="2567"/>
      <c r="PL54" s="2578"/>
      <c r="PM54" s="2580"/>
      <c r="PN54" s="2574"/>
      <c r="PO54" s="2565"/>
      <c r="PP54" s="2565"/>
      <c r="PQ54" s="2565"/>
      <c r="PR54" s="2565"/>
      <c r="PS54" s="2565"/>
      <c r="PT54" s="2565"/>
      <c r="PU54" s="2565"/>
      <c r="PV54" s="2565"/>
      <c r="PW54" s="2565"/>
      <c r="PX54" s="2582"/>
      <c r="PY54" s="2584"/>
      <c r="PZ54" s="2576"/>
      <c r="QA54" s="2567"/>
      <c r="QB54" s="2567"/>
      <c r="QC54" s="2567"/>
      <c r="QD54" s="2567"/>
      <c r="QE54" s="2567"/>
      <c r="QF54" s="2567"/>
      <c r="QG54" s="2567"/>
      <c r="QH54" s="2567"/>
      <c r="QI54" s="2567"/>
      <c r="QK54" s="2578"/>
      <c r="QL54" s="2580"/>
      <c r="QM54" s="2574"/>
      <c r="QN54" s="2565"/>
      <c r="QO54" s="2565"/>
      <c r="QP54" s="2565"/>
      <c r="QQ54" s="2565"/>
      <c r="QR54" s="2565"/>
      <c r="QS54" s="2565"/>
      <c r="QT54" s="2565"/>
      <c r="QU54" s="2565"/>
      <c r="QV54" s="2565"/>
      <c r="QW54" s="2582"/>
      <c r="QX54" s="2584"/>
      <c r="QY54" s="2576"/>
      <c r="QZ54" s="2567"/>
      <c r="RA54" s="2567"/>
      <c r="RB54" s="2567"/>
      <c r="RC54" s="2567"/>
      <c r="RD54" s="2567"/>
      <c r="RE54" s="2567"/>
      <c r="RF54" s="2567"/>
      <c r="RG54" s="2567"/>
      <c r="RH54" s="2567"/>
      <c r="RI54" s="2578"/>
      <c r="RJ54" s="2580"/>
      <c r="RK54" s="2574"/>
      <c r="RL54" s="2565"/>
      <c r="RM54" s="2565"/>
      <c r="RN54" s="2565"/>
      <c r="RO54" s="2565"/>
      <c r="RP54" s="2565"/>
      <c r="RQ54" s="2565"/>
      <c r="RR54" s="2565"/>
      <c r="RS54" s="2565"/>
      <c r="RT54" s="2565"/>
      <c r="RU54" s="2582"/>
      <c r="RV54" s="2584"/>
      <c r="RW54" s="2576"/>
      <c r="RX54" s="2567"/>
      <c r="RY54" s="2567"/>
      <c r="RZ54" s="2567"/>
      <c r="SA54" s="2567"/>
      <c r="SB54" s="2567"/>
      <c r="SC54" s="2567"/>
      <c r="SD54" s="2567"/>
      <c r="SE54" s="2567"/>
      <c r="SF54" s="2567"/>
    </row>
    <row r="55" spans="1:500">
      <c r="A55" s="18" t="s">
        <v>177</v>
      </c>
      <c r="B55" s="19" t="s">
        <v>176</v>
      </c>
      <c r="C55" s="20">
        <v>0</v>
      </c>
      <c r="D55" s="20">
        <v>0</v>
      </c>
      <c r="E55" s="20">
        <v>0</v>
      </c>
      <c r="F55" s="20">
        <v>39.948</v>
      </c>
      <c r="G55" s="20">
        <v>0</v>
      </c>
      <c r="H55" s="170"/>
      <c r="I55" s="170"/>
      <c r="K55" s="195" t="str">
        <f>IF(Compositions!B120="","",IF(Compositions!$B$118="mol%",Compositions!B120,L55))</f>
        <v/>
      </c>
      <c r="L55" s="195" t="str">
        <f>IF(M55="","",((M55/$M$78)*100))</f>
        <v/>
      </c>
      <c r="M55" s="195" t="str">
        <f>IF(Compositions!B120="","",(Compositions!B120/(VLOOKUP(Compositions!A120,'HHV-LHV-MW'!$A$3:$F$40,6,FALSE))))</f>
        <v/>
      </c>
      <c r="N55" s="188" t="str">
        <f>IF(K55="","",((VLOOKUP(Compositions!A120,'HHV-LHV-MW'!$A$3:$F$40,4,FALSE))*(K55/100)))</f>
        <v/>
      </c>
      <c r="O55" s="188" t="str">
        <f>IF(K55="","",((VLOOKUP(Compositions!A120,'HHV-LHV-MW'!$A$3:$F$40,5,FALSE))*(K55/100)))</f>
        <v/>
      </c>
      <c r="P55" s="188" t="str">
        <f>IF(K55="","",((VLOOKUP(Compositions!A120,'HHV-LHV-MW'!$A$3:$F$40,6,FALSE))*(K55/100)))</f>
        <v/>
      </c>
      <c r="Q55" s="188" t="str">
        <f>IF(Compositions!B120="","",(Compositions!B120*(VLOOKUP(Compositions!A120,'HHV-LHV-MW'!$A$3:$F$40,6,FALSE))))</f>
        <v/>
      </c>
      <c r="R55" s="188" t="str">
        <f>IF(Compositions!B120="","",IF(OR(Compositions!$B$118="wt%",Compositions!$B$118=""),Compositions!B120,(IF(Q55="","",((Q55/$Q$78)*100)))))</f>
        <v/>
      </c>
      <c r="S55" s="188" t="str">
        <f>IF(R55="","",(IF(OR(Compositions!A120="Hydrogen",Compositions!A120="Helium",Compositions!A120="Water",Compositions!A120="Carbon Monoxide",Compositions!A120="Nitrogen",Compositions!A120="Oxygen",Compositions!A120="Hydrogen Sulfide",Compositions!A120="Argon",Compositions!A120="Carbon Dioxide",Compositions!A120="Carbon Disulfide"),0,R55)))</f>
        <v/>
      </c>
      <c r="T55" s="188" t="str">
        <f>IF(Compositions!B120="","",((K55/100)*((VLOOKUP(Compositions!A120,'HHV-LHV-MW'!$A$3:$G$40,7,FALSE)))))</f>
        <v/>
      </c>
      <c r="U55" s="188" t="str">
        <f>IF(K55="","",(IF(OR(Compositions!A120="Hydrogen",Compositions!A120="Carbon Disulfide",Compositions!A120="Helium",Compositions!A120="Water",Compositions!A120="Carbon Monoxide",Compositions!A120="Nitrogen",Compositions!A120="Oxygen",Compositions!A120="Hydrogen Sulfide",Compositions!A120="Argon",Compositions!A120="Carbon Dioxide",Compositions!A120="Methane",Compositions!A120="Ethane"),0,(K55/100))))</f>
        <v/>
      </c>
      <c r="V55" s="188" t="str">
        <f>IF(K55="","", (IF(OR($U$78=0,$U$78=""),0,((VLOOKUP(Compositions!A120,'HHV-LHV-MW'!$A$3:$F$40,6,FALSE))*(U55/$U$78))   ))   )</f>
        <v/>
      </c>
      <c r="W55" s="28" t="str">
        <f>IF(Compositions!C120="","",IF(Compositions!$C$118="mol%",Compositions!C120,X55))</f>
        <v/>
      </c>
      <c r="X55" s="28" t="str">
        <f>IF(Y55="","",((Y55/$Y$78)*100))</f>
        <v/>
      </c>
      <c r="Y55" s="28" t="str">
        <f>IF(Compositions!C120="","",(Compositions!C120/(VLOOKUP(Compositions!A120,'HHV-LHV-MW'!$A$3:$F$40,6,FALSE))))</f>
        <v/>
      </c>
      <c r="Z55" s="26" t="str">
        <f>IF(W55="","",((VLOOKUP(Compositions!A120,'HHV-LHV-MW'!$A$3:$F$40,4,FALSE))*(W55/100)))</f>
        <v/>
      </c>
      <c r="AA55" s="26" t="str">
        <f>IF(W55="","",((VLOOKUP(Compositions!A120,'HHV-LHV-MW'!$A$3:$F$40,5,FALSE))*(W55/100)))</f>
        <v/>
      </c>
      <c r="AB55" s="26" t="str">
        <f>IF(W55="","",((VLOOKUP(Compositions!A120,'HHV-LHV-MW'!$A$3:$F$40,6,FALSE))*(W55/100)))</f>
        <v/>
      </c>
      <c r="AC55" s="26" t="str">
        <f>IF(Compositions!C120="","",(Compositions!C120*(VLOOKUP(Compositions!A120,'HHV-LHV-MW'!$A$3:$F$40,6,FALSE))))</f>
        <v/>
      </c>
      <c r="AD55" s="26" t="str">
        <f>IF(Compositions!C120="","",IF(OR(Compositions!$C$118="wt%",Compositions!$C$118=""),Compositions!C120,(IF(AC55="","",((AC55/$AC$78)*100)))))</f>
        <v/>
      </c>
      <c r="AE55" s="39" t="str">
        <f>IF(AD55="","",(IF(OR(Compositions!A120="Hydrogen",Compositions!A120="Helium",Compositions!A120="Water",Compositions!A120="Carbon Monoxide",Compositions!A120="Nitrogen",Compositions!A120="Oxygen",Compositions!A120="Hydrogen Sulfide",Compositions!A120="Argon",Compositions!A120="Carbon Dioxide",Compositions!A120="Carbon Disulfide"),0,AD55)))</f>
        <v/>
      </c>
      <c r="AF55" s="177" t="str">
        <f>IF(Compositions!C120="","",((W55/100)*((VLOOKUP(Compositions!A120,'HHV-LHV-MW'!$A$3:$G$40,7,FALSE)))))</f>
        <v/>
      </c>
      <c r="AG55" s="177" t="str">
        <f>IF(W55="","",(IF(OR(Compositions!A120="Hydrogen",Compositions!A120="Carbon Disulfide",Compositions!A120="Helium",Compositions!A120="Water",Compositions!A120="Carbon Monoxide",Compositions!A120="Nitrogen",Compositions!A120="Oxygen",Compositions!A120="Hydrogen Sulfide",Compositions!A120="Argon",Compositions!A120="Carbon Dioxide",Compositions!A120="Methane",Compositions!A120="Ethane"),0,(W55/100))))</f>
        <v/>
      </c>
      <c r="AH55" s="39" t="str">
        <f>IF(W55="","", (IF(OR($AG$78=0,$AG$78=""),0,   ((VLOOKUP(Compositions!A120,'HHV-LHV-MW'!$A$3:$F$40,6,FALSE))*(AG55/$AG$78)))))</f>
        <v/>
      </c>
      <c r="AI55" s="27" t="str">
        <f>IF(Compositions!D120="","",IF(Compositions!$D$118="mol%",Compositions!D120,AJ55))</f>
        <v/>
      </c>
      <c r="AJ55" s="27" t="str">
        <f>IF(AK55="","",((AK55/$AK$78)*100))</f>
        <v/>
      </c>
      <c r="AK55" s="27" t="str">
        <f>IF(Compositions!D120="","",(Compositions!D120/(VLOOKUP(Compositions!A120,'HHV-LHV-MW'!$A$3:$F$40,6,FALSE))))</f>
        <v/>
      </c>
      <c r="AL55" s="25" t="str">
        <f>IF(AI55="","",((VLOOKUP(Compositions!A120,'HHV-LHV-MW'!$A$3:$F$40,4,FALSE))*(AI55/100)))</f>
        <v/>
      </c>
      <c r="AM55" s="25" t="str">
        <f>IF(AI55="","",((VLOOKUP(Compositions!A120,'HHV-LHV-MW'!$A$3:$F$40,5,FALSE))*(AI55/100)))</f>
        <v/>
      </c>
      <c r="AN55" s="25" t="str">
        <f>IF(AI55="","",((VLOOKUP(Compositions!A120,'HHV-LHV-MW'!$A$3:$F$40,6,FALSE))*(AI55/100)))</f>
        <v/>
      </c>
      <c r="AO55" s="25" t="str">
        <f>IF(Compositions!D120="","",(Compositions!D120*(VLOOKUP(Compositions!A120,'HHV-LHV-MW'!$A$3:$F$40,6,FALSE))))</f>
        <v/>
      </c>
      <c r="AP55" s="25" t="str">
        <f>IF(Compositions!D120="","",IF(OR(Compositions!$D$118="wt%",Compositions!$D$118=""),Compositions!D120,(IF(AO55="","",((AO55/$AO$78)*100)))))</f>
        <v/>
      </c>
      <c r="AQ55" s="25" t="str">
        <f>IF(AP55="","",(IF(OR(Compositions!A120="Hydrogen",Compositions!A120="Helium",Compositions!A120="Water",Compositions!A120="Carbon Monoxide",Compositions!A120="Nitrogen",Compositions!A120="Oxygen",Compositions!A120="Hydrogen Sulfide",Compositions!A120="Argon",Compositions!A120="Carbon Dioxide",Compositions!A120="Carbon Disulfide"),0,AP55)))</f>
        <v/>
      </c>
      <c r="AR55" s="180" t="str">
        <f>IF(Compositions!D120="","",((AI55/100)*((VLOOKUP(Compositions!A120,'HHV-LHV-MW'!$A$3:$G$40,7,FALSE)))))</f>
        <v/>
      </c>
      <c r="AS55" s="180" t="str">
        <f>IF(AI55="","",(IF(OR(Compositions!A120="Hydrogen",Compositions!A120="Carbon Disulfide",Compositions!A120="Helium",Compositions!A120="Water",Compositions!A120="Carbon Monoxide",Compositions!A120="Nitrogen",Compositions!A120="Oxygen",Compositions!A120="Hydrogen Sulfide",Compositions!A120="Argon",Compositions!A120="Carbon Dioxide",Compositions!A120="Methane",Compositions!A120="Ethane"),0,(AI55/100))))</f>
        <v/>
      </c>
      <c r="AT55" s="180" t="str">
        <f>IF(AI55="","",(IF(OR($AS$78=0,$AS$78=""),0,      ((VLOOKUP(Compositions!A120,'HHV-LHV-MW'!$A$3:$F$40,6,FALSE))*(AS55/$AS$78)))))</f>
        <v/>
      </c>
      <c r="AU55" s="28" t="str">
        <f>IF(Compositions!E120="","",IF(Compositions!$E$118="mol%",Compositions!E120,AV55))</f>
        <v/>
      </c>
      <c r="AV55" s="28" t="str">
        <f>IF(AW55="","",((AW55/$AW$78)*100))</f>
        <v/>
      </c>
      <c r="AW55" s="28" t="str">
        <f>IF(Compositions!E120="","",(Compositions!E120/(VLOOKUP(Compositions!A120,'HHV-LHV-MW'!$A$3:$F$40,6,FALSE))))</f>
        <v/>
      </c>
      <c r="AX55" s="26" t="str">
        <f>IF(AU55="","",((VLOOKUP(Compositions!A120,'HHV-LHV-MW'!$A$3:$F$40,4,FALSE))*(AU55/100)))</f>
        <v/>
      </c>
      <c r="AY55" s="26" t="str">
        <f>IF(AU55="","",((VLOOKUP(Compositions!A120,'HHV-LHV-MW'!$A$3:$F$40,5,FALSE))*(AU55/100)))</f>
        <v/>
      </c>
      <c r="AZ55" s="26" t="str">
        <f>IF(AU55="","",((VLOOKUP(Compositions!A120,'HHV-LHV-MW'!$A$3:$F$40,6,FALSE))*(AU55/100)))</f>
        <v/>
      </c>
      <c r="BA55" s="26" t="str">
        <f>IF(Compositions!E120="","",(Compositions!E120*(VLOOKUP(Compositions!A120,'HHV-LHV-MW'!$A$3:$F$40,6,FALSE))))</f>
        <v/>
      </c>
      <c r="BB55" s="26" t="str">
        <f>IF(Compositions!E120="","",IF(OR(Compositions!$E$118="wt%",Compositions!$E$118=""),Compositions!E120,(IF(BA55="","",((BA55/$BA$78)*100)))))</f>
        <v/>
      </c>
      <c r="BC55" s="39" t="str">
        <f>IF(BB55="","",(IF(OR(Compositions!A120="Hydrogen",Compositions!A120="Helium",Compositions!A120="Water",Compositions!A120="Carbon Monoxide",Compositions!A120="Nitrogen",Compositions!A120="Oxygen",Compositions!A120="Hydrogen Sulfide",Compositions!A120="Argon",Compositions!A120="Carbon Dioxide",Compositions!A120="Carbon Disulfide"),0,BB55)))</f>
        <v/>
      </c>
      <c r="BD55" s="177" t="str">
        <f>IF(Compositions!E120="","",((AU55/100)*((VLOOKUP(Compositions!A120,'HHV-LHV-MW'!$A$3:$G$40,7,FALSE)))))</f>
        <v/>
      </c>
      <c r="BE55" s="177" t="str">
        <f>IF(AU55="","",(IF(OR(Compositions!A120="Hydrogen",Compositions!A120="Carbon Disulfide",Compositions!A120="Helium",Compositions!A120="Water",Compositions!A120="Carbon Monoxide",Compositions!A120="Nitrogen",Compositions!A120="Oxygen",Compositions!A120="Hydrogen Sulfide",Compositions!A120="Argon",Compositions!A120="Carbon Dioxide",Compositions!A120="Methane",Compositions!A120="Ethane"),0,(AU55/100))))</f>
        <v/>
      </c>
      <c r="BF55" s="39" t="str">
        <f>IF(AU55="","",(IF(OR($BE$78=0,$BE$78=""),0,     ((VLOOKUP(Compositions!A120,'HHV-LHV-MW'!$A$3:$F$40,6,FALSE))*(BE55/$BE$78)))))</f>
        <v/>
      </c>
      <c r="BH55" s="27" t="str">
        <f>IF(Compositions!H120="","",IF(Compositions!$H$118="mol%",Compositions!H120,BI55))</f>
        <v/>
      </c>
      <c r="BI55" s="27" t="str">
        <f>IF(BJ55="","",((BJ55/$BJ$78)*100))</f>
        <v/>
      </c>
      <c r="BJ55" s="27" t="str">
        <f>IF(Compositions!H120="","",(Compositions!H120/(VLOOKUP(Compositions!G120,'HHV-LHV-MW'!$A$3:$F$40,6,FALSE))))</f>
        <v/>
      </c>
      <c r="BK55" s="25" t="str">
        <f>IF(BH55="","",((VLOOKUP(Compositions!G120,'HHV-LHV-MW'!$A$3:$F$40,4,FALSE))*(BH55/100)))</f>
        <v/>
      </c>
      <c r="BL55" s="25" t="str">
        <f>IF(BH55="","",((VLOOKUP(Compositions!G120,'HHV-LHV-MW'!$A$3:$F$40,5,FALSE))*(BH55/100)))</f>
        <v/>
      </c>
      <c r="BM55" s="25" t="str">
        <f>IF(BH55="","",((VLOOKUP(Compositions!G120,'HHV-LHV-MW'!$A$3:$F$40,6,FALSE))*(BH55/100)))</f>
        <v/>
      </c>
      <c r="BN55" s="25" t="str">
        <f>IF(Compositions!H120="","",(Compositions!H120*(VLOOKUP(Compositions!G120,'HHV-LHV-MW'!$A$3:$F$40,6,FALSE))))</f>
        <v/>
      </c>
      <c r="BO55" s="25" t="str">
        <f>IF(Compositions!H120="","",IF(OR(Compositions!$H$118="wt%",Compositions!$H$118=""),Compositions!H120,(IF(BN55="","",((BN55/$BN$78)*100)))))</f>
        <v/>
      </c>
      <c r="BP55" s="25" t="str">
        <f>IF(BO55="","",(IF(OR(Compositions!G120="Hydrogen",Compositions!G120="Helium",Compositions!G120="Water",Compositions!G120="Carbon Monoxide",Compositions!G120="Nitrogen",Compositions!G120="Oxygen",Compositions!G120="Hydrogen Sulfide",Compositions!G120="Argon",Compositions!G120="Carbon Dioxide",Compositions!G120="Carbon Disulfide"),0,BO55)))</f>
        <v/>
      </c>
      <c r="BQ55" s="180" t="str">
        <f>IF(Compositions!H120="","",((BH55/100)*((VLOOKUP(Compositions!G120,'HHV-LHV-MW'!$A$3:$G$40,7,FALSE)))))</f>
        <v/>
      </c>
      <c r="BR55" s="180" t="str">
        <f>IF(BH55="","",(IF(OR(Compositions!G120="Hydrogen",Compositions!G120="Carbon Disulfide",Compositions!G120="Helium",Compositions!G120="Water",Compositions!G120="Carbon Monoxide",Compositions!G120="Nitrogen",Compositions!G120="Oxygen",Compositions!G120="Hydrogen Sulfide",Compositions!G120="Argon",Compositions!G120="Carbon Dioxide",Compositions!G120="Methane",Compositions!G120="Ethane"),0,(BH55/100))))</f>
        <v/>
      </c>
      <c r="BS55" s="180" t="str">
        <f>IF(BH55="","",(IF(OR($BR$78=0,$BR$78=""),0,    ((VLOOKUP(Compositions!G120,'HHV-LHV-MW'!$A$3:$F$40,6,FALSE))*(BR55/$BR$78)))))</f>
        <v/>
      </c>
      <c r="BT55" s="28" t="str">
        <f>IF(Compositions!I120="","",IF(Compositions!$I$118="mol%",Compositions!I120,BU55))</f>
        <v/>
      </c>
      <c r="BU55" s="28" t="str">
        <f>IF(BV55="","",((BV55/$BV$78)*100))</f>
        <v/>
      </c>
      <c r="BV55" s="28" t="str">
        <f>IF(Compositions!I120="","",(Compositions!I120/(VLOOKUP(Compositions!G120,'HHV-LHV-MW'!$A$3:$F$40,6,FALSE))))</f>
        <v/>
      </c>
      <c r="BW55" s="26" t="str">
        <f>IF(BT55="","",((VLOOKUP(Compositions!G120,'HHV-LHV-MW'!$A$3:$F$40,4,FALSE))*(BT55/100)))</f>
        <v/>
      </c>
      <c r="BX55" s="26" t="str">
        <f>IF(BT55="","",((VLOOKUP(Compositions!G120,'HHV-LHV-MW'!$A$3:$F$40,5,FALSE))*(BT55/100)))</f>
        <v/>
      </c>
      <c r="BY55" s="26" t="str">
        <f>IF(BT55="","",((VLOOKUP(Compositions!G120,'HHV-LHV-MW'!$A$3:$F$40,6,FALSE))*(BT55/100)))</f>
        <v/>
      </c>
      <c r="BZ55" s="26" t="str">
        <f>IF(Compositions!I120="","",(Compositions!I120*(VLOOKUP(Compositions!G120,'HHV-LHV-MW'!$A$3:$F$40,6,FALSE))))</f>
        <v/>
      </c>
      <c r="CA55" s="26" t="str">
        <f>IF(Compositions!I120="","",IF(OR(Compositions!$I$118="wt%",Compositions!$I$118=""),Compositions!I120,(IF(BZ55="","",((BZ55/$BZ$78)*100)))))</f>
        <v/>
      </c>
      <c r="CB55" s="39" t="str">
        <f>IF(CA55="","",(IF(OR(Compositions!G120="Hydrogen",Compositions!G120="Helium",Compositions!G120="Water",Compositions!G120="Carbon Monoxide",Compositions!G120="Nitrogen",Compositions!G120="Oxygen",Compositions!G120="Hydrogen Sulfide",Compositions!G120="Argon",Compositions!G120="Carbon Dioxide",Compositions!G120="Carbon Disulfide"),0,CA55)))</f>
        <v/>
      </c>
      <c r="CC55" s="177" t="str">
        <f>IF(Compositions!I120="","",((BT55/100)*((VLOOKUP(Compositions!G120,'HHV-LHV-MW'!$A$3:$G$40,7,FALSE)))))</f>
        <v/>
      </c>
      <c r="CD55" s="177" t="str">
        <f>IF(BT55="","",(IF(OR(Compositions!G120="Hydrogen",Compositions!G120="Carbon Disulfide",Compositions!G120="Helium",Compositions!G120="Water",Compositions!G120="Carbon Monoxide",Compositions!G120="Nitrogen",Compositions!G120="Oxygen",Compositions!G120="Hydrogen Sulfide",Compositions!G120="Argon",Compositions!G120="Carbon Dioxide",Compositions!G120="Methane",Compositions!G120="Ethane"),0,(BT55/100))))</f>
        <v/>
      </c>
      <c r="CE55" s="39" t="str">
        <f>IF(BT55="","",(IF(OR($CD$78=0,$CD$78=""),0,       ((VLOOKUP(Compositions!G120,'HHV-LHV-MW'!$A$3:$F$40,6,FALSE))*(CD55/$CD$78)))))</f>
        <v/>
      </c>
      <c r="CF55" s="27" t="str">
        <f>IF(Compositions!J120="","",IF(Compositions!$J$118="mol%",Compositions!J120,CG55))</f>
        <v/>
      </c>
      <c r="CG55" s="27" t="str">
        <f>IF(CH55="","",((CH55/$CH$78)*100))</f>
        <v/>
      </c>
      <c r="CH55" s="27" t="str">
        <f>IF(Compositions!J120="","",(Compositions!J120/(VLOOKUP(Compositions!G120,'HHV-LHV-MW'!$A$3:$F$40,6,FALSE))))</f>
        <v/>
      </c>
      <c r="CI55" s="25" t="str">
        <f>IF(CF55="","",((VLOOKUP(Compositions!G120,'HHV-LHV-MW'!$A$3:$F$40,4,FALSE))*(CF55/100)))</f>
        <v/>
      </c>
      <c r="CJ55" s="25" t="str">
        <f>IF(CF55="","",((VLOOKUP(Compositions!G120,'HHV-LHV-MW'!$A$3:$F$40,5,FALSE))*(CF55/100)))</f>
        <v/>
      </c>
      <c r="CK55" s="25" t="str">
        <f>IF(CF55="","",((VLOOKUP(Compositions!G120,'HHV-LHV-MW'!$A$3:$F$40,6,FALSE))*(CF55/100)))</f>
        <v/>
      </c>
      <c r="CL55" s="25" t="str">
        <f>IF(Compositions!J120="","",(Compositions!J120*(VLOOKUP(Compositions!G120,'HHV-LHV-MW'!$A$3:$F$40,6,FALSE))))</f>
        <v/>
      </c>
      <c r="CM55" s="25" t="str">
        <f>IF(Compositions!J120="","",IF(OR(Compositions!$J$118="wt%",Compositions!$J$118=""),Compositions!J120,(IF(CL55="","",((CL55/$CL$78)*100)))))</f>
        <v/>
      </c>
      <c r="CN55" s="25" t="str">
        <f>IF(CM55="","",(IF(OR(Compositions!G120="Hydrogen",Compositions!G120="Helium",Compositions!G120="Water",Compositions!G120="Carbon Monoxide",Compositions!G120="Nitrogen",Compositions!G120="Oxygen",Compositions!G120="Hydrogen Sulfide",Compositions!G120="Argon",Compositions!G120="Carbon Dioxide",Compositions!G120="Carbon Disulfide"),0,CM55)))</f>
        <v/>
      </c>
      <c r="CO55" s="180" t="str">
        <f>IF(Compositions!J120="","",((CF55/100)*((VLOOKUP(Compositions!G120,'HHV-LHV-MW'!$A$3:$G$40,7,FALSE)))))</f>
        <v/>
      </c>
      <c r="CP55" s="180" t="str">
        <f>IF(CF55="","",(IF(OR(Compositions!G120="Hydrogen",Compositions!G120="Carbon Disulfide",Compositions!G120="Helium",Compositions!G120="Water",Compositions!G120="Carbon Monoxide",Compositions!G120="Nitrogen",Compositions!G120="Oxygen",Compositions!G120="Hydrogen Sulfide",Compositions!G120="Argon",Compositions!G120="Carbon Dioxide",Compositions!G120="Methane",Compositions!G120="Ethane"),0,(CF55/100))))</f>
        <v/>
      </c>
      <c r="CQ55" s="180" t="str">
        <f>IF(CF55="","",(IF(OR($CP$78=0,$CP$78=""),0,       ((VLOOKUP(Compositions!G120,'HHV-LHV-MW'!$A$3:$F$40,6,FALSE))*(CP55/$CP$78)))))</f>
        <v/>
      </c>
      <c r="CR55" s="28" t="str">
        <f>IF(Compositions!K120="","",IF(Compositions!$K$118="mol%",Compositions!K120,CS55))</f>
        <v/>
      </c>
      <c r="CS55" s="28" t="str">
        <f>IF(CT55="","",((CT55/$CT$78)*100))</f>
        <v/>
      </c>
      <c r="CT55" s="28" t="str">
        <f>IF(Compositions!K120="","",(Compositions!K120/(VLOOKUP(Compositions!G120,'HHV-LHV-MW'!$A$3:$F$40,6,FALSE))))</f>
        <v/>
      </c>
      <c r="CU55" s="26" t="str">
        <f>IF(CR55="","",((VLOOKUP(Compositions!G120,'HHV-LHV-MW'!$A$3:$F$40,4,FALSE))*(CR55/100)))</f>
        <v/>
      </c>
      <c r="CV55" s="26" t="str">
        <f>IF(CR55="","",((VLOOKUP(Compositions!G120,'HHV-LHV-MW'!$A$3:$F$40,5,FALSE))*(CR55/100)))</f>
        <v/>
      </c>
      <c r="CW55" s="26" t="str">
        <f>IF(CR55="","",((VLOOKUP(Compositions!G120,'HHV-LHV-MW'!$A$3:$F$40,6,FALSE))*(CR55/100)))</f>
        <v/>
      </c>
      <c r="CX55" s="26" t="str">
        <f>IF(Compositions!K120="","",(Compositions!K120*(VLOOKUP(Compositions!G120,'HHV-LHV-MW'!$A$3:$F$40,6,FALSE))))</f>
        <v/>
      </c>
      <c r="CY55" s="26" t="str">
        <f>IF(Compositions!K120="","",IF(OR(Compositions!$K$118="wt%",Compositions!$K$118=""),Compositions!K120,(IF(CX55="","",((CX55/$CX$78)*100)))))</f>
        <v/>
      </c>
      <c r="CZ55" s="39" t="str">
        <f>IF(CY55="","",(IF(OR(Compositions!G120="Hydrogen",Compositions!G120="Helium",Compositions!G120="Water",Compositions!G120="Carbon Monoxide",Compositions!G120="Nitrogen",Compositions!G120="Oxygen",Compositions!G120="Hydrogen Sulfide",Compositions!G120="Argon",Compositions!G120="Carbon Dioxide",Compositions!G120="Carbon Disulfide"),0,CY55)))</f>
        <v/>
      </c>
      <c r="DA55" s="177" t="str">
        <f>IF(Compositions!K120="","",((CR55/100)*((VLOOKUP(Compositions!G120,'HHV-LHV-MW'!$A$3:$G$40,7,FALSE)))))</f>
        <v/>
      </c>
      <c r="DB55" s="177" t="str">
        <f>IF(CR55="","",(IF(OR(Compositions!G120="Hydrogen",Compositions!G120="Carbon Disulfide",Compositions!G120="Helium",Compositions!G120="Water",Compositions!G120="Carbon Monoxide",Compositions!G120="Nitrogen",Compositions!G120="Oxygen",Compositions!G120="Hydrogen Sulfide",Compositions!G120="Argon",Compositions!G120="Carbon Dioxide",Compositions!G120="Methane",Compositions!G120="Ethane"),0,(CR55/100))))</f>
        <v/>
      </c>
      <c r="DC55" s="39" t="str">
        <f>IF(CR55="","",(IF(OR($DB$78=0,$DB$78=""),0,       ((VLOOKUP(Compositions!G120,'HHV-LHV-MW'!$A$3:$F$40,6,FALSE))*(DB55/$DB$78)))))</f>
        <v/>
      </c>
      <c r="DE55" s="27" t="str">
        <f>IF(Compositions!N120="","",IF(Compositions!$N$118="mol%",Compositions!N120,DF55))</f>
        <v/>
      </c>
      <c r="DF55" s="27" t="str">
        <f>IF(DG55="","",((DG55/$DG$78)*100))</f>
        <v/>
      </c>
      <c r="DG55" s="27" t="str">
        <f>IF(Compositions!N120="","",(Compositions!N120/(VLOOKUP(Compositions!M120,'HHV-LHV-MW'!$A$3:$F$40,6,FALSE))))</f>
        <v/>
      </c>
      <c r="DH55" s="25" t="str">
        <f>IF(DE55="","",((VLOOKUP(Compositions!M120,'HHV-LHV-MW'!$A$3:$F$40,4,FALSE))*(DE55/100)))</f>
        <v/>
      </c>
      <c r="DI55" s="25" t="str">
        <f>IF(DE55="","",((VLOOKUP(Compositions!M120,'HHV-LHV-MW'!$A$3:$F$40,5,FALSE))*(DE55/100)))</f>
        <v/>
      </c>
      <c r="DJ55" s="25" t="str">
        <f>IF(DE55="","",((VLOOKUP(Compositions!M120,'HHV-LHV-MW'!$A$3:$F$40,6,FALSE))*(DE55/100)))</f>
        <v/>
      </c>
      <c r="DK55" s="25" t="str">
        <f>IF(Compositions!N120="","",(Compositions!N120*(VLOOKUP(Compositions!M120,'HHV-LHV-MW'!$A$3:$F$40,6,FALSE))))</f>
        <v/>
      </c>
      <c r="DL55" s="25" t="str">
        <f>IF(Compositions!N120="","",IF(OR(Compositions!$N$118="wt%",Compositions!$N$118=""),Compositions!N120,(IF(DK55="","",((DK55/$DK$78)*100)))))</f>
        <v/>
      </c>
      <c r="DM55" s="25" t="str">
        <f>IF(DL55="","",(IF(OR(Compositions!M120="Hydrogen",Compositions!M120="Helium",Compositions!M120="Water",Compositions!M120="Carbon Monoxide",Compositions!M120="Nitrogen",Compositions!M120="Oxygen",Compositions!M120="Hydrogen Sulfide",Compositions!M120="Argon",Compositions!M120="Carbon Dioxide",Compositions!M120="Carbon Disulfide"),0,DL55)))</f>
        <v/>
      </c>
      <c r="DN55" s="180" t="str">
        <f>IF(Compositions!N120="","",((DE55/100)*((VLOOKUP(Compositions!M120,'HHV-LHV-MW'!$A$3:$G$40,7,FALSE)))))</f>
        <v/>
      </c>
      <c r="DO55" s="180" t="str">
        <f>IF(DE55="","",(IF(OR(Compositions!M120="Hydrogen",Compositions!M120="Carbon Disulfide",Compositions!M120="Helium",Compositions!M120="Water",Compositions!M120="Carbon Monoxide",Compositions!M120="Nitrogen",Compositions!M120="Oxygen",Compositions!M120="Hydrogen Sulfide",Compositions!M120="Argon",Compositions!M120="Carbon Dioxide",Compositions!M120="Methane",Compositions!M120="Ethane"),0,(DE55/100))))</f>
        <v/>
      </c>
      <c r="DP55" s="180" t="str">
        <f>IF(DE55="","",(IF(OR($DO$78=0,$DO$78=""),0,       ((VLOOKUP(Compositions!M120,'HHV-LHV-MW'!$A$3:$F$40,6,FALSE))*(DO55/$DO$78)))))</f>
        <v/>
      </c>
      <c r="DQ55" s="28" t="str">
        <f>IF(Compositions!O120="","",IF(Compositions!$O$118="mol%",Compositions!O120,DR55))</f>
        <v/>
      </c>
      <c r="DR55" s="28" t="str">
        <f>IF(DS55="","",((DS55/$DS$78)*100))</f>
        <v/>
      </c>
      <c r="DS55" s="28" t="str">
        <f>IF(Compositions!O120="","",(Compositions!O120/(VLOOKUP(Compositions!M120,'HHV-LHV-MW'!$A$3:$F$40,6,FALSE))))</f>
        <v/>
      </c>
      <c r="DT55" s="26" t="str">
        <f>IF(DQ55="","",((VLOOKUP(Compositions!M120,'HHV-LHV-MW'!$A$3:$F$40,4,FALSE))*(DQ55/100)))</f>
        <v/>
      </c>
      <c r="DU55" s="26" t="str">
        <f>IF(DQ55="","",((VLOOKUP(Compositions!M120,'HHV-LHV-MW'!$A$3:$F$40,5,FALSE))*(DQ55/100)))</f>
        <v/>
      </c>
      <c r="DV55" s="26" t="str">
        <f>IF(DQ55="","",((VLOOKUP(Compositions!M120,'HHV-LHV-MW'!$A$3:$F$40,6,FALSE))*(DQ55/100)))</f>
        <v/>
      </c>
      <c r="DW55" s="26" t="str">
        <f>IF(Compositions!O120="","",(Compositions!O120*(VLOOKUP(Compositions!M120,'HHV-LHV-MW'!$A$3:$F$40,6,FALSE))))</f>
        <v/>
      </c>
      <c r="DX55" s="26" t="str">
        <f>IF(Compositions!O120="","",IF(OR(Compositions!$O$118="wt%",Compositions!$O$118=""),Compositions!O120,(IF(DW55="","",((DW55/$DW$78)*100)))))</f>
        <v/>
      </c>
      <c r="DY55" s="39" t="str">
        <f>IF(DX55="","",(IF(OR(Compositions!M120="Hydrogen",Compositions!M120="Helium",Compositions!M120="Water",Compositions!M120="Carbon Monoxide",Compositions!M120="Nitrogen",Compositions!M120="Oxygen",Compositions!M120="Hydrogen Sulfide",Compositions!M120="Argon",Compositions!M120="Carbon Dioxide",Compositions!M120="Carbon Disulfide"),0,DX55)))</f>
        <v/>
      </c>
      <c r="DZ55" s="177" t="str">
        <f>IF(Compositions!O120="","",((DQ55/100)*((VLOOKUP(Compositions!M120,'HHV-LHV-MW'!$A$3:$G$40,7,FALSE)))))</f>
        <v/>
      </c>
      <c r="EA55" s="177" t="str">
        <f>IF(DQ55="","",(IF(OR(Compositions!M120="Hydrogen",Compositions!M120="Carbon Disulfide",Compositions!M120="Helium",Compositions!M120="Water",Compositions!M120="Carbon Monoxide",Compositions!M120="Nitrogen",Compositions!M120="Oxygen",Compositions!M120="Hydrogen Sulfide",Compositions!M120="Argon",Compositions!M120="Carbon Dioxide",Compositions!M120="Methane",Compositions!M120="Ethane"),0,(DQ55/100))))</f>
        <v/>
      </c>
      <c r="EB55" s="39" t="str">
        <f>IF(DQ55="","",(IF(OR($EA$78=0,$EA$78=""),0,       ((VLOOKUP(Compositions!M120,'HHV-LHV-MW'!$A$3:$F$40,6,FALSE))*(EA55/$EA$78)))))</f>
        <v/>
      </c>
      <c r="EC55" s="27" t="str">
        <f>IF(Compositions!P120="","",IF(Compositions!$P$118="mol%",Compositions!P120,ED55))</f>
        <v/>
      </c>
      <c r="ED55" s="27" t="str">
        <f>IF(EE55="","",((EE55/$EE$78)*100))</f>
        <v/>
      </c>
      <c r="EE55" s="27" t="str">
        <f>IF(Compositions!P120="","",(Compositions!P120/(VLOOKUP(Compositions!M120,'HHV-LHV-MW'!$A$3:$F$40,6,FALSE))))</f>
        <v/>
      </c>
      <c r="EF55" s="25" t="str">
        <f>IF(EC55="","",((VLOOKUP(Compositions!M120,'HHV-LHV-MW'!$A$3:$F$40,4,FALSE))*(EC55/100)))</f>
        <v/>
      </c>
      <c r="EG55" s="25" t="str">
        <f>IF(EC55="","",((VLOOKUP(Compositions!M120,'HHV-LHV-MW'!$A$3:$F$40,5,FALSE))*(EC55/100)))</f>
        <v/>
      </c>
      <c r="EH55" s="25" t="str">
        <f>IF(EC55="","",((VLOOKUP(Compositions!M120,'HHV-LHV-MW'!$A$3:$F$40,6,FALSE))*(EC55/100)))</f>
        <v/>
      </c>
      <c r="EI55" s="25" t="str">
        <f>IF(Compositions!P120="","",(Compositions!P120*(VLOOKUP(Compositions!M120,'HHV-LHV-MW'!$A$3:$F$40,6,FALSE))))</f>
        <v/>
      </c>
      <c r="EJ55" s="25" t="str">
        <f>IF(Compositions!P120="","",IF(OR(Compositions!$P$118="wt%",Compositions!$P$118=""),Compositions!P120,(IF(EI55="","",((EI55/$EI$78)*100)))))</f>
        <v/>
      </c>
      <c r="EK55" s="25" t="str">
        <f>IF(EJ55="","",(IF(OR(Compositions!M120="Hydrogen",Compositions!M120="Helium",Compositions!M120="Water",Compositions!M120="Carbon Monoxide",Compositions!M120="Nitrogen",Compositions!M120="Oxygen",Compositions!M120="Hydrogen Sulfide",Compositions!M120="Argon",Compositions!M120="Carbon Dioxide",Compositions!M120="Carbon Disulfide"),0,EJ55)))</f>
        <v/>
      </c>
      <c r="EL55" s="180" t="str">
        <f>IF(Compositions!P120="","",((EC55/100)*((VLOOKUP(Compositions!M120,'HHV-LHV-MW'!$A$3:$G$40,7,FALSE)))))</f>
        <v/>
      </c>
      <c r="EM55" s="180" t="str">
        <f>IF(EC55="","",(IF(OR(Compositions!M120="Hydrogen",Compositions!M120="Carbon Disulfide",Compositions!M120="Helium",Compositions!M120="Water",Compositions!M120="Carbon Monoxide",Compositions!M120="Nitrogen",Compositions!M120="Oxygen",Compositions!M120="Hydrogen Sulfide",Compositions!M120="Argon",Compositions!M120="Carbon Dioxide",Compositions!M120="Methane",Compositions!M120="Ethane"),0,(EC55/100))))</f>
        <v/>
      </c>
      <c r="EN55" s="180" t="str">
        <f>IF(EC55="","",(IF(OR($EM$78=0,$EM$78=""),0,       ((VLOOKUP(Compositions!M120,'HHV-LHV-MW'!$A$3:$F$40,6,FALSE))*(EM55/$EM$78)))))</f>
        <v/>
      </c>
      <c r="EO55" s="28" t="str">
        <f>IF(Compositions!Q120="","",IF(Compositions!$Q$118="mol%",Compositions!Q120,EP55))</f>
        <v/>
      </c>
      <c r="EP55" s="28" t="str">
        <f>IF(EQ55="","",((EQ55/$EQ$78)*100))</f>
        <v/>
      </c>
      <c r="EQ55" s="28" t="str">
        <f>IF(Compositions!Q120="","",(Compositions!Q120/(VLOOKUP(Compositions!M120,'HHV-LHV-MW'!$A$3:$F$40,6,FALSE))))</f>
        <v/>
      </c>
      <c r="ER55" s="26" t="str">
        <f>IF(EO55="","",((VLOOKUP(Compositions!M120,'HHV-LHV-MW'!$A$3:$F$40,4,FALSE))*(EO55/100)))</f>
        <v/>
      </c>
      <c r="ES55" s="26" t="str">
        <f>IF(EO55="","",((VLOOKUP(Compositions!M120,'HHV-LHV-MW'!$A$3:$F$40,5,FALSE))*(EO55/100)))</f>
        <v/>
      </c>
      <c r="ET55" s="26" t="str">
        <f>IF(EO55="","",((VLOOKUP(Compositions!M120,'HHV-LHV-MW'!$A$3:$F$40,6,FALSE))*(EO55/100)))</f>
        <v/>
      </c>
      <c r="EU55" s="26" t="str">
        <f>IF(Compositions!Q120="","",(Compositions!Q120*(VLOOKUP(Compositions!M120,'HHV-LHV-MW'!$A$3:$F$40,6,FALSE))))</f>
        <v/>
      </c>
      <c r="EV55" s="26" t="str">
        <f>IF(Compositions!Q120="","",IF(OR(Compositions!$Q$118="wt%",Compositions!$Q$118=""),Compositions!Q120,(IF(EU55="","",((EU55/$EU$78)*100)))))</f>
        <v/>
      </c>
      <c r="EW55" s="39" t="str">
        <f>IF(EV55="","",(IF(OR(Compositions!M120="Hydrogen",Compositions!M120="Helium",Compositions!M120="Water",Compositions!M120="Carbon Monoxide",Compositions!M120="Nitrogen",Compositions!M120="Oxygen",Compositions!M120="Hydrogen Sulfide",Compositions!M120="Argon",Compositions!M120="Carbon Dioxide",Compositions!M120="Carbon Disulfide"),0,EV55)))</f>
        <v/>
      </c>
      <c r="EX55" s="177" t="str">
        <f>IF(Compositions!Q120="","",((EO55/100)*((VLOOKUP(Compositions!M120,'HHV-LHV-MW'!$A$3:$G$40,7,FALSE)))))</f>
        <v/>
      </c>
      <c r="EY55" s="177" t="str">
        <f>IF(EO55="","",(IF(OR(Compositions!M120="Hydrogen",Compositions!M120="Carbon Disulfide",Compositions!M120="Helium",Compositions!M120="Water",Compositions!M120="Carbon Monoxide",Compositions!M120="Nitrogen",Compositions!M120="Oxygen",Compositions!M120="Hydrogen Sulfide",Compositions!M120="Argon",Compositions!M120="Carbon Dioxide",Compositions!M120="Methane",Compositions!M120="Ethane"),0,(EO55/100))))</f>
        <v/>
      </c>
      <c r="EZ55" s="39" t="str">
        <f>IF(EO55="","",(IF(OR($EY$78=0,$EY$78=""),0,       ((VLOOKUP(Compositions!M120,'HHV-LHV-MW'!$A$3:$F$40,6,FALSE))*(EY55/$EY$78)))))</f>
        <v/>
      </c>
      <c r="FB55" s="27" t="str">
        <f>IF(Compositions!T120="","",IF(Compositions!$T$118="mol%",Compositions!T120,FC55))</f>
        <v/>
      </c>
      <c r="FC55" s="27" t="str">
        <f>IF(FD55="","",((FD55/$FD$78)*100))</f>
        <v/>
      </c>
      <c r="FD55" s="27" t="str">
        <f>IF(Compositions!T120="","",(Compositions!T120/(VLOOKUP(Compositions!S120,'HHV-LHV-MW'!$A$3:$F$40,6,FALSE))))</f>
        <v/>
      </c>
      <c r="FE55" s="25" t="str">
        <f>IF(FB55="","",((VLOOKUP(Compositions!S120,'HHV-LHV-MW'!$A$3:$F$40,4,FALSE))*(FB55/100)))</f>
        <v/>
      </c>
      <c r="FF55" s="25" t="str">
        <f>IF(FB55="","",((VLOOKUP(Compositions!S120,'HHV-LHV-MW'!$A$3:$F$40,5,FALSE))*(FB55/100)))</f>
        <v/>
      </c>
      <c r="FG55" s="25" t="str">
        <f>IF(FB55="","",((VLOOKUP(Compositions!S120,'HHV-LHV-MW'!$A$3:$F$40,6,FALSE))*(FB55/100)))</f>
        <v/>
      </c>
      <c r="FH55" s="25" t="str">
        <f>IF(Compositions!T120="","",(Compositions!T120*(VLOOKUP(Compositions!S120,'HHV-LHV-MW'!$A$3:$F$40,6,FALSE))))</f>
        <v/>
      </c>
      <c r="FI55" s="25" t="str">
        <f>IF(Compositions!T120="","",IF(OR(Compositions!$T$118="wt%",Compositions!$T$118=""),Compositions!T120,(IF(FH55="","",((FH55/$FH$78)*100)))))</f>
        <v/>
      </c>
      <c r="FJ55" s="25" t="str">
        <f>IF(FI55="","",(IF(OR(Compositions!S120="Hydrogen",Compositions!S120="Helium",Compositions!S120="Water",Compositions!S120="Carbon Monoxide",Compositions!S120="Nitrogen",Compositions!S120="Oxygen",Compositions!S120="Hydrogen Sulfide",Compositions!S120="Argon",Compositions!S120="Carbon Dioxide",Compositions!S120="Carbon Disulfide"),0,FI55)))</f>
        <v/>
      </c>
      <c r="FK55" s="180" t="str">
        <f>IF(Compositions!T120="","",((FB55/100)*((VLOOKUP(Compositions!S120,'HHV-LHV-MW'!$A$3:$G$40,7,FALSE)))))</f>
        <v/>
      </c>
      <c r="FL55" s="180" t="str">
        <f>IF(FB55="","",(IF(OR(Compositions!S120="Hydrogen",Compositions!S120="Carbon Disulfide",Compositions!S120="Helium",Compositions!S120="Water",Compositions!S120="Carbon Monoxide",Compositions!S120="Nitrogen",Compositions!S120="Oxygen",Compositions!S120="Hydrogen Sulfide",Compositions!S120="Argon",Compositions!S120="Carbon Dioxide",Compositions!S120="Methane",Compositions!S120="Ethane"),0,(FB55/100))))</f>
        <v/>
      </c>
      <c r="FM55" s="180" t="str">
        <f>IF(FB55="","",(IF(OR($FL$78=0,$FL$78=""),0,       ((VLOOKUP(Compositions!S120,'HHV-LHV-MW'!$A$3:$F$40,6,FALSE))*(FL55/$FL$78)))))</f>
        <v/>
      </c>
      <c r="FN55" s="28" t="str">
        <f>IF(Compositions!U120="","",IF(Compositions!$U$118="mol%",Compositions!U120,FO55))</f>
        <v/>
      </c>
      <c r="FO55" s="28" t="str">
        <f>IF(FP55="","",((FP55/$FP$78)*100))</f>
        <v/>
      </c>
      <c r="FP55" s="28" t="str">
        <f>IF(Compositions!U120="","",(Compositions!U120/(VLOOKUP(Compositions!S120,'HHV-LHV-MW'!$A$3:$F$40,6,FALSE))))</f>
        <v/>
      </c>
      <c r="FQ55" s="26" t="str">
        <f>IF(FN55="","",((VLOOKUP(Compositions!S120,'HHV-LHV-MW'!$A$3:$F$40,4,FALSE))*(FN55/100)))</f>
        <v/>
      </c>
      <c r="FR55" s="26" t="str">
        <f>IF(FN55="","",((VLOOKUP(Compositions!S120,'HHV-LHV-MW'!$A$3:$F$40,5,FALSE))*(FN55/100)))</f>
        <v/>
      </c>
      <c r="FS55" s="26" t="str">
        <f>IF(FN55="","",((VLOOKUP(Compositions!S120,'HHV-LHV-MW'!$A$3:$F$40,6,FALSE))*(FN55/100)))</f>
        <v/>
      </c>
      <c r="FT55" s="26" t="str">
        <f>IF(Compositions!U120="","",(Compositions!U120*(VLOOKUP(Compositions!S120,'HHV-LHV-MW'!$A$3:$F$40,6,FALSE))))</f>
        <v/>
      </c>
      <c r="FU55" s="26" t="str">
        <f>IF(Compositions!U120="","",IF(OR(Compositions!$U$118="wt%",Compositions!$U$118=""),Compositions!U120,(IF(FT55="","",((FT55/$FT$78)*100)))))</f>
        <v/>
      </c>
      <c r="FV55" s="39" t="str">
        <f>IF(FU55="","",(IF(OR(Compositions!S120="Hydrogen",Compositions!S120="Helium",Compositions!S120="Water",Compositions!S120="Carbon Monoxide",Compositions!S120="Nitrogen",Compositions!S120="Oxygen",Compositions!S120="Hydrogen Sulfide",Compositions!S120="Argon",Compositions!S120="Carbon Dioxide",Compositions!S120="Carbon Disulfide"),0,FU55)))</f>
        <v/>
      </c>
      <c r="FW55" s="177" t="str">
        <f>IF(Compositions!U120="","",((FN55/100)*((VLOOKUP(Compositions!S120,'HHV-LHV-MW'!$A$3:$G$40,7,FALSE)))))</f>
        <v/>
      </c>
      <c r="FX55" s="177" t="str">
        <f>IF(FN55="","",(IF(OR(Compositions!S120="Hydrogen",Compositions!S120="Carbon Disulfide",Compositions!S120="Helium",Compositions!S120="Water",Compositions!S120="Carbon Monoxide",Compositions!S120="Nitrogen",Compositions!S120="Oxygen",Compositions!S120="Hydrogen Sulfide",Compositions!S120="Argon",Compositions!S120="Carbon Dioxide",Compositions!S120="Methane",Compositions!S120="Ethane"),0,(FN55/100))))</f>
        <v/>
      </c>
      <c r="FY55" s="39" t="str">
        <f>IF(FN55="","",(IF(OR($FX$78=0,$FX$78=""),0,       ((VLOOKUP(Compositions!S120,'HHV-LHV-MW'!$A$3:$F$40,6,FALSE))*(FX55/$FX$78)))))</f>
        <v/>
      </c>
      <c r="FZ55" s="27" t="str">
        <f>IF(Compositions!V120="","",IF(Compositions!$V$118="mol%",Compositions!V120,GA55))</f>
        <v/>
      </c>
      <c r="GA55" s="27" t="str">
        <f>IF(GB55="","",((GB55/$GB$78)*100))</f>
        <v/>
      </c>
      <c r="GB55" s="27" t="str">
        <f>IF(Compositions!V120="","",(Compositions!V120/(VLOOKUP(Compositions!S120,'HHV-LHV-MW'!$A$3:$F$40,6,FALSE))))</f>
        <v/>
      </c>
      <c r="GC55" s="25" t="str">
        <f>IF(FZ55="","",((VLOOKUP(Compositions!S120,'HHV-LHV-MW'!$A$3:$F$40,4,FALSE))*(FZ55/100)))</f>
        <v/>
      </c>
      <c r="GD55" s="25" t="str">
        <f>IF(FZ55="","",((VLOOKUP(Compositions!S120,'HHV-LHV-MW'!$A$3:$F$40,5,FALSE))*(FZ55/100)))</f>
        <v/>
      </c>
      <c r="GE55" s="25" t="str">
        <f>IF(FZ55="","",((VLOOKUP(Compositions!S120,'HHV-LHV-MW'!$A$3:$F$40,6,FALSE))*(FZ55/100)))</f>
        <v/>
      </c>
      <c r="GF55" s="25" t="str">
        <f>IF(Compositions!V120="","",(Compositions!V120*(VLOOKUP(Compositions!S120,'HHV-LHV-MW'!$A$3:$F$40,6,FALSE))))</f>
        <v/>
      </c>
      <c r="GG55" s="25" t="str">
        <f>IF(Compositions!V120="","",IF(OR(Compositions!$V$118="wt%",Compositions!$V$118=""),Compositions!V120,(IF(GF55="","",((GF55/$GF$78)*100)))))</f>
        <v/>
      </c>
      <c r="GH55" s="25" t="str">
        <f>IF(GG55="","",(IF(OR(Compositions!S120="Hydrogen",Compositions!S120="Helium",Compositions!S120="Water",Compositions!S120="Carbon Monoxide",Compositions!S120="Nitrogen",Compositions!S120="Oxygen",Compositions!S120="Hydrogen Sulfide",Compositions!S120="Argon",Compositions!S120="Carbon Dioxide",Compositions!S120="Carbon Disulfide"),0,GG55)))</f>
        <v/>
      </c>
      <c r="GI55" s="180" t="str">
        <f>IF(Compositions!V120="","",((FZ55/100)*((VLOOKUP(Compositions!S120,'HHV-LHV-MW'!$A$3:$G$40,7,FALSE)))))</f>
        <v/>
      </c>
      <c r="GJ55" s="180" t="str">
        <f>IF(FZ55="","",(IF(OR(Compositions!S120="Hydrogen",Compositions!S120="Carbon Disulfide",Compositions!S120="Helium",Compositions!S120="Water",Compositions!S120="Carbon Monoxide",Compositions!S120="Nitrogen",Compositions!S120="Oxygen",Compositions!S120="Hydrogen Sulfide",Compositions!S120="Argon",Compositions!S120="Carbon Dioxide",Compositions!S120="Methane",Compositions!S120="Ethane"),0,(FZ55/100))))</f>
        <v/>
      </c>
      <c r="GK55" s="180" t="str">
        <f>IF(FZ55="","",(IF(OR($GJ$78=0,$GJ$78=""),0,       ((VLOOKUP(Compositions!S120,'HHV-LHV-MW'!$A$3:$F$40,6,FALSE))*(GJ55/$GJ$78)))))</f>
        <v/>
      </c>
      <c r="GL55" s="28" t="str">
        <f>IF(Compositions!W120="","",IF(Compositions!$W$118="mol%",Compositions!W120,GM55))</f>
        <v/>
      </c>
      <c r="GM55" s="28" t="str">
        <f>IF(GN55="","",((GN55/$GN$78)*100))</f>
        <v/>
      </c>
      <c r="GN55" s="28" t="str">
        <f>IF(Compositions!W120="","",(Compositions!W120/(VLOOKUP(Compositions!S120,'HHV-LHV-MW'!$A$3:$F$40,6,FALSE))))</f>
        <v/>
      </c>
      <c r="GO55" s="26" t="str">
        <f>IF(GL55="","",((VLOOKUP(Compositions!S120,'HHV-LHV-MW'!$A$3:$F$40,4,FALSE))*(GL55/100)))</f>
        <v/>
      </c>
      <c r="GP55" s="26" t="str">
        <f>IF(GL55="","",((VLOOKUP(Compositions!S120,'HHV-LHV-MW'!$A$3:$F$40,5,FALSE))*(GL55/100)))</f>
        <v/>
      </c>
      <c r="GQ55" s="26" t="str">
        <f>IF(GL55="","",((VLOOKUP(Compositions!S120,'HHV-LHV-MW'!$A$3:$F$40,6,FALSE))*(GL55/100)))</f>
        <v/>
      </c>
      <c r="GR55" s="26" t="str">
        <f>IF(Compositions!W120="","",(Compositions!W120*(VLOOKUP(Compositions!S120,'HHV-LHV-MW'!$A$3:$F$40,6,FALSE))))</f>
        <v/>
      </c>
      <c r="GS55" s="26" t="str">
        <f>IF(Compositions!W120="","",IF(OR(Compositions!$W$118="wt%",Compositions!$W$118=""),Compositions!W120,(IF(GR55="","",((GR55/$GR$78)*100)))))</f>
        <v/>
      </c>
      <c r="GT55" s="39" t="str">
        <f>IF(GS55="","",(IF(OR(Compositions!S120="Hydrogen",Compositions!S120="Helium",Compositions!S120="Water",Compositions!S120="Carbon Monoxide",Compositions!S120="Nitrogen",Compositions!S120="Oxygen",Compositions!S120="Hydrogen Sulfide",Compositions!S120="Argon",Compositions!S120="Carbon Dioxide",Compositions!S120="Carbon Disulfide"),0,GS55)))</f>
        <v/>
      </c>
      <c r="GU55" s="177" t="str">
        <f>IF(Compositions!W120="","",((GL55/100)*((VLOOKUP(Compositions!S120,'HHV-LHV-MW'!$A$3:$G$40,7,FALSE)))))</f>
        <v/>
      </c>
      <c r="GV55" s="177" t="str">
        <f>IF(GL55="","",(IF(OR(Compositions!S120="Hydrogen",Compositions!S120="Carbon Disulfide",Compositions!S120="Helium",Compositions!S120="Water",Compositions!S120="Carbon Monoxide",Compositions!S120="Nitrogen",Compositions!S120="Oxygen",Compositions!S120="Hydrogen Sulfide",Compositions!S120="Argon",Compositions!S120="Carbon Dioxide",Compositions!S120="Methane",Compositions!S120="Ethane"),0,(GL55/100))))</f>
        <v/>
      </c>
      <c r="GW55" s="39" t="str">
        <f>IF(GL55="","",(IF(OR($GV$78=0,$GV$78=""),0,       ((VLOOKUP(Compositions!S120,'HHV-LHV-MW'!$A$3:$F$40,6,FALSE))*(GV55/$GV$78)))))</f>
        <v/>
      </c>
      <c r="GY55" s="27" t="str">
        <f>IF(Compositions!Z120="","",IF(Compositions!$Z$118="mol%",Compositions!Z120,GZ55))</f>
        <v/>
      </c>
      <c r="GZ55" s="27" t="str">
        <f>IF(HA55="","",((HA55/$HA$78)*100))</f>
        <v/>
      </c>
      <c r="HA55" s="27" t="str">
        <f>IF(Compositions!Z120="","",(Compositions!Z120/(VLOOKUP(Compositions!Y120,'HHV-LHV-MW'!$A$3:$F$40,6,FALSE))))</f>
        <v/>
      </c>
      <c r="HB55" s="25" t="str">
        <f>IF(GY55="","",((VLOOKUP(Compositions!Y120,'HHV-LHV-MW'!$A$3:$F$40,4,FALSE))*(GY55/100)))</f>
        <v/>
      </c>
      <c r="HC55" s="25" t="str">
        <f>IF(GY55="","",((VLOOKUP(Compositions!Y120,'HHV-LHV-MW'!$A$3:$F$40,5,FALSE))*(GY55/100)))</f>
        <v/>
      </c>
      <c r="HD55" s="25" t="str">
        <f>IF(GY55="","",((VLOOKUP(Compositions!Y120,'HHV-LHV-MW'!$A$3:$F$40,6,FALSE))*(GY55/100)))</f>
        <v/>
      </c>
      <c r="HE55" s="25" t="str">
        <f>IF(Compositions!Z120="","",(Compositions!Z120*(VLOOKUP(Compositions!Y120,'HHV-LHV-MW'!$A$3:$F$40,6,FALSE))))</f>
        <v/>
      </c>
      <c r="HF55" s="25" t="str">
        <f>IF(Compositions!Z120="","",IF(OR(Compositions!$Z$118="wt%",Compositions!$Z$118=""),Compositions!Z120,(IF(HE55="","",((HE55/$HE$78)*100)))))</f>
        <v/>
      </c>
      <c r="HG55" s="25" t="str">
        <f>IF(HF55="","",(IF(OR(Compositions!Y120="Hydrogen",Compositions!Y120="Helium",Compositions!Y120="Water",Compositions!Y120="Carbon Monoxide",Compositions!Y120="Nitrogen",Compositions!Y120="Oxygen",Compositions!Y120="Hydrogen Sulfide",Compositions!Y120="Argon",Compositions!Y120="Carbon Dioxide",Compositions!Y120="Carbon Disulfide"),0,HF55)))</f>
        <v/>
      </c>
      <c r="HH55" s="180" t="str">
        <f>IF(Compositions!Z120="","",((GY55/100)*((VLOOKUP(Compositions!Y120,'HHV-LHV-MW'!$A$3:$G$40,7,FALSE)))))</f>
        <v/>
      </c>
      <c r="HI55" s="180" t="str">
        <f>IF(GY55="","",(IF(OR(Compositions!Y120="Hydrogen",Compositions!Y120="Carbon Disulfide",Compositions!Y120="Helium",Compositions!Y120="Water",Compositions!Y120="Carbon Monoxide",Compositions!Y120="Nitrogen",Compositions!Y120="Oxygen",Compositions!Y120="Hydrogen Sulfide",Compositions!Y120="Argon",Compositions!Y120="Carbon Dioxide",Compositions!Y120="Methane",Compositions!Y120="Ethane"),0,(GY55/100))))</f>
        <v/>
      </c>
      <c r="HJ55" s="180" t="str">
        <f>IF(GY55="","",(IF(OR($HI$78=0,$HI$78=""),0,       ((VLOOKUP(Compositions!Y120,'HHV-LHV-MW'!$A$3:$F$40,6,FALSE))*(HI55/$HI$78)))))</f>
        <v/>
      </c>
      <c r="HK55" s="28" t="str">
        <f>IF(Compositions!AA120="","",IF(Compositions!$AA$118="mol%",Compositions!AA120,HL55))</f>
        <v/>
      </c>
      <c r="HL55" s="28" t="str">
        <f>IF(HM55="","",((HM55/$HM$78)*100))</f>
        <v/>
      </c>
      <c r="HM55" s="28" t="str">
        <f>IF(Compositions!AA120="","",(Compositions!AA120/(VLOOKUP(Compositions!Y120,'HHV-LHV-MW'!$A$3:$F$40,6,FALSE))))</f>
        <v/>
      </c>
      <c r="HN55" s="26" t="str">
        <f>IF(HK55="","",((VLOOKUP(Compositions!Y120,'HHV-LHV-MW'!$A$3:$F$40,4,FALSE))*(HK55/100)))</f>
        <v/>
      </c>
      <c r="HO55" s="26" t="str">
        <f>IF(HK55="","",((VLOOKUP(Compositions!Y120,'HHV-LHV-MW'!$A$3:$F$40,5,FALSE))*(HK55/100)))</f>
        <v/>
      </c>
      <c r="HP55" s="26" t="str">
        <f>IF(HK55="","",((VLOOKUP(Compositions!Y120,'HHV-LHV-MW'!$A$3:$F$40,6,FALSE))*(HK55/100)))</f>
        <v/>
      </c>
      <c r="HQ55" s="26" t="str">
        <f>IF(Compositions!AA120="","",(Compositions!AA120*(VLOOKUP(Compositions!Y120,'HHV-LHV-MW'!$A$3:$F$40,6,FALSE))))</f>
        <v/>
      </c>
      <c r="HR55" s="26" t="str">
        <f>IF(Compositions!AA120="","",IF(OR(Compositions!$AA$118="wt%",Compositions!$AA$118=""),Compositions!AA120,(IF(HQ55="","",((HQ55/$HQ$78)*100)))))</f>
        <v/>
      </c>
      <c r="HS55" s="39" t="str">
        <f>IF(HR55="","",(IF(OR(Compositions!Y120="Hydrogen",Compositions!Y120="Helium",Compositions!Y120="Water",Compositions!Y120="Carbon Monoxide",Compositions!Y120="Nitrogen",Compositions!Y120="Oxygen",Compositions!Y120="Hydrogen Sulfide",Compositions!Y120="Argon",Compositions!Y120="Carbon Dioxide",Compositions!Y120="Carbon Disulfide"),0,HR55)))</f>
        <v/>
      </c>
      <c r="HT55" s="177" t="str">
        <f>IF(Compositions!AA120="","",((HK55/100)*((VLOOKUP(Compositions!Y120,'HHV-LHV-MW'!$A$3:$G$40,7,FALSE)))))</f>
        <v/>
      </c>
      <c r="HU55" s="177" t="str">
        <f>IF(HK55="","",(IF(OR(Compositions!Y120="Hydrogen",Compositions!Y120="Carbon Disulfide",Compositions!Y120="Helium",Compositions!Y120="Water",Compositions!Y120="Carbon Monoxide",Compositions!Y120="Nitrogen",Compositions!Y120="Oxygen",Compositions!Y120="Hydrogen Sulfide",Compositions!Y120="Argon",Compositions!Y120="Carbon Dioxide",Compositions!Y120="Methane",Compositions!Y120="Ethane"),0,(HK55/100))))</f>
        <v/>
      </c>
      <c r="HV55" s="39" t="str">
        <f>IF(HK55="","",(IF(OR($HU$78=0,$HU$78=""),0,       ((VLOOKUP(Compositions!Y120,'HHV-LHV-MW'!$A$3:$F$40,6,FALSE))*(HU55/$HU$78)))))</f>
        <v/>
      </c>
      <c r="HW55" s="27" t="str">
        <f>IF(Compositions!AB120="","",IF(Compositions!$AB$118="mol%",Compositions!AB120,HX55))</f>
        <v/>
      </c>
      <c r="HX55" s="27" t="str">
        <f>IF(HY55="","",((HY55/$HY$78)*100))</f>
        <v/>
      </c>
      <c r="HY55" s="27" t="str">
        <f>IF(Compositions!AB120="","",(Compositions!AB120/(VLOOKUP(Compositions!Y120,'HHV-LHV-MW'!$A$3:$F$40,6,FALSE))))</f>
        <v/>
      </c>
      <c r="HZ55" s="25" t="str">
        <f>IF(HW55="","",((VLOOKUP(Compositions!Y120,'HHV-LHV-MW'!$A$3:$F$40,4,FALSE))*(HW55/100)))</f>
        <v/>
      </c>
      <c r="IA55" s="25" t="str">
        <f>IF(HW55="","",((VLOOKUP(Compositions!Y120,'HHV-LHV-MW'!$A$3:$F$40,5,FALSE))*(HW55/100)))</f>
        <v/>
      </c>
      <c r="IB55" s="25" t="str">
        <f>IF(HW55="","",((VLOOKUP(Compositions!Y120,'HHV-LHV-MW'!$A$3:$F$40,6,FALSE))*(HW55/100)))</f>
        <v/>
      </c>
      <c r="IC55" s="25" t="str">
        <f>IF(Compositions!AB120="","",(Compositions!AB120*(VLOOKUP(Compositions!Y120,'HHV-LHV-MW'!$A$3:$F$40,6,FALSE))))</f>
        <v/>
      </c>
      <c r="ID55" s="25" t="str">
        <f>IF(Compositions!AB120="","",IF(OR(Compositions!$AB$118="wt%",Compositions!$AB$118=""),Compositions!AB120,(IF(IC55="","",((IC55/$IC$78)*100)))))</f>
        <v/>
      </c>
      <c r="IE55" s="25" t="str">
        <f>IF(ID55="","",(IF(OR(Compositions!Y120="Hydrogen",Compositions!Y120="Helium",Compositions!Y120="Water",Compositions!Y120="Carbon Monoxide",Compositions!Y120="Nitrogen",Compositions!Y120="Oxygen",Compositions!Y120="Hydrogen Sulfide",Compositions!Y120="Argon",Compositions!Y120="Carbon Dioxide",Compositions!Y120="Carbon Disulfide"),0,ID55)))</f>
        <v/>
      </c>
      <c r="IF55" s="180" t="str">
        <f>IF(Compositions!AB120="","",((HW55/100)*((VLOOKUP(Compositions!Y120,'HHV-LHV-MW'!$A$3:$G$40,7,FALSE)))))</f>
        <v/>
      </c>
      <c r="IG55" s="180" t="str">
        <f>IF(HW55="","",(IF(OR(Compositions!Y120="Hydrogen",Compositions!Y120="Carbon Disulfide",Compositions!Y120="Helium",Compositions!Y120="Water",Compositions!Y120="Carbon Monoxide",Compositions!Y120="Nitrogen",Compositions!Y120="Oxygen",Compositions!Y120="Hydrogen Sulfide",Compositions!Y120="Argon",Compositions!Y120="Carbon Dioxide",Compositions!Y120="Methane",Compositions!Y120="Ethane"),0,(HW55/100))))</f>
        <v/>
      </c>
      <c r="IH55" s="180" t="str">
        <f>IF(HW55="","",(IF(OR($IG$78=0,$IG$78=""),0,       ((VLOOKUP(Compositions!Y120,'HHV-LHV-MW'!$A$3:$F$40,6,FALSE))*(IG55/$IG$78)))))</f>
        <v/>
      </c>
      <c r="II55" s="28" t="str">
        <f>IF(Compositions!AC120="","",IF(Compositions!$AC$118="mol%",Compositions!AC120,IJ55))</f>
        <v/>
      </c>
      <c r="IJ55" s="28" t="str">
        <f>IF(IK55="","",((IK55/$IK$78)*100))</f>
        <v/>
      </c>
      <c r="IK55" s="28" t="str">
        <f>IF(Compositions!AC120="","",(Compositions!AC120/(VLOOKUP(Compositions!Y120,'HHV-LHV-MW'!$A$3:$F$40,6,FALSE))))</f>
        <v/>
      </c>
      <c r="IL55" s="26" t="str">
        <f>IF(II55="","",((VLOOKUP(Compositions!Y120,'HHV-LHV-MW'!$A$3:$F$40,4,FALSE))*(II55/100)))</f>
        <v/>
      </c>
      <c r="IM55" s="26" t="str">
        <f>IF(II55="","",((VLOOKUP(Compositions!Y120,'HHV-LHV-MW'!$A$3:$F$40,5,FALSE))*(II55/100)))</f>
        <v/>
      </c>
      <c r="IN55" s="26" t="str">
        <f>IF(II55="","",((VLOOKUP(Compositions!Y120,'HHV-LHV-MW'!$A$3:$F$40,6,FALSE))*(II55/100)))</f>
        <v/>
      </c>
      <c r="IO55" s="26" t="str">
        <f>IF(Compositions!AC120="","",(Compositions!AC120*(VLOOKUP(Compositions!Y120,'HHV-LHV-MW'!$A$3:$F$40,6,FALSE))))</f>
        <v/>
      </c>
      <c r="IP55" s="26" t="str">
        <f>IF(Compositions!AC120="","",IF(OR(Compositions!$AC$118="wt%",Compositions!$AC$118=""),Compositions!AC120,(IF(IO55="","",((IO55/$IO$78)*100)))))</f>
        <v/>
      </c>
      <c r="IQ55" s="39" t="str">
        <f>IF(IP55="","",(IF(OR(Compositions!Y120="Hydrogen",Compositions!Y120="Helium",Compositions!Y120="Water",Compositions!Y120="Carbon Monoxide",Compositions!Y120="Nitrogen",Compositions!Y120="Oxygen",Compositions!Y120="Hydrogen Sulfide",Compositions!Y120="Argon",Compositions!Y120="Carbon Dioxide",Compositions!Y120="Carbon Disulfide"),0,IP55)))</f>
        <v/>
      </c>
      <c r="IR55" s="177" t="str">
        <f>IF(Compositions!AC120="","",((II55/100)*((VLOOKUP(Compositions!Y120,'HHV-LHV-MW'!$A$3:$G$40,7,FALSE)))))</f>
        <v/>
      </c>
      <c r="IS55" s="177" t="str">
        <f>IF(II55="","",(IF(OR(Compositions!Y120="Hydrogen",Compositions!Y120="Carbon Disulfide",Compositions!Y120="Helium",Compositions!Y120="Water",Compositions!Y120="Carbon Monoxide",Compositions!Y120="Nitrogen",Compositions!Y120="Oxygen",Compositions!Y120="Hydrogen Sulfide",Compositions!Y120="Argon",Compositions!Y120="Carbon Dioxide",Compositions!Y120="Methane",Compositions!Y120="Ethane"),0,(II55/100))))</f>
        <v/>
      </c>
      <c r="IT55" s="39" t="str">
        <f>IF(II55="","",(IF(OR($IS$78=0,$IS$78=""),0,      ((VLOOKUP(Compositions!Y120,'HHV-LHV-MW'!$A$3:$F$40,6,FALSE))*(IS55/$IS$78)))))</f>
        <v/>
      </c>
      <c r="IV55" s="27" t="str">
        <f>IF(Compositions!AF120="","",IF(Compositions!$AF$118="mol%",Compositions!AF120,IW55))</f>
        <v/>
      </c>
      <c r="IW55" s="27" t="str">
        <f>IF(IX55="","",((IX55/$IX$78)*100))</f>
        <v/>
      </c>
      <c r="IX55" s="27" t="str">
        <f>IF(Compositions!AF120="","",(Compositions!AF120/(VLOOKUP(Compositions!AE120,'HHV-LHV-MW'!$A$3:$F$40,6,FALSE))))</f>
        <v/>
      </c>
      <c r="IY55" s="25" t="str">
        <f>IF(IV55="","",((VLOOKUP(Compositions!AE120,'HHV-LHV-MW'!$A$3:$F$40,4,FALSE))*(IV55/100)))</f>
        <v/>
      </c>
      <c r="IZ55" s="25" t="str">
        <f>IF(IV55="","",((VLOOKUP(Compositions!AE120,'HHV-LHV-MW'!$A$3:$F$40,5,FALSE))*(IV55/100)))</f>
        <v/>
      </c>
      <c r="JA55" s="25" t="str">
        <f>IF(IV55="","",((VLOOKUP(Compositions!AE120,'HHV-LHV-MW'!$A$3:$F$40,6,FALSE))*(IV55/100)))</f>
        <v/>
      </c>
      <c r="JB55" s="25" t="str">
        <f>IF(Compositions!AF120="","",(Compositions!AF120*(VLOOKUP(Compositions!AE120,'HHV-LHV-MW'!$A$3:$F$40,6,FALSE))))</f>
        <v/>
      </c>
      <c r="JC55" s="25" t="str">
        <f>IF(Compositions!AF120="","",IF(OR(Compositions!$AF$118="wt%",Compositions!$AF$118=""),Compositions!AF120,(IF(JB55="","",((JB55/$JB$78)*100)))))</f>
        <v/>
      </c>
      <c r="JD55" s="25" t="str">
        <f>IF(JC55="","",(IF(OR(Compositions!AE120="Hydrogen",Compositions!AE120="Helium",Compositions!AE120="Water",Compositions!AE120="Carbon Monoxide",Compositions!AE120="Nitrogen",Compositions!AE120="Oxygen",Compositions!AE120="Hydrogen Sulfide",Compositions!AE120="Argon",Compositions!AE120="Carbon Dioxide",Compositions!AE120="Carbon Disulfide"),0,JC55)))</f>
        <v/>
      </c>
      <c r="JE55" s="180" t="str">
        <f>IF(Compositions!AF120="","",((IV55/100)*((VLOOKUP(Compositions!AE120,'HHV-LHV-MW'!$A$3:$G$40,7,FALSE)))))</f>
        <v/>
      </c>
      <c r="JF55" s="180" t="str">
        <f>IF(IV55="","",(IF(OR(Compositions!AE120="Hydrogen",Compositions!AE120="Carbon Disulfide",Compositions!AE120="Helium",Compositions!AE120="Water",Compositions!AE120="Carbon Monoxide",Compositions!AE120="Nitrogen",Compositions!AE120="Oxygen",Compositions!AE120="Hydrogen Sulfide",Compositions!AE120="Argon",Compositions!AE120="Carbon Dioxide",Compositions!AE120="Methane",Compositions!AE120="Ethane"),0,(IV55/100))))</f>
        <v/>
      </c>
      <c r="JG55" s="180" t="str">
        <f>IF(IV55="","",(IF(OR($JF$78=0,$JF$78=""),0,      ((VLOOKUP(Compositions!AE120,'HHV-LHV-MW'!$A$3:$F$40,6,FALSE))*(JF55/$JF$78)))))</f>
        <v/>
      </c>
      <c r="JH55" s="28" t="str">
        <f>IF(Compositions!AG120="","",IF(Compositions!$AG$118="mol%",Compositions!AG120,JI55))</f>
        <v/>
      </c>
      <c r="JI55" s="28" t="str">
        <f>IF(JJ55="","",((JJ55/$JJ$78)*100))</f>
        <v/>
      </c>
      <c r="JJ55" s="28" t="str">
        <f>IF(Compositions!AG120="","",(Compositions!AG120/(VLOOKUP(Compositions!AE120,'HHV-LHV-MW'!$A$3:$F$40,6,FALSE))))</f>
        <v/>
      </c>
      <c r="JK55" s="26" t="str">
        <f>IF(JH55="","",((VLOOKUP(Compositions!AE120,'HHV-LHV-MW'!$A$3:$F$40,4,FALSE))*(JH55/100)))</f>
        <v/>
      </c>
      <c r="JL55" s="26" t="str">
        <f>IF(JH55="","",((VLOOKUP(Compositions!AE120,'HHV-LHV-MW'!$A$3:$F$40,5,FALSE))*(JH55/100)))</f>
        <v/>
      </c>
      <c r="JM55" s="26" t="str">
        <f>IF(JH55="","",((VLOOKUP(Compositions!AE120,'HHV-LHV-MW'!$A$3:$F$40,6,FALSE))*(JH55/100)))</f>
        <v/>
      </c>
      <c r="JN55" s="26" t="str">
        <f>IF(Compositions!AG120="","",(Compositions!AG120*(VLOOKUP(Compositions!AE120,'HHV-LHV-MW'!$A$3:$F$40,6,FALSE))))</f>
        <v/>
      </c>
      <c r="JO55" s="26" t="str">
        <f>IF(Compositions!AG120="","",IF(OR(Compositions!$AG$118="wt%",Compositions!$AG$118=""),Compositions!AG120,(IF(JN55="","",((JN55/$JN$78)*100)))))</f>
        <v/>
      </c>
      <c r="JP55" s="39" t="str">
        <f>IF(JO55="","",(IF(OR(Compositions!AE120="Hydrogen",Compositions!AE120="Helium",Compositions!AE120="Water",Compositions!AE120="Carbon Monoxide",Compositions!AE120="Nitrogen",Compositions!AE120="Oxygen",Compositions!AE120="Hydrogen Sulfide",Compositions!AE120="Argon",Compositions!AE120="Carbon Dioxide",Compositions!AE120="Carbon Disulfide"),0,JO55)))</f>
        <v/>
      </c>
      <c r="JQ55" s="177" t="str">
        <f>IF(Compositions!AG120="","",((JH55/100)*((VLOOKUP(Compositions!AE120,'HHV-LHV-MW'!$A$3:$G$40,7,FALSE)))))</f>
        <v/>
      </c>
      <c r="JR55" s="177" t="str">
        <f>IF(JH55="","",(IF(OR(Compositions!AE120="Hydrogen",Compositions!AE120="Carbon Disulfide",Compositions!AE120="Helium",Compositions!AE120="Water",Compositions!AE120="Carbon Monoxide",Compositions!AE120="Nitrogen",Compositions!AE120="Oxygen",Compositions!AE120="Hydrogen Sulfide",Compositions!AE120="Argon",Compositions!AE120="Carbon Dioxide",Compositions!AE120="Methane",Compositions!AE120="Ethane"),0,(JH55/100))))</f>
        <v/>
      </c>
      <c r="JS55" s="39" t="str">
        <f>IF(JH55="","",(IF(OR($JR$78=0,$JR$78=""),0,      ((VLOOKUP(Compositions!AE120,'HHV-LHV-MW'!$A$3:$F$40,6,FALSE))*(JR55/$JR$78)))))</f>
        <v/>
      </c>
      <c r="JT55" s="27" t="str">
        <f>IF(Compositions!AH120="","",IF(Compositions!$AH$118="mol%",Compositions!AH120,JU55))</f>
        <v/>
      </c>
      <c r="JU55" s="27" t="str">
        <f>IF(JV55="","",((JV55/$JV$78)*100))</f>
        <v/>
      </c>
      <c r="JV55" s="27" t="str">
        <f>IF(Compositions!AH120="","",(Compositions!AH120/(VLOOKUP(Compositions!AE120,'HHV-LHV-MW'!$A$3:$F$40,6,FALSE))))</f>
        <v/>
      </c>
      <c r="JW55" s="25" t="str">
        <f>IF(JT55="","",((VLOOKUP(Compositions!AE120,'HHV-LHV-MW'!$A$3:$F$40,4,FALSE))*(JT55/100)))</f>
        <v/>
      </c>
      <c r="JX55" s="25" t="str">
        <f>IF(JT55="","",((VLOOKUP(Compositions!AE120,'HHV-LHV-MW'!$A$3:$F$40,5,FALSE))*(JT55/100)))</f>
        <v/>
      </c>
      <c r="JY55" s="25" t="str">
        <f>IF(JT55="","",((VLOOKUP(Compositions!AE120,'HHV-LHV-MW'!$A$3:$F$40,6,FALSE))*(JT55/100)))</f>
        <v/>
      </c>
      <c r="JZ55" s="25" t="str">
        <f>IF(Compositions!AH120="","",(Compositions!AH120*(VLOOKUP(Compositions!AE120,'HHV-LHV-MW'!$A$3:$F$40,6,FALSE))))</f>
        <v/>
      </c>
      <c r="KA55" s="25" t="str">
        <f>IF(Compositions!AH120="","",IF(OR(Compositions!$AH$118="wt%",Compositions!$AH$118=""),Compositions!AH120,(IF(JZ55="","",((JZ55/$JZ$78)*100)))))</f>
        <v/>
      </c>
      <c r="KB55" s="25" t="str">
        <f>IF(KA55="","",(IF(OR(Compositions!AE120="Hydrogen",Compositions!AE120="Helium",Compositions!AE120="Water",Compositions!AE120="Carbon Monoxide",Compositions!AE120="Nitrogen",Compositions!AE120="Oxygen",Compositions!AE120="Hydrogen Sulfide",Compositions!AE120="Argon",Compositions!AE120="Carbon Dioxide",Compositions!AE120="Carbon Disulfide"),0,KA55)))</f>
        <v/>
      </c>
      <c r="KC55" s="180" t="str">
        <f>IF(Compositions!AH120="","",((JT55/100)*((VLOOKUP(Compositions!AE120,'HHV-LHV-MW'!$A$3:$G$40,7,FALSE)))))</f>
        <v/>
      </c>
      <c r="KD55" s="180" t="str">
        <f>IF(JT55="","",(IF(OR(Compositions!AE120="Hydrogen",Compositions!AE120="Carbon Disulfide",Compositions!AE120="Helium",Compositions!AE120="Water",Compositions!AE120="Carbon Monoxide",Compositions!AE120="Nitrogen",Compositions!AE120="Oxygen",Compositions!AE120="Hydrogen Sulfide",Compositions!AE120="Argon",Compositions!AE120="Carbon Dioxide",Compositions!AE120="Methane",Compositions!AE120="Ethane"),0,(JT55/100))))</f>
        <v/>
      </c>
      <c r="KE55" s="180" t="str">
        <f>IF(JT55="","",(IF(OR($KD$78=0,$KD$78=""),0,      ((VLOOKUP(Compositions!AE120,'HHV-LHV-MW'!$A$3:$F$40,6,FALSE))*(KD55/$KD$78)))))</f>
        <v/>
      </c>
      <c r="KF55" s="28" t="str">
        <f>IF(Compositions!AI120="","",IF(Compositions!$AI$118="mol%",Compositions!AI120,KG55))</f>
        <v/>
      </c>
      <c r="KG55" s="28" t="str">
        <f>IF(KH55="","",((KH55/$KH$78)*100))</f>
        <v/>
      </c>
      <c r="KH55" s="28" t="str">
        <f>IF(Compositions!AI120="","",(Compositions!AI120/(VLOOKUP(Compositions!AE120,'HHV-LHV-MW'!$A$3:$F$40,6,FALSE))))</f>
        <v/>
      </c>
      <c r="KI55" s="26" t="str">
        <f>IF(KF55="","",((VLOOKUP(Compositions!AE120,'HHV-LHV-MW'!$A$3:$F$40,4,FALSE))*(KF55/100)))</f>
        <v/>
      </c>
      <c r="KJ55" s="26" t="str">
        <f>IF(KF55="","",((VLOOKUP(Compositions!AE120,'HHV-LHV-MW'!$A$3:$F$40,5,FALSE))*(KF55/100)))</f>
        <v/>
      </c>
      <c r="KK55" s="26" t="str">
        <f>IF(KF55="","",((VLOOKUP(Compositions!AE120,'HHV-LHV-MW'!$A$3:$F$40,6,FALSE))*(KF55/100)))</f>
        <v/>
      </c>
      <c r="KL55" s="26" t="str">
        <f>IF(Compositions!AI120="","",(Compositions!AI120*(VLOOKUP(Compositions!AE120,'HHV-LHV-MW'!$A$3:$F$40,6,FALSE))))</f>
        <v/>
      </c>
      <c r="KM55" s="26" t="str">
        <f>IF(Compositions!AI120="","",IF(OR(Compositions!$AI$118="wt%",Compositions!$AI$118=""),Compositions!AI120,(IF(KL55="","",((KL55/$KL$78)*100)))))</f>
        <v/>
      </c>
      <c r="KN55" s="39" t="str">
        <f>IF(KM55="","",(IF(OR(Compositions!AE120="Hydrogen",Compositions!AE120="Helium",Compositions!AE120="Water",Compositions!AE120="Carbon Monoxide",Compositions!AE120="Nitrogen",Compositions!AE120="Oxygen",Compositions!AE120="Hydrogen Sulfide",Compositions!AE120="Argon",Compositions!AE120="Carbon Dioxide",Compositions!AE120="Carbon Disulfide"),0,KM55)))</f>
        <v/>
      </c>
      <c r="KO55" s="177" t="str">
        <f>IF(Compositions!AI120="","",((KF55/100)*((VLOOKUP(Compositions!AE120,'HHV-LHV-MW'!$A$3:$G$40,7,FALSE)))))</f>
        <v/>
      </c>
      <c r="KP55" s="177" t="str">
        <f>IF(KF55="","",(IF(OR(Compositions!AE120="Hydrogen",Compositions!AE120="Carbon Disulfide",Compositions!AE120="Helium",Compositions!AE120="Water",Compositions!AE120="Carbon Monoxide",Compositions!AE120="Nitrogen",Compositions!AE120="Oxygen",Compositions!AE120="Hydrogen Sulfide",Compositions!AE120="Argon",Compositions!AE120="Carbon Dioxide",Compositions!AE120="Methane",Compositions!AE120="Ethane"),0,(KF55/100))))</f>
        <v/>
      </c>
      <c r="KQ55" s="39" t="str">
        <f>IF(KF55="","",(IF(OR($KP$78=0,$KP$78=""),0,      ((VLOOKUP(Compositions!AE120,'HHV-LHV-MW'!$A$3:$F$40,6,FALSE))*(KP55/$KP$78)))))</f>
        <v/>
      </c>
      <c r="KS55" s="27" t="str">
        <f>IF(Compositions!AL120="","",IF(Compositions!$AL$118="mol%",Compositions!AL120,KT55))</f>
        <v/>
      </c>
      <c r="KT55" s="27" t="str">
        <f>IF(KU55="","",((KU55/$KU$78)*100))</f>
        <v/>
      </c>
      <c r="KU55" s="27" t="str">
        <f>IF(Compositions!AL120="","",(Compositions!AL120/(VLOOKUP(Compositions!AK120,'HHV-LHV-MW'!$A$3:$F$40,6,FALSE))))</f>
        <v/>
      </c>
      <c r="KV55" s="182" t="str">
        <f>IF(KS55="","",((VLOOKUP(Compositions!AK120,'HHV-LHV-MW'!$A$3:$F$40,4,FALSE))*(KS55/100)))</f>
        <v/>
      </c>
      <c r="KW55" s="182" t="str">
        <f>IF(KS55="","",((VLOOKUP(Compositions!AK120,'HHV-LHV-MW'!$A$3:$F$40,5,FALSE))*(KS55/100)))</f>
        <v/>
      </c>
      <c r="KX55" s="182" t="str">
        <f>IF(KS55="","",((VLOOKUP(Compositions!AK120,'HHV-LHV-MW'!$A$3:$F$40,6,FALSE))*(KS55/100)))</f>
        <v/>
      </c>
      <c r="KY55" s="182" t="str">
        <f>IF(Compositions!AL120="","",(Compositions!AL120*(VLOOKUP(Compositions!AK120,'HHV-LHV-MW'!$A$3:$F$40,6,FALSE))))</f>
        <v/>
      </c>
      <c r="KZ55" s="182" t="str">
        <f>IF(Compositions!AL120="","",IF(OR(Compositions!$AL$118="wt%",Compositions!$AL$118=""),Compositions!AL120,(IF(KY55="","",((KY55/$KY$78)*100)))))</f>
        <v/>
      </c>
      <c r="LA55" s="182" t="str">
        <f>IF(KZ55="","",(IF(OR(Compositions!AK120="Hydrogen",Compositions!AK120="Helium",Compositions!AK120="Water",Compositions!AK120="Carbon Monoxide",Compositions!AK120="Nitrogen",Compositions!AK120="Oxygen",Compositions!AK120="Hydrogen Sulfide",Compositions!AK120="Argon",Compositions!AK120="Carbon Dioxide",Compositions!AK120="Carbon Disulfide"),0,KZ55)))</f>
        <v/>
      </c>
      <c r="LB55" s="182" t="str">
        <f>IF(Compositions!AL120="","",((KS55/100)*((VLOOKUP(Compositions!AK120,'HHV-LHV-MW'!$A$3:$G$40,7,FALSE)))))</f>
        <v/>
      </c>
      <c r="LC55" s="182" t="str">
        <f>IF(KS55="","",(IF(OR(Compositions!AK120="Hydrogen",Compositions!AK120="Carbon Disulfide",Compositions!AK120="Helium",Compositions!AK120="Water",Compositions!AK120="Carbon Monoxide",Compositions!AK120="Nitrogen",Compositions!AK120="Oxygen",Compositions!AK120="Hydrogen Sulfide",Compositions!AK120="Argon",Compositions!AK120="Carbon Dioxide",Compositions!AK120="Methane",Compositions!AK120="Ethane"),0,(KS55/100))))</f>
        <v/>
      </c>
      <c r="LD55" s="182" t="str">
        <f>IF(KS55="","",(IF(OR($LC$78=0,$LC$78=""),0,      ((VLOOKUP(Compositions!AK120,'HHV-LHV-MW'!$A$3:$F$40,6,FALSE))*(LC55/$LC$78)))))</f>
        <v/>
      </c>
      <c r="LE55" s="28" t="str">
        <f>IF(Compositions!AM120="","",IF(Compositions!$AM$118="mol%",Compositions!AM120,LF55))</f>
        <v/>
      </c>
      <c r="LF55" s="28" t="str">
        <f>IF(LG55="","",((LG55/$LG$78)*100))</f>
        <v/>
      </c>
      <c r="LG55" s="28" t="str">
        <f>IF(Compositions!AM120="","",(Compositions!AM120/(VLOOKUP(Compositions!AK120,'HHV-LHV-MW'!$A$3:$F$40,6,FALSE))))</f>
        <v/>
      </c>
      <c r="LH55" s="183" t="str">
        <f>IF(LE55="","",((VLOOKUP(Compositions!AK120,'HHV-LHV-MW'!$A$3:$F$40,4,FALSE))*(LE55/100)))</f>
        <v/>
      </c>
      <c r="LI55" s="183" t="str">
        <f>IF(LE55="","",((VLOOKUP(Compositions!AK120,'HHV-LHV-MW'!$A$3:$F$40,5,FALSE))*(LE55/100)))</f>
        <v/>
      </c>
      <c r="LJ55" s="183" t="str">
        <f>IF(LE55="","",((VLOOKUP(Compositions!AK120,'HHV-LHV-MW'!$A$3:$F$40,6,FALSE))*(LE55/100)))</f>
        <v/>
      </c>
      <c r="LK55" s="183" t="str">
        <f>IF(Compositions!AM120="","",(Compositions!AM120*(VLOOKUP(Compositions!AK120,'HHV-LHV-MW'!$A$3:$F$40,6,FALSE))))</f>
        <v/>
      </c>
      <c r="LL55" s="183" t="str">
        <f>IF(Compositions!AM120="","",IF(OR(Compositions!$AM$118="wt%",Compositions!$AM$118=""),Compositions!AM120,(IF(LK55="","",((LK55/$LK$78)*100)))))</f>
        <v/>
      </c>
      <c r="LM55" s="39" t="str">
        <f>IF(LL55="","",(IF(OR(Compositions!AK120="Hydrogen",Compositions!AK120="Helium",Compositions!AK120="Water",Compositions!AK120="Carbon Monoxide",Compositions!AK120="Nitrogen",Compositions!AK120="Oxygen",Compositions!AK120="Hydrogen Sulfide",Compositions!AK120="Argon",Compositions!AK120="Carbon Dioxide",Compositions!AK120="Carbon Disulfide"),0,LL55)))</f>
        <v/>
      </c>
      <c r="LN55" s="183" t="str">
        <f>IF(Compositions!AM120="","",((LE55/100)*((VLOOKUP(Compositions!AK120,'HHV-LHV-MW'!$A$3:$G$40,7,FALSE)))))</f>
        <v/>
      </c>
      <c r="LO55" s="183" t="str">
        <f>IF(LE55="","",(IF(OR(Compositions!AK120="Hydrogen",Compositions!AK120="Carbon Disulfide",Compositions!AK120="Helium",Compositions!AK120="Water",Compositions!AK120="Carbon Monoxide",Compositions!AK120="Nitrogen",Compositions!AK120="Oxygen",Compositions!AK120="Hydrogen Sulfide",Compositions!AK120="Argon",Compositions!AK120="Carbon Dioxide",Compositions!AK120="Methane",Compositions!AK120="Ethane"),0,(LE55/100))))</f>
        <v/>
      </c>
      <c r="LP55" s="39" t="str">
        <f>IF(LE55="","",(IF(OR($LO$78=0,$LO$78=""),0,     ((VLOOKUP(Compositions!AK120,'HHV-LHV-MW'!$A$3:$F$40,6,FALSE))*(LO55/$LO$78)))))</f>
        <v/>
      </c>
      <c r="LQ55" s="27" t="str">
        <f>IF(Compositions!AN120="","",IF(Compositions!$AN$118="mol%",Compositions!AN120,LR55))</f>
        <v/>
      </c>
      <c r="LR55" s="27" t="str">
        <f>IF(LS55="","",((LS55/$LS$78)*100))</f>
        <v/>
      </c>
      <c r="LS55" s="27" t="str">
        <f>IF(Compositions!AN120="","",(Compositions!AN120/(VLOOKUP(Compositions!AK120,'HHV-LHV-MW'!$A$3:$F$40,6,FALSE))))</f>
        <v/>
      </c>
      <c r="LT55" s="182" t="str">
        <f>IF(LQ55="","",((VLOOKUP(Compositions!AK120,'HHV-LHV-MW'!$A$3:$F$40,4,FALSE))*(LQ55/100)))</f>
        <v/>
      </c>
      <c r="LU55" s="182" t="str">
        <f>IF(LQ55="","",((VLOOKUP(Compositions!AK120,'HHV-LHV-MW'!$A$3:$F$40,5,FALSE))*(LQ55/100)))</f>
        <v/>
      </c>
      <c r="LV55" s="182" t="str">
        <f>IF(LQ55="","",((VLOOKUP(Compositions!AK120,'HHV-LHV-MW'!$A$3:$F$40,6,FALSE))*(LQ55/100)))</f>
        <v/>
      </c>
      <c r="LW55" s="182" t="str">
        <f>IF(Compositions!AN120="","",(Compositions!AN120*(VLOOKUP(Compositions!AK120,'HHV-LHV-MW'!$A$3:$F$40,6,FALSE))))</f>
        <v/>
      </c>
      <c r="LX55" s="182" t="str">
        <f>IF(Compositions!AN120="","",IF(OR(Compositions!$AN$118="wt%",Compositions!$AN$118=""),Compositions!AN120,(IF(LW55="","",((LW55/$LW$78)*100)))))</f>
        <v/>
      </c>
      <c r="LY55" s="182" t="str">
        <f>IF(LX55="","",(IF(OR(Compositions!AK120="Hydrogen",Compositions!AK120="Helium",Compositions!AK120="Water",Compositions!AK120="Carbon Monoxide",Compositions!AK120="Nitrogen",Compositions!AK120="Oxygen",Compositions!AK120="Hydrogen Sulfide",Compositions!AK120="Argon",Compositions!AK120="Carbon Dioxide",Compositions!AK120="Carbon Disulfide"),0,LX55)))</f>
        <v/>
      </c>
      <c r="LZ55" s="182" t="str">
        <f>IF(Compositions!AN120="","",((LQ55/100)*((VLOOKUP(Compositions!AK120,'HHV-LHV-MW'!$A$3:$G$40,7,FALSE)))))</f>
        <v/>
      </c>
      <c r="MA55" s="182" t="str">
        <f>IF(LQ55="","",(IF(OR(Compositions!AK120="Hydrogen",Compositions!AK120="Carbon Disulfide",Compositions!AK120="Helium",Compositions!AK120="Water",Compositions!AK120="Carbon Monoxide",Compositions!AK120="Nitrogen",Compositions!AK120="Oxygen",Compositions!AK120="Hydrogen Sulfide",Compositions!AK120="Argon",Compositions!AK120="Carbon Dioxide",Compositions!AK120="Methane",Compositions!AK120="Ethane"),0,(LQ55/100))))</f>
        <v/>
      </c>
      <c r="MB55" s="182" t="str">
        <f>IF(LQ55="","",(IF(OR($MA$78=0,$MA$78=""),0,     ((VLOOKUP(Compositions!AK120,'HHV-LHV-MW'!$A$3:$F$40,6,FALSE))*(MA55/$MA$78)))))</f>
        <v/>
      </c>
      <c r="MC55" s="28" t="str">
        <f>IF(Compositions!AO120="","",IF(Compositions!$AO$118="mol%",Compositions!AO120,MD55))</f>
        <v/>
      </c>
      <c r="MD55" s="28" t="str">
        <f>IF(ME55="","",((ME55/$ME$78)*100))</f>
        <v/>
      </c>
      <c r="ME55" s="28" t="str">
        <f>IF(Compositions!AO120="","",(Compositions!AO120/(VLOOKUP(Compositions!AK120,'HHV-LHV-MW'!$A$3:$F$40,6,FALSE))))</f>
        <v/>
      </c>
      <c r="MF55" s="183" t="str">
        <f>IF(MC55="","",((VLOOKUP(Compositions!AK120,'HHV-LHV-MW'!$A$3:$F$40,4,FALSE))*(MC55/100)))</f>
        <v/>
      </c>
      <c r="MG55" s="183" t="str">
        <f>IF(MC55="","",((VLOOKUP(Compositions!AK120,'HHV-LHV-MW'!$A$3:$F$40,5,FALSE))*(MC55/100)))</f>
        <v/>
      </c>
      <c r="MH55" s="183" t="str">
        <f>IF(MC55="","",((VLOOKUP(Compositions!AK120,'HHV-LHV-MW'!$A$3:$F$40,6,FALSE))*(MC55/100)))</f>
        <v/>
      </c>
      <c r="MI55" s="183" t="str">
        <f>IF(Compositions!AO120="","",(Compositions!AO120*(VLOOKUP(Compositions!AK120,'HHV-LHV-MW'!$A$3:$F$40,6,FALSE))))</f>
        <v/>
      </c>
      <c r="MJ55" s="183" t="str">
        <f>IF(Compositions!AO120="","",IF(OR(Compositions!$AO$118="wt%",Compositions!$AO$118=""),Compositions!AO120,(IF(MI55="","",((MI55/$MI$78)*100)))))</f>
        <v/>
      </c>
      <c r="MK55" s="39" t="str">
        <f>IF(MJ55="","",(IF(OR(Compositions!AK120="Hydrogen",Compositions!AK120="Helium",Compositions!AK120="Water",Compositions!AK120="Carbon Monoxide",Compositions!AK120="Nitrogen",Compositions!AK120="Oxygen",Compositions!AK120="Hydrogen Sulfide",Compositions!AK120="Argon",Compositions!AK120="Carbon Dioxide",Compositions!AK120="Carbon Disulfide"),0,MJ55)))</f>
        <v/>
      </c>
      <c r="ML55" s="183" t="str">
        <f>IF(Compositions!AO120="","",((MC55/100)*((VLOOKUP(Compositions!AK120,'HHV-LHV-MW'!$A$3:$G$40,7,FALSE)))))</f>
        <v/>
      </c>
      <c r="MM55" s="183" t="str">
        <f>IF(MC55="","",(IF(OR(Compositions!AK120="Hydrogen",Compositions!AK120="Carbon Disulfide",Compositions!AK120="Helium",Compositions!AK120="Water",Compositions!AK120="Carbon Monoxide",Compositions!AK120="Nitrogen",Compositions!AK120="Oxygen",Compositions!AK120="Hydrogen Sulfide",Compositions!AK120="Argon",Compositions!AK120="Carbon Dioxide",Compositions!AK120="Methane",Compositions!AK120="Ethane"),0,(MC55/100))))</f>
        <v/>
      </c>
      <c r="MN55" s="39" t="str">
        <f>IF(MC55="","",(IF(OR($MM$78=0,$MM$78=""),0,     ((VLOOKUP(Compositions!AK120,'HHV-LHV-MW'!$A$3:$F$40,6,FALSE))*(MM55/$MM$78)))))</f>
        <v/>
      </c>
      <c r="MP55" s="27" t="str">
        <f>IF(Compositions!AR120="","",IF(Compositions!$AR$118="mol%",Compositions!AR120,MQ55))</f>
        <v/>
      </c>
      <c r="MQ55" s="27" t="str">
        <f>IF(MR55="","",((MR55/$MR$78)*100))</f>
        <v/>
      </c>
      <c r="MR55" s="27" t="str">
        <f>IF(Compositions!AR120="","",(Compositions!AR120/(VLOOKUP(Compositions!AQ120,'HHV-LHV-MW'!$A$3:$F$40,6,FALSE))))</f>
        <v/>
      </c>
      <c r="MS55" s="182" t="str">
        <f>IF(MP55="","",((VLOOKUP(Compositions!AQ120,'HHV-LHV-MW'!$A$3:$F$40,4,FALSE))*(MP55/100)))</f>
        <v/>
      </c>
      <c r="MT55" s="182" t="str">
        <f>IF(MP55="","",((VLOOKUP(Compositions!AQ120,'HHV-LHV-MW'!$A$3:$F$40,5,FALSE))*(MP55/100)))</f>
        <v/>
      </c>
      <c r="MU55" s="182" t="str">
        <f>IF(MP55="","",((VLOOKUP(Compositions!AQ120,'HHV-LHV-MW'!$A$3:$F$40,6,FALSE))*(MP55/100)))</f>
        <v/>
      </c>
      <c r="MV55" s="182" t="str">
        <f>IF(Compositions!AR120="","",(Compositions!AR120*(VLOOKUP(Compositions!AQ120,'HHV-LHV-MW'!$A$3:$F$40,6,FALSE))))</f>
        <v/>
      </c>
      <c r="MW55" s="182" t="str">
        <f>IF(Compositions!AR120="","",IF(OR(Compositions!$AR$118="wt%",Compositions!$AR$118=""),Compositions!AR120,(IF(MV55="","",((MV55/$MV$78)*100)))))</f>
        <v/>
      </c>
      <c r="MX55" s="182" t="str">
        <f>IF(MW55="","",(IF(OR(Compositions!AQ120="Hydrogen",Compositions!AQ120="Helium",Compositions!AQ120="Water",Compositions!AQ120="Carbon Monoxide",Compositions!AQ120="Nitrogen",Compositions!AQ120="Oxygen",Compositions!AQ120="Hydrogen Sulfide",Compositions!AQ120="Argon",Compositions!AQ120="Carbon Dioxide",Compositions!AQ120="Carbon Disulfide"),0,MW55)))</f>
        <v/>
      </c>
      <c r="MY55" s="182" t="str">
        <f>IF(Compositions!AR120="","",((MP55/100)*((VLOOKUP(Compositions!AQ120,'HHV-LHV-MW'!$A$3:$G$40,7,FALSE)))))</f>
        <v/>
      </c>
      <c r="MZ55" s="182" t="str">
        <f>IF(MP55="","",(IF(OR(Compositions!AQ120="Hydrogen",Compositions!AQ120="Carbon Disulfide",Compositions!AQ120="Helium",Compositions!AQ120="Water",Compositions!AQ120="Carbon Monoxide",Compositions!AQ120="Nitrogen",Compositions!AQ120="Oxygen",Compositions!AQ120="Hydrogen Sulfide",Compositions!AQ120="Argon",Compositions!AQ120="Carbon Dioxide",Compositions!AQ120="Methane",Compositions!AQ120="Ethane"),0,(MP55/100))))</f>
        <v/>
      </c>
      <c r="NA55" s="182" t="str">
        <f>IF(MP55="","",(IF(OR($MZ$78=0,$MZ$78=""),0,     ((VLOOKUP(Compositions!AQ120,'HHV-LHV-MW'!$A$3:$F$40,6,FALSE))*(MZ55/$MZ$78)))))</f>
        <v/>
      </c>
      <c r="NB55" s="28" t="str">
        <f>IF(Compositions!AS120="","",IF(Compositions!$AS$118="mol%",Compositions!AS120,NC55))</f>
        <v/>
      </c>
      <c r="NC55" s="28" t="str">
        <f>IF(ND55="","",((ND55/$ND$78)*100))</f>
        <v/>
      </c>
      <c r="ND55" s="28" t="str">
        <f>IF(Compositions!AS120="","",(Compositions!AS120/(VLOOKUP(Compositions!AQ120,'HHV-LHV-MW'!$A$3:$F$40,6,FALSE))))</f>
        <v/>
      </c>
      <c r="NE55" s="183" t="str">
        <f>IF(NB55="","",((VLOOKUP(Compositions!AQ120,'HHV-LHV-MW'!$A$3:$F$40,4,FALSE))*(NB55/100)))</f>
        <v/>
      </c>
      <c r="NF55" s="183" t="str">
        <f>IF(NB55="","",((VLOOKUP(Compositions!AQ120,'HHV-LHV-MW'!$A$3:$F$40,5,FALSE))*(NB55/100)))</f>
        <v/>
      </c>
      <c r="NG55" s="183" t="str">
        <f>IF(NB55="","",((VLOOKUP(Compositions!AQ120,'HHV-LHV-MW'!$A$3:$F$40,6,FALSE))*(NB55/100)))</f>
        <v/>
      </c>
      <c r="NH55" s="183" t="str">
        <f>IF(Compositions!AS120="","",(Compositions!AS120*(VLOOKUP(Compositions!AQ120,'HHV-LHV-MW'!$A$3:$F$40,6,FALSE))))</f>
        <v/>
      </c>
      <c r="NI55" s="183" t="str">
        <f>IF(Compositions!AS120="","",IF(OR(Compositions!$AS$118="wt%",Compositions!$AS$118=""),Compositions!AS120,(IF(NH55="","",((NH55/$NH$78)*100)))))</f>
        <v/>
      </c>
      <c r="NJ55" s="39" t="str">
        <f>IF(NI55="","",(IF(OR(Compositions!AQ120="Hydrogen",Compositions!AQ120="Helium",Compositions!AQ120="Water",Compositions!AQ120="Carbon Monoxide",Compositions!AQ120="Nitrogen",Compositions!AQ120="Oxygen",Compositions!AQ120="Hydrogen Sulfide",Compositions!AQ120="Argon",Compositions!AQ120="Carbon Dioxide",Compositions!AQ120="Carbon Disulfide"),0,NI55)))</f>
        <v/>
      </c>
      <c r="NK55" s="183" t="str">
        <f>IF(Compositions!AS120="","",((NB55/100)*((VLOOKUP(Compositions!AQ120,'HHV-LHV-MW'!$A$3:$G$40,7,FALSE)))))</f>
        <v/>
      </c>
      <c r="NL55" s="183" t="str">
        <f>IF(NB55="","",(IF(OR(Compositions!AQ120="Hydrogen",Compositions!AQ120="Carbon Disulfide",Compositions!AQ120="Helium",Compositions!AQ120="Water",Compositions!AQ120="Carbon Monoxide",Compositions!AQ120="Nitrogen",Compositions!AQ120="Oxygen",Compositions!AQ120="Hydrogen Sulfide",Compositions!AQ120="Argon",Compositions!AQ120="Carbon Dioxide",Compositions!AQ120="Methane",Compositions!AQ120="Ethane"),0,(NB55/100))))</f>
        <v/>
      </c>
      <c r="NM55" s="39" t="str">
        <f>IF(NB55="","",(IF(OR($NL$78=0,$NL$78=""),0,     ((VLOOKUP(Compositions!AQ120,'HHV-LHV-MW'!$A$3:$F$40,6,FALSE))*(NL55/$NL$78)))))</f>
        <v/>
      </c>
      <c r="NN55" s="27" t="str">
        <f>IF(Compositions!AT120="","",IF(Compositions!$AT$118="mol%",Compositions!AT120,NO55))</f>
        <v/>
      </c>
      <c r="NO55" s="27" t="str">
        <f>IF(NP55="","",((NP55/$NP$78)*100))</f>
        <v/>
      </c>
      <c r="NP55" s="27" t="str">
        <f>IF(Compositions!AT120="","",(Compositions!AT120/(VLOOKUP(Compositions!AQ120,'HHV-LHV-MW'!$A$3:$F$40,6,FALSE))))</f>
        <v/>
      </c>
      <c r="NQ55" s="182" t="str">
        <f>IF(NN55="","",((VLOOKUP(Compositions!AQ120,'HHV-LHV-MW'!$A$3:$F$40,4,FALSE))*(NN55/100)))</f>
        <v/>
      </c>
      <c r="NR55" s="182" t="str">
        <f>IF(NN55="","",((VLOOKUP(Compositions!AQ120,'HHV-LHV-MW'!$A$3:$F$40,5,FALSE))*(NN55/100)))</f>
        <v/>
      </c>
      <c r="NS55" s="182" t="str">
        <f>IF(NN55="","",((VLOOKUP(Compositions!AQ120,'HHV-LHV-MW'!$A$3:$F$40,6,FALSE))*(NN55/100)))</f>
        <v/>
      </c>
      <c r="NT55" s="182" t="str">
        <f>IF(Compositions!AT120="","",(Compositions!AT120*(VLOOKUP(Compositions!AQ120,'HHV-LHV-MW'!$A$3:$F$40,6,FALSE))))</f>
        <v/>
      </c>
      <c r="NU55" s="182" t="str">
        <f>IF(Compositions!AT120="","",IF(OR(Compositions!$AT$118="wt%",Compositions!$AT$118=""),Compositions!AT120,(IF(NT55="","",((NT55/$NT$78)*100)))))</f>
        <v/>
      </c>
      <c r="NV55" s="182" t="str">
        <f>IF(NU55="","",(IF(OR(Compositions!AQ120="Hydrogen",Compositions!AQ120="Helium",Compositions!AQ120="Water",Compositions!AQ120="Carbon Monoxide",Compositions!AQ120="Nitrogen",Compositions!AQ120="Oxygen",Compositions!AQ120="Hydrogen Sulfide",Compositions!AQ120="Argon",Compositions!AQ120="Carbon Dioxide",Compositions!AQ120="Carbon Disulfide"),0,NU55)))</f>
        <v/>
      </c>
      <c r="NW55" s="182" t="str">
        <f>IF(Compositions!AT120="","",((NN55/100)*((VLOOKUP(Compositions!AQ120,'HHV-LHV-MW'!$A$3:$G$40,7,FALSE)))))</f>
        <v/>
      </c>
      <c r="NX55" s="182" t="str">
        <f>IF(NN55="","",(IF(OR(Compositions!AQ120="Hydrogen",Compositions!AQ120="Carbon Disulfide",Compositions!AQ120="Helium",Compositions!AQ120="Water",Compositions!AQ120="Carbon Monoxide",Compositions!AQ120="Nitrogen",Compositions!AQ120="Oxygen",Compositions!AQ120="Hydrogen Sulfide",Compositions!AQ120="Argon",Compositions!AQ120="Carbon Dioxide",Compositions!AQ120="Methane",Compositions!AQ120="Ethane"),0,(NN55/100))))</f>
        <v/>
      </c>
      <c r="NY55" s="182" t="str">
        <f>IF(NN55="","",(IF(OR($NX$78=0,$NX$78=""),0,     ((VLOOKUP(Compositions!AQ120,'HHV-LHV-MW'!$A$3:$F$40,6,FALSE))*(NX55/$NX$78)))))</f>
        <v/>
      </c>
      <c r="NZ55" s="28" t="str">
        <f>IF(Compositions!AU120="","",IF(Compositions!$AU$118="mol%",Compositions!AU120,OA55))</f>
        <v/>
      </c>
      <c r="OA55" s="28" t="str">
        <f>IF(OB55="","",((OB55/$OB$78)*100))</f>
        <v/>
      </c>
      <c r="OB55" s="28" t="str">
        <f>IF(Compositions!AU120="","",(Compositions!AU120/(VLOOKUP(Compositions!AQ120,'HHV-LHV-MW'!$A$3:$F$40,6,FALSE))))</f>
        <v/>
      </c>
      <c r="OC55" s="183" t="str">
        <f>IF(NZ55="","",((VLOOKUP(Compositions!AQ120,'HHV-LHV-MW'!$A$3:$F$40,4,FALSE))*(NZ55/100)))</f>
        <v/>
      </c>
      <c r="OD55" s="183" t="str">
        <f>IF(NZ55="","",((VLOOKUP(Compositions!AQ120,'HHV-LHV-MW'!$A$3:$F$40,5,FALSE))*(NZ55/100)))</f>
        <v/>
      </c>
      <c r="OE55" s="183" t="str">
        <f>IF(NZ55="","",((VLOOKUP(Compositions!AQ120,'HHV-LHV-MW'!$A$3:$F$40,6,FALSE))*(NZ55/100)))</f>
        <v/>
      </c>
      <c r="OF55" s="183" t="str">
        <f>IF(Compositions!AU120="","",(Compositions!AU120*(VLOOKUP(Compositions!AQ120,'HHV-LHV-MW'!$A$3:$F$40,6,FALSE))))</f>
        <v/>
      </c>
      <c r="OG55" s="183" t="str">
        <f>IF(Compositions!AU120="","",IF(OR(Compositions!$AU$118="wt%",Compositions!$AU$118=""),Compositions!AU120,(IF(OF55="","",((OF55/$OF$78)*100)))))</f>
        <v/>
      </c>
      <c r="OH55" s="39" t="str">
        <f>IF(OG55="","",(IF(OR(Compositions!AQ120="Hydrogen",Compositions!AQ120="Helium",Compositions!AQ120="Water",Compositions!AQ120="Carbon Monoxide",Compositions!AQ120="Nitrogen",Compositions!AQ120="Oxygen",Compositions!AQ120="Hydrogen Sulfide",Compositions!AQ120="Argon",Compositions!AQ120="Carbon Dioxide",Compositions!AQ120="Carbon Disulfide"),0,OG55)))</f>
        <v/>
      </c>
      <c r="OI55" s="183" t="str">
        <f>IF(Compositions!AU120="","",((NZ55/100)*((VLOOKUP(Compositions!AQ120,'HHV-LHV-MW'!$A$3:$G$40,7,FALSE)))))</f>
        <v/>
      </c>
      <c r="OJ55" s="183" t="str">
        <f>IF(NZ55="","",(IF(OR(Compositions!AQ120="Hydrogen",Compositions!AQ120="Carbon Disulfide",Compositions!AQ120="Helium",Compositions!AQ120="Water",Compositions!AQ120="Carbon Monoxide",Compositions!AQ120="Nitrogen",Compositions!AQ120="Oxygen",Compositions!AQ120="Hydrogen Sulfide",Compositions!AQ120="Argon",Compositions!AQ120="Carbon Dioxide",Compositions!AQ120="Methane",Compositions!AQ120="Ethane"),0,(NZ55/100))))</f>
        <v/>
      </c>
      <c r="OK55" s="39" t="str">
        <f>IF(NZ55="","",(IF(OR($OJ$78=0,$OJ$78=""),0,     ((VLOOKUP(Compositions!AQ120,'HHV-LHV-MW'!$A$3:$F$40,6,FALSE))*(OJ55/$OJ$78)))))</f>
        <v/>
      </c>
      <c r="ON55" s="27" t="str">
        <f>IF(Compositions!AX120="","",IF(Compositions!$AX$118="mol%",Compositions!AX120,OO55))</f>
        <v/>
      </c>
      <c r="OO55" s="27" t="str">
        <f>IF(OP55="","",((OP55/$OP$78)*100))</f>
        <v/>
      </c>
      <c r="OP55" s="27" t="str">
        <f>IF(Compositions!AX120="","",(Compositions!AX120/(VLOOKUP(Compositions!AW120,'HHV-LHV-MW'!$A$3:$F$40,6,FALSE))))</f>
        <v/>
      </c>
      <c r="OQ55" s="182" t="str">
        <f>IF(ON55="","",((VLOOKUP(Compositions!AW120,'HHV-LHV-MW'!$A$3:$F$40,4,FALSE))*(ON55/100)))</f>
        <v/>
      </c>
      <c r="OR55" s="182" t="str">
        <f>IF(ON55="","",((VLOOKUP(Compositions!AW120,'HHV-LHV-MW'!$A$3:$F$40,5,FALSE))*(ON55/100)))</f>
        <v/>
      </c>
      <c r="OS55" s="182" t="str">
        <f>IF(ON55="","",((VLOOKUP(Compositions!AW120,'HHV-LHV-MW'!$A$3:$F$40,6,FALSE))*(ON55/100)))</f>
        <v/>
      </c>
      <c r="OT55" s="182" t="str">
        <f>IF(Compositions!AX120="","",(Compositions!AX120*(VLOOKUP(Compositions!AW120,'HHV-LHV-MW'!$A$3:$F$40,6,FALSE))))</f>
        <v/>
      </c>
      <c r="OU55" s="182" t="str">
        <f>IF(Compositions!AX120="","",IF(OR(Compositions!$AX$118="wt%",Compositions!$AX$118=""),Compositions!AX120,(IF(OT55="","",((OT55/$OT$78)*100)))))</f>
        <v/>
      </c>
      <c r="OV55" s="182" t="str">
        <f>IF(OU55="","",(IF(OR(Compositions!AW120="Hydrogen",Compositions!AW120="Helium",Compositions!AW120="Water",Compositions!AW120="Carbon Monoxide",Compositions!AW120="Nitrogen",Compositions!AW120="Oxygen",Compositions!AW120="Hydrogen Sulfide",Compositions!AW120="Argon",Compositions!AW120="Carbon Dioxide",Compositions!AW120="Carbon Disulfide"),0,OU55)))</f>
        <v/>
      </c>
      <c r="OW55" s="182" t="str">
        <f>IF(Compositions!AX120="","",((ON55/100)*((VLOOKUP(Compositions!AW120,'HHV-LHV-MW'!$A$3:$G$40,7,FALSE)))))</f>
        <v/>
      </c>
      <c r="OX55" s="182" t="str">
        <f>IF(ON55="","",(IF(OR(Compositions!AW120="Hydrogen",Compositions!AW120="Carbon Disulfide",Compositions!AW120="Helium",Compositions!AW120="Water",Compositions!AW120="Carbon Monoxide",Compositions!AW120="Nitrogen",Compositions!AW120="Oxygen",Compositions!AW120="Hydrogen Sulfide",Compositions!AW120="Argon",Compositions!AW120="Carbon Dioxide",Compositions!AW120="Methane",Compositions!AW120="Ethane"),0,(ON55/100))))</f>
        <v/>
      </c>
      <c r="OY55" s="182" t="str">
        <f>IF(ON55="","",(IF(OR($OX$78=0,$OX$78=""),0,     ((VLOOKUP(Compositions!AW120,'HHV-LHV-MW'!$A$3:$F$40,6,FALSE))*(OX55/$OX$78)))))</f>
        <v/>
      </c>
      <c r="OZ55" s="28" t="str">
        <f>IF(Compositions!AY120="","",IF(Compositions!$AY$118="mol%",Compositions!AY120,PA55))</f>
        <v/>
      </c>
      <c r="PA55" s="28" t="str">
        <f>IF(PB55="","",((PB55/$PB$78)*100))</f>
        <v/>
      </c>
      <c r="PB55" s="28" t="str">
        <f>IF(Compositions!AY120="","",(Compositions!AY120/(VLOOKUP(Compositions!AW120,'HHV-LHV-MW'!$A$3:$F$40,6,FALSE))))</f>
        <v/>
      </c>
      <c r="PC55" s="183" t="str">
        <f>IF(OZ55="","",((VLOOKUP(Compositions!AW120,'HHV-LHV-MW'!$A$3:$F$40,4,FALSE))*(OZ55/100)))</f>
        <v/>
      </c>
      <c r="PD55" s="183" t="str">
        <f>IF(OZ55="","",((VLOOKUP(Compositions!AW120,'HHV-LHV-MW'!$A$3:$F$40,5,FALSE))*(OZ55/100)))</f>
        <v/>
      </c>
      <c r="PE55" s="183" t="str">
        <f>IF(OZ55="","",((VLOOKUP(Compositions!AW120,'HHV-LHV-MW'!$A$3:$F$40,6,FALSE))*(OZ55/100)))</f>
        <v/>
      </c>
      <c r="PF55" s="183" t="str">
        <f>IF(Compositions!AY120="","",(Compositions!AY120*(VLOOKUP(Compositions!AW120,'HHV-LHV-MW'!$A$3:$F$40,6,FALSE))))</f>
        <v/>
      </c>
      <c r="PG55" s="183" t="str">
        <f>IF(Compositions!AY120="","",IF(OR(Compositions!$AY$118="wt%",Compositions!$AY$118=""),Compositions!AY120,(IF(PF55="","",((PF55/$PF$78)*100)))))</f>
        <v/>
      </c>
      <c r="PH55" s="39" t="str">
        <f>IF(PG55="","",(IF(OR(Compositions!AW120="Hydrogen",Compositions!AW120="Helium",Compositions!AW120="Water",Compositions!AW120="Carbon Monoxide",Compositions!AW120="Nitrogen",Compositions!AW120="Oxygen",Compositions!AW120="Hydrogen Sulfide",Compositions!AW120="Argon",Compositions!AW120="Carbon Dioxide",Compositions!AW120="Carbon Disulfide"),0,PG55)))</f>
        <v/>
      </c>
      <c r="PI55" s="183" t="str">
        <f>IF(Compositions!AY120="","",((OZ55/100)*((VLOOKUP(Compositions!AW120,'HHV-LHV-MW'!$A$3:$G$40,7,FALSE)))))</f>
        <v/>
      </c>
      <c r="PJ55" s="183" t="str">
        <f>IF(OZ55="","",(IF(OR(Compositions!AW120="Hydrogen",Compositions!AW120="Carbon Disulfide",Compositions!AW120="Helium",Compositions!AW120="Water",Compositions!AW120="Carbon Monoxide",Compositions!AW120="Nitrogen",Compositions!AW120="Oxygen",Compositions!AW120="Hydrogen Sulfide",Compositions!AW120="Argon",Compositions!AW120="Carbon Dioxide",Compositions!AW120="Methane",Compositions!AW120="Ethane"),0,(OZ55/100))))</f>
        <v/>
      </c>
      <c r="PK55" s="39" t="str">
        <f>IF(OZ55="","",(IF(OR($PJ$78=0,$PJ$78=""),0,     ((VLOOKUP(Compositions!AW120,'HHV-LHV-MW'!$A$3:$F$40,6,FALSE))*(PJ55/$PJ$78)))))</f>
        <v/>
      </c>
      <c r="PL55" s="27" t="str">
        <f>IF(Compositions!AZ120="","",IF(Compositions!$AZ$118="mol%",Compositions!AZ120,PM55))</f>
        <v/>
      </c>
      <c r="PM55" s="27" t="str">
        <f>IF(PN55="","",((PN55/$PN$78)*100))</f>
        <v/>
      </c>
      <c r="PN55" s="27" t="str">
        <f>IF(Compositions!AZ120="","",(Compositions!AZ120/(VLOOKUP(Compositions!AW120,'HHV-LHV-MW'!$A$3:$F$40,6,FALSE))))</f>
        <v/>
      </c>
      <c r="PO55" s="182" t="str">
        <f>IF(PL55="","",((VLOOKUP(Compositions!AW120,'HHV-LHV-MW'!$A$3:$F$40,4,FALSE))*(PL55/100)))</f>
        <v/>
      </c>
      <c r="PP55" s="182" t="str">
        <f>IF(PL55="","",((VLOOKUP(Compositions!AW120,'HHV-LHV-MW'!$A$3:$F$40,5,FALSE))*(PL55/100)))</f>
        <v/>
      </c>
      <c r="PQ55" s="182" t="str">
        <f>IF(PL55="","",((VLOOKUP(Compositions!AW120,'HHV-LHV-MW'!$A$3:$F$40,6,FALSE))*(PL55/100)))</f>
        <v/>
      </c>
      <c r="PR55" s="182" t="str">
        <f>IF(Compositions!AZ120="","",(Compositions!AZ120*(VLOOKUP(Compositions!AW120,'HHV-LHV-MW'!$A$3:$F$40,6,FALSE))))</f>
        <v/>
      </c>
      <c r="PS55" s="182" t="str">
        <f>IF(Compositions!AZ120="","",IF(OR(Compositions!$AZ$118="wt%",Compositions!$AZ$118=""),Compositions!AZ120,(IF(PR55="","",((PR55/$PR$78)*100)))))</f>
        <v/>
      </c>
      <c r="PT55" s="182" t="str">
        <f>IF(PS55="","",(IF(OR(Compositions!AW120="Hydrogen",Compositions!AW120="Helium",Compositions!AW120="Water",Compositions!AW120="Carbon Monoxide",Compositions!AW120="Nitrogen",Compositions!AW120="Oxygen",Compositions!AW120="Hydrogen Sulfide",Compositions!AW120="Argon",Compositions!AW120="Carbon Dioxide",Compositions!AW120="Carbon Disulfide"),0,PS55)))</f>
        <v/>
      </c>
      <c r="PU55" s="182" t="str">
        <f>IF(Compositions!AZ120="","",((PL55/100)*((VLOOKUP(Compositions!AW120,'HHV-LHV-MW'!$A$3:$G$40,7,FALSE)))))</f>
        <v/>
      </c>
      <c r="PV55" s="182" t="str">
        <f>IF(PL55="","",(IF(OR(Compositions!AW120="Hydrogen",Compositions!AW120="Carbon Disulfide",Compositions!AW120="Helium",Compositions!AW120="Water",Compositions!AW120="Carbon Monoxide",Compositions!AW120="Nitrogen",Compositions!AW120="Oxygen",Compositions!AW120="Hydrogen Sulfide",Compositions!AW120="Argon",Compositions!AW120="Carbon Dioxide",Compositions!AW120="Methane",Compositions!AW120="Ethane"),0,(PL55/100))))</f>
        <v/>
      </c>
      <c r="PW55" s="182" t="str">
        <f>IF(PL55="","",(IF(OR($PV$78=0,$PV$78=""),0,     ((VLOOKUP(Compositions!AW120,'HHV-LHV-MW'!$A$3:$F$40,6,FALSE))*(PV55/$PV$78)))))</f>
        <v/>
      </c>
      <c r="PX55" s="28" t="str">
        <f>IF(Compositions!BA120="","",IF(Compositions!$BA$118="mol%",Compositions!BA120,PY55))</f>
        <v/>
      </c>
      <c r="PY55" s="28" t="str">
        <f>IF(PZ55="","",((PZ55/$PZ$78)*100))</f>
        <v/>
      </c>
      <c r="PZ55" s="28" t="str">
        <f>IF(Compositions!BA120="","",(Compositions!BA120/(VLOOKUP(Compositions!AW120,'HHV-LHV-MW'!$A$3:$F$40,6,FALSE))))</f>
        <v/>
      </c>
      <c r="QA55" s="183" t="str">
        <f>IF(PX55="","",((VLOOKUP(Compositions!AW120,'HHV-LHV-MW'!$A$3:$F$40,4,FALSE))*(PX55/100)))</f>
        <v/>
      </c>
      <c r="QB55" s="183" t="str">
        <f>IF(PX55="","",((VLOOKUP(Compositions!AW120,'HHV-LHV-MW'!$A$3:$F$40,5,FALSE))*(PX55/100)))</f>
        <v/>
      </c>
      <c r="QC55" s="183" t="str">
        <f>IF(PX55="","",((VLOOKUP(Compositions!AW120,'HHV-LHV-MW'!$A$3:$F$40,6,FALSE))*(PX55/100)))</f>
        <v/>
      </c>
      <c r="QD55" s="183" t="str">
        <f>IF(Compositions!BA120="","",(Compositions!BA120*(VLOOKUP(Compositions!AW120,'HHV-LHV-MW'!$A$3:$F$40,6,FALSE))))</f>
        <v/>
      </c>
      <c r="QE55" s="183" t="str">
        <f>IF(Compositions!BA120="","",IF(OR(Compositions!$BA$118="wt%",Compositions!$BA$118=""),Compositions!BA120,(IF(QD55="","",((QD55/$QD$78)*100)))))</f>
        <v/>
      </c>
      <c r="QF55" s="39" t="str">
        <f>IF(QE55="","",(IF(OR(Compositions!AW120="Hydrogen",Compositions!AW120="Helium",Compositions!AW120="Water",Compositions!AW120="Carbon Monoxide",Compositions!AW120="Nitrogen",Compositions!AW120="Oxygen",Compositions!AW120="Hydrogen Sulfide",Compositions!AW120="Argon",Compositions!AW120="Carbon Dioxide",Compositions!AW120="Carbon Disulfide"),0,QE55)))</f>
        <v/>
      </c>
      <c r="QG55" s="183" t="str">
        <f>IF(Compositions!BA120="","",((PX55/100)*((VLOOKUP(Compositions!AW120,'HHV-LHV-MW'!$A$3:$G$40,7,FALSE)))))</f>
        <v/>
      </c>
      <c r="QH55" s="183" t="str">
        <f>IF(PX55="","",(IF(OR(Compositions!AW120="Hydrogen",Compositions!AW120="Carbon Disulfide",Compositions!AW120="Helium",Compositions!AW120="Water",Compositions!AW120="Carbon Monoxide",Compositions!AW120="Nitrogen",Compositions!AW120="Oxygen",Compositions!AW120="Hydrogen Sulfide",Compositions!AW120="Argon",Compositions!AW120="Carbon Dioxide",Compositions!AW120="Methane",Compositions!AW120="Ethane"),0,(PX55/100))))</f>
        <v/>
      </c>
      <c r="QI55" s="39" t="str">
        <f>IF(PX55="","",(IF(OR($QH$78=0,$QH$78=""),0,     ((VLOOKUP(Compositions!AW120,'HHV-LHV-MW'!$A$3:$F$40,6,FALSE))*(QH55/$QH$78)))))</f>
        <v/>
      </c>
      <c r="QK55" s="27" t="str">
        <f>IF(Compositions!BD120="","",IF(Compositions!$BD$118="mol%",Compositions!BD120,QL55))</f>
        <v/>
      </c>
      <c r="QL55" s="27" t="str">
        <f>IF(QM55="","",((QM55/$QM$78)*100))</f>
        <v/>
      </c>
      <c r="QM55" s="27" t="str">
        <f>IF(Compositions!BD120="","",(Compositions!BD120/(VLOOKUP(Compositions!BC120,'HHV-LHV-MW'!$A$3:$F$40,6,FALSE))))</f>
        <v/>
      </c>
      <c r="QN55" s="182" t="str">
        <f>IF(QK55="","",((VLOOKUP(Compositions!BC120,'HHV-LHV-MW'!$A$3:$F$40,4,FALSE))*(QK55/100)))</f>
        <v/>
      </c>
      <c r="QO55" s="182" t="str">
        <f>IF(QK55="","",((VLOOKUP(Compositions!BC120,'HHV-LHV-MW'!$A$3:$F$40,5,FALSE))*(QK55/100)))</f>
        <v/>
      </c>
      <c r="QP55" s="182" t="str">
        <f>IF(QK55="","",((VLOOKUP(Compositions!BC120,'HHV-LHV-MW'!$A$3:$F$40,6,FALSE))*(QK55/100)))</f>
        <v/>
      </c>
      <c r="QQ55" s="182" t="str">
        <f>IF(Compositions!BD120="","",(Compositions!BD120*(VLOOKUP(Compositions!BC120,'HHV-LHV-MW'!$A$3:$F$40,6,FALSE))))</f>
        <v/>
      </c>
      <c r="QR55" s="182" t="str">
        <f>IF(Compositions!BD120="","",IF(OR(Compositions!$BD$118="wt%",Compositions!$BD$118=""),Compositions!BD120,(IF(QQ55="","",((QQ55/$QQ$78)*100)))))</f>
        <v/>
      </c>
      <c r="QS55" s="182" t="str">
        <f>IF(QR55="","",(IF(OR(Compositions!BC120="Hydrogen",Compositions!BC120="Helium",Compositions!BC120="Water",Compositions!BC120="Carbon Monoxide",Compositions!BC120="Nitrogen",Compositions!BC120="Oxygen",Compositions!BC120="Hydrogen Sulfide",Compositions!BC120="Argon",Compositions!BC120="Carbon Dioxide",Compositions!BC120="Carbon Disulfide"),0,QR55)))</f>
        <v/>
      </c>
      <c r="QT55" s="182" t="str">
        <f>IF(Compositions!BD120="","",((QK55/100)*((VLOOKUP(Compositions!BC120,'HHV-LHV-MW'!$A$3:$G$40,7,FALSE)))))</f>
        <v/>
      </c>
      <c r="QU55" s="182" t="str">
        <f>IF(QK55="","",(IF(OR(Compositions!BC120="Hydrogen",Compositions!BC120="Carbon Disulfide",Compositions!BC120="Helium",Compositions!BC120="Water",Compositions!BC120="Carbon Monoxide",Compositions!BC120="Nitrogen",Compositions!BC120="Oxygen",Compositions!BC120="Hydrogen Sulfide",Compositions!BC120="Argon",Compositions!BC120="Carbon Dioxide",Compositions!BC120="Methane",Compositions!BC120="Ethane"),0,(QK55/100))))</f>
        <v/>
      </c>
      <c r="QV55" s="182" t="str">
        <f>IF(QK55="","",(IF(OR($QU$78=0,$QU$78=""),0,     ((VLOOKUP(Compositions!BC120,'HHV-LHV-MW'!$A$3:$F$40,6,FALSE))*(QU55/$QU$78)))))</f>
        <v/>
      </c>
      <c r="QW55" s="28" t="str">
        <f>IF(Compositions!BE120="","",IF(Compositions!$BE$118="mol%",Compositions!BE120,QX55))</f>
        <v/>
      </c>
      <c r="QX55" s="28" t="str">
        <f>IF(QY55="","",((QY55/$QY$78)*100))</f>
        <v/>
      </c>
      <c r="QY55" s="28" t="str">
        <f>IF(Compositions!BE120="","",(Compositions!BE120/(VLOOKUP(Compositions!BC120,'HHV-LHV-MW'!$A$3:$F$40,6,FALSE))))</f>
        <v/>
      </c>
      <c r="QZ55" s="183" t="str">
        <f>IF(QW55="","",((VLOOKUP(Compositions!BC120,'HHV-LHV-MW'!$A$3:$F$40,4,FALSE))*(QW55/100)))</f>
        <v/>
      </c>
      <c r="RA55" s="183" t="str">
        <f>IF(QW55="","",((VLOOKUP(Compositions!BC120,'HHV-LHV-MW'!$A$3:$F$40,5,FALSE))*(QW55/100)))</f>
        <v/>
      </c>
      <c r="RB55" s="183" t="str">
        <f>IF(QW55="","",((VLOOKUP(Compositions!BC120,'HHV-LHV-MW'!$A$3:$F$40,6,FALSE))*(QW55/100)))</f>
        <v/>
      </c>
      <c r="RC55" s="183" t="str">
        <f>IF(Compositions!BE120="","",(Compositions!BE120*(VLOOKUP(Compositions!BC120,'HHV-LHV-MW'!$A$3:$F$40,6,FALSE))))</f>
        <v/>
      </c>
      <c r="RD55" s="183" t="str">
        <f>IF(Compositions!BE120="","",IF(OR(Compositions!$BE$118="wt%",Compositions!$BE$118=""),Compositions!BE120,(IF(RC55="","",((RC55/$RC$78)*100)))))</f>
        <v/>
      </c>
      <c r="RE55" s="39" t="str">
        <f>IF(RD55="","",(IF(OR(Compositions!BC120="Hydrogen",Compositions!BC120="Helium",Compositions!BC120="Water",Compositions!BC120="Carbon Monoxide",Compositions!BC120="Nitrogen",Compositions!BC120="Oxygen",Compositions!BC120="Hydrogen Sulfide",Compositions!BC120="Argon",Compositions!BC120="Carbon Dioxide",Compositions!BC120="Carbon Disulfide"),0,RD55)))</f>
        <v/>
      </c>
      <c r="RF55" s="183" t="str">
        <f>IF(Compositions!BE120="","",((QW55/100)*((VLOOKUP(Compositions!BC120,'HHV-LHV-MW'!$A$3:$G$40,7,FALSE)))))</f>
        <v/>
      </c>
      <c r="RG55" s="183" t="str">
        <f>IF(QW55="","",(IF(OR(Compositions!BC120="Hydrogen",Compositions!BC120="Carbon Disulfide",Compositions!BC120="Helium",Compositions!BC120="Water",Compositions!BC120="Carbon Monoxide",Compositions!BC120="Nitrogen",Compositions!BC120="Oxygen",Compositions!BC120="Hydrogen Sulfide",Compositions!BC120="Argon",Compositions!BC120="Carbon Dioxide",Compositions!BC120="Methane",Compositions!BC120="Ethane"),0,(QW55/100))))</f>
        <v/>
      </c>
      <c r="RH55" s="39" t="str">
        <f>IF(QW55="","",(IF(OR($RG$78=0,$RG$78=""),0,     ((VLOOKUP(Compositions!BC120,'HHV-LHV-MW'!$A$3:$F$40,6,FALSE))*(RG55/$RG$78)))))</f>
        <v/>
      </c>
      <c r="RI55" s="27" t="str">
        <f>IF(Compositions!BF120="","",IF(Compositions!$BF$118="mol%",Compositions!BF120,RJ55))</f>
        <v/>
      </c>
      <c r="RJ55" s="27" t="str">
        <f>IF(RK55="","",((RK55/$RK$78)*100))</f>
        <v/>
      </c>
      <c r="RK55" s="27" t="str">
        <f>IF(Compositions!BF120="","",(Compositions!BF120/(VLOOKUP(Compositions!BC120,'HHV-LHV-MW'!$A$3:$F$40,6,FALSE))))</f>
        <v/>
      </c>
      <c r="RL55" s="182" t="str">
        <f>IF(RI55="","",((VLOOKUP(Compositions!BC120,'HHV-LHV-MW'!$A$3:$F$40,4,FALSE))*(RI55/100)))</f>
        <v/>
      </c>
      <c r="RM55" s="182" t="str">
        <f>IF(RI55="","",((VLOOKUP(Compositions!BC120,'HHV-LHV-MW'!$A$3:$F$40,5,FALSE))*(RI55/100)))</f>
        <v/>
      </c>
      <c r="RN55" s="182" t="str">
        <f>IF(RI55="","",((VLOOKUP(Compositions!BC120,'HHV-LHV-MW'!$A$3:$F$40,6,FALSE))*(RI55/100)))</f>
        <v/>
      </c>
      <c r="RO55" s="182" t="str">
        <f>IF(Compositions!BF120="","",(Compositions!BF120*(VLOOKUP(Compositions!BC120,'HHV-LHV-MW'!$A$3:$F$40,6,FALSE))))</f>
        <v/>
      </c>
      <c r="RP55" s="182" t="str">
        <f>IF(Compositions!BF120="","",IF(OR(Compositions!$BF$118="wt%",Compositions!$BF$118=""),Compositions!BF120,(IF(RO55="","",((RO55/$RO$78)*100)))))</f>
        <v/>
      </c>
      <c r="RQ55" s="182" t="str">
        <f>IF(RP55="","",(IF(OR(Compositions!BC120="Hydrogen",Compositions!BC120="Helium",Compositions!BC120="Water",Compositions!BC120="Carbon Monoxide",Compositions!BC120="Nitrogen",Compositions!BC120="Oxygen",Compositions!BC120="Hydrogen Sulfide",Compositions!BC120="Argon",Compositions!BC120="Carbon Dioxide",Compositions!BC120="Carbon Disulfide"),0,RP55)))</f>
        <v/>
      </c>
      <c r="RR55" s="182" t="str">
        <f>IF(Compositions!BF120="","",((RI55/100)*((VLOOKUP(Compositions!BC120,'HHV-LHV-MW'!$A$3:$G$40,7,FALSE)))))</f>
        <v/>
      </c>
      <c r="RS55" s="182" t="str">
        <f>IF(RI55="","",(IF(OR(Compositions!BC120="Hydrogen",Compositions!BC120="Carbon Disulfide",Compositions!BC120="Helium",Compositions!BC120="Water",Compositions!BC120="Carbon Monoxide",Compositions!BC120="Nitrogen",Compositions!BC120="Oxygen",Compositions!BC120="Hydrogen Sulfide",Compositions!BC120="Argon",Compositions!BC120="Carbon Dioxide",Compositions!BC120="Methane",Compositions!BC120="Ethane"),0,(RI55/100))))</f>
        <v/>
      </c>
      <c r="RT55" s="182" t="str">
        <f>IF(RI55="","",(IF(OR($RS$78=0,$RS$78=""),0,     ((VLOOKUP(Compositions!BC120,'HHV-LHV-MW'!$A$3:$F$40,6,FALSE))*(RS55/$RS$78)))))</f>
        <v/>
      </c>
      <c r="RU55" s="28" t="str">
        <f>IF(Compositions!BG120="","",IF(Compositions!$BG$118="mol%",Compositions!BG120,RV55))</f>
        <v/>
      </c>
      <c r="RV55" s="28" t="str">
        <f>IF(RW55="","",((RW55/$RW$78)*100))</f>
        <v/>
      </c>
      <c r="RW55" s="28" t="str">
        <f>IF(Compositions!BG120="","",(Compositions!BG120/(VLOOKUP(Compositions!BC120,'HHV-LHV-MW'!$A$3:$F$40,6,FALSE))))</f>
        <v/>
      </c>
      <c r="RX55" s="183" t="str">
        <f>IF(RU55="","",((VLOOKUP(Compositions!BC120,'HHV-LHV-MW'!$A$3:$F$40,4,FALSE))*(RU55/100)))</f>
        <v/>
      </c>
      <c r="RY55" s="183" t="str">
        <f>IF(RU55="","",((VLOOKUP(Compositions!BC120,'HHV-LHV-MW'!$A$3:$F$40,5,FALSE))*(RU55/100)))</f>
        <v/>
      </c>
      <c r="RZ55" s="183" t="str">
        <f>IF(RU55="","",((VLOOKUP(Compositions!BC120,'HHV-LHV-MW'!$A$3:$F$40,6,FALSE))*(RU55/100)))</f>
        <v/>
      </c>
      <c r="SA55" s="183" t="str">
        <f>IF(Compositions!BG120="","",(Compositions!BG120*(VLOOKUP(Compositions!BC120,'HHV-LHV-MW'!$A$3:$F$40,6,FALSE))))</f>
        <v/>
      </c>
      <c r="SB55" s="183" t="str">
        <f>IF(Compositions!BG120="","",IF(OR(Compositions!$BG$118="wt%",Compositions!$BG$118=""),Compositions!BG120,(IF(SA55="","",((SA55/$SA$78)*100)))))</f>
        <v/>
      </c>
      <c r="SC55" s="39" t="str">
        <f>IF(SB55="","",(IF(OR(Compositions!BC120="Hydrogen",Compositions!BC120="Helium",Compositions!BC120="Water",Compositions!BC120="Carbon Monoxide",Compositions!BC120="Nitrogen",Compositions!BC120="Oxygen",Compositions!BC120="Hydrogen Sulfide",Compositions!BC120="Argon",Compositions!BC120="Carbon Dioxide",Compositions!BC120="Carbon Disulfide"),0,SB55)))</f>
        <v/>
      </c>
      <c r="SD55" s="183" t="str">
        <f>IF(Compositions!BG120="","",((RU55/100)*((VLOOKUP(Compositions!BC120,'HHV-LHV-MW'!$A$3:$G$40,7,FALSE)))))</f>
        <v/>
      </c>
      <c r="SE55" s="183" t="str">
        <f>IF(RU55="","",(IF(OR(Compositions!BC120="Hydrogen",Compositions!BC120="Carbon Disulfide",Compositions!BC120="Helium",Compositions!BC120="Water",Compositions!BC120="Carbon Monoxide",Compositions!BC120="Nitrogen",Compositions!BC120="Oxygen",Compositions!BC120="Hydrogen Sulfide",Compositions!BC120="Argon",Compositions!BC120="Carbon Dioxide",Compositions!BC120="Methane",Compositions!BC120="Ethane"),0,(RU55/100))))</f>
        <v/>
      </c>
      <c r="SF55" s="39" t="str">
        <f>IF(RU55="","",(IF(OR($SE$78=0,$SE$78=""),0,     ((VLOOKUP(Compositions!BC120,'HHV-LHV-MW'!$A$3:$F$40,6,FALSE))*(SE55/$SE$78)))))</f>
        <v/>
      </c>
    </row>
    <row r="56" spans="1:500" ht="15.6">
      <c r="A56" s="18" t="s">
        <v>179</v>
      </c>
      <c r="B56" s="19" t="s">
        <v>178</v>
      </c>
      <c r="C56" s="20">
        <v>1</v>
      </c>
      <c r="D56" s="20">
        <v>0</v>
      </c>
      <c r="E56" s="20">
        <v>0</v>
      </c>
      <c r="F56" s="20">
        <v>44.009799999999998</v>
      </c>
      <c r="G56" s="20">
        <v>0</v>
      </c>
      <c r="H56" s="170"/>
      <c r="I56" s="170"/>
      <c r="K56" s="27" t="str">
        <f>IF(Compositions!B121="","",IF(Compositions!$B$118="mol%",Compositions!B121,L56))</f>
        <v/>
      </c>
      <c r="L56" s="27" t="str">
        <f t="shared" ref="L56:L77" si="25">IF(M56="","",((M56/$M$78)*100))</f>
        <v/>
      </c>
      <c r="M56" s="27" t="str">
        <f>IF(Compositions!B121="","",(Compositions!B121/(VLOOKUP(Compositions!A121,'HHV-LHV-MW'!$A$3:$F$40,6,FALSE))))</f>
        <v/>
      </c>
      <c r="N56" s="25" t="str">
        <f>IF(K56="","",((VLOOKUP(Compositions!A121,'HHV-LHV-MW'!$A$3:$F$40,4,FALSE))*(K56/100)))</f>
        <v/>
      </c>
      <c r="O56" s="25" t="str">
        <f>IF(K56="","",((VLOOKUP(Compositions!A121,'HHV-LHV-MW'!$A$3:$F$40,5,FALSE))*(K56/100)))</f>
        <v/>
      </c>
      <c r="P56" s="25" t="str">
        <f>IF(K56="","",((VLOOKUP(Compositions!A121,'HHV-LHV-MW'!$A$3:$F$40,6,FALSE))*(K56/100)))</f>
        <v/>
      </c>
      <c r="Q56" s="25" t="str">
        <f>IF(Compositions!B121="","",(Compositions!B121*(VLOOKUP(Compositions!A121,'HHV-LHV-MW'!$A$3:$F$40,6,FALSE))))</f>
        <v/>
      </c>
      <c r="R56" s="188" t="str">
        <f>IF(Compositions!B121="","",IF(OR(Compositions!$B$118="wt%",Compositions!$B$118=""),Compositions!B121,(IF(Q56="","",((Q56/$Q$78)*100)))))</f>
        <v/>
      </c>
      <c r="S56" s="185" t="str">
        <f>IF(R56="","",(IF(OR(Compositions!A121="Hydrogen",Compositions!A121="Helium",Compositions!A121="Water",Compositions!A121="Carbon Monoxide",Compositions!A121="Nitrogen",Compositions!A121="Oxygen",Compositions!A121="Hydrogen Sulfide",Compositions!A121="Argon",Compositions!A121="Carbon Dioxide",Compositions!A121="Carbon Disulfide"),0,R56)))</f>
        <v/>
      </c>
      <c r="T56" s="169" t="str">
        <f>IF(Compositions!B121="","",((K56/100)*((VLOOKUP(Compositions!A121,'HHV-LHV-MW'!$A$3:$G$40,7,FALSE)))))</f>
        <v/>
      </c>
      <c r="U56" s="187" t="str">
        <f>IF(K56="","",(IF(OR(Compositions!A121="Hydrogen",Compositions!A121="Carbon Disulfide",Compositions!A121="Helium",Compositions!A121="Water",Compositions!A121="Carbon Monoxide",Compositions!A121="Nitrogen",Compositions!A121="Oxygen",Compositions!A121="Hydrogen Sulfide",Compositions!A121="Argon",Compositions!A121="Carbon Dioxide",Compositions!A121="Methane",Compositions!A121="Ethane"),0,(K56/100))))</f>
        <v/>
      </c>
      <c r="V56" s="188" t="str">
        <f>IF(K56="","", (IF(OR($U$78=0,$U$78=""),0,((VLOOKUP(Compositions!A121,'HHV-LHV-MW'!$A$3:$F$40,6,FALSE))*(U56/$U$78))   ))   )</f>
        <v/>
      </c>
      <c r="W56" s="28" t="str">
        <f>IF(Compositions!C121="","",IF(Compositions!$C$118="mol%",Compositions!C121,X56))</f>
        <v/>
      </c>
      <c r="X56" s="28" t="str">
        <f t="shared" ref="X56:X77" si="26">IF(Y56="","",((Y56/$Y$78)*100))</f>
        <v/>
      </c>
      <c r="Y56" s="28" t="str">
        <f>IF(Compositions!C121="","",(Compositions!C121/(VLOOKUP(Compositions!A121,'HHV-LHV-MW'!$A$3:$F$40,6,FALSE))))</f>
        <v/>
      </c>
      <c r="Z56" s="26" t="str">
        <f>IF(W56="","",((VLOOKUP(Compositions!A121,'HHV-LHV-MW'!$A$3:$F$40,4,FALSE))*(W56/100)))</f>
        <v/>
      </c>
      <c r="AA56" s="26" t="str">
        <f>IF(W56="","",((VLOOKUP(Compositions!A121,'HHV-LHV-MW'!$A$3:$F$40,5,FALSE))*(W56/100)))</f>
        <v/>
      </c>
      <c r="AB56" s="26" t="str">
        <f>IF(W56="","",((VLOOKUP(Compositions!A121,'HHV-LHV-MW'!$A$3:$F$40,6,FALSE))*(W56/100)))</f>
        <v/>
      </c>
      <c r="AC56" s="26" t="str">
        <f>IF(Compositions!C121="","",(Compositions!C121*(VLOOKUP(Compositions!A121,'HHV-LHV-MW'!$A$3:$F$40,6,FALSE))))</f>
        <v/>
      </c>
      <c r="AD56" s="296" t="str">
        <f>IF(Compositions!C121="","",IF(OR(Compositions!$C$118="wt%",Compositions!$C$118=""),Compositions!C121,(IF(AC56="","",((AC56/$AC$78)*100)))))</f>
        <v/>
      </c>
      <c r="AE56" s="39" t="str">
        <f>IF(AD56="","",(IF(OR(Compositions!A121="Hydrogen",Compositions!A121="Helium",Compositions!A121="Water",Compositions!A121="Carbon Monoxide",Compositions!A121="Nitrogen",Compositions!A121="Oxygen",Compositions!A121="Hydrogen Sulfide",Compositions!A121="Argon",Compositions!A121="Carbon Dioxide",Compositions!A121="Carbon Disulfide"),0,AD56)))</f>
        <v/>
      </c>
      <c r="AF56" s="186" t="str">
        <f>IF(Compositions!C121="","",((W56/100)*((VLOOKUP(Compositions!A121,'HHV-LHV-MW'!$A$3:$G$40,7,FALSE)))))</f>
        <v/>
      </c>
      <c r="AG56" s="186" t="str">
        <f>IF(W56="","",(IF(OR(Compositions!A121="Hydrogen",Compositions!A121="Carbon Disulfide",Compositions!A121="Helium",Compositions!A121="Water",Compositions!A121="Carbon Monoxide",Compositions!A121="Nitrogen",Compositions!A121="Oxygen",Compositions!A121="Hydrogen Sulfide",Compositions!A121="Argon",Compositions!A121="Carbon Dioxide",Compositions!A121="Methane",Compositions!A121="Ethane"),0,(W56/100))))</f>
        <v/>
      </c>
      <c r="AH56" s="39" t="str">
        <f>IF(W56="","", (IF(OR($AG$78=0,$AG$78=""),0,   ((VLOOKUP(Compositions!A121,'HHV-LHV-MW'!$A$3:$F$40,6,FALSE))*(AG56/$AG$78)))))</f>
        <v/>
      </c>
      <c r="AI56" s="27" t="str">
        <f>IF(Compositions!D121="","",IF(Compositions!$D$118="mol%",Compositions!D121,AJ56))</f>
        <v/>
      </c>
      <c r="AJ56" s="27" t="str">
        <f t="shared" ref="AJ56:AJ77" si="27">IF(AK56="","",((AK56/$AK$78)*100))</f>
        <v/>
      </c>
      <c r="AK56" s="27" t="str">
        <f>IF(Compositions!D121="","",(Compositions!D121/(VLOOKUP(Compositions!A121,'HHV-LHV-MW'!$A$3:$F$40,6,FALSE))))</f>
        <v/>
      </c>
      <c r="AL56" s="25" t="str">
        <f>IF(AI56="","",((VLOOKUP(Compositions!A121,'HHV-LHV-MW'!$A$3:$F$40,4,FALSE))*(AI56/100)))</f>
        <v/>
      </c>
      <c r="AM56" s="25" t="str">
        <f>IF(AI56="","",((VLOOKUP(Compositions!A121,'HHV-LHV-MW'!$A$3:$F$40,5,FALSE))*(AI56/100)))</f>
        <v/>
      </c>
      <c r="AN56" s="25" t="str">
        <f>IF(AI56="","",((VLOOKUP(Compositions!A121,'HHV-LHV-MW'!$A$3:$F$40,6,FALSE))*(AI56/100)))</f>
        <v/>
      </c>
      <c r="AO56" s="25" t="str">
        <f>IF(Compositions!D121="","",(Compositions!D121*(VLOOKUP(Compositions!A121,'HHV-LHV-MW'!$A$3:$F$40,6,FALSE))))</f>
        <v/>
      </c>
      <c r="AP56" s="295" t="str">
        <f>IF(Compositions!D121="","",IF(OR(Compositions!$D$118="wt%",Compositions!$D$118=""),Compositions!D121,(IF(AO56="","",((AO56/$AO$78)*100)))))</f>
        <v/>
      </c>
      <c r="AQ56" s="185" t="str">
        <f>IF(AP56="","",(IF(OR(Compositions!A121="Hydrogen",Compositions!A121="Helium",Compositions!A121="Water",Compositions!A121="Carbon Monoxide",Compositions!A121="Nitrogen",Compositions!A121="Oxygen",Compositions!A121="Hydrogen Sulfide",Compositions!A121="Argon",Compositions!A121="Carbon Dioxide",Compositions!A121="Carbon Disulfide"),0,AP56)))</f>
        <v/>
      </c>
      <c r="AR56" s="187" t="str">
        <f>IF(Compositions!D121="","",((AI56/100)*((VLOOKUP(Compositions!A121,'HHV-LHV-MW'!$A$3:$G$40,7,FALSE)))))</f>
        <v/>
      </c>
      <c r="AS56" s="187" t="str">
        <f>IF(AI56="","",(IF(OR(Compositions!A121="Hydrogen",Compositions!A121="Carbon Disulfide",Compositions!A121="Helium",Compositions!A121="Water",Compositions!A121="Carbon Monoxide",Compositions!A121="Nitrogen",Compositions!A121="Oxygen",Compositions!A121="Hydrogen Sulfide",Compositions!A121="Argon",Compositions!A121="Carbon Dioxide",Compositions!A121="Methane",Compositions!A121="Ethane"),0,(AI56/100))))</f>
        <v/>
      </c>
      <c r="AT56" s="205" t="str">
        <f>IF(AI56="","",(IF(OR($AS$78=0,$AS$78=""),0,      ((VLOOKUP(Compositions!A121,'HHV-LHV-MW'!$A$3:$F$40,6,FALSE))*(AS56/$AS$78)))))</f>
        <v/>
      </c>
      <c r="AU56" s="28" t="str">
        <f>IF(Compositions!E121="","",IF(Compositions!$E$118="mol%",Compositions!E121,AV56))</f>
        <v/>
      </c>
      <c r="AV56" s="28" t="str">
        <f t="shared" ref="AV56:AV77" si="28">IF(AW56="","",((AW56/$AW$78)*100))</f>
        <v/>
      </c>
      <c r="AW56" s="28" t="str">
        <f>IF(Compositions!E121="","",(Compositions!E121/(VLOOKUP(Compositions!A121,'HHV-LHV-MW'!$A$3:$F$40,6,FALSE))))</f>
        <v/>
      </c>
      <c r="AX56" s="26" t="str">
        <f>IF(AU56="","",((VLOOKUP(Compositions!A121,'HHV-LHV-MW'!$A$3:$F$40,4,FALSE))*(AU56/100)))</f>
        <v/>
      </c>
      <c r="AY56" s="26" t="str">
        <f>IF(AU56="","",((VLOOKUP(Compositions!A121,'HHV-LHV-MW'!$A$3:$F$40,5,FALSE))*(AU56/100)))</f>
        <v/>
      </c>
      <c r="AZ56" s="26" t="str">
        <f>IF(AU56="","",((VLOOKUP(Compositions!A121,'HHV-LHV-MW'!$A$3:$F$40,6,FALSE))*(AU56/100)))</f>
        <v/>
      </c>
      <c r="BA56" s="26" t="str">
        <f>IF(Compositions!E121="","",(Compositions!E121*(VLOOKUP(Compositions!A121,'HHV-LHV-MW'!$A$3:$F$40,6,FALSE))))</f>
        <v/>
      </c>
      <c r="BB56" s="296" t="str">
        <f>IF(Compositions!E121="","",IF(OR(Compositions!$E$118="wt%",Compositions!$E$118=""),Compositions!E121,(IF(BA56="","",((BA56/$BA$78)*100)))))</f>
        <v/>
      </c>
      <c r="BC56" s="39" t="str">
        <f>IF(BB56="","",(IF(OR(Compositions!A121="Hydrogen",Compositions!A121="Helium",Compositions!A121="Water",Compositions!A121="Carbon Monoxide",Compositions!A121="Nitrogen",Compositions!A121="Oxygen",Compositions!A121="Hydrogen Sulfide",Compositions!A121="Argon",Compositions!A121="Carbon Dioxide",Compositions!A121="Carbon Disulfide"),0,BB56)))</f>
        <v/>
      </c>
      <c r="BD56" s="186" t="str">
        <f>IF(Compositions!E121="","",((AU56/100)*((VLOOKUP(Compositions!A121,'HHV-LHV-MW'!$A$3:$G$40,7,FALSE)))))</f>
        <v/>
      </c>
      <c r="BE56" s="186" t="str">
        <f>IF(AU56="","",(IF(OR(Compositions!A121="Hydrogen",Compositions!A121="Carbon Disulfide",Compositions!A121="Helium",Compositions!A121="Water",Compositions!A121="Carbon Monoxide",Compositions!A121="Nitrogen",Compositions!A121="Oxygen",Compositions!A121="Hydrogen Sulfide",Compositions!A121="Argon",Compositions!A121="Carbon Dioxide",Compositions!A121="Methane",Compositions!A121="Ethane"),0,(AU56/100))))</f>
        <v/>
      </c>
      <c r="BF56" s="39" t="str">
        <f>IF(AU56="","",(IF(OR($BE$78=0,$BE$78=""),0,     ((VLOOKUP(Compositions!A121,'HHV-LHV-MW'!$A$3:$F$40,6,FALSE))*(BE56/$BE$78)))))</f>
        <v/>
      </c>
      <c r="BH56" s="27" t="str">
        <f>IF(Compositions!H121="","",IF(Compositions!$H$118="mol%",Compositions!H121,BI56))</f>
        <v/>
      </c>
      <c r="BI56" s="27" t="str">
        <f t="shared" ref="BI56:BI77" si="29">IF(BJ56="","",((BJ56/$BJ$78)*100))</f>
        <v/>
      </c>
      <c r="BJ56" s="27" t="str">
        <f>IF(Compositions!H121="","",(Compositions!H121/(VLOOKUP(Compositions!G121,'HHV-LHV-MW'!$A$3:$F$40,6,FALSE))))</f>
        <v/>
      </c>
      <c r="BK56" s="25" t="str">
        <f>IF(BH56="","",((VLOOKUP(Compositions!G121,'HHV-LHV-MW'!$A$3:$F$40,4,FALSE))*(BH56/100)))</f>
        <v/>
      </c>
      <c r="BL56" s="25" t="str">
        <f>IF(BH56="","",((VLOOKUP(Compositions!G121,'HHV-LHV-MW'!$A$3:$F$40,5,FALSE))*(BH56/100)))</f>
        <v/>
      </c>
      <c r="BM56" s="25" t="str">
        <f>IF(BH56="","",((VLOOKUP(Compositions!G121,'HHV-LHV-MW'!$A$3:$F$40,6,FALSE))*(BH56/100)))</f>
        <v/>
      </c>
      <c r="BN56" s="25" t="str">
        <f>IF(Compositions!H121="","",(Compositions!H121*(VLOOKUP(Compositions!G121,'HHV-LHV-MW'!$A$3:$F$40,6,FALSE))))</f>
        <v/>
      </c>
      <c r="BO56" s="295" t="str">
        <f>IF(Compositions!H121="","",IF(OR(Compositions!$H$118="wt%",Compositions!$H$118=""),Compositions!H121,(IF(BN56="","",((BN56/$BN$78)*100)))))</f>
        <v/>
      </c>
      <c r="BP56" s="185" t="str">
        <f>IF(BO56="","",(IF(OR(Compositions!G121="Hydrogen",Compositions!G121="Helium",Compositions!G121="Water",Compositions!G121="Carbon Monoxide",Compositions!G121="Nitrogen",Compositions!G121="Oxygen",Compositions!G121="Hydrogen Sulfide",Compositions!G121="Argon",Compositions!G121="Carbon Dioxide",Compositions!G121="Carbon Disulfide"),0,BO56)))</f>
        <v/>
      </c>
      <c r="BQ56" s="187" t="str">
        <f>IF(Compositions!H121="","",((BH56/100)*((VLOOKUP(Compositions!G121,'HHV-LHV-MW'!$A$3:$G$40,7,FALSE)))))</f>
        <v/>
      </c>
      <c r="BR56" s="187" t="str">
        <f>IF(BH56="","",(IF(OR(Compositions!G121="Hydrogen",Compositions!G121="Carbon Disulfide",Compositions!G121="Helium",Compositions!G121="Water",Compositions!G121="Carbon Monoxide",Compositions!G121="Nitrogen",Compositions!G121="Oxygen",Compositions!G121="Hydrogen Sulfide",Compositions!G121="Argon",Compositions!G121="Carbon Dioxide",Compositions!G121="Methane",Compositions!G121="Ethane"),0,(BH56/100))))</f>
        <v/>
      </c>
      <c r="BS56" s="205" t="str">
        <f>IF(BH56="","",(IF(OR($BR$78=0,$BR$78=""),0,    ((VLOOKUP(Compositions!G121,'HHV-LHV-MW'!$A$3:$F$40,6,FALSE))*(BR56/$BR$78)))))</f>
        <v/>
      </c>
      <c r="BT56" s="28" t="str">
        <f>IF(Compositions!I121="","",IF(Compositions!$I$118="mol%",Compositions!I121,BU56))</f>
        <v/>
      </c>
      <c r="BU56" s="28" t="str">
        <f t="shared" ref="BU56:BU77" si="30">IF(BV56="","",((BV56/$BV$78)*100))</f>
        <v/>
      </c>
      <c r="BV56" s="28" t="str">
        <f>IF(Compositions!I121="","",(Compositions!I121/(VLOOKUP(Compositions!G121,'HHV-LHV-MW'!$A$3:$F$40,6,FALSE))))</f>
        <v/>
      </c>
      <c r="BW56" s="26" t="str">
        <f>IF(BT56="","",((VLOOKUP(Compositions!G121,'HHV-LHV-MW'!$A$3:$F$40,4,FALSE))*(BT56/100)))</f>
        <v/>
      </c>
      <c r="BX56" s="26" t="str">
        <f>IF(BT56="","",((VLOOKUP(Compositions!G121,'HHV-LHV-MW'!$A$3:$F$40,5,FALSE))*(BT56/100)))</f>
        <v/>
      </c>
      <c r="BY56" s="26" t="str">
        <f>IF(BT56="","",((VLOOKUP(Compositions!G121,'HHV-LHV-MW'!$A$3:$F$40,6,FALSE))*(BT56/100)))</f>
        <v/>
      </c>
      <c r="BZ56" s="26" t="str">
        <f>IF(Compositions!I121="","",(Compositions!I121*(VLOOKUP(Compositions!G121,'HHV-LHV-MW'!$A$3:$F$40,6,FALSE))))</f>
        <v/>
      </c>
      <c r="CA56" s="296" t="str">
        <f>IF(Compositions!I121="","",IF(OR(Compositions!$I$118="wt%",Compositions!$I$118=""),Compositions!I121,(IF(BZ56="","",((BZ56/$BZ$78)*100)))))</f>
        <v/>
      </c>
      <c r="CB56" s="39" t="str">
        <f>IF(CA56="","",(IF(OR(Compositions!G121="Hydrogen",Compositions!G121="Helium",Compositions!G121="Water",Compositions!G121="Carbon Monoxide",Compositions!G121="Nitrogen",Compositions!G121="Oxygen",Compositions!G121="Hydrogen Sulfide",Compositions!G121="Argon",Compositions!G121="Carbon Dioxide",Compositions!G121="Carbon Disulfide"),0,CA56)))</f>
        <v/>
      </c>
      <c r="CC56" s="186" t="str">
        <f>IF(Compositions!I121="","",((BT56/100)*((VLOOKUP(Compositions!G121,'HHV-LHV-MW'!$A$3:$G$40,7,FALSE)))))</f>
        <v/>
      </c>
      <c r="CD56" s="186" t="str">
        <f>IF(BT56="","",(IF(OR(Compositions!G121="Hydrogen",Compositions!G121="Carbon Disulfide",Compositions!G121="Helium",Compositions!G121="Water",Compositions!G121="Carbon Monoxide",Compositions!G121="Nitrogen",Compositions!G121="Oxygen",Compositions!G121="Hydrogen Sulfide",Compositions!G121="Argon",Compositions!G121="Carbon Dioxide",Compositions!G121="Methane",Compositions!G121="Ethane"),0,(BT56/100))))</f>
        <v/>
      </c>
      <c r="CE56" s="39" t="str">
        <f>IF(BT56="","",(IF(OR($CD$78=0,$CD$78=""),0,       ((VLOOKUP(Compositions!G121,'HHV-LHV-MW'!$A$3:$F$40,6,FALSE))*(CD56/$CD$78)))))</f>
        <v/>
      </c>
      <c r="CF56" s="27" t="str">
        <f>IF(Compositions!J121="","",IF(Compositions!$J$118="mol%",Compositions!J121,CG56))</f>
        <v/>
      </c>
      <c r="CG56" s="27" t="str">
        <f t="shared" ref="CG56:CG77" si="31">IF(CH56="","",((CH56/$CH$78)*100))</f>
        <v/>
      </c>
      <c r="CH56" s="27" t="str">
        <f>IF(Compositions!J121="","",(Compositions!J121/(VLOOKUP(Compositions!G121,'HHV-LHV-MW'!$A$3:$F$40,6,FALSE))))</f>
        <v/>
      </c>
      <c r="CI56" s="25" t="str">
        <f>IF(CF56="","",((VLOOKUP(Compositions!G121,'HHV-LHV-MW'!$A$3:$F$40,4,FALSE))*(CF56/100)))</f>
        <v/>
      </c>
      <c r="CJ56" s="25" t="str">
        <f>IF(CF56="","",((VLOOKUP(Compositions!G121,'HHV-LHV-MW'!$A$3:$F$40,5,FALSE))*(CF56/100)))</f>
        <v/>
      </c>
      <c r="CK56" s="25" t="str">
        <f>IF(CF56="","",((VLOOKUP(Compositions!G121,'HHV-LHV-MW'!$A$3:$F$40,6,FALSE))*(CF56/100)))</f>
        <v/>
      </c>
      <c r="CL56" s="25" t="str">
        <f>IF(Compositions!J121="","",(Compositions!J121*(VLOOKUP(Compositions!G121,'HHV-LHV-MW'!$A$3:$F$40,6,FALSE))))</f>
        <v/>
      </c>
      <c r="CM56" s="295" t="str">
        <f>IF(Compositions!J121="","",IF(OR(Compositions!$J$118="wt%",Compositions!$J$118=""),Compositions!J121,(IF(CL56="","",((CL56/$CL$78)*100)))))</f>
        <v/>
      </c>
      <c r="CN56" s="185" t="str">
        <f>IF(CM56="","",(IF(OR(Compositions!G121="Hydrogen",Compositions!G121="Helium",Compositions!G121="Water",Compositions!G121="Carbon Monoxide",Compositions!G121="Nitrogen",Compositions!G121="Oxygen",Compositions!G121="Hydrogen Sulfide",Compositions!G121="Argon",Compositions!G121="Carbon Dioxide",Compositions!G121="Carbon Disulfide"),0,CM56)))</f>
        <v/>
      </c>
      <c r="CO56" s="187" t="str">
        <f>IF(Compositions!J121="","",((CF56/100)*((VLOOKUP(Compositions!G121,'HHV-LHV-MW'!$A$3:$G$40,7,FALSE)))))</f>
        <v/>
      </c>
      <c r="CP56" s="187" t="str">
        <f>IF(CF56="","",(IF(OR(Compositions!G121="Hydrogen",Compositions!G121="Carbon Disulfide",Compositions!G121="Helium",Compositions!G121="Water",Compositions!G121="Carbon Monoxide",Compositions!G121="Nitrogen",Compositions!G121="Oxygen",Compositions!G121="Hydrogen Sulfide",Compositions!G121="Argon",Compositions!G121="Carbon Dioxide",Compositions!G121="Methane",Compositions!G121="Ethane"),0,(CF56/100))))</f>
        <v/>
      </c>
      <c r="CQ56" s="205" t="str">
        <f>IF(CF56="","",(IF(OR($CP$78=0,$CP$78=""),0,       ((VLOOKUP(Compositions!G121,'HHV-LHV-MW'!$A$3:$F$40,6,FALSE))*(CP56/$CP$78)))))</f>
        <v/>
      </c>
      <c r="CR56" s="28" t="str">
        <f>IF(Compositions!K121="","",IF(Compositions!$K$118="mol%",Compositions!K121,CS56))</f>
        <v/>
      </c>
      <c r="CS56" s="28" t="str">
        <f t="shared" ref="CS56:CS77" si="32">IF(CT56="","",((CT56/$CT$78)*100))</f>
        <v/>
      </c>
      <c r="CT56" s="28" t="str">
        <f>IF(Compositions!K121="","",(Compositions!K121/(VLOOKUP(Compositions!G121,'HHV-LHV-MW'!$A$3:$F$40,6,FALSE))))</f>
        <v/>
      </c>
      <c r="CU56" s="26" t="str">
        <f>IF(CR56="","",((VLOOKUP(Compositions!G121,'HHV-LHV-MW'!$A$3:$F$40,4,FALSE))*(CR56/100)))</f>
        <v/>
      </c>
      <c r="CV56" s="26" t="str">
        <f>IF(CR56="","",((VLOOKUP(Compositions!G121,'HHV-LHV-MW'!$A$3:$F$40,5,FALSE))*(CR56/100)))</f>
        <v/>
      </c>
      <c r="CW56" s="26" t="str">
        <f>IF(CR56="","",((VLOOKUP(Compositions!G121,'HHV-LHV-MW'!$A$3:$F$40,6,FALSE))*(CR56/100)))</f>
        <v/>
      </c>
      <c r="CX56" s="26" t="str">
        <f>IF(Compositions!K121="","",(Compositions!K121*(VLOOKUP(Compositions!G121,'HHV-LHV-MW'!$A$3:$F$40,6,FALSE))))</f>
        <v/>
      </c>
      <c r="CY56" s="296" t="str">
        <f>IF(Compositions!K121="","",IF(OR(Compositions!$K$118="wt%",Compositions!$K$118=""),Compositions!K121,(IF(CX56="","",((CX56/$CX$78)*100)))))</f>
        <v/>
      </c>
      <c r="CZ56" s="39" t="str">
        <f>IF(CY56="","",(IF(OR(Compositions!G121="Hydrogen",Compositions!G121="Helium",Compositions!G121="Water",Compositions!G121="Carbon Monoxide",Compositions!G121="Nitrogen",Compositions!G121="Oxygen",Compositions!G121="Hydrogen Sulfide",Compositions!G121="Argon",Compositions!G121="Carbon Dioxide",Compositions!G121="Carbon Disulfide"),0,CY56)))</f>
        <v/>
      </c>
      <c r="DA56" s="186" t="str">
        <f>IF(Compositions!K121="","",((CR56/100)*((VLOOKUP(Compositions!G121,'HHV-LHV-MW'!$A$3:$G$40,7,FALSE)))))</f>
        <v/>
      </c>
      <c r="DB56" s="186" t="str">
        <f>IF(CR56="","",(IF(OR(Compositions!G121="Hydrogen",Compositions!G121="Carbon Disulfide",Compositions!G121="Helium",Compositions!G121="Water",Compositions!G121="Carbon Monoxide",Compositions!G121="Nitrogen",Compositions!G121="Oxygen",Compositions!G121="Hydrogen Sulfide",Compositions!G121="Argon",Compositions!G121="Carbon Dioxide",Compositions!G121="Methane",Compositions!G121="Ethane"),0,(CR56/100))))</f>
        <v/>
      </c>
      <c r="DC56" s="39" t="str">
        <f>IF(CR56="","",(IF(OR($DB$78=0,$DB$78=""),0,       ((VLOOKUP(Compositions!G121,'HHV-LHV-MW'!$A$3:$F$40,6,FALSE))*(DB56/$DB$78)))))</f>
        <v/>
      </c>
      <c r="DE56" s="27" t="str">
        <f>IF(Compositions!N121="","",IF(Compositions!$N$118="mol%",Compositions!N121,DF56))</f>
        <v/>
      </c>
      <c r="DF56" s="27" t="str">
        <f t="shared" ref="DF56:DF77" si="33">IF(DG56="","",((DG56/$DG$78)*100))</f>
        <v/>
      </c>
      <c r="DG56" s="27" t="str">
        <f>IF(Compositions!N121="","",(Compositions!N121/(VLOOKUP(Compositions!M121,'HHV-LHV-MW'!$A$3:$F$40,6,FALSE))))</f>
        <v/>
      </c>
      <c r="DH56" s="25" t="str">
        <f>IF(DE56="","",((VLOOKUP(Compositions!M121,'HHV-LHV-MW'!$A$3:$F$40,4,FALSE))*(DE56/100)))</f>
        <v/>
      </c>
      <c r="DI56" s="25" t="str">
        <f>IF(DE56="","",((VLOOKUP(Compositions!M121,'HHV-LHV-MW'!$A$3:$F$40,5,FALSE))*(DE56/100)))</f>
        <v/>
      </c>
      <c r="DJ56" s="25" t="str">
        <f>IF(DE56="","",((VLOOKUP(Compositions!M121,'HHV-LHV-MW'!$A$3:$F$40,6,FALSE))*(DE56/100)))</f>
        <v/>
      </c>
      <c r="DK56" s="25" t="str">
        <f>IF(Compositions!N121="","",(Compositions!N121*(VLOOKUP(Compositions!M121,'HHV-LHV-MW'!$A$3:$F$40,6,FALSE))))</f>
        <v/>
      </c>
      <c r="DL56" s="295" t="str">
        <f>IF(Compositions!N121="","",IF(OR(Compositions!$N$118="wt%",Compositions!$N$118=""),Compositions!N121,(IF(DK56="","",((DK56/$DK$78)*100)))))</f>
        <v/>
      </c>
      <c r="DM56" s="185" t="str">
        <f>IF(DL56="","",(IF(OR(Compositions!M121="Hydrogen",Compositions!M121="Helium",Compositions!M121="Water",Compositions!M121="Carbon Monoxide",Compositions!M121="Nitrogen",Compositions!M121="Oxygen",Compositions!M121="Hydrogen Sulfide",Compositions!M121="Argon",Compositions!M121="Carbon Dioxide",Compositions!M121="Carbon Disulfide"),0,DL56)))</f>
        <v/>
      </c>
      <c r="DN56" s="187" t="str">
        <f>IF(Compositions!N121="","",((DE56/100)*((VLOOKUP(Compositions!M121,'HHV-LHV-MW'!$A$3:$G$40,7,FALSE)))))</f>
        <v/>
      </c>
      <c r="DO56" s="187" t="str">
        <f>IF(DE56="","",(IF(OR(Compositions!M121="Hydrogen",Compositions!M121="Carbon Disulfide",Compositions!M121="Helium",Compositions!M121="Water",Compositions!M121="Carbon Monoxide",Compositions!M121="Nitrogen",Compositions!M121="Oxygen",Compositions!M121="Hydrogen Sulfide",Compositions!M121="Argon",Compositions!M121="Carbon Dioxide",Compositions!M121="Methane",Compositions!M121="Ethane"),0,(DE56/100))))</f>
        <v/>
      </c>
      <c r="DP56" s="205" t="str">
        <f>IF(DE56="","",(IF(OR($DO$78=0,$DO$78=""),0,       ((VLOOKUP(Compositions!M121,'HHV-LHV-MW'!$A$3:$F$40,6,FALSE))*(DO56/$DO$78)))))</f>
        <v/>
      </c>
      <c r="DQ56" s="28" t="str">
        <f>IF(Compositions!O121="","",IF(Compositions!$O$118="mol%",Compositions!O121,DR56))</f>
        <v/>
      </c>
      <c r="DR56" s="28" t="str">
        <f t="shared" ref="DR56:DR77" si="34">IF(DS56="","",((DS56/$DS$78)*100))</f>
        <v/>
      </c>
      <c r="DS56" s="28" t="str">
        <f>IF(Compositions!O121="","",(Compositions!O121/(VLOOKUP(Compositions!M121,'HHV-LHV-MW'!$A$3:$F$40,6,FALSE))))</f>
        <v/>
      </c>
      <c r="DT56" s="26" t="str">
        <f>IF(DQ56="","",((VLOOKUP(Compositions!M121,'HHV-LHV-MW'!$A$3:$F$40,4,FALSE))*(DQ56/100)))</f>
        <v/>
      </c>
      <c r="DU56" s="26" t="str">
        <f>IF(DQ56="","",((VLOOKUP(Compositions!M121,'HHV-LHV-MW'!$A$3:$F$40,5,FALSE))*(DQ56/100)))</f>
        <v/>
      </c>
      <c r="DV56" s="26" t="str">
        <f>IF(DQ56="","",((VLOOKUP(Compositions!M121,'HHV-LHV-MW'!$A$3:$F$40,6,FALSE))*(DQ56/100)))</f>
        <v/>
      </c>
      <c r="DW56" s="26" t="str">
        <f>IF(Compositions!O121="","",(Compositions!O121*(VLOOKUP(Compositions!M121,'HHV-LHV-MW'!$A$3:$F$40,6,FALSE))))</f>
        <v/>
      </c>
      <c r="DX56" s="296" t="str">
        <f>IF(Compositions!O121="","",IF(OR(Compositions!$O$118="wt%",Compositions!$O$118=""),Compositions!O121,(IF(DW56="","",((DW56/$DW$78)*100)))))</f>
        <v/>
      </c>
      <c r="DY56" s="39" t="str">
        <f>IF(DX56="","",(IF(OR(Compositions!M121="Hydrogen",Compositions!M121="Helium",Compositions!M121="Water",Compositions!M121="Carbon Monoxide",Compositions!M121="Nitrogen",Compositions!M121="Oxygen",Compositions!M121="Hydrogen Sulfide",Compositions!M121="Argon",Compositions!M121="Carbon Dioxide",Compositions!M121="Carbon Disulfide"),0,DX56)))</f>
        <v/>
      </c>
      <c r="DZ56" s="186" t="str">
        <f>IF(Compositions!O121="","",((DQ56/100)*((VLOOKUP(Compositions!M121,'HHV-LHV-MW'!$A$3:$G$40,7,FALSE)))))</f>
        <v/>
      </c>
      <c r="EA56" s="186" t="str">
        <f>IF(DQ56="","",(IF(OR(Compositions!M121="Hydrogen",Compositions!M121="Carbon Disulfide",Compositions!M121="Helium",Compositions!M121="Water",Compositions!M121="Carbon Monoxide",Compositions!M121="Nitrogen",Compositions!M121="Oxygen",Compositions!M121="Hydrogen Sulfide",Compositions!M121="Argon",Compositions!M121="Carbon Dioxide",Compositions!M121="Methane",Compositions!M121="Ethane"),0,(DQ56/100))))</f>
        <v/>
      </c>
      <c r="EB56" s="39" t="str">
        <f>IF(DQ56="","",(IF(OR($EA$78=0,$EA$78=""),0,       ((VLOOKUP(Compositions!M121,'HHV-LHV-MW'!$A$3:$F$40,6,FALSE))*(EA56/$EA$78)))))</f>
        <v/>
      </c>
      <c r="EC56" s="27" t="str">
        <f>IF(Compositions!P121="","",IF(Compositions!$P$118="mol%",Compositions!P121,ED56))</f>
        <v/>
      </c>
      <c r="ED56" s="27" t="str">
        <f t="shared" ref="ED56:ED77" si="35">IF(EE56="","",((EE56/$EE$78)*100))</f>
        <v/>
      </c>
      <c r="EE56" s="27" t="str">
        <f>IF(Compositions!P121="","",(Compositions!P121/(VLOOKUP(Compositions!M121,'HHV-LHV-MW'!$A$3:$F$40,6,FALSE))))</f>
        <v/>
      </c>
      <c r="EF56" s="25" t="str">
        <f>IF(EC56="","",((VLOOKUP(Compositions!M121,'HHV-LHV-MW'!$A$3:$F$40,4,FALSE))*(EC56/100)))</f>
        <v/>
      </c>
      <c r="EG56" s="25" t="str">
        <f>IF(EC56="","",((VLOOKUP(Compositions!M121,'HHV-LHV-MW'!$A$3:$F$40,5,FALSE))*(EC56/100)))</f>
        <v/>
      </c>
      <c r="EH56" s="25" t="str">
        <f>IF(EC56="","",((VLOOKUP(Compositions!M121,'HHV-LHV-MW'!$A$3:$F$40,6,FALSE))*(EC56/100)))</f>
        <v/>
      </c>
      <c r="EI56" s="25" t="str">
        <f>IF(Compositions!P121="","",(Compositions!P121*(VLOOKUP(Compositions!M121,'HHV-LHV-MW'!$A$3:$F$40,6,FALSE))))</f>
        <v/>
      </c>
      <c r="EJ56" s="295" t="str">
        <f>IF(Compositions!P121="","",IF(OR(Compositions!$P$118="wt%",Compositions!$P$118=""),Compositions!P121,(IF(EI56="","",((EI56/$EI$78)*100)))))</f>
        <v/>
      </c>
      <c r="EK56" s="185" t="str">
        <f>IF(EJ56="","",(IF(OR(Compositions!M121="Hydrogen",Compositions!M121="Helium",Compositions!M121="Water",Compositions!M121="Carbon Monoxide",Compositions!M121="Nitrogen",Compositions!M121="Oxygen",Compositions!M121="Hydrogen Sulfide",Compositions!M121="Argon",Compositions!M121="Carbon Dioxide",Compositions!M121="Carbon Disulfide"),0,EJ56)))</f>
        <v/>
      </c>
      <c r="EL56" s="187" t="str">
        <f>IF(Compositions!P121="","",((EC56/100)*((VLOOKUP(Compositions!M121,'HHV-LHV-MW'!$A$3:$G$40,7,FALSE)))))</f>
        <v/>
      </c>
      <c r="EM56" s="187" t="str">
        <f>IF(EC56="","",(IF(OR(Compositions!M121="Hydrogen",Compositions!M121="Carbon Disulfide",Compositions!M121="Helium",Compositions!M121="Water",Compositions!M121="Carbon Monoxide",Compositions!M121="Nitrogen",Compositions!M121="Oxygen",Compositions!M121="Hydrogen Sulfide",Compositions!M121="Argon",Compositions!M121="Carbon Dioxide",Compositions!M121="Methane",Compositions!M121="Ethane"),0,(EC56/100))))</f>
        <v/>
      </c>
      <c r="EN56" s="205" t="str">
        <f>IF(EC56="","",(IF(OR($EM$78=0,$EM$78=""),0,       ((VLOOKUP(Compositions!M121,'HHV-LHV-MW'!$A$3:$F$40,6,FALSE))*(EM56/$EM$78)))))</f>
        <v/>
      </c>
      <c r="EO56" s="28" t="str">
        <f>IF(Compositions!Q121="","",IF(Compositions!$Q$118="mol%",Compositions!Q121,EP56))</f>
        <v/>
      </c>
      <c r="EP56" s="28" t="str">
        <f t="shared" ref="EP56:EP77" si="36">IF(EQ56="","",((EQ56/$EQ$78)*100))</f>
        <v/>
      </c>
      <c r="EQ56" s="28" t="str">
        <f>IF(Compositions!Q121="","",(Compositions!Q121/(VLOOKUP(Compositions!M121,'HHV-LHV-MW'!$A$3:$F$40,6,FALSE))))</f>
        <v/>
      </c>
      <c r="ER56" s="26" t="str">
        <f>IF(EO56="","",((VLOOKUP(Compositions!M121,'HHV-LHV-MW'!$A$3:$F$40,4,FALSE))*(EO56/100)))</f>
        <v/>
      </c>
      <c r="ES56" s="26" t="str">
        <f>IF(EO56="","",((VLOOKUP(Compositions!M121,'HHV-LHV-MW'!$A$3:$F$40,5,FALSE))*(EO56/100)))</f>
        <v/>
      </c>
      <c r="ET56" s="26" t="str">
        <f>IF(EO56="","",((VLOOKUP(Compositions!M121,'HHV-LHV-MW'!$A$3:$F$40,6,FALSE))*(EO56/100)))</f>
        <v/>
      </c>
      <c r="EU56" s="26" t="str">
        <f>IF(Compositions!Q121="","",(Compositions!Q121*(VLOOKUP(Compositions!M121,'HHV-LHV-MW'!$A$3:$F$40,6,FALSE))))</f>
        <v/>
      </c>
      <c r="EV56" s="296" t="str">
        <f>IF(Compositions!Q121="","",IF(OR(Compositions!$Q$118="wt%",Compositions!$Q$118=""),Compositions!Q121,(IF(EU56="","",((EU56/$EU$78)*100)))))</f>
        <v/>
      </c>
      <c r="EW56" s="39" t="str">
        <f>IF(EV56="","",(IF(OR(Compositions!M121="Hydrogen",Compositions!M121="Helium",Compositions!M121="Water",Compositions!M121="Carbon Monoxide",Compositions!M121="Nitrogen",Compositions!M121="Oxygen",Compositions!M121="Hydrogen Sulfide",Compositions!M121="Argon",Compositions!M121="Carbon Dioxide",Compositions!M121="Carbon Disulfide"),0,EV56)))</f>
        <v/>
      </c>
      <c r="EX56" s="186" t="str">
        <f>IF(Compositions!Q121="","",((EO56/100)*((VLOOKUP(Compositions!M121,'HHV-LHV-MW'!$A$3:$G$40,7,FALSE)))))</f>
        <v/>
      </c>
      <c r="EY56" s="186" t="str">
        <f>IF(EO56="","",(IF(OR(Compositions!M121="Hydrogen",Compositions!M121="Carbon Disulfide",Compositions!M121="Helium",Compositions!M121="Water",Compositions!M121="Carbon Monoxide",Compositions!M121="Nitrogen",Compositions!M121="Oxygen",Compositions!M121="Hydrogen Sulfide",Compositions!M121="Argon",Compositions!M121="Carbon Dioxide",Compositions!M121="Methane",Compositions!M121="Ethane"),0,(EO56/100))))</f>
        <v/>
      </c>
      <c r="EZ56" s="39" t="str">
        <f>IF(EO56="","",(IF(OR($EY$78=0,$EY$78=""),0,       ((VLOOKUP(Compositions!M121,'HHV-LHV-MW'!$A$3:$F$40,6,FALSE))*(EY56/$EY$78)))))</f>
        <v/>
      </c>
      <c r="FB56" s="27" t="str">
        <f>IF(Compositions!T121="","",IF(Compositions!$T$118="mol%",Compositions!T121,FC56))</f>
        <v/>
      </c>
      <c r="FC56" s="27" t="str">
        <f t="shared" ref="FC56:FC77" si="37">IF(FD56="","",((FD56/$FD$78)*100))</f>
        <v/>
      </c>
      <c r="FD56" s="27" t="str">
        <f>IF(Compositions!T121="","",(Compositions!T121/(VLOOKUP(Compositions!S121,'HHV-LHV-MW'!$A$3:$F$40,6,FALSE))))</f>
        <v/>
      </c>
      <c r="FE56" s="25" t="str">
        <f>IF(FB56="","",((VLOOKUP(Compositions!S121,'HHV-LHV-MW'!$A$3:$F$40,4,FALSE))*(FB56/100)))</f>
        <v/>
      </c>
      <c r="FF56" s="25" t="str">
        <f>IF(FB56="","",((VLOOKUP(Compositions!S121,'HHV-LHV-MW'!$A$3:$F$40,5,FALSE))*(FB56/100)))</f>
        <v/>
      </c>
      <c r="FG56" s="25" t="str">
        <f>IF(FB56="","",((VLOOKUP(Compositions!S121,'HHV-LHV-MW'!$A$3:$F$40,6,FALSE))*(FB56/100)))</f>
        <v/>
      </c>
      <c r="FH56" s="25" t="str">
        <f>IF(Compositions!T121="","",(Compositions!T121*(VLOOKUP(Compositions!S121,'HHV-LHV-MW'!$A$3:$F$40,6,FALSE))))</f>
        <v/>
      </c>
      <c r="FI56" s="295" t="str">
        <f>IF(Compositions!T121="","",IF(OR(Compositions!$T$118="wt%",Compositions!$T$118=""),Compositions!T121,(IF(FH56="","",((FH56/$FH$78)*100)))))</f>
        <v/>
      </c>
      <c r="FJ56" s="185" t="str">
        <f>IF(FI56="","",(IF(OR(Compositions!S121="Hydrogen",Compositions!S121="Helium",Compositions!S121="Water",Compositions!S121="Carbon Monoxide",Compositions!S121="Nitrogen",Compositions!S121="Oxygen",Compositions!S121="Hydrogen Sulfide",Compositions!S121="Argon",Compositions!S121="Carbon Dioxide",Compositions!S121="Carbon Disulfide"),0,FI56)))</f>
        <v/>
      </c>
      <c r="FK56" s="187" t="str">
        <f>IF(Compositions!T121="","",((FB56/100)*((VLOOKUP(Compositions!S121,'HHV-LHV-MW'!$A$3:$G$40,7,FALSE)))))</f>
        <v/>
      </c>
      <c r="FL56" s="187" t="str">
        <f>IF(FB56="","",(IF(OR(Compositions!S121="Hydrogen",Compositions!S121="Carbon Disulfide",Compositions!S121="Helium",Compositions!S121="Water",Compositions!S121="Carbon Monoxide",Compositions!S121="Nitrogen",Compositions!S121="Oxygen",Compositions!S121="Hydrogen Sulfide",Compositions!S121="Argon",Compositions!S121="Carbon Dioxide",Compositions!S121="Methane",Compositions!S121="Ethane"),0,(FB56/100))))</f>
        <v/>
      </c>
      <c r="FM56" s="205" t="str">
        <f>IF(FB56="","",(IF(OR($FL$78=0,$FL$78=""),0,       ((VLOOKUP(Compositions!S121,'HHV-LHV-MW'!$A$3:$F$40,6,FALSE))*(FL56/$FL$78)))))</f>
        <v/>
      </c>
      <c r="FN56" s="28" t="str">
        <f>IF(Compositions!U121="","",IF(Compositions!$U$118="mol%",Compositions!U121,FO56))</f>
        <v/>
      </c>
      <c r="FO56" s="28" t="str">
        <f t="shared" ref="FO56:FO77" si="38">IF(FP56="","",((FP56/$FP$78)*100))</f>
        <v/>
      </c>
      <c r="FP56" s="28" t="str">
        <f>IF(Compositions!U121="","",(Compositions!U121/(VLOOKUP(Compositions!S121,'HHV-LHV-MW'!$A$3:$F$40,6,FALSE))))</f>
        <v/>
      </c>
      <c r="FQ56" s="26" t="str">
        <f>IF(FN56="","",((VLOOKUP(Compositions!S121,'HHV-LHV-MW'!$A$3:$F$40,4,FALSE))*(FN56/100)))</f>
        <v/>
      </c>
      <c r="FR56" s="26" t="str">
        <f>IF(FN56="","",((VLOOKUP(Compositions!S121,'HHV-LHV-MW'!$A$3:$F$40,5,FALSE))*(FN56/100)))</f>
        <v/>
      </c>
      <c r="FS56" s="26" t="str">
        <f>IF(FN56="","",((VLOOKUP(Compositions!S121,'HHV-LHV-MW'!$A$3:$F$40,6,FALSE))*(FN56/100)))</f>
        <v/>
      </c>
      <c r="FT56" s="26" t="str">
        <f>IF(Compositions!U121="","",(Compositions!U121*(VLOOKUP(Compositions!S121,'HHV-LHV-MW'!$A$3:$F$40,6,FALSE))))</f>
        <v/>
      </c>
      <c r="FU56" s="296" t="str">
        <f>IF(Compositions!U121="","",IF(OR(Compositions!$U$118="wt%",Compositions!$U$118=""),Compositions!U121,(IF(FT56="","",((FT56/$FT$78)*100)))))</f>
        <v/>
      </c>
      <c r="FV56" s="39" t="str">
        <f>IF(FU56="","",(IF(OR(Compositions!S121="Hydrogen",Compositions!S121="Helium",Compositions!S121="Water",Compositions!S121="Carbon Monoxide",Compositions!S121="Nitrogen",Compositions!S121="Oxygen",Compositions!S121="Hydrogen Sulfide",Compositions!S121="Argon",Compositions!S121="Carbon Dioxide",Compositions!S121="Carbon Disulfide"),0,FU56)))</f>
        <v/>
      </c>
      <c r="FW56" s="186" t="str">
        <f>IF(Compositions!U121="","",((FN56/100)*((VLOOKUP(Compositions!S121,'HHV-LHV-MW'!$A$3:$G$40,7,FALSE)))))</f>
        <v/>
      </c>
      <c r="FX56" s="186" t="str">
        <f>IF(FN56="","",(IF(OR(Compositions!S121="Hydrogen",Compositions!S121="Carbon Disulfide",Compositions!S121="Helium",Compositions!S121="Water",Compositions!S121="Carbon Monoxide",Compositions!S121="Nitrogen",Compositions!S121="Oxygen",Compositions!S121="Hydrogen Sulfide",Compositions!S121="Argon",Compositions!S121="Carbon Dioxide",Compositions!S121="Methane",Compositions!S121="Ethane"),0,(FN56/100))))</f>
        <v/>
      </c>
      <c r="FY56" s="39" t="str">
        <f>IF(FN56="","",(IF(OR($FX$78=0,$FX$78=""),0,       ((VLOOKUP(Compositions!S121,'HHV-LHV-MW'!$A$3:$F$40,6,FALSE))*(FX56/$FX$78)))))</f>
        <v/>
      </c>
      <c r="FZ56" s="27" t="str">
        <f>IF(Compositions!V121="","",IF(Compositions!$V$118="mol%",Compositions!V121,GA56))</f>
        <v/>
      </c>
      <c r="GA56" s="27" t="str">
        <f t="shared" ref="GA56:GA77" si="39">IF(GB56="","",((GB56/$GB$78)*100))</f>
        <v/>
      </c>
      <c r="GB56" s="27" t="str">
        <f>IF(Compositions!V121="","",(Compositions!V121/(VLOOKUP(Compositions!S121,'HHV-LHV-MW'!$A$3:$F$40,6,FALSE))))</f>
        <v/>
      </c>
      <c r="GC56" s="25" t="str">
        <f>IF(FZ56="","",((VLOOKUP(Compositions!S121,'HHV-LHV-MW'!$A$3:$F$40,4,FALSE))*(FZ56/100)))</f>
        <v/>
      </c>
      <c r="GD56" s="25" t="str">
        <f>IF(FZ56="","",((VLOOKUP(Compositions!S121,'HHV-LHV-MW'!$A$3:$F$40,5,FALSE))*(FZ56/100)))</f>
        <v/>
      </c>
      <c r="GE56" s="25" t="str">
        <f>IF(FZ56="","",((VLOOKUP(Compositions!S121,'HHV-LHV-MW'!$A$3:$F$40,6,FALSE))*(FZ56/100)))</f>
        <v/>
      </c>
      <c r="GF56" s="25" t="str">
        <f>IF(Compositions!V121="","",(Compositions!V121*(VLOOKUP(Compositions!S121,'HHV-LHV-MW'!$A$3:$F$40,6,FALSE))))</f>
        <v/>
      </c>
      <c r="GG56" s="295" t="str">
        <f>IF(Compositions!V121="","",IF(OR(Compositions!$V$118="wt%",Compositions!$V$118=""),Compositions!V121,(IF(GF56="","",((GF56/$GF$78)*100)))))</f>
        <v/>
      </c>
      <c r="GH56" s="185" t="str">
        <f>IF(GG56="","",(IF(OR(Compositions!S121="Hydrogen",Compositions!S121="Helium",Compositions!S121="Water",Compositions!S121="Carbon Monoxide",Compositions!S121="Nitrogen",Compositions!S121="Oxygen",Compositions!S121="Hydrogen Sulfide",Compositions!S121="Argon",Compositions!S121="Carbon Dioxide",Compositions!S121="Carbon Disulfide"),0,GG56)))</f>
        <v/>
      </c>
      <c r="GI56" s="187" t="str">
        <f>IF(Compositions!V121="","",((FZ56/100)*((VLOOKUP(Compositions!S121,'HHV-LHV-MW'!$A$3:$G$40,7,FALSE)))))</f>
        <v/>
      </c>
      <c r="GJ56" s="187" t="str">
        <f>IF(FZ56="","",(IF(OR(Compositions!S121="Hydrogen",Compositions!S121="Carbon Disulfide",Compositions!S121="Helium",Compositions!S121="Water",Compositions!S121="Carbon Monoxide",Compositions!S121="Nitrogen",Compositions!S121="Oxygen",Compositions!S121="Hydrogen Sulfide",Compositions!S121="Argon",Compositions!S121="Carbon Dioxide",Compositions!S121="Methane",Compositions!S121="Ethane"),0,(FZ56/100))))</f>
        <v/>
      </c>
      <c r="GK56" s="205" t="str">
        <f>IF(FZ56="","",(IF(OR($GJ$78=0,$GJ$78=""),0,       ((VLOOKUP(Compositions!S121,'HHV-LHV-MW'!$A$3:$F$40,6,FALSE))*(GJ56/$GJ$78)))))</f>
        <v/>
      </c>
      <c r="GL56" s="28" t="str">
        <f>IF(Compositions!W121="","",IF(Compositions!$W$118="mol%",Compositions!W121,GM56))</f>
        <v/>
      </c>
      <c r="GM56" s="28" t="str">
        <f t="shared" ref="GM56:GM77" si="40">IF(GN56="","",((GN56/$GN$78)*100))</f>
        <v/>
      </c>
      <c r="GN56" s="28" t="str">
        <f>IF(Compositions!W121="","",(Compositions!W121/(VLOOKUP(Compositions!S121,'HHV-LHV-MW'!$A$3:$F$40,6,FALSE))))</f>
        <v/>
      </c>
      <c r="GO56" s="26" t="str">
        <f>IF(GL56="","",((VLOOKUP(Compositions!S121,'HHV-LHV-MW'!$A$3:$F$40,4,FALSE))*(GL56/100)))</f>
        <v/>
      </c>
      <c r="GP56" s="26" t="str">
        <f>IF(GL56="","",((VLOOKUP(Compositions!S121,'HHV-LHV-MW'!$A$3:$F$40,5,FALSE))*(GL56/100)))</f>
        <v/>
      </c>
      <c r="GQ56" s="26" t="str">
        <f>IF(GL56="","",((VLOOKUP(Compositions!S121,'HHV-LHV-MW'!$A$3:$F$40,6,FALSE))*(GL56/100)))</f>
        <v/>
      </c>
      <c r="GR56" s="26" t="str">
        <f>IF(Compositions!W121="","",(Compositions!W121*(VLOOKUP(Compositions!S121,'HHV-LHV-MW'!$A$3:$F$40,6,FALSE))))</f>
        <v/>
      </c>
      <c r="GS56" s="296" t="str">
        <f>IF(Compositions!W121="","",IF(OR(Compositions!$W$118="wt%",Compositions!$W$118=""),Compositions!W121,(IF(GR56="","",((GR56/$GR$78)*100)))))</f>
        <v/>
      </c>
      <c r="GT56" s="39" t="str">
        <f>IF(GS56="","",(IF(OR(Compositions!S121="Hydrogen",Compositions!S121="Helium",Compositions!S121="Water",Compositions!S121="Carbon Monoxide",Compositions!S121="Nitrogen",Compositions!S121="Oxygen",Compositions!S121="Hydrogen Sulfide",Compositions!S121="Argon",Compositions!S121="Carbon Dioxide",Compositions!S121="Carbon Disulfide"),0,GS56)))</f>
        <v/>
      </c>
      <c r="GU56" s="186" t="str">
        <f>IF(Compositions!W121="","",((GL56/100)*((VLOOKUP(Compositions!S121,'HHV-LHV-MW'!$A$3:$G$40,7,FALSE)))))</f>
        <v/>
      </c>
      <c r="GV56" s="186" t="str">
        <f>IF(GL56="","",(IF(OR(Compositions!S121="Hydrogen",Compositions!S121="Carbon Disulfide",Compositions!S121="Helium",Compositions!S121="Water",Compositions!S121="Carbon Monoxide",Compositions!S121="Nitrogen",Compositions!S121="Oxygen",Compositions!S121="Hydrogen Sulfide",Compositions!S121="Argon",Compositions!S121="Carbon Dioxide",Compositions!S121="Methane",Compositions!S121="Ethane"),0,(GL56/100))))</f>
        <v/>
      </c>
      <c r="GW56" s="39" t="str">
        <f>IF(GL56="","",(IF(OR($GV$78=0,$GV$78=""),0,       ((VLOOKUP(Compositions!S121,'HHV-LHV-MW'!$A$3:$F$40,6,FALSE))*(GV56/$GV$78)))))</f>
        <v/>
      </c>
      <c r="GY56" s="27" t="str">
        <f>IF(Compositions!Z121="","",IF(Compositions!$Z$118="mol%",Compositions!Z121,GZ56))</f>
        <v/>
      </c>
      <c r="GZ56" s="27" t="str">
        <f t="shared" ref="GZ56:GZ77" si="41">IF(HA56="","",((HA56/$HA$78)*100))</f>
        <v/>
      </c>
      <c r="HA56" s="27" t="str">
        <f>IF(Compositions!Z121="","",(Compositions!Z121/(VLOOKUP(Compositions!Y121,'HHV-LHV-MW'!$A$3:$F$40,6,FALSE))))</f>
        <v/>
      </c>
      <c r="HB56" s="25" t="str">
        <f>IF(GY56="","",((VLOOKUP(Compositions!Y121,'HHV-LHV-MW'!$A$3:$F$40,4,FALSE))*(GY56/100)))</f>
        <v/>
      </c>
      <c r="HC56" s="25" t="str">
        <f>IF(GY56="","",((VLOOKUP(Compositions!Y121,'HHV-LHV-MW'!$A$3:$F$40,5,FALSE))*(GY56/100)))</f>
        <v/>
      </c>
      <c r="HD56" s="25" t="str">
        <f>IF(GY56="","",((VLOOKUP(Compositions!Y121,'HHV-LHV-MW'!$A$3:$F$40,6,FALSE))*(GY56/100)))</f>
        <v/>
      </c>
      <c r="HE56" s="25" t="str">
        <f>IF(Compositions!Z121="","",(Compositions!Z121*(VLOOKUP(Compositions!Y121,'HHV-LHV-MW'!$A$3:$F$40,6,FALSE))))</f>
        <v/>
      </c>
      <c r="HF56" s="295" t="str">
        <f>IF(Compositions!Z121="","",IF(OR(Compositions!$Z$118="wt%",Compositions!$Z$118=""),Compositions!Z121,(IF(HE56="","",((HE56/$HE$78)*100)))))</f>
        <v/>
      </c>
      <c r="HG56" s="185" t="str">
        <f>IF(HF56="","",(IF(OR(Compositions!Y121="Hydrogen",Compositions!Y121="Helium",Compositions!Y121="Water",Compositions!Y121="Carbon Monoxide",Compositions!Y121="Nitrogen",Compositions!Y121="Oxygen",Compositions!Y121="Hydrogen Sulfide",Compositions!Y121="Argon",Compositions!Y121="Carbon Dioxide",Compositions!Y121="Carbon Disulfide"),0,HF56)))</f>
        <v/>
      </c>
      <c r="HH56" s="187" t="str">
        <f>IF(Compositions!Z121="","",((GY56/100)*((VLOOKUP(Compositions!Y121,'HHV-LHV-MW'!$A$3:$G$40,7,FALSE)))))</f>
        <v/>
      </c>
      <c r="HI56" s="187" t="str">
        <f>IF(GY56="","",(IF(OR(Compositions!Y121="Hydrogen",Compositions!Y121="Carbon Disulfide",Compositions!Y121="Helium",Compositions!Y121="Water",Compositions!Y121="Carbon Monoxide",Compositions!Y121="Nitrogen",Compositions!Y121="Oxygen",Compositions!Y121="Hydrogen Sulfide",Compositions!Y121="Argon",Compositions!Y121="Carbon Dioxide",Compositions!Y121="Methane",Compositions!Y121="Ethane"),0,(GY56/100))))</f>
        <v/>
      </c>
      <c r="HJ56" s="205" t="str">
        <f>IF(GY56="","",(IF(OR($HI$78=0,$HI$78=""),0,       ((VLOOKUP(Compositions!Y121,'HHV-LHV-MW'!$A$3:$F$40,6,FALSE))*(HI56/$HI$78)))))</f>
        <v/>
      </c>
      <c r="HK56" s="28" t="str">
        <f>IF(Compositions!AA121="","",IF(Compositions!$AA$118="mol%",Compositions!AA121,HL56))</f>
        <v/>
      </c>
      <c r="HL56" s="28" t="str">
        <f t="shared" ref="HL56:HL77" si="42">IF(HM56="","",((HM56/$HM$78)*100))</f>
        <v/>
      </c>
      <c r="HM56" s="28" t="str">
        <f>IF(Compositions!AA121="","",(Compositions!AA121/(VLOOKUP(Compositions!Y121,'HHV-LHV-MW'!$A$3:$F$40,6,FALSE))))</f>
        <v/>
      </c>
      <c r="HN56" s="26" t="str">
        <f>IF(HK56="","",((VLOOKUP(Compositions!Y121,'HHV-LHV-MW'!$A$3:$F$40,4,FALSE))*(HK56/100)))</f>
        <v/>
      </c>
      <c r="HO56" s="26" t="str">
        <f>IF(HK56="","",((VLOOKUP(Compositions!Y121,'HHV-LHV-MW'!$A$3:$F$40,5,FALSE))*(HK56/100)))</f>
        <v/>
      </c>
      <c r="HP56" s="26" t="str">
        <f>IF(HK56="","",((VLOOKUP(Compositions!Y121,'HHV-LHV-MW'!$A$3:$F$40,6,FALSE))*(HK56/100)))</f>
        <v/>
      </c>
      <c r="HQ56" s="26" t="str">
        <f>IF(Compositions!AA121="","",(Compositions!AA121*(VLOOKUP(Compositions!Y121,'HHV-LHV-MW'!$A$3:$F$40,6,FALSE))))</f>
        <v/>
      </c>
      <c r="HR56" s="296" t="str">
        <f>IF(Compositions!AA121="","",IF(OR(Compositions!$AA$118="wt%",Compositions!$AA$118=""),Compositions!AA121,(IF(HQ56="","",((HQ56/$HQ$78)*100)))))</f>
        <v/>
      </c>
      <c r="HS56" s="39" t="str">
        <f>IF(HR56="","",(IF(OR(Compositions!Y121="Hydrogen",Compositions!Y121="Helium",Compositions!Y121="Water",Compositions!Y121="Carbon Monoxide",Compositions!Y121="Nitrogen",Compositions!Y121="Oxygen",Compositions!Y121="Hydrogen Sulfide",Compositions!Y121="Argon",Compositions!Y121="Carbon Dioxide",Compositions!Y121="Carbon Disulfide"),0,HR56)))</f>
        <v/>
      </c>
      <c r="HT56" s="186" t="str">
        <f>IF(Compositions!AA121="","",((HK56/100)*((VLOOKUP(Compositions!Y121,'HHV-LHV-MW'!$A$3:$G$40,7,FALSE)))))</f>
        <v/>
      </c>
      <c r="HU56" s="186" t="str">
        <f>IF(HK56="","",(IF(OR(Compositions!Y121="Hydrogen",Compositions!Y121="Carbon Disulfide",Compositions!Y121="Helium",Compositions!Y121="Water",Compositions!Y121="Carbon Monoxide",Compositions!Y121="Nitrogen",Compositions!Y121="Oxygen",Compositions!Y121="Hydrogen Sulfide",Compositions!Y121="Argon",Compositions!Y121="Carbon Dioxide",Compositions!Y121="Methane",Compositions!Y121="Ethane"),0,(HK56/100))))</f>
        <v/>
      </c>
      <c r="HV56" s="39" t="str">
        <f>IF(HK56="","",(IF(OR($HU$78=0,$HU$78=""),0,       ((VLOOKUP(Compositions!Y121,'HHV-LHV-MW'!$A$3:$F$40,6,FALSE))*(HU56/$HU$78)))))</f>
        <v/>
      </c>
      <c r="HW56" s="27" t="str">
        <f>IF(Compositions!AB121="","",IF(Compositions!$AB$118="mol%",Compositions!AB121,HX56))</f>
        <v/>
      </c>
      <c r="HX56" s="27" t="str">
        <f t="shared" ref="HX56:HX77" si="43">IF(HY56="","",((HY56/$HY$78)*100))</f>
        <v/>
      </c>
      <c r="HY56" s="27" t="str">
        <f>IF(Compositions!AB121="","",(Compositions!AB121/(VLOOKUP(Compositions!Y121,'HHV-LHV-MW'!$A$3:$F$40,6,FALSE))))</f>
        <v/>
      </c>
      <c r="HZ56" s="25" t="str">
        <f>IF(HW56="","",((VLOOKUP(Compositions!Y121,'HHV-LHV-MW'!$A$3:$F$40,4,FALSE))*(HW56/100)))</f>
        <v/>
      </c>
      <c r="IA56" s="25" t="str">
        <f>IF(HW56="","",((VLOOKUP(Compositions!Y121,'HHV-LHV-MW'!$A$3:$F$40,5,FALSE))*(HW56/100)))</f>
        <v/>
      </c>
      <c r="IB56" s="25" t="str">
        <f>IF(HW56="","",((VLOOKUP(Compositions!Y121,'HHV-LHV-MW'!$A$3:$F$40,6,FALSE))*(HW56/100)))</f>
        <v/>
      </c>
      <c r="IC56" s="25" t="str">
        <f>IF(Compositions!AB121="","",(Compositions!AB121*(VLOOKUP(Compositions!Y121,'HHV-LHV-MW'!$A$3:$F$40,6,FALSE))))</f>
        <v/>
      </c>
      <c r="ID56" s="295" t="str">
        <f>IF(Compositions!AB121="","",IF(OR(Compositions!$AB$118="wt%",Compositions!$AB$118=""),Compositions!AB121,(IF(IC56="","",((IC56/$IC$78)*100)))))</f>
        <v/>
      </c>
      <c r="IE56" s="185" t="str">
        <f>IF(ID56="","",(IF(OR(Compositions!Y121="Hydrogen",Compositions!Y121="Helium",Compositions!Y121="Water",Compositions!Y121="Carbon Monoxide",Compositions!Y121="Nitrogen",Compositions!Y121="Oxygen",Compositions!Y121="Hydrogen Sulfide",Compositions!Y121="Argon",Compositions!Y121="Carbon Dioxide",Compositions!Y121="Carbon Disulfide"),0,ID56)))</f>
        <v/>
      </c>
      <c r="IF56" s="187" t="str">
        <f>IF(Compositions!AB121="","",((HW56/100)*((VLOOKUP(Compositions!Y121,'HHV-LHV-MW'!$A$3:$G$40,7,FALSE)))))</f>
        <v/>
      </c>
      <c r="IG56" s="187" t="str">
        <f>IF(HW56="","",(IF(OR(Compositions!Y121="Hydrogen",Compositions!Y121="Carbon Disulfide",Compositions!Y121="Helium",Compositions!Y121="Water",Compositions!Y121="Carbon Monoxide",Compositions!Y121="Nitrogen",Compositions!Y121="Oxygen",Compositions!Y121="Hydrogen Sulfide",Compositions!Y121="Argon",Compositions!Y121="Carbon Dioxide",Compositions!Y121="Methane",Compositions!Y121="Ethane"),0,(HW56/100))))</f>
        <v/>
      </c>
      <c r="IH56" s="205" t="str">
        <f>IF(HW56="","",(IF(OR($IG$78=0,$IG$78=""),0,       ((VLOOKUP(Compositions!Y121,'HHV-LHV-MW'!$A$3:$F$40,6,FALSE))*(IG56/$IG$78)))))</f>
        <v/>
      </c>
      <c r="II56" s="28" t="str">
        <f>IF(Compositions!AC121="","",IF(Compositions!$AC$118="mol%",Compositions!AC121,IJ56))</f>
        <v/>
      </c>
      <c r="IJ56" s="28" t="str">
        <f t="shared" ref="IJ56:IJ77" si="44">IF(IK56="","",((IK56/$IK$78)*100))</f>
        <v/>
      </c>
      <c r="IK56" s="28" t="str">
        <f>IF(Compositions!AC121="","",(Compositions!AC121/(VLOOKUP(Compositions!Y121,'HHV-LHV-MW'!$A$3:$F$40,6,FALSE))))</f>
        <v/>
      </c>
      <c r="IL56" s="26" t="str">
        <f>IF(II56="","",((VLOOKUP(Compositions!Y121,'HHV-LHV-MW'!$A$3:$F$40,4,FALSE))*(II56/100)))</f>
        <v/>
      </c>
      <c r="IM56" s="26" t="str">
        <f>IF(II56="","",((VLOOKUP(Compositions!Y121,'HHV-LHV-MW'!$A$3:$F$40,5,FALSE))*(II56/100)))</f>
        <v/>
      </c>
      <c r="IN56" s="26" t="str">
        <f>IF(II56="","",((VLOOKUP(Compositions!Y121,'HHV-LHV-MW'!$A$3:$F$40,6,FALSE))*(II56/100)))</f>
        <v/>
      </c>
      <c r="IO56" s="26" t="str">
        <f>IF(Compositions!AC121="","",(Compositions!AC121*(VLOOKUP(Compositions!Y121,'HHV-LHV-MW'!$A$3:$F$40,6,FALSE))))</f>
        <v/>
      </c>
      <c r="IP56" s="296" t="str">
        <f>IF(Compositions!AC121="","",IF(OR(Compositions!$AC$118="wt%",Compositions!$AC$118=""),Compositions!AC121,(IF(IO56="","",((IO56/$IO$78)*100)))))</f>
        <v/>
      </c>
      <c r="IQ56" s="39" t="str">
        <f>IF(IP56="","",(IF(OR(Compositions!Y121="Hydrogen",Compositions!Y121="Helium",Compositions!Y121="Water",Compositions!Y121="Carbon Monoxide",Compositions!Y121="Nitrogen",Compositions!Y121="Oxygen",Compositions!Y121="Hydrogen Sulfide",Compositions!Y121="Argon",Compositions!Y121="Carbon Dioxide",Compositions!Y121="Carbon Disulfide"),0,IP56)))</f>
        <v/>
      </c>
      <c r="IR56" s="186" t="str">
        <f>IF(Compositions!AC121="","",((II56/100)*((VLOOKUP(Compositions!Y121,'HHV-LHV-MW'!$A$3:$G$40,7,FALSE)))))</f>
        <v/>
      </c>
      <c r="IS56" s="186" t="str">
        <f>IF(II56="","",(IF(OR(Compositions!Y121="Hydrogen",Compositions!Y121="Carbon Disulfide",Compositions!Y121="Helium",Compositions!Y121="Water",Compositions!Y121="Carbon Monoxide",Compositions!Y121="Nitrogen",Compositions!Y121="Oxygen",Compositions!Y121="Hydrogen Sulfide",Compositions!Y121="Argon",Compositions!Y121="Carbon Dioxide",Compositions!Y121="Methane",Compositions!Y121="Ethane"),0,(II56/100))))</f>
        <v/>
      </c>
      <c r="IT56" s="39" t="str">
        <f>IF(II56="","",(IF(OR($IS$78=0,$IS$78=""),0,      ((VLOOKUP(Compositions!Y121,'HHV-LHV-MW'!$A$3:$F$40,6,FALSE))*(IS56/$IS$78)))))</f>
        <v/>
      </c>
      <c r="IV56" s="27" t="str">
        <f>IF(Compositions!AF121="","",IF(Compositions!$AF$118="mol%",Compositions!AF121,IW56))</f>
        <v/>
      </c>
      <c r="IW56" s="27" t="str">
        <f t="shared" ref="IW56:IW77" si="45">IF(IX56="","",((IX56/$IX$78)*100))</f>
        <v/>
      </c>
      <c r="IX56" s="27" t="str">
        <f>IF(Compositions!AF121="","",(Compositions!AF121/(VLOOKUP(Compositions!AE121,'HHV-LHV-MW'!$A$3:$F$40,6,FALSE))))</f>
        <v/>
      </c>
      <c r="IY56" s="25" t="str">
        <f>IF(IV56="","",((VLOOKUP(Compositions!AE121,'HHV-LHV-MW'!$A$3:$F$40,4,FALSE))*(IV56/100)))</f>
        <v/>
      </c>
      <c r="IZ56" s="25" t="str">
        <f>IF(IV56="","",((VLOOKUP(Compositions!AE121,'HHV-LHV-MW'!$A$3:$F$40,5,FALSE))*(IV56/100)))</f>
        <v/>
      </c>
      <c r="JA56" s="25" t="str">
        <f>IF(IV56="","",((VLOOKUP(Compositions!AE121,'HHV-LHV-MW'!$A$3:$F$40,6,FALSE))*(IV56/100)))</f>
        <v/>
      </c>
      <c r="JB56" s="25" t="str">
        <f>IF(Compositions!AF121="","",(Compositions!AF121*(VLOOKUP(Compositions!AE121,'HHV-LHV-MW'!$A$3:$F$40,6,FALSE))))</f>
        <v/>
      </c>
      <c r="JC56" s="298" t="str">
        <f>IF(Compositions!AF121="","",IF(OR(Compositions!$AF$118="wt%",Compositions!$AF$118=""),Compositions!AF121,(IF(JB56="","",((JB56/$JB$78)*100)))))</f>
        <v/>
      </c>
      <c r="JD56" s="185" t="str">
        <f>IF(JC56="","",(IF(OR(Compositions!AE121="Hydrogen",Compositions!AE121="Helium",Compositions!AE121="Water",Compositions!AE121="Carbon Monoxide",Compositions!AE121="Nitrogen",Compositions!AE121="Oxygen",Compositions!AE121="Hydrogen Sulfide",Compositions!AE121="Argon",Compositions!AE121="Carbon Dioxide",Compositions!AE121="Carbon Disulfide"),0,JC56)))</f>
        <v/>
      </c>
      <c r="JE56" s="187" t="str">
        <f>IF(Compositions!AF121="","",((IV56/100)*((VLOOKUP(Compositions!AE121,'HHV-LHV-MW'!$A$3:$G$40,7,FALSE)))))</f>
        <v/>
      </c>
      <c r="JF56" s="187" t="str">
        <f>IF(IV56="","",(IF(OR(Compositions!AE121="Hydrogen",Compositions!AE121="Carbon Disulfide",Compositions!AE121="Helium",Compositions!AE121="Water",Compositions!AE121="Carbon Monoxide",Compositions!AE121="Nitrogen",Compositions!AE121="Oxygen",Compositions!AE121="Hydrogen Sulfide",Compositions!AE121="Argon",Compositions!AE121="Carbon Dioxide",Compositions!AE121="Methane",Compositions!AE121="Ethane"),0,(IV56/100))))</f>
        <v/>
      </c>
      <c r="JG56" s="205" t="str">
        <f>IF(IV56="","",(IF(OR($JF$78=0,$JF$78=""),0,      ((VLOOKUP(Compositions!AE121,'HHV-LHV-MW'!$A$3:$F$40,6,FALSE))*(JF56/$JF$78)))))</f>
        <v/>
      </c>
      <c r="JH56" s="28" t="str">
        <f>IF(Compositions!AG121="","",IF(Compositions!$AG$118="mol%",Compositions!AG121,JI56))</f>
        <v/>
      </c>
      <c r="JI56" s="28" t="str">
        <f t="shared" ref="JI56:JI77" si="46">IF(JJ56="","",((JJ56/$JJ$78)*100))</f>
        <v/>
      </c>
      <c r="JJ56" s="28" t="str">
        <f>IF(Compositions!AG121="","",(Compositions!AG121/(VLOOKUP(Compositions!AE121,'HHV-LHV-MW'!$A$3:$F$40,6,FALSE))))</f>
        <v/>
      </c>
      <c r="JK56" s="26" t="str">
        <f>IF(JH56="","",((VLOOKUP(Compositions!AE121,'HHV-LHV-MW'!$A$3:$F$40,4,FALSE))*(JH56/100)))</f>
        <v/>
      </c>
      <c r="JL56" s="26" t="str">
        <f>IF(JH56="","",((VLOOKUP(Compositions!AE121,'HHV-LHV-MW'!$A$3:$F$40,5,FALSE))*(JH56/100)))</f>
        <v/>
      </c>
      <c r="JM56" s="26" t="str">
        <f>IF(JH56="","",((VLOOKUP(Compositions!AE121,'HHV-LHV-MW'!$A$3:$F$40,6,FALSE))*(JH56/100)))</f>
        <v/>
      </c>
      <c r="JN56" s="26" t="str">
        <f>IF(Compositions!AG121="","",(Compositions!AG121*(VLOOKUP(Compositions!AE121,'HHV-LHV-MW'!$A$3:$F$40,6,FALSE))))</f>
        <v/>
      </c>
      <c r="JO56" s="297" t="str">
        <f>IF(Compositions!AG121="","",IF(OR(Compositions!$AG$118="wt%",Compositions!$AG$118=""),Compositions!AG121,(IF(JN56="","",((JN56/$JN$78)*100)))))</f>
        <v/>
      </c>
      <c r="JP56" s="39" t="str">
        <f>IF(JO56="","",(IF(OR(Compositions!AE121="Hydrogen",Compositions!AE121="Helium",Compositions!AE121="Water",Compositions!AE121="Carbon Monoxide",Compositions!AE121="Nitrogen",Compositions!AE121="Oxygen",Compositions!AE121="Hydrogen Sulfide",Compositions!AE121="Argon",Compositions!AE121="Carbon Dioxide",Compositions!AE121="Carbon Disulfide"),0,JO56)))</f>
        <v/>
      </c>
      <c r="JQ56" s="186" t="str">
        <f>IF(Compositions!AG121="","",((JH56/100)*((VLOOKUP(Compositions!AE121,'HHV-LHV-MW'!$A$3:$G$40,7,FALSE)))))</f>
        <v/>
      </c>
      <c r="JR56" s="186" t="str">
        <f>IF(JH56="","",(IF(OR(Compositions!AE121="Hydrogen",Compositions!AE121="Carbon Disulfide",Compositions!AE121="Helium",Compositions!AE121="Water",Compositions!AE121="Carbon Monoxide",Compositions!AE121="Nitrogen",Compositions!AE121="Oxygen",Compositions!AE121="Hydrogen Sulfide",Compositions!AE121="Argon",Compositions!AE121="Carbon Dioxide",Compositions!AE121="Methane",Compositions!AE121="Ethane"),0,(JH56/100))))</f>
        <v/>
      </c>
      <c r="JS56" s="39" t="str">
        <f>IF(JH56="","",(IF(OR($JR$78=0,$JR$78=""),0,      ((VLOOKUP(Compositions!AE121,'HHV-LHV-MW'!$A$3:$F$40,6,FALSE))*(JR56/$JR$78)))))</f>
        <v/>
      </c>
      <c r="JT56" s="27" t="str">
        <f>IF(Compositions!AH121="","",IF(Compositions!$AH$118="mol%",Compositions!AH121,JU56))</f>
        <v/>
      </c>
      <c r="JU56" s="27" t="str">
        <f t="shared" ref="JU56:JU77" si="47">IF(JV56="","",((JV56/$JV$78)*100))</f>
        <v/>
      </c>
      <c r="JV56" s="27" t="str">
        <f>IF(Compositions!AH121="","",(Compositions!AH121/(VLOOKUP(Compositions!AE121,'HHV-LHV-MW'!$A$3:$F$40,6,FALSE))))</f>
        <v/>
      </c>
      <c r="JW56" s="25" t="str">
        <f>IF(JT56="","",((VLOOKUP(Compositions!AE121,'HHV-LHV-MW'!$A$3:$F$40,4,FALSE))*(JT56/100)))</f>
        <v/>
      </c>
      <c r="JX56" s="25" t="str">
        <f>IF(JT56="","",((VLOOKUP(Compositions!AE121,'HHV-LHV-MW'!$A$3:$F$40,5,FALSE))*(JT56/100)))</f>
        <v/>
      </c>
      <c r="JY56" s="25" t="str">
        <f>IF(JT56="","",((VLOOKUP(Compositions!AE121,'HHV-LHV-MW'!$A$3:$F$40,6,FALSE))*(JT56/100)))</f>
        <v/>
      </c>
      <c r="JZ56" s="25" t="str">
        <f>IF(Compositions!AH121="","",(Compositions!AH121*(VLOOKUP(Compositions!AE121,'HHV-LHV-MW'!$A$3:$F$40,6,FALSE))))</f>
        <v/>
      </c>
      <c r="KA56" s="298" t="str">
        <f>IF(Compositions!AH121="","",IF(OR(Compositions!$AH$118="wt%",Compositions!$AH$118=""),Compositions!AH121,(IF(JZ56="","",((JZ56/$JZ$78)*100)))))</f>
        <v/>
      </c>
      <c r="KB56" s="185" t="str">
        <f>IF(KA56="","",(IF(OR(Compositions!AE121="Hydrogen",Compositions!AE121="Helium",Compositions!AE121="Water",Compositions!AE121="Carbon Monoxide",Compositions!AE121="Nitrogen",Compositions!AE121="Oxygen",Compositions!AE121="Hydrogen Sulfide",Compositions!AE121="Argon",Compositions!AE121="Carbon Dioxide",Compositions!AE121="Carbon Disulfide"),0,KA56)))</f>
        <v/>
      </c>
      <c r="KC56" s="187" t="str">
        <f>IF(Compositions!AH121="","",((JT56/100)*((VLOOKUP(Compositions!AE121,'HHV-LHV-MW'!$A$3:$G$40,7,FALSE)))))</f>
        <v/>
      </c>
      <c r="KD56" s="187" t="str">
        <f>IF(JT56="","",(IF(OR(Compositions!AE121="Hydrogen",Compositions!AE121="Carbon Disulfide",Compositions!AE121="Helium",Compositions!AE121="Water",Compositions!AE121="Carbon Monoxide",Compositions!AE121="Nitrogen",Compositions!AE121="Oxygen",Compositions!AE121="Hydrogen Sulfide",Compositions!AE121="Argon",Compositions!AE121="Carbon Dioxide",Compositions!AE121="Methane",Compositions!AE121="Ethane"),0,(JT56/100))))</f>
        <v/>
      </c>
      <c r="KE56" s="205" t="str">
        <f>IF(JT56="","",(IF(OR($KD$78=0,$KD$78=""),0,      ((VLOOKUP(Compositions!AE121,'HHV-LHV-MW'!$A$3:$F$40,6,FALSE))*(KD56/$KD$78)))))</f>
        <v/>
      </c>
      <c r="KF56" s="28" t="str">
        <f>IF(Compositions!AI121="","",IF(Compositions!$AI$118="mol%",Compositions!AI121,KG56))</f>
        <v/>
      </c>
      <c r="KG56" s="28" t="str">
        <f t="shared" ref="KG56:KG77" si="48">IF(KH56="","",((KH56/$KH$78)*100))</f>
        <v/>
      </c>
      <c r="KH56" s="28" t="str">
        <f>IF(Compositions!AI121="","",(Compositions!AI121/(VLOOKUP(Compositions!AE121,'HHV-LHV-MW'!$A$3:$F$40,6,FALSE))))</f>
        <v/>
      </c>
      <c r="KI56" s="26" t="str">
        <f>IF(KF56="","",((VLOOKUP(Compositions!AE121,'HHV-LHV-MW'!$A$3:$F$40,4,FALSE))*(KF56/100)))</f>
        <v/>
      </c>
      <c r="KJ56" s="26" t="str">
        <f>IF(KF56="","",((VLOOKUP(Compositions!AE121,'HHV-LHV-MW'!$A$3:$F$40,5,FALSE))*(KF56/100)))</f>
        <v/>
      </c>
      <c r="KK56" s="26" t="str">
        <f>IF(KF56="","",((VLOOKUP(Compositions!AE121,'HHV-LHV-MW'!$A$3:$F$40,6,FALSE))*(KF56/100)))</f>
        <v/>
      </c>
      <c r="KL56" s="26" t="str">
        <f>IF(Compositions!AI121="","",(Compositions!AI121*(VLOOKUP(Compositions!AE121,'HHV-LHV-MW'!$A$3:$F$40,6,FALSE))))</f>
        <v/>
      </c>
      <c r="KM56" s="297" t="str">
        <f>IF(Compositions!AI121="","",IF(OR(Compositions!$AI$118="wt%",Compositions!$AI$118=""),Compositions!AI121,(IF(KL56="","",((KL56/$KL$78)*100)))))</f>
        <v/>
      </c>
      <c r="KN56" s="39" t="str">
        <f>IF(KM56="","",(IF(OR(Compositions!AE121="Hydrogen",Compositions!AE121="Helium",Compositions!AE121="Water",Compositions!AE121="Carbon Monoxide",Compositions!AE121="Nitrogen",Compositions!AE121="Oxygen",Compositions!AE121="Hydrogen Sulfide",Compositions!AE121="Argon",Compositions!AE121="Carbon Dioxide",Compositions!AE121="Carbon Disulfide"),0,KM56)))</f>
        <v/>
      </c>
      <c r="KO56" s="186" t="str">
        <f>IF(Compositions!AI121="","",((KF56/100)*((VLOOKUP(Compositions!AE121,'HHV-LHV-MW'!$A$3:$G$40,7,FALSE)))))</f>
        <v/>
      </c>
      <c r="KP56" s="186" t="str">
        <f>IF(KF56="","",(IF(OR(Compositions!AE121="Hydrogen",Compositions!AE121="Carbon Disulfide",Compositions!AE121="Helium",Compositions!AE121="Water",Compositions!AE121="Carbon Monoxide",Compositions!AE121="Nitrogen",Compositions!AE121="Oxygen",Compositions!AE121="Hydrogen Sulfide",Compositions!AE121="Argon",Compositions!AE121="Carbon Dioxide",Compositions!AE121="Methane",Compositions!AE121="Ethane"),0,(KF56/100))))</f>
        <v/>
      </c>
      <c r="KQ56" s="39" t="str">
        <f>IF(KF56="","",(IF(OR($KP$78=0,$KP$78=""),0,      ((VLOOKUP(Compositions!AE121,'HHV-LHV-MW'!$A$3:$F$40,6,FALSE))*(KP56/$KP$78)))))</f>
        <v/>
      </c>
      <c r="KS56" s="27" t="str">
        <f>IF(Compositions!AL121="","",IF(Compositions!$AL$118="mol%",Compositions!AL121,KT56))</f>
        <v/>
      </c>
      <c r="KT56" s="27" t="str">
        <f t="shared" ref="KT56:KT77" si="49">IF(KU56="","",((KU56/$KU$78)*100))</f>
        <v/>
      </c>
      <c r="KU56" s="27" t="str">
        <f>IF(Compositions!AL121="","",(Compositions!AL121/(VLOOKUP(Compositions!AK121,'HHV-LHV-MW'!$A$3:$F$40,6,FALSE))))</f>
        <v/>
      </c>
      <c r="KV56" s="185" t="str">
        <f>IF(KS56="","",((VLOOKUP(Compositions!AK121,'HHV-LHV-MW'!$A$3:$F$40,4,FALSE))*(KS56/100)))</f>
        <v/>
      </c>
      <c r="KW56" s="185" t="str">
        <f>IF(KS56="","",((VLOOKUP(Compositions!AK121,'HHV-LHV-MW'!$A$3:$F$40,5,FALSE))*(KS56/100)))</f>
        <v/>
      </c>
      <c r="KX56" s="185" t="str">
        <f>IF(KS56="","",((VLOOKUP(Compositions!AK121,'HHV-LHV-MW'!$A$3:$F$40,6,FALSE))*(KS56/100)))</f>
        <v/>
      </c>
      <c r="KY56" s="185" t="str">
        <f>IF(Compositions!AL121="","",(Compositions!AL121*(VLOOKUP(Compositions!AK121,'HHV-LHV-MW'!$A$3:$F$40,6,FALSE))))</f>
        <v/>
      </c>
      <c r="KZ56" s="298" t="str">
        <f>IF(Compositions!AL121="","",IF(OR(Compositions!$AL$118="wt%",Compositions!$AL$118=""),Compositions!AL121,(IF(KY56="","",((KY56/$KY$78)*100)))))</f>
        <v/>
      </c>
      <c r="LA56" s="185" t="str">
        <f>IF(KZ56="","",(IF(OR(Compositions!AK121="Hydrogen",Compositions!AK121="Helium",Compositions!AK121="Water",Compositions!AK121="Carbon Monoxide",Compositions!AK121="Nitrogen",Compositions!AK121="Oxygen",Compositions!AK121="Hydrogen Sulfide",Compositions!AK121="Argon",Compositions!AK121="Carbon Dioxide",Compositions!AK121="Carbon Disulfide"),0,KZ56)))</f>
        <v/>
      </c>
      <c r="LB56" s="187" t="str">
        <f>IF(Compositions!AL121="","",((KS56/100)*((VLOOKUP(Compositions!AK121,'HHV-LHV-MW'!$A$3:$G$40,7,FALSE)))))</f>
        <v/>
      </c>
      <c r="LC56" s="187" t="str">
        <f>IF(KS56="","",(IF(OR(Compositions!AK121="Hydrogen",Compositions!AK121="Carbon Disulfide",Compositions!AK121="Helium",Compositions!AK121="Water",Compositions!AK121="Carbon Monoxide",Compositions!AK121="Nitrogen",Compositions!AK121="Oxygen",Compositions!AK121="Hydrogen Sulfide",Compositions!AK121="Argon",Compositions!AK121="Carbon Dioxide",Compositions!AK121="Methane",Compositions!AK121="Ethane"),0,(KS56/100))))</f>
        <v/>
      </c>
      <c r="LD56" s="205" t="str">
        <f>IF(KS56="","",(IF(OR($LC$78=0,$LC$78=""),0,      ((VLOOKUP(Compositions!AK121,'HHV-LHV-MW'!$A$3:$F$40,6,FALSE))*(LC56/$LC$78)))))</f>
        <v/>
      </c>
      <c r="LE56" s="28" t="str">
        <f>IF(Compositions!AM121="","",IF(Compositions!$AM$118="mol%",Compositions!AM121,LF56))</f>
        <v/>
      </c>
      <c r="LF56" s="28" t="str">
        <f t="shared" ref="LF56:LF77" si="50">IF(LG56="","",((LG56/$LG$78)*100))</f>
        <v/>
      </c>
      <c r="LG56" s="28" t="str">
        <f>IF(Compositions!AM121="","",(Compositions!AM121/(VLOOKUP(Compositions!AK121,'HHV-LHV-MW'!$A$3:$F$40,6,FALSE))))</f>
        <v/>
      </c>
      <c r="LH56" s="184" t="str">
        <f>IF(LE56="","",((VLOOKUP(Compositions!AK121,'HHV-LHV-MW'!$A$3:$F$40,4,FALSE))*(LE56/100)))</f>
        <v/>
      </c>
      <c r="LI56" s="184" t="str">
        <f>IF(LE56="","",((VLOOKUP(Compositions!AK121,'HHV-LHV-MW'!$A$3:$F$40,5,FALSE))*(LE56/100)))</f>
        <v/>
      </c>
      <c r="LJ56" s="184" t="str">
        <f>IF(LE56="","",((VLOOKUP(Compositions!AK121,'HHV-LHV-MW'!$A$3:$F$40,6,FALSE))*(LE56/100)))</f>
        <v/>
      </c>
      <c r="LK56" s="184" t="str">
        <f>IF(Compositions!AM121="","",(Compositions!AM121*(VLOOKUP(Compositions!AK121,'HHV-LHV-MW'!$A$3:$F$40,6,FALSE))))</f>
        <v/>
      </c>
      <c r="LL56" s="297" t="str">
        <f>IF(Compositions!AM121="","",IF(OR(Compositions!$AM$118="wt%",Compositions!$AM$118=""),Compositions!AM121,(IF(LK56="","",((LK56/$LK$78)*100)))))</f>
        <v/>
      </c>
      <c r="LM56" s="39" t="str">
        <f>IF(LL56="","",(IF(OR(Compositions!AK121="Hydrogen",Compositions!AK121="Helium",Compositions!AK121="Water",Compositions!AK121="Carbon Monoxide",Compositions!AK121="Nitrogen",Compositions!AK121="Oxygen",Compositions!AK121="Hydrogen Sulfide",Compositions!AK121="Argon",Compositions!AK121="Carbon Dioxide",Compositions!AK121="Carbon Disulfide"),0,LL56)))</f>
        <v/>
      </c>
      <c r="LN56" s="186" t="str">
        <f>IF(Compositions!AM121="","",((LE56/100)*((VLOOKUP(Compositions!AK121,'HHV-LHV-MW'!$A$3:$G$40,7,FALSE)))))</f>
        <v/>
      </c>
      <c r="LO56" s="186" t="str">
        <f>IF(LE56="","",(IF(OR(Compositions!AK121="Hydrogen",Compositions!AK121="Carbon Disulfide",Compositions!AK121="Helium",Compositions!AK121="Water",Compositions!AK121="Carbon Monoxide",Compositions!AK121="Nitrogen",Compositions!AK121="Oxygen",Compositions!AK121="Hydrogen Sulfide",Compositions!AK121="Argon",Compositions!AK121="Carbon Dioxide",Compositions!AK121="Methane",Compositions!AK121="Ethane"),0,(LE56/100))))</f>
        <v/>
      </c>
      <c r="LP56" s="39" t="str">
        <f>IF(LE56="","",(IF(OR($LO$78=0,$LO$78=""),0,     ((VLOOKUP(Compositions!AK121,'HHV-LHV-MW'!$A$3:$F$40,6,FALSE))*(LO56/$LO$78)))))</f>
        <v/>
      </c>
      <c r="LQ56" s="27" t="str">
        <f>IF(Compositions!AN121="","",IF(Compositions!$AN$118="mol%",Compositions!AN121,LR56))</f>
        <v/>
      </c>
      <c r="LR56" s="27" t="str">
        <f t="shared" ref="LR56:LR77" si="51">IF(LS56="","",((LS56/$LS$78)*100))</f>
        <v/>
      </c>
      <c r="LS56" s="27" t="str">
        <f>IF(Compositions!AN121="","",(Compositions!AN121/(VLOOKUP(Compositions!AK121,'HHV-LHV-MW'!$A$3:$F$40,6,FALSE))))</f>
        <v/>
      </c>
      <c r="LT56" s="185" t="str">
        <f>IF(LQ56="","",((VLOOKUP(Compositions!AK121,'HHV-LHV-MW'!$A$3:$F$40,4,FALSE))*(LQ56/100)))</f>
        <v/>
      </c>
      <c r="LU56" s="185" t="str">
        <f>IF(LQ56="","",((VLOOKUP(Compositions!AK121,'HHV-LHV-MW'!$A$3:$F$40,5,FALSE))*(LQ56/100)))</f>
        <v/>
      </c>
      <c r="LV56" s="185" t="str">
        <f>IF(LQ56="","",((VLOOKUP(Compositions!AK121,'HHV-LHV-MW'!$A$3:$F$40,6,FALSE))*(LQ56/100)))</f>
        <v/>
      </c>
      <c r="LW56" s="185" t="str">
        <f>IF(Compositions!AN121="","",(Compositions!AN121*(VLOOKUP(Compositions!AK121,'HHV-LHV-MW'!$A$3:$F$40,6,FALSE))))</f>
        <v/>
      </c>
      <c r="LX56" s="298" t="str">
        <f>IF(Compositions!AN121="","",IF(OR(Compositions!$AN$118="wt%",Compositions!$AN$118=""),Compositions!AN121,(IF(LW56="","",((LW56/$LW$78)*100)))))</f>
        <v/>
      </c>
      <c r="LY56" s="185" t="str">
        <f>IF(LX56="","",(IF(OR(Compositions!AK121="Hydrogen",Compositions!AK121="Helium",Compositions!AK121="Water",Compositions!AK121="Carbon Monoxide",Compositions!AK121="Nitrogen",Compositions!AK121="Oxygen",Compositions!AK121="Hydrogen Sulfide",Compositions!AK121="Argon",Compositions!AK121="Carbon Dioxide",Compositions!AK121="Carbon Disulfide"),0,LX56)))</f>
        <v/>
      </c>
      <c r="LZ56" s="187" t="str">
        <f>IF(Compositions!AN121="","",((LQ56/100)*((VLOOKUP(Compositions!AK121,'HHV-LHV-MW'!$A$3:$G$40,7,FALSE)))))</f>
        <v/>
      </c>
      <c r="MA56" s="187" t="str">
        <f>IF(LQ56="","",(IF(OR(Compositions!AK121="Hydrogen",Compositions!AK121="Carbon Disulfide",Compositions!AK121="Helium",Compositions!AK121="Water",Compositions!AK121="Carbon Monoxide",Compositions!AK121="Nitrogen",Compositions!AK121="Oxygen",Compositions!AK121="Hydrogen Sulfide",Compositions!AK121="Argon",Compositions!AK121="Carbon Dioxide",Compositions!AK121="Methane",Compositions!AK121="Ethane"),0,(LQ56/100))))</f>
        <v/>
      </c>
      <c r="MB56" s="205" t="str">
        <f>IF(LQ56="","",(IF(OR($MA$78=0,$MA$78=""),0,     ((VLOOKUP(Compositions!AK121,'HHV-LHV-MW'!$A$3:$F$40,6,FALSE))*(MA56/$MA$78)))))</f>
        <v/>
      </c>
      <c r="MC56" s="28" t="str">
        <f>IF(Compositions!AO121="","",IF(Compositions!$AO$118="mol%",Compositions!AO121,MD56))</f>
        <v/>
      </c>
      <c r="MD56" s="28" t="str">
        <f t="shared" ref="MD56:MD77" si="52">IF(ME56="","",((ME56/$ME$78)*100))</f>
        <v/>
      </c>
      <c r="ME56" s="28" t="str">
        <f>IF(Compositions!AO121="","",(Compositions!AO121/(VLOOKUP(Compositions!AK121,'HHV-LHV-MW'!$A$3:$F$40,6,FALSE))))</f>
        <v/>
      </c>
      <c r="MF56" s="184" t="str">
        <f>IF(MC56="","",((VLOOKUP(Compositions!AK121,'HHV-LHV-MW'!$A$3:$F$40,4,FALSE))*(MC56/100)))</f>
        <v/>
      </c>
      <c r="MG56" s="184" t="str">
        <f>IF(MC56="","",((VLOOKUP(Compositions!AK121,'HHV-LHV-MW'!$A$3:$F$40,5,FALSE))*(MC56/100)))</f>
        <v/>
      </c>
      <c r="MH56" s="184" t="str">
        <f>IF(MC56="","",((VLOOKUP(Compositions!AK121,'HHV-LHV-MW'!$A$3:$F$40,6,FALSE))*(MC56/100)))</f>
        <v/>
      </c>
      <c r="MI56" s="184" t="str">
        <f>IF(Compositions!AO121="","",(Compositions!AO121*(VLOOKUP(Compositions!AK121,'HHV-LHV-MW'!$A$3:$F$40,6,FALSE))))</f>
        <v/>
      </c>
      <c r="MJ56" s="297" t="str">
        <f>IF(Compositions!AO121="","",IF(OR(Compositions!$AO$118="wt%",Compositions!$AO$118=""),Compositions!AO121,(IF(MI56="","",((MI56/$MI$78)*100)))))</f>
        <v/>
      </c>
      <c r="MK56" s="39" t="str">
        <f>IF(MJ56="","",(IF(OR(Compositions!AK121="Hydrogen",Compositions!AK121="Helium",Compositions!AK121="Water",Compositions!AK121="Carbon Monoxide",Compositions!AK121="Nitrogen",Compositions!AK121="Oxygen",Compositions!AK121="Hydrogen Sulfide",Compositions!AK121="Argon",Compositions!AK121="Carbon Dioxide",Compositions!AK121="Carbon Disulfide"),0,MJ56)))</f>
        <v/>
      </c>
      <c r="ML56" s="186" t="str">
        <f>IF(Compositions!AO121="","",((MC56/100)*((VLOOKUP(Compositions!AK121,'HHV-LHV-MW'!$A$3:$G$40,7,FALSE)))))</f>
        <v/>
      </c>
      <c r="MM56" s="186" t="str">
        <f>IF(MC56="","",(IF(OR(Compositions!AK121="Hydrogen",Compositions!AK121="Carbon Disulfide",Compositions!AK121="Helium",Compositions!AK121="Water",Compositions!AK121="Carbon Monoxide",Compositions!AK121="Nitrogen",Compositions!AK121="Oxygen",Compositions!AK121="Hydrogen Sulfide",Compositions!AK121="Argon",Compositions!AK121="Carbon Dioxide",Compositions!AK121="Methane",Compositions!AK121="Ethane"),0,(MC56/100))))</f>
        <v/>
      </c>
      <c r="MN56" s="39" t="str">
        <f>IF(MC56="","",(IF(OR($MM$78=0,$MM$78=""),0,     ((VLOOKUP(Compositions!AK121,'HHV-LHV-MW'!$A$3:$F$40,6,FALSE))*(MM56/$MM$78)))))</f>
        <v/>
      </c>
      <c r="MP56" s="27" t="str">
        <f>IF(Compositions!AR121="","",IF(Compositions!$AR$118="mol%",Compositions!AR121,MQ56))</f>
        <v/>
      </c>
      <c r="MQ56" s="27" t="str">
        <f t="shared" ref="MQ56:MQ77" si="53">IF(MR56="","",((MR56/$MR$78)*100))</f>
        <v/>
      </c>
      <c r="MR56" s="27" t="str">
        <f>IF(Compositions!AR121="","",(Compositions!AR121/(VLOOKUP(Compositions!AQ121,'HHV-LHV-MW'!$A$3:$F$40,6,FALSE))))</f>
        <v/>
      </c>
      <c r="MS56" s="185" t="str">
        <f>IF(MP56="","",((VLOOKUP(Compositions!AQ121,'HHV-LHV-MW'!$A$3:$F$40,4,FALSE))*(MP56/100)))</f>
        <v/>
      </c>
      <c r="MT56" s="185" t="str">
        <f>IF(MP56="","",((VLOOKUP(Compositions!AQ121,'HHV-LHV-MW'!$A$3:$F$40,5,FALSE))*(MP56/100)))</f>
        <v/>
      </c>
      <c r="MU56" s="185" t="str">
        <f>IF(MP56="","",((VLOOKUP(Compositions!AQ121,'HHV-LHV-MW'!$A$3:$F$40,6,FALSE))*(MP56/100)))</f>
        <v/>
      </c>
      <c r="MV56" s="185" t="str">
        <f>IF(Compositions!AR121="","",(Compositions!AR121*(VLOOKUP(Compositions!AQ121,'HHV-LHV-MW'!$A$3:$F$40,6,FALSE))))</f>
        <v/>
      </c>
      <c r="MW56" s="298" t="str">
        <f>IF(Compositions!AR121="","",IF(OR(Compositions!$AR$118="wt%",Compositions!$AR$118=""),Compositions!AR121,(IF(MV56="","",((MV56/$MV$78)*100)))))</f>
        <v/>
      </c>
      <c r="MX56" s="185" t="str">
        <f>IF(MW56="","",(IF(OR(Compositions!AQ121="Hydrogen",Compositions!AQ121="Helium",Compositions!AQ121="Water",Compositions!AQ121="Carbon Monoxide",Compositions!AQ121="Nitrogen",Compositions!AQ121="Oxygen",Compositions!AQ121="Hydrogen Sulfide",Compositions!AQ121="Argon",Compositions!AQ121="Carbon Dioxide",Compositions!AQ121="Carbon Disulfide"),0,MW56)))</f>
        <v/>
      </c>
      <c r="MY56" s="187" t="str">
        <f>IF(Compositions!AR121="","",((MP56/100)*((VLOOKUP(Compositions!AQ121,'HHV-LHV-MW'!$A$3:$G$40,7,FALSE)))))</f>
        <v/>
      </c>
      <c r="MZ56" s="187" t="str">
        <f>IF(MP56="","",(IF(OR(Compositions!AQ121="Hydrogen",Compositions!AQ121="Carbon Disulfide",Compositions!AQ121="Helium",Compositions!AQ121="Water",Compositions!AQ121="Carbon Monoxide",Compositions!AQ121="Nitrogen",Compositions!AQ121="Oxygen",Compositions!AQ121="Hydrogen Sulfide",Compositions!AQ121="Argon",Compositions!AQ121="Carbon Dioxide",Compositions!AQ121="Methane",Compositions!AQ121="Ethane"),0,(MP56/100))))</f>
        <v/>
      </c>
      <c r="NA56" s="205" t="str">
        <f>IF(MP56="","",(IF(OR($MZ$78=0,$MZ$78=""),0,     ((VLOOKUP(Compositions!AQ121,'HHV-LHV-MW'!$A$3:$F$40,6,FALSE))*(MZ56/$MZ$78)))))</f>
        <v/>
      </c>
      <c r="NB56" s="28" t="str">
        <f>IF(Compositions!AS121="","",IF(Compositions!$AS$118="mol%",Compositions!AS121,NC56))</f>
        <v/>
      </c>
      <c r="NC56" s="28" t="str">
        <f t="shared" ref="NC56:NC77" si="54">IF(ND56="","",((ND56/$ND$78)*100))</f>
        <v/>
      </c>
      <c r="ND56" s="28" t="str">
        <f>IF(Compositions!AS121="","",(Compositions!AS121/(VLOOKUP(Compositions!AQ121,'HHV-LHV-MW'!$A$3:$F$40,6,FALSE))))</f>
        <v/>
      </c>
      <c r="NE56" s="184" t="str">
        <f>IF(NB56="","",((VLOOKUP(Compositions!AQ121,'HHV-LHV-MW'!$A$3:$F$40,4,FALSE))*(NB56/100)))</f>
        <v/>
      </c>
      <c r="NF56" s="184" t="str">
        <f>IF(NB56="","",((VLOOKUP(Compositions!AQ121,'HHV-LHV-MW'!$A$3:$F$40,5,FALSE))*(NB56/100)))</f>
        <v/>
      </c>
      <c r="NG56" s="184" t="str">
        <f>IF(NB56="","",((VLOOKUP(Compositions!AQ121,'HHV-LHV-MW'!$A$3:$F$40,6,FALSE))*(NB56/100)))</f>
        <v/>
      </c>
      <c r="NH56" s="184" t="str">
        <f>IF(Compositions!AS121="","",(Compositions!AS121*(VLOOKUP(Compositions!AQ121,'HHV-LHV-MW'!$A$3:$F$40,6,FALSE))))</f>
        <v/>
      </c>
      <c r="NI56" s="297" t="str">
        <f>IF(Compositions!AS121="","",IF(OR(Compositions!$AS$118="wt%",Compositions!$AS$118=""),Compositions!AS121,(IF(NH56="","",((NH56/$NH$78)*100)))))</f>
        <v/>
      </c>
      <c r="NJ56" s="39" t="str">
        <f>IF(NI56="","",(IF(OR(Compositions!AQ121="Hydrogen",Compositions!AQ121="Helium",Compositions!AQ121="Water",Compositions!AQ121="Carbon Monoxide",Compositions!AQ121="Nitrogen",Compositions!AQ121="Oxygen",Compositions!AQ121="Hydrogen Sulfide",Compositions!AQ121="Argon",Compositions!AQ121="Carbon Dioxide",Compositions!AQ121="Carbon Disulfide"),0,NI56)))</f>
        <v/>
      </c>
      <c r="NK56" s="186" t="str">
        <f>IF(Compositions!AS121="","",((NB56/100)*((VLOOKUP(Compositions!AQ121,'HHV-LHV-MW'!$A$3:$G$40,7,FALSE)))))</f>
        <v/>
      </c>
      <c r="NL56" s="186" t="str">
        <f>IF(NB56="","",(IF(OR(Compositions!AQ121="Hydrogen",Compositions!AQ121="Carbon Disulfide",Compositions!AQ121="Helium",Compositions!AQ121="Water",Compositions!AQ121="Carbon Monoxide",Compositions!AQ121="Nitrogen",Compositions!AQ121="Oxygen",Compositions!AQ121="Hydrogen Sulfide",Compositions!AQ121="Argon",Compositions!AQ121="Carbon Dioxide",Compositions!AQ121="Methane",Compositions!AQ121="Ethane"),0,(NB56/100))))</f>
        <v/>
      </c>
      <c r="NM56" s="39" t="str">
        <f>IF(NB56="","",(IF(OR($NL$78=0,$NL$78=""),0,     ((VLOOKUP(Compositions!AQ121,'HHV-LHV-MW'!$A$3:$F$40,6,FALSE))*(NL56/$NL$78)))))</f>
        <v/>
      </c>
      <c r="NN56" s="27" t="str">
        <f>IF(Compositions!AT121="","",IF(Compositions!$AT$118="mol%",Compositions!AT121,NO56))</f>
        <v/>
      </c>
      <c r="NO56" s="27" t="str">
        <f t="shared" ref="NO56:NO77" si="55">IF(NP56="","",((NP56/$NP$78)*100))</f>
        <v/>
      </c>
      <c r="NP56" s="27" t="str">
        <f>IF(Compositions!AT121="","",(Compositions!AT121/(VLOOKUP(Compositions!AQ121,'HHV-LHV-MW'!$A$3:$F$40,6,FALSE))))</f>
        <v/>
      </c>
      <c r="NQ56" s="185" t="str">
        <f>IF(NN56="","",((VLOOKUP(Compositions!AQ121,'HHV-LHV-MW'!$A$3:$F$40,4,FALSE))*(NN56/100)))</f>
        <v/>
      </c>
      <c r="NR56" s="185" t="str">
        <f>IF(NN56="","",((VLOOKUP(Compositions!AQ121,'HHV-LHV-MW'!$A$3:$F$40,5,FALSE))*(NN56/100)))</f>
        <v/>
      </c>
      <c r="NS56" s="185" t="str">
        <f>IF(NN56="","",((VLOOKUP(Compositions!AQ121,'HHV-LHV-MW'!$A$3:$F$40,6,FALSE))*(NN56/100)))</f>
        <v/>
      </c>
      <c r="NT56" s="185" t="str">
        <f>IF(Compositions!AT121="","",(Compositions!AT121*(VLOOKUP(Compositions!AQ121,'HHV-LHV-MW'!$A$3:$F$40,6,FALSE))))</f>
        <v/>
      </c>
      <c r="NU56" s="298" t="str">
        <f>IF(Compositions!AT121="","",IF(OR(Compositions!$AT$118="wt%",Compositions!$AT$118=""),Compositions!AT121,(IF(NT56="","",((NT56/$NT$78)*100)))))</f>
        <v/>
      </c>
      <c r="NV56" s="185" t="str">
        <f>IF(NU56="","",(IF(OR(Compositions!AQ121="Hydrogen",Compositions!AQ121="Helium",Compositions!AQ121="Water",Compositions!AQ121="Carbon Monoxide",Compositions!AQ121="Nitrogen",Compositions!AQ121="Oxygen",Compositions!AQ121="Hydrogen Sulfide",Compositions!AQ121="Argon",Compositions!AQ121="Carbon Dioxide",Compositions!AQ121="Carbon Disulfide"),0,NU56)))</f>
        <v/>
      </c>
      <c r="NW56" s="187" t="str">
        <f>IF(Compositions!AT121="","",((NN56/100)*((VLOOKUP(Compositions!AQ121,'HHV-LHV-MW'!$A$3:$G$40,7,FALSE)))))</f>
        <v/>
      </c>
      <c r="NX56" s="187" t="str">
        <f>IF(NN56="","",(IF(OR(Compositions!AQ121="Hydrogen",Compositions!AQ121="Carbon Disulfide",Compositions!AQ121="Helium",Compositions!AQ121="Water",Compositions!AQ121="Carbon Monoxide",Compositions!AQ121="Nitrogen",Compositions!AQ121="Oxygen",Compositions!AQ121="Hydrogen Sulfide",Compositions!AQ121="Argon",Compositions!AQ121="Carbon Dioxide",Compositions!AQ121="Methane",Compositions!AQ121="Ethane"),0,(NN56/100))))</f>
        <v/>
      </c>
      <c r="NY56" s="205" t="str">
        <f>IF(NN56="","",(IF(OR($NX$78=0,$NX$78=""),0,     ((VLOOKUP(Compositions!AQ121,'HHV-LHV-MW'!$A$3:$F$40,6,FALSE))*(NX56/$NX$78)))))</f>
        <v/>
      </c>
      <c r="NZ56" s="28" t="str">
        <f>IF(Compositions!AU121="","",IF(Compositions!$AU$118="mol%",Compositions!AU121,OA56))</f>
        <v/>
      </c>
      <c r="OA56" s="28" t="str">
        <f t="shared" ref="OA56:OA77" si="56">IF(OB56="","",((OB56/$OB$78)*100))</f>
        <v/>
      </c>
      <c r="OB56" s="28" t="str">
        <f>IF(Compositions!AU121="","",(Compositions!AU121/(VLOOKUP(Compositions!AQ121,'HHV-LHV-MW'!$A$3:$F$40,6,FALSE))))</f>
        <v/>
      </c>
      <c r="OC56" s="184" t="str">
        <f>IF(NZ56="","",((VLOOKUP(Compositions!AQ121,'HHV-LHV-MW'!$A$3:$F$40,4,FALSE))*(NZ56/100)))</f>
        <v/>
      </c>
      <c r="OD56" s="184" t="str">
        <f>IF(NZ56="","",((VLOOKUP(Compositions!AQ121,'HHV-LHV-MW'!$A$3:$F$40,5,FALSE))*(NZ56/100)))</f>
        <v/>
      </c>
      <c r="OE56" s="184" t="str">
        <f>IF(NZ56="","",((VLOOKUP(Compositions!AQ121,'HHV-LHV-MW'!$A$3:$F$40,6,FALSE))*(NZ56/100)))</f>
        <v/>
      </c>
      <c r="OF56" s="184" t="str">
        <f>IF(Compositions!AU121="","",(Compositions!AU121*(VLOOKUP(Compositions!AQ121,'HHV-LHV-MW'!$A$3:$F$40,6,FALSE))))</f>
        <v/>
      </c>
      <c r="OG56" s="297" t="str">
        <f>IF(Compositions!AU121="","",IF(OR(Compositions!$AU$118="wt%",Compositions!$AU$118=""),Compositions!AU121,(IF(OF56="","",((OF56/$OF$78)*100)))))</f>
        <v/>
      </c>
      <c r="OH56" s="39" t="str">
        <f>IF(OG56="","",(IF(OR(Compositions!AQ121="Hydrogen",Compositions!AQ121="Helium",Compositions!AQ121="Water",Compositions!AQ121="Carbon Monoxide",Compositions!AQ121="Nitrogen",Compositions!AQ121="Oxygen",Compositions!AQ121="Hydrogen Sulfide",Compositions!AQ121="Argon",Compositions!AQ121="Carbon Dioxide",Compositions!AQ121="Carbon Disulfide"),0,OG56)))</f>
        <v/>
      </c>
      <c r="OI56" s="186" t="str">
        <f>IF(Compositions!AU121="","",((NZ56/100)*((VLOOKUP(Compositions!AQ121,'HHV-LHV-MW'!$A$3:$G$40,7,FALSE)))))</f>
        <v/>
      </c>
      <c r="OJ56" s="186" t="str">
        <f>IF(NZ56="","",(IF(OR(Compositions!AQ121="Hydrogen",Compositions!AQ121="Carbon Disulfide",Compositions!AQ121="Helium",Compositions!AQ121="Water",Compositions!AQ121="Carbon Monoxide",Compositions!AQ121="Nitrogen",Compositions!AQ121="Oxygen",Compositions!AQ121="Hydrogen Sulfide",Compositions!AQ121="Argon",Compositions!AQ121="Carbon Dioxide",Compositions!AQ121="Methane",Compositions!AQ121="Ethane"),0,(NZ56/100))))</f>
        <v/>
      </c>
      <c r="OK56" s="39" t="str">
        <f>IF(NZ56="","",(IF(OR($OJ$78=0,$OJ$78=""),0,     ((VLOOKUP(Compositions!AQ121,'HHV-LHV-MW'!$A$3:$F$40,6,FALSE))*(OJ56/$OJ$78)))))</f>
        <v/>
      </c>
      <c r="ON56" s="27" t="str">
        <f>IF(Compositions!AX121="","",IF(Compositions!$AX$118="mol%",Compositions!AX121,OO56))</f>
        <v/>
      </c>
      <c r="OO56" s="27" t="str">
        <f t="shared" ref="OO56:OO77" si="57">IF(OP56="","",((OP56/$OP$78)*100))</f>
        <v/>
      </c>
      <c r="OP56" s="27" t="str">
        <f>IF(Compositions!AX121="","",(Compositions!AX121/(VLOOKUP(Compositions!AW121,'HHV-LHV-MW'!$A$3:$F$40,6,FALSE))))</f>
        <v/>
      </c>
      <c r="OQ56" s="185" t="str">
        <f>IF(ON56="","",((VLOOKUP(Compositions!AW121,'HHV-LHV-MW'!$A$3:$F$40,4,FALSE))*(ON56/100)))</f>
        <v/>
      </c>
      <c r="OR56" s="185" t="str">
        <f>IF(ON56="","",((VLOOKUP(Compositions!AW121,'HHV-LHV-MW'!$A$3:$F$40,5,FALSE))*(ON56/100)))</f>
        <v/>
      </c>
      <c r="OS56" s="185" t="str">
        <f>IF(ON56="","",((VLOOKUP(Compositions!AW121,'HHV-LHV-MW'!$A$3:$F$40,6,FALSE))*(ON56/100)))</f>
        <v/>
      </c>
      <c r="OT56" s="185" t="str">
        <f>IF(Compositions!AX121="","",(Compositions!AX121*(VLOOKUP(Compositions!AW121,'HHV-LHV-MW'!$A$3:$F$40,6,FALSE))))</f>
        <v/>
      </c>
      <c r="OU56" s="298" t="str">
        <f>IF(Compositions!AX121="","",IF(OR(Compositions!$AX$118="wt%",Compositions!$AX$118=""),Compositions!AX121,(IF(OT56="","",((OT56/$OT$78)*100)))))</f>
        <v/>
      </c>
      <c r="OV56" s="185" t="str">
        <f>IF(OU56="","",(IF(OR(Compositions!AW121="Hydrogen",Compositions!AW121="Helium",Compositions!AW121="Water",Compositions!AW121="Carbon Monoxide",Compositions!AW121="Nitrogen",Compositions!AW121="Oxygen",Compositions!AW121="Hydrogen Sulfide",Compositions!AW121="Argon",Compositions!AW121="Carbon Dioxide",Compositions!AW121="Carbon Disulfide"),0,OU56)))</f>
        <v/>
      </c>
      <c r="OW56" s="187" t="str">
        <f>IF(Compositions!AX121="","",((ON56/100)*((VLOOKUP(Compositions!AW121,'HHV-LHV-MW'!$A$3:$G$40,7,FALSE)))))</f>
        <v/>
      </c>
      <c r="OX56" s="187" t="str">
        <f>IF(ON56="","",(IF(OR(Compositions!AW121="Hydrogen",Compositions!AW121="Carbon Disulfide",Compositions!AW121="Helium",Compositions!AW121="Water",Compositions!AW121="Carbon Monoxide",Compositions!AW121="Nitrogen",Compositions!AW121="Oxygen",Compositions!AW121="Hydrogen Sulfide",Compositions!AW121="Argon",Compositions!AW121="Carbon Dioxide",Compositions!AW121="Methane",Compositions!AW121="Ethane"),0,(ON56/100))))</f>
        <v/>
      </c>
      <c r="OY56" s="205" t="str">
        <f>IF(ON56="","",(IF(OR($OX$78=0,$OX$78=""),0,     ((VLOOKUP(Compositions!AW121,'HHV-LHV-MW'!$A$3:$F$40,6,FALSE))*(OX56/$OX$78)))))</f>
        <v/>
      </c>
      <c r="OZ56" s="28" t="str">
        <f>IF(Compositions!AY121="","",IF(Compositions!$AY$118="mol%",Compositions!AY121,PA56))</f>
        <v/>
      </c>
      <c r="PA56" s="28" t="str">
        <f>IF(PB56="","",((PB56/$PB$78)*100))</f>
        <v/>
      </c>
      <c r="PB56" s="28" t="str">
        <f>IF(Compositions!AY121="","",(Compositions!AY121/(VLOOKUP(Compositions!AW121,'HHV-LHV-MW'!$A$3:$F$40,6,FALSE))))</f>
        <v/>
      </c>
      <c r="PC56" s="184" t="str">
        <f>IF(OZ56="","",((VLOOKUP(Compositions!AW121,'HHV-LHV-MW'!$A$3:$F$40,4,FALSE))*(OZ56/100)))</f>
        <v/>
      </c>
      <c r="PD56" s="184" t="str">
        <f>IF(OZ56="","",((VLOOKUP(Compositions!AW121,'HHV-LHV-MW'!$A$3:$F$40,5,FALSE))*(OZ56/100)))</f>
        <v/>
      </c>
      <c r="PE56" s="184" t="str">
        <f>IF(OZ56="","",((VLOOKUP(Compositions!AW121,'HHV-LHV-MW'!$A$3:$F$40,6,FALSE))*(OZ56/100)))</f>
        <v/>
      </c>
      <c r="PF56" s="184" t="str">
        <f>IF(Compositions!AY121="","",(Compositions!AY121*(VLOOKUP(Compositions!AW121,'HHV-LHV-MW'!$A$3:$F$40,6,FALSE))))</f>
        <v/>
      </c>
      <c r="PG56" s="297" t="str">
        <f>IF(Compositions!AY121="","",IF(OR(Compositions!$AY$118="wt%",Compositions!$AY$118=""),Compositions!AY121,(IF(PF56="","",((PF56/$PF$78)*100)))))</f>
        <v/>
      </c>
      <c r="PH56" s="39" t="str">
        <f>IF(PG56="","",(IF(OR(Compositions!AW121="Hydrogen",Compositions!AW121="Helium",Compositions!AW121="Water",Compositions!AW121="Carbon Monoxide",Compositions!AW121="Nitrogen",Compositions!AW121="Oxygen",Compositions!AW121="Hydrogen Sulfide",Compositions!AW121="Argon",Compositions!AW121="Carbon Dioxide",Compositions!AW121="Carbon Disulfide"),0,PG56)))</f>
        <v/>
      </c>
      <c r="PI56" s="186" t="str">
        <f>IF(Compositions!AY121="","",((OZ56/100)*((VLOOKUP(Compositions!AW121,'HHV-LHV-MW'!$A$3:$G$40,7,FALSE)))))</f>
        <v/>
      </c>
      <c r="PJ56" s="186" t="str">
        <f>IF(OZ56="","",(IF(OR(Compositions!AW121="Hydrogen",Compositions!AW121="Carbon Disulfide",Compositions!AW121="Helium",Compositions!AW121="Water",Compositions!AW121="Carbon Monoxide",Compositions!AW121="Nitrogen",Compositions!AW121="Oxygen",Compositions!AW121="Hydrogen Sulfide",Compositions!AW121="Argon",Compositions!AW121="Carbon Dioxide",Compositions!AW121="Methane",Compositions!AW121="Ethane"),0,(OZ56/100))))</f>
        <v/>
      </c>
      <c r="PK56" s="39" t="str">
        <f>IF(OZ56="","",(IF(OR($PJ$78=0,$PJ$78=""),0,     ((VLOOKUP(Compositions!AW121,'HHV-LHV-MW'!$A$3:$F$40,6,FALSE))*(PJ56/$PJ$78)))))</f>
        <v/>
      </c>
      <c r="PL56" s="27" t="str">
        <f>IF(Compositions!AZ121="","",IF(Compositions!$AZ$118="mol%",Compositions!AZ121,PM56))</f>
        <v/>
      </c>
      <c r="PM56" s="27" t="str">
        <f t="shared" ref="PM56:PM77" si="58">IF(PN56="","",((PN56/$PN$78)*100))</f>
        <v/>
      </c>
      <c r="PN56" s="27" t="str">
        <f>IF(Compositions!AZ121="","",(Compositions!AZ121/(VLOOKUP(Compositions!AW121,'HHV-LHV-MW'!$A$3:$F$40,6,FALSE))))</f>
        <v/>
      </c>
      <c r="PO56" s="185" t="str">
        <f>IF(PL56="","",((VLOOKUP(Compositions!AW121,'HHV-LHV-MW'!$A$3:$F$40,4,FALSE))*(PL56/100)))</f>
        <v/>
      </c>
      <c r="PP56" s="185" t="str">
        <f>IF(PL56="","",((VLOOKUP(Compositions!AW121,'HHV-LHV-MW'!$A$3:$F$40,5,FALSE))*(PL56/100)))</f>
        <v/>
      </c>
      <c r="PQ56" s="185" t="str">
        <f>IF(PL56="","",((VLOOKUP(Compositions!AW121,'HHV-LHV-MW'!$A$3:$F$40,6,FALSE))*(PL56/100)))</f>
        <v/>
      </c>
      <c r="PR56" s="185" t="str">
        <f>IF(Compositions!AZ121="","",(Compositions!AZ121*(VLOOKUP(Compositions!AW121,'HHV-LHV-MW'!$A$3:$F$40,6,FALSE))))</f>
        <v/>
      </c>
      <c r="PS56" s="298" t="str">
        <f>IF(Compositions!AZ121="","",IF(OR(Compositions!$AZ$118="wt%",Compositions!$AZ$118=""),Compositions!AZ121,(IF(PR56="","",((PR56/$PR$78)*100)))))</f>
        <v/>
      </c>
      <c r="PT56" s="185" t="str">
        <f>IF(PS56="","",(IF(OR(Compositions!AW121="Hydrogen",Compositions!AW121="Helium",Compositions!AW121="Water",Compositions!AW121="Carbon Monoxide",Compositions!AW121="Nitrogen",Compositions!AW121="Oxygen",Compositions!AW121="Hydrogen Sulfide",Compositions!AW121="Argon",Compositions!AW121="Carbon Dioxide",Compositions!AW121="Carbon Disulfide"),0,PS56)))</f>
        <v/>
      </c>
      <c r="PU56" s="187" t="str">
        <f>IF(Compositions!AZ121="","",((PL56/100)*((VLOOKUP(Compositions!AW121,'HHV-LHV-MW'!$A$3:$G$40,7,FALSE)))))</f>
        <v/>
      </c>
      <c r="PV56" s="187" t="str">
        <f>IF(PL56="","",(IF(OR(Compositions!AW121="Hydrogen",Compositions!AW121="Carbon Disulfide",Compositions!AW121="Helium",Compositions!AW121="Water",Compositions!AW121="Carbon Monoxide",Compositions!AW121="Nitrogen",Compositions!AW121="Oxygen",Compositions!AW121="Hydrogen Sulfide",Compositions!AW121="Argon",Compositions!AW121="Carbon Dioxide",Compositions!AW121="Methane",Compositions!AW121="Ethane"),0,(PL56/100))))</f>
        <v/>
      </c>
      <c r="PW56" s="205" t="str">
        <f>IF(PL56="","",(IF(OR($PV$78=0,$PV$78=""),0,     ((VLOOKUP(Compositions!AW121,'HHV-LHV-MW'!$A$3:$F$40,6,FALSE))*(PV56/$PV$78)))))</f>
        <v/>
      </c>
      <c r="PX56" s="28" t="str">
        <f>IF(Compositions!BA121="","",IF(Compositions!$BA$118="mol%",Compositions!BA121,PY56))</f>
        <v/>
      </c>
      <c r="PY56" s="28" t="str">
        <f t="shared" ref="PY56:PY77" si="59">IF(PZ56="","",((PZ56/$PZ$78)*100))</f>
        <v/>
      </c>
      <c r="PZ56" s="28" t="str">
        <f>IF(Compositions!BA121="","",(Compositions!BA121/(VLOOKUP(Compositions!AW121,'HHV-LHV-MW'!$A$3:$F$40,6,FALSE))))</f>
        <v/>
      </c>
      <c r="QA56" s="184" t="str">
        <f>IF(PX56="","",((VLOOKUP(Compositions!AW121,'HHV-LHV-MW'!$A$3:$F$40,4,FALSE))*(PX56/100)))</f>
        <v/>
      </c>
      <c r="QB56" s="184" t="str">
        <f>IF(PX56="","",((VLOOKUP(Compositions!AW121,'HHV-LHV-MW'!$A$3:$F$40,5,FALSE))*(PX56/100)))</f>
        <v/>
      </c>
      <c r="QC56" s="184" t="str">
        <f>IF(PX56="","",((VLOOKUP(Compositions!AW121,'HHV-LHV-MW'!$A$3:$F$40,6,FALSE))*(PX56/100)))</f>
        <v/>
      </c>
      <c r="QD56" s="189" t="str">
        <f>IF(Compositions!BA121="","",(Compositions!BA121*(VLOOKUP(Compositions!AW121,'HHV-LHV-MW'!$A$3:$F$40,6,FALSE))))</f>
        <v/>
      </c>
      <c r="QE56" s="297" t="str">
        <f>IF(Compositions!BA121="","",IF(OR(Compositions!$BA$118="wt%",Compositions!$BA$118=""),Compositions!BA121,(IF(QD56="","",((QD56/$QD$78)*100)))))</f>
        <v/>
      </c>
      <c r="QF56" s="39" t="str">
        <f>IF(QE56="","",(IF(OR(Compositions!AW121="Hydrogen",Compositions!AW121="Helium",Compositions!AW121="Water",Compositions!AW121="Carbon Monoxide",Compositions!AW121="Nitrogen",Compositions!AW121="Oxygen",Compositions!AW121="Hydrogen Sulfide",Compositions!AW121="Argon",Compositions!AW121="Carbon Dioxide",Compositions!AW121="Carbon Disulfide"),0,QE56)))</f>
        <v/>
      </c>
      <c r="QG56" s="186" t="str">
        <f>IF(Compositions!BA121="","",((PX56/100)*((VLOOKUP(Compositions!AW121,'HHV-LHV-MW'!$A$3:$G$40,7,FALSE)))))</f>
        <v/>
      </c>
      <c r="QH56" s="186" t="str">
        <f>IF(PX56="","",(IF(OR(Compositions!AW121="Hydrogen",Compositions!AW121="Carbon Disulfide",Compositions!AW121="Helium",Compositions!AW121="Water",Compositions!AW121="Carbon Monoxide",Compositions!AW121="Nitrogen",Compositions!AW121="Oxygen",Compositions!AW121="Hydrogen Sulfide",Compositions!AW121="Argon",Compositions!AW121="Carbon Dioxide",Compositions!AW121="Methane",Compositions!AW121="Ethane"),0,(PX56/100))))</f>
        <v/>
      </c>
      <c r="QI56" s="39" t="str">
        <f>IF(PX56="","",(IF(OR($QH$78=0,$QH$78=""),0,     ((VLOOKUP(Compositions!AW121,'HHV-LHV-MW'!$A$3:$F$40,6,FALSE))*(QH56/$QH$78)))))</f>
        <v/>
      </c>
      <c r="QK56" s="27" t="str">
        <f>IF(Compositions!BD121="","",IF(Compositions!$BD$118="mol%",Compositions!BD121,QL56))</f>
        <v/>
      </c>
      <c r="QL56" s="27" t="str">
        <f t="shared" ref="QL56:QL77" si="60">IF(QM56="","",((QM56/$QM$78)*100))</f>
        <v/>
      </c>
      <c r="QM56" s="27" t="str">
        <f>IF(Compositions!BD121="","",(Compositions!BD121/(VLOOKUP(Compositions!BC121,'HHV-LHV-MW'!$A$3:$F$40,6,FALSE))))</f>
        <v/>
      </c>
      <c r="QN56" s="185" t="str">
        <f>IF(QK56="","",((VLOOKUP(Compositions!BC121,'HHV-LHV-MW'!$A$3:$F$40,4,FALSE))*(QK56/100)))</f>
        <v/>
      </c>
      <c r="QO56" s="185" t="str">
        <f>IF(QK56="","",((VLOOKUP(Compositions!BC121,'HHV-LHV-MW'!$A$3:$F$40,5,FALSE))*(QK56/100)))</f>
        <v/>
      </c>
      <c r="QP56" s="185" t="str">
        <f>IF(QK56="","",((VLOOKUP(Compositions!BC121,'HHV-LHV-MW'!$A$3:$F$40,6,FALSE))*(QK56/100)))</f>
        <v/>
      </c>
      <c r="QQ56" s="185" t="str">
        <f>IF(Compositions!BD121="","",(Compositions!BD121*(VLOOKUP(Compositions!BC121,'HHV-LHV-MW'!$A$3:$F$40,6,FALSE))))</f>
        <v/>
      </c>
      <c r="QR56" s="298" t="str">
        <f>IF(Compositions!BD121="","",IF(OR(Compositions!$BD$118="wt%",Compositions!$BD$118=""),Compositions!BD121,(IF(QQ56="","",((QQ56/$QQ$78)*100)))))</f>
        <v/>
      </c>
      <c r="QS56" s="185" t="str">
        <f>IF(QR56="","",(IF(OR(Compositions!BC121="Hydrogen",Compositions!BC121="Helium",Compositions!BC121="Water",Compositions!BC121="Carbon Monoxide",Compositions!BC121="Nitrogen",Compositions!BC121="Oxygen",Compositions!BC121="Hydrogen Sulfide",Compositions!BC121="Argon",Compositions!BC121="Carbon Dioxide",Compositions!BC121="Carbon Disulfide"),0,QR56)))</f>
        <v/>
      </c>
      <c r="QT56" s="187" t="str">
        <f>IF(Compositions!BD121="","",((QK56/100)*((VLOOKUP(Compositions!BC121,'HHV-LHV-MW'!$A$3:$G$40,7,FALSE)))))</f>
        <v/>
      </c>
      <c r="QU56" s="187" t="str">
        <f>IF(QK56="","",(IF(OR(Compositions!BC121="Hydrogen",Compositions!BC121="Carbon Disulfide",Compositions!BC121="Helium",Compositions!BC121="Water",Compositions!BC121="Carbon Monoxide",Compositions!BC121="Nitrogen",Compositions!BC121="Oxygen",Compositions!BC121="Hydrogen Sulfide",Compositions!BC121="Argon",Compositions!BC121="Carbon Dioxide",Compositions!BC121="Methane",Compositions!BC121="Ethane"),0,(QK56/100))))</f>
        <v/>
      </c>
      <c r="QV56" s="205" t="str">
        <f>IF(QK56="","",(IF(OR($QU$78=0,$QU$78=""),0,     ((VLOOKUP(Compositions!BC121,'HHV-LHV-MW'!$A$3:$F$40,6,FALSE))*(QU56/$QU$78)))))</f>
        <v/>
      </c>
      <c r="QW56" s="28" t="str">
        <f>IF(Compositions!BE121="","",IF(Compositions!$BE$118="mol%",Compositions!BE121,QX56))</f>
        <v/>
      </c>
      <c r="QX56" s="28" t="str">
        <f t="shared" ref="QX56:QX77" si="61">IF(QY56="","",((QY56/$QY$78)*100))</f>
        <v/>
      </c>
      <c r="QY56" s="28" t="str">
        <f>IF(Compositions!BE121="","",(Compositions!BE121/(VLOOKUP(Compositions!BC121,'HHV-LHV-MW'!$A$3:$F$40,6,FALSE))))</f>
        <v/>
      </c>
      <c r="QZ56" s="184" t="str">
        <f>IF(QW56="","",((VLOOKUP(Compositions!BC121,'HHV-LHV-MW'!$A$3:$F$40,4,FALSE))*(QW56/100)))</f>
        <v/>
      </c>
      <c r="RA56" s="184" t="str">
        <f>IF(QW56="","",((VLOOKUP(Compositions!BC121,'HHV-LHV-MW'!$A$3:$F$40,5,FALSE))*(QW56/100)))</f>
        <v/>
      </c>
      <c r="RB56" s="184" t="str">
        <f>IF(QW56="","",((VLOOKUP(Compositions!BC121,'HHV-LHV-MW'!$A$3:$F$40,6,FALSE))*(QW56/100)))</f>
        <v/>
      </c>
      <c r="RC56" s="184" t="str">
        <f>IF(Compositions!BE121="","",(Compositions!BE121*(VLOOKUP(Compositions!BC121,'HHV-LHV-MW'!$A$3:$F$40,6,FALSE))))</f>
        <v/>
      </c>
      <c r="RD56" s="297" t="str">
        <f>IF(Compositions!BE121="","",IF(OR(Compositions!$BE$118="wt%",Compositions!$BE$118=""),Compositions!BE121,(IF(RC56="","",((RC56/$RC$78)*100)))))</f>
        <v/>
      </c>
      <c r="RE56" s="39" t="str">
        <f>IF(RD56="","",(IF(OR(Compositions!BC121="Hydrogen",Compositions!BC121="Helium",Compositions!BC121="Water",Compositions!BC121="Carbon Monoxide",Compositions!BC121="Nitrogen",Compositions!BC121="Oxygen",Compositions!BC121="Hydrogen Sulfide",Compositions!BC121="Argon",Compositions!BC121="Carbon Dioxide",Compositions!BC121="Carbon Disulfide"),0,RD56)))</f>
        <v/>
      </c>
      <c r="RF56" s="186" t="str">
        <f>IF(Compositions!BE121="","",((QW56/100)*((VLOOKUP(Compositions!BC121,'HHV-LHV-MW'!$A$3:$G$40,7,FALSE)))))</f>
        <v/>
      </c>
      <c r="RG56" s="186" t="str">
        <f>IF(QW56="","",(IF(OR(Compositions!BC121="Hydrogen",Compositions!BC121="Carbon Disulfide",Compositions!BC121="Helium",Compositions!BC121="Water",Compositions!BC121="Carbon Monoxide",Compositions!BC121="Nitrogen",Compositions!BC121="Oxygen",Compositions!BC121="Hydrogen Sulfide",Compositions!BC121="Argon",Compositions!BC121="Carbon Dioxide",Compositions!BC121="Methane",Compositions!BC121="Ethane"),0,(QW56/100))))</f>
        <v/>
      </c>
      <c r="RH56" s="39" t="str">
        <f>IF(QW56="","",(IF(OR($RG$78=0,$RG$78=""),0,     ((VLOOKUP(Compositions!BC121,'HHV-LHV-MW'!$A$3:$F$40,6,FALSE))*(RG56/$RG$78)))))</f>
        <v/>
      </c>
      <c r="RI56" s="27" t="str">
        <f>IF(Compositions!BF121="","",IF(Compositions!$BF$118="mol%",Compositions!BF121,RJ56))</f>
        <v/>
      </c>
      <c r="RJ56" s="27" t="str">
        <f t="shared" ref="RJ56:RJ77" si="62">IF(RK56="","",((RK56/$RK$78)*100))</f>
        <v/>
      </c>
      <c r="RK56" s="27" t="str">
        <f>IF(Compositions!BF121="","",(Compositions!BF121/(VLOOKUP(Compositions!BC121,'HHV-LHV-MW'!$A$3:$F$40,6,FALSE))))</f>
        <v/>
      </c>
      <c r="RL56" s="185" t="str">
        <f>IF(RI56="","",((VLOOKUP(Compositions!BC121,'HHV-LHV-MW'!$A$3:$F$40,4,FALSE))*(RI56/100)))</f>
        <v/>
      </c>
      <c r="RM56" s="185" t="str">
        <f>IF(RI56="","",((VLOOKUP(Compositions!BC121,'HHV-LHV-MW'!$A$3:$F$40,5,FALSE))*(RI56/100)))</f>
        <v/>
      </c>
      <c r="RN56" s="185" t="str">
        <f>IF(RI56="","",((VLOOKUP(Compositions!BC121,'HHV-LHV-MW'!$A$3:$F$40,6,FALSE))*(RI56/100)))</f>
        <v/>
      </c>
      <c r="RO56" s="185" t="str">
        <f>IF(Compositions!BF121="","",(Compositions!BF121*(VLOOKUP(Compositions!BC121,'HHV-LHV-MW'!$A$3:$F$40,6,FALSE))))</f>
        <v/>
      </c>
      <c r="RP56" s="298" t="str">
        <f>IF(Compositions!BF121="","",IF(OR(Compositions!$BF$118="wt%",Compositions!$BF$118=""),Compositions!BF121,(IF(RO56="","",((RO56/$RO$78)*100)))))</f>
        <v/>
      </c>
      <c r="RQ56" s="185" t="str">
        <f>IF(RP56="","",(IF(OR(Compositions!BC121="Hydrogen",Compositions!BC121="Helium",Compositions!BC121="Water",Compositions!BC121="Carbon Monoxide",Compositions!BC121="Nitrogen",Compositions!BC121="Oxygen",Compositions!BC121="Hydrogen Sulfide",Compositions!BC121="Argon",Compositions!BC121="Carbon Dioxide",Compositions!BC121="Carbon Disulfide"),0,RP56)))</f>
        <v/>
      </c>
      <c r="RR56" s="187" t="str">
        <f>IF(Compositions!BF121="","",((RI56/100)*((VLOOKUP(Compositions!BC121,'HHV-LHV-MW'!$A$3:$G$40,7,FALSE)))))</f>
        <v/>
      </c>
      <c r="RS56" s="187" t="str">
        <f>IF(RI56="","",(IF(OR(Compositions!BC121="Hydrogen",Compositions!BC121="Carbon Disulfide",Compositions!BC121="Helium",Compositions!BC121="Water",Compositions!BC121="Carbon Monoxide",Compositions!BC121="Nitrogen",Compositions!BC121="Oxygen",Compositions!BC121="Hydrogen Sulfide",Compositions!BC121="Argon",Compositions!BC121="Carbon Dioxide",Compositions!BC121="Methane",Compositions!BC121="Ethane"),0,(RI56/100))))</f>
        <v/>
      </c>
      <c r="RT56" s="205" t="str">
        <f>IF(RI56="","",(IF(OR($RS$78=0,$RS$78=""),0,     ((VLOOKUP(Compositions!BC121,'HHV-LHV-MW'!$A$3:$F$40,6,FALSE))*(RS56/$RS$78)))))</f>
        <v/>
      </c>
      <c r="RU56" s="28" t="str">
        <f>IF(Compositions!BG121="","",IF(Compositions!$BG$118="mol%",Compositions!BG121,RV56))</f>
        <v/>
      </c>
      <c r="RV56" s="28" t="str">
        <f t="shared" ref="RV56:RV75" si="63">IF(RW56="","",((RW56/$RW$78)*100))</f>
        <v/>
      </c>
      <c r="RW56" s="28" t="str">
        <f>IF(Compositions!BG121="","",(Compositions!BG121/(VLOOKUP(Compositions!BC121,'HHV-LHV-MW'!$A$3:$F$40,6,FALSE))))</f>
        <v/>
      </c>
      <c r="RX56" s="184" t="str">
        <f>IF(RU56="","",((VLOOKUP(Compositions!BC121,'HHV-LHV-MW'!$A$3:$F$40,4,FALSE))*(RU56/100)))</f>
        <v/>
      </c>
      <c r="RY56" s="184" t="str">
        <f>IF(RU56="","",((VLOOKUP(Compositions!BC121,'HHV-LHV-MW'!$A$3:$F$40,5,FALSE))*(RU56/100)))</f>
        <v/>
      </c>
      <c r="RZ56" s="184" t="str">
        <f>IF(RU56="","",((VLOOKUP(Compositions!BC121,'HHV-LHV-MW'!$A$3:$F$40,6,FALSE))*(RU56/100)))</f>
        <v/>
      </c>
      <c r="SA56" s="184" t="str">
        <f>IF(Compositions!BG121="","",(Compositions!BG121*(VLOOKUP(Compositions!BC121,'HHV-LHV-MW'!$A$3:$F$40,6,FALSE))))</f>
        <v/>
      </c>
      <c r="SB56" s="297" t="str">
        <f>IF(Compositions!BG121="","",IF(OR(Compositions!$BG$118="wt%",Compositions!$BG$118=""),Compositions!BG121,(IF(SA56="","",((SA56/$SA$78)*100)))))</f>
        <v/>
      </c>
      <c r="SC56" s="39" t="str">
        <f>IF(SB56="","",(IF(OR(Compositions!BC121="Hydrogen",Compositions!BC121="Helium",Compositions!BC121="Water",Compositions!BC121="Carbon Monoxide",Compositions!BC121="Nitrogen",Compositions!BC121="Oxygen",Compositions!BC121="Hydrogen Sulfide",Compositions!BC121="Argon",Compositions!BC121="Carbon Dioxide",Compositions!BC121="Carbon Disulfide"),0,SB56)))</f>
        <v/>
      </c>
      <c r="SD56" s="186" t="str">
        <f>IF(Compositions!BG121="","",((RU56/100)*((VLOOKUP(Compositions!BC121,'HHV-LHV-MW'!$A$3:$G$40,7,FALSE)))))</f>
        <v/>
      </c>
      <c r="SE56" s="186" t="str">
        <f>IF(RU56="","",(IF(OR(Compositions!BC121="Hydrogen",Compositions!BC121="Carbon Disulfide",Compositions!BC121="Helium",Compositions!BC121="Water",Compositions!BC121="Carbon Monoxide",Compositions!BC121="Nitrogen",Compositions!BC121="Oxygen",Compositions!BC121="Hydrogen Sulfide",Compositions!BC121="Argon",Compositions!BC121="Carbon Dioxide",Compositions!BC121="Methane",Compositions!BC121="Ethane"),0,(RU56/100))))</f>
        <v/>
      </c>
      <c r="SF56" s="39" t="str">
        <f>IF(RU56="","",(IF(OR($SE$78=0,$SE$78=""),0,     ((VLOOKUP(Compositions!BC121,'HHV-LHV-MW'!$A$3:$F$40,6,FALSE))*(SE56/$SE$78)))))</f>
        <v/>
      </c>
    </row>
    <row r="57" spans="1:500" ht="15.6">
      <c r="A57" s="18" t="s">
        <v>181</v>
      </c>
      <c r="B57" s="19" t="s">
        <v>180</v>
      </c>
      <c r="C57" s="20">
        <v>1</v>
      </c>
      <c r="D57" s="20">
        <v>0.89</v>
      </c>
      <c r="E57" s="20">
        <v>0.80269999999999997</v>
      </c>
      <c r="F57" s="20">
        <v>16.042760000000001</v>
      </c>
      <c r="G57" s="20">
        <v>0</v>
      </c>
      <c r="H57" s="170"/>
      <c r="I57" s="170"/>
      <c r="K57" s="27" t="str">
        <f>IF(Compositions!B122="","",IF(Compositions!$B$118="mol%",Compositions!B122,L57))</f>
        <v/>
      </c>
      <c r="L57" s="27" t="str">
        <f t="shared" si="25"/>
        <v/>
      </c>
      <c r="M57" s="27" t="str">
        <f>IF(Compositions!B122="","",(Compositions!B122/(VLOOKUP(Compositions!A122,'HHV-LHV-MW'!$A$3:$F$40,6,FALSE))))</f>
        <v/>
      </c>
      <c r="N57" s="25" t="str">
        <f>IF(K57="","",((VLOOKUP(Compositions!A122,'HHV-LHV-MW'!$A$3:$F$40,4,FALSE))*(K57/100)))</f>
        <v/>
      </c>
      <c r="O57" s="25" t="str">
        <f>IF(K57="","",((VLOOKUP(Compositions!A122,'HHV-LHV-MW'!$A$3:$F$40,5,FALSE))*(K57/100)))</f>
        <v/>
      </c>
      <c r="P57" s="25" t="str">
        <f>IF(K57="","",((VLOOKUP(Compositions!A122,'HHV-LHV-MW'!$A$3:$F$40,6,FALSE))*(K57/100)))</f>
        <v/>
      </c>
      <c r="Q57" s="25" t="str">
        <f>IF(Compositions!B122="","",(Compositions!B122*(VLOOKUP(Compositions!A122,'HHV-LHV-MW'!$A$3:$F$40,6,FALSE))))</f>
        <v/>
      </c>
      <c r="R57" s="188" t="str">
        <f>IF(Compositions!B122="","",IF(OR(Compositions!$B$118="wt%",Compositions!$B$118=""),Compositions!B122,(IF(Q57="","",((Q57/$Q$78)*100)))))</f>
        <v/>
      </c>
      <c r="S57" s="185" t="str">
        <f>IF(R57="","",(IF(OR(Compositions!A122="Hydrogen",Compositions!A122="Helium",Compositions!A122="Water",Compositions!A122="Carbon Monoxide",Compositions!A122="Nitrogen",Compositions!A122="Oxygen",Compositions!A122="Hydrogen Sulfide",Compositions!A122="Argon",Compositions!A122="Carbon Dioxide",Compositions!A122="Carbon Disulfide"),0,R57)))</f>
        <v/>
      </c>
      <c r="T57" s="169" t="str">
        <f>IF(Compositions!B122="","",((K57/100)*((VLOOKUP(Compositions!A122,'HHV-LHV-MW'!$A$3:$G$40,7,FALSE)))))</f>
        <v/>
      </c>
      <c r="U57" s="187" t="str">
        <f>IF(K57="","",(IF(OR(Compositions!A122="Hydrogen",Compositions!A122="Carbon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Dioxide",Compositions!A122="Methane",Compositions!A122="Ethane"),0,(K57/100))))</f>
        <v/>
      </c>
      <c r="V57" s="188" t="str">
        <f>IF(K57="","", (IF(OR($U$78=0,$U$78=""),0,((VLOOKUP(Compositions!A122,'HHV-LHV-MW'!$A$3:$F$40,6,FALSE))*(U57/$U$78))   ))   )</f>
        <v/>
      </c>
      <c r="W57" s="28" t="str">
        <f>IF(Compositions!C122="","",IF(Compositions!$C$118="mol%",Compositions!C122,X57))</f>
        <v/>
      </c>
      <c r="X57" s="28" t="str">
        <f t="shared" si="26"/>
        <v/>
      </c>
      <c r="Y57" s="28" t="str">
        <f>IF(Compositions!C122="","",(Compositions!C122/(VLOOKUP(Compositions!A122,'HHV-LHV-MW'!$A$3:$F$40,6,FALSE))))</f>
        <v/>
      </c>
      <c r="Z57" s="26" t="str">
        <f>IF(W57="","",((VLOOKUP(Compositions!A122,'HHV-LHV-MW'!$A$3:$F$40,4,FALSE))*(W57/100)))</f>
        <v/>
      </c>
      <c r="AA57" s="26" t="str">
        <f>IF(W57="","",((VLOOKUP(Compositions!A122,'HHV-LHV-MW'!$A$3:$F$40,5,FALSE))*(W57/100)))</f>
        <v/>
      </c>
      <c r="AB57" s="26" t="str">
        <f>IF(W57="","",((VLOOKUP(Compositions!A122,'HHV-LHV-MW'!$A$3:$F$40,6,FALSE))*(W57/100)))</f>
        <v/>
      </c>
      <c r="AC57" s="26" t="str">
        <f>IF(Compositions!C122="","",(Compositions!C122*(VLOOKUP(Compositions!A122,'HHV-LHV-MW'!$A$3:$F$40,6,FALSE))))</f>
        <v/>
      </c>
      <c r="AD57" s="296" t="str">
        <f>IF(Compositions!C122="","",IF(OR(Compositions!$C$118="wt%",Compositions!$C$118=""),Compositions!C122,(IF(AC57="","",((AC57/$AC$78)*100)))))</f>
        <v/>
      </c>
      <c r="AE57" s="39" t="str">
        <f>IF(AD57="","",(IF(OR(Compositions!A122="Hydrogen",Compositions!A122="Helium",Compositions!A122="Water",Compositions!A122="Carbon Monoxide",Compositions!A122="Nitrogen",Compositions!A122="Oxygen",Compositions!A122="Hydrogen Sulfide",Compositions!A122="Argon",Compositions!A122="Carbon Dioxide",Compositions!A122="Carbon Disulfide"),0,AD57)))</f>
        <v/>
      </c>
      <c r="AF57" s="186" t="str">
        <f>IF(Compositions!C122="","",((W57/100)*((VLOOKUP(Compositions!A122,'HHV-LHV-MW'!$A$3:$G$40,7,FALSE)))))</f>
        <v/>
      </c>
      <c r="AG57" s="186" t="str">
        <f>IF(W57="","",(IF(OR(Compositions!A122="Hydrogen",Compositions!A122="Carbon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Dioxide",Compositions!A122="Methane",Compositions!A122="Ethane"),0,(W57/100))))</f>
        <v/>
      </c>
      <c r="AH57" s="39" t="str">
        <f>IF(W57="","", (IF(OR($AG$78=0,$AG$78=""),0,   ((VLOOKUP(Compositions!A122,'HHV-LHV-MW'!$A$3:$F$40,6,FALSE))*(AG57/$AG$78)))))</f>
        <v/>
      </c>
      <c r="AI57" s="27" t="str">
        <f>IF(Compositions!D122="","",IF(Compositions!$D$118="mol%",Compositions!D122,AJ57))</f>
        <v/>
      </c>
      <c r="AJ57" s="27" t="str">
        <f t="shared" si="27"/>
        <v/>
      </c>
      <c r="AK57" s="27" t="str">
        <f>IF(Compositions!D122="","",(Compositions!D122/(VLOOKUP(Compositions!A122,'HHV-LHV-MW'!$A$3:$F$40,6,FALSE))))</f>
        <v/>
      </c>
      <c r="AL57" s="25" t="str">
        <f>IF(AI57="","",((VLOOKUP(Compositions!A122,'HHV-LHV-MW'!$A$3:$F$40,4,FALSE))*(AI57/100)))</f>
        <v/>
      </c>
      <c r="AM57" s="25" t="str">
        <f>IF(AI57="","",((VLOOKUP(Compositions!A122,'HHV-LHV-MW'!$A$3:$F$40,5,FALSE))*(AI57/100)))</f>
        <v/>
      </c>
      <c r="AN57" s="25" t="str">
        <f>IF(AI57="","",((VLOOKUP(Compositions!A122,'HHV-LHV-MW'!$A$3:$F$40,6,FALSE))*(AI57/100)))</f>
        <v/>
      </c>
      <c r="AO57" s="25" t="str">
        <f>IF(Compositions!D122="","",(Compositions!D122*(VLOOKUP(Compositions!A122,'HHV-LHV-MW'!$A$3:$F$40,6,FALSE))))</f>
        <v/>
      </c>
      <c r="AP57" s="295" t="str">
        <f>IF(Compositions!D122="","",IF(OR(Compositions!$D$118="wt%",Compositions!$D$118=""),Compositions!D122,(IF(AO57="","",((AO57/$AO$78)*100)))))</f>
        <v/>
      </c>
      <c r="AQ57" s="185" t="str">
        <f>IF(AP57="","",(IF(OR(Compositions!A122="Hydrogen",Compositions!A122="Helium",Compositions!A122="Water",Compositions!A122="Carbon Monoxide",Compositions!A122="Nitrogen",Compositions!A122="Oxygen",Compositions!A122="Hydrogen Sulfide",Compositions!A122="Argon",Compositions!A122="Carbon Dioxide",Compositions!A122="Carbon Disulfide"),0,AP57)))</f>
        <v/>
      </c>
      <c r="AR57" s="187" t="str">
        <f>IF(Compositions!D122="","",((AI57/100)*((VLOOKUP(Compositions!A122,'HHV-LHV-MW'!$A$3:$G$40,7,FALSE)))))</f>
        <v/>
      </c>
      <c r="AS57" s="187" t="str">
        <f>IF(AI57="","",(IF(OR(Compositions!A122="Hydrogen",Compositions!A122="Carbon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Dioxide",Compositions!A122="Methane",Compositions!A122="Ethane"),0,(AI57/100))))</f>
        <v/>
      </c>
      <c r="AT57" s="205" t="str">
        <f>IF(AI57="","",(IF(OR($AS$78=0,$AS$78=""),0,      ((VLOOKUP(Compositions!A122,'HHV-LHV-MW'!$A$3:$F$40,6,FALSE))*(AS57/$AS$78)))))</f>
        <v/>
      </c>
      <c r="AU57" s="28" t="str">
        <f>IF(Compositions!E122="","",IF(Compositions!$E$118="mol%",Compositions!E122,AV57))</f>
        <v/>
      </c>
      <c r="AV57" s="28" t="str">
        <f t="shared" si="28"/>
        <v/>
      </c>
      <c r="AW57" s="28" t="str">
        <f>IF(Compositions!E122="","",(Compositions!E122/(VLOOKUP(Compositions!A122,'HHV-LHV-MW'!$A$3:$F$40,6,FALSE))))</f>
        <v/>
      </c>
      <c r="AX57" s="26" t="str">
        <f>IF(AU57="","",((VLOOKUP(Compositions!A122,'HHV-LHV-MW'!$A$3:$F$40,4,FALSE))*(AU57/100)))</f>
        <v/>
      </c>
      <c r="AY57" s="26" t="str">
        <f>IF(AU57="","",((VLOOKUP(Compositions!A122,'HHV-LHV-MW'!$A$3:$F$40,5,FALSE))*(AU57/100)))</f>
        <v/>
      </c>
      <c r="AZ57" s="26" t="str">
        <f>IF(AU57="","",((VLOOKUP(Compositions!A122,'HHV-LHV-MW'!$A$3:$F$40,6,FALSE))*(AU57/100)))</f>
        <v/>
      </c>
      <c r="BA57" s="26" t="str">
        <f>IF(Compositions!E122="","",(Compositions!E122*(VLOOKUP(Compositions!A122,'HHV-LHV-MW'!$A$3:$F$40,6,FALSE))))</f>
        <v/>
      </c>
      <c r="BB57" s="296" t="str">
        <f>IF(Compositions!E122="","",IF(OR(Compositions!$E$118="wt%",Compositions!$E$118=""),Compositions!E122,(IF(BA57="","",((BA57/$BA$78)*100)))))</f>
        <v/>
      </c>
      <c r="BC57" s="39" t="str">
        <f>IF(BB57="","",(IF(OR(Compositions!A122="Hydrogen",Compositions!A122="Helium",Compositions!A122="Water",Compositions!A122="Carbon Monoxide",Compositions!A122="Nitrogen",Compositions!A122="Oxygen",Compositions!A122="Hydrogen Sulfide",Compositions!A122="Argon",Compositions!A122="Carbon Dioxide",Compositions!A122="Carbon Disulfide"),0,BB57)))</f>
        <v/>
      </c>
      <c r="BD57" s="186" t="str">
        <f>IF(Compositions!E122="","",((AU57/100)*((VLOOKUP(Compositions!A122,'HHV-LHV-MW'!$A$3:$G$40,7,FALSE)))))</f>
        <v/>
      </c>
      <c r="BE57" s="186" t="str">
        <f>IF(AU57="","",(IF(OR(Compositions!A122="Hydrogen",Compositions!A122="Carbon Disulfide",Compositions!A122="Helium",Compositions!A122="Water",Compositions!A122="Carbon Monoxide",Compositions!A122="Nitrogen",Compositions!A122="Oxygen",Compositions!A122="Hydrogen Sulfide",Compositions!A122="Argon",Compositions!A122="Carbon Dioxide",Compositions!A122="Methane",Compositions!A122="Ethane"),0,(AU57/100))))</f>
        <v/>
      </c>
      <c r="BF57" s="39" t="str">
        <f>IF(AU57="","",(IF(OR($BE$78=0,$BE$78=""),0,     ((VLOOKUP(Compositions!A122,'HHV-LHV-MW'!$A$3:$F$40,6,FALSE))*(BE57/$BE$78)))))</f>
        <v/>
      </c>
      <c r="BH57" s="27" t="str">
        <f>IF(Compositions!H122="","",IF(Compositions!$H$118="mol%",Compositions!H122,BI57))</f>
        <v/>
      </c>
      <c r="BI57" s="27" t="str">
        <f t="shared" si="29"/>
        <v/>
      </c>
      <c r="BJ57" s="27" t="str">
        <f>IF(Compositions!H122="","",(Compositions!H122/(VLOOKUP(Compositions!G122,'HHV-LHV-MW'!$A$3:$F$40,6,FALSE))))</f>
        <v/>
      </c>
      <c r="BK57" s="25" t="str">
        <f>IF(BH57="","",((VLOOKUP(Compositions!G122,'HHV-LHV-MW'!$A$3:$F$40,4,FALSE))*(BH57/100)))</f>
        <v/>
      </c>
      <c r="BL57" s="25" t="str">
        <f>IF(BH57="","",((VLOOKUP(Compositions!G122,'HHV-LHV-MW'!$A$3:$F$40,5,FALSE))*(BH57/100)))</f>
        <v/>
      </c>
      <c r="BM57" s="25" t="str">
        <f>IF(BH57="","",((VLOOKUP(Compositions!G122,'HHV-LHV-MW'!$A$3:$F$40,6,FALSE))*(BH57/100)))</f>
        <v/>
      </c>
      <c r="BN57" s="25" t="str">
        <f>IF(Compositions!H122="","",(Compositions!H122*(VLOOKUP(Compositions!G122,'HHV-LHV-MW'!$A$3:$F$40,6,FALSE))))</f>
        <v/>
      </c>
      <c r="BO57" s="295" t="str">
        <f>IF(Compositions!H122="","",IF(OR(Compositions!$H$118="wt%",Compositions!$H$118=""),Compositions!H122,(IF(BN57="","",((BN57/$BN$78)*100)))))</f>
        <v/>
      </c>
      <c r="BP57" s="185" t="str">
        <f>IF(BO57="","",(IF(OR(Compositions!G122="Hydrogen",Compositions!G122="Helium",Compositions!G122="Water",Compositions!G122="Carbon Monoxide",Compositions!G122="Nitrogen",Compositions!G122="Oxygen",Compositions!G122="Hydrogen Sulfide",Compositions!G122="Argon",Compositions!G122="Carbon Dioxide",Compositions!G122="Carbon Disulfide"),0,BO57)))</f>
        <v/>
      </c>
      <c r="BQ57" s="187" t="str">
        <f>IF(Compositions!H122="","",((BH57/100)*((VLOOKUP(Compositions!G122,'HHV-LHV-MW'!$A$3:$G$40,7,FALSE)))))</f>
        <v/>
      </c>
      <c r="BR57" s="187" t="str">
        <f>IF(BH57="","",(IF(OR(Compositions!G122="Hydrogen",Compositions!G122="Carbon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Dioxide",Compositions!G122="Methane",Compositions!G122="Ethane"),0,(BH57/100))))</f>
        <v/>
      </c>
      <c r="BS57" s="205" t="str">
        <f>IF(BH57="","",(IF(OR($BR$78=0,$BR$78=""),0,    ((VLOOKUP(Compositions!G122,'HHV-LHV-MW'!$A$3:$F$40,6,FALSE))*(BR57/$BR$78)))))</f>
        <v/>
      </c>
      <c r="BT57" s="28" t="str">
        <f>IF(Compositions!I122="","",IF(Compositions!$I$118="mol%",Compositions!I122,BU57))</f>
        <v/>
      </c>
      <c r="BU57" s="28" t="str">
        <f t="shared" si="30"/>
        <v/>
      </c>
      <c r="BV57" s="28" t="str">
        <f>IF(Compositions!I122="","",(Compositions!I122/(VLOOKUP(Compositions!G122,'HHV-LHV-MW'!$A$3:$F$40,6,FALSE))))</f>
        <v/>
      </c>
      <c r="BW57" s="26" t="str">
        <f>IF(BT57="","",((VLOOKUP(Compositions!G122,'HHV-LHV-MW'!$A$3:$F$40,4,FALSE))*(BT57/100)))</f>
        <v/>
      </c>
      <c r="BX57" s="26" t="str">
        <f>IF(BT57="","",((VLOOKUP(Compositions!G122,'HHV-LHV-MW'!$A$3:$F$40,5,FALSE))*(BT57/100)))</f>
        <v/>
      </c>
      <c r="BY57" s="26" t="str">
        <f>IF(BT57="","",((VLOOKUP(Compositions!G122,'HHV-LHV-MW'!$A$3:$F$40,6,FALSE))*(BT57/100)))</f>
        <v/>
      </c>
      <c r="BZ57" s="26" t="str">
        <f>IF(Compositions!I122="","",(Compositions!I122*(VLOOKUP(Compositions!G122,'HHV-LHV-MW'!$A$3:$F$40,6,FALSE))))</f>
        <v/>
      </c>
      <c r="CA57" s="296" t="str">
        <f>IF(Compositions!I122="","",IF(OR(Compositions!$I$118="wt%",Compositions!$I$118=""),Compositions!I122,(IF(BZ57="","",((BZ57/$BZ$78)*100)))))</f>
        <v/>
      </c>
      <c r="CB57" s="39" t="str">
        <f>IF(CA57="","",(IF(OR(Compositions!G122="Hydrogen",Compositions!G122="Helium",Compositions!G122="Water",Compositions!G122="Carbon Monoxide",Compositions!G122="Nitrogen",Compositions!G122="Oxygen",Compositions!G122="Hydrogen Sulfide",Compositions!G122="Argon",Compositions!G122="Carbon Dioxide",Compositions!G122="Carbon Disulfide"),0,CA57)))</f>
        <v/>
      </c>
      <c r="CC57" s="186" t="str">
        <f>IF(Compositions!I122="","",((BT57/100)*((VLOOKUP(Compositions!G122,'HHV-LHV-MW'!$A$3:$G$40,7,FALSE)))))</f>
        <v/>
      </c>
      <c r="CD57" s="186" t="str">
        <f>IF(BT57="","",(IF(OR(Compositions!G122="Hydrogen",Compositions!G122="Carbon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Dioxide",Compositions!G122="Methane",Compositions!G122="Ethane"),0,(BT57/100))))</f>
        <v/>
      </c>
      <c r="CE57" s="39" t="str">
        <f>IF(BT57="","",(IF(OR($CD$78=0,$CD$78=""),0,       ((VLOOKUP(Compositions!G122,'HHV-LHV-MW'!$A$3:$F$40,6,FALSE))*(CD57/$CD$78)))))</f>
        <v/>
      </c>
      <c r="CF57" s="27" t="str">
        <f>IF(Compositions!J122="","",IF(Compositions!$J$118="mol%",Compositions!J122,CG57))</f>
        <v/>
      </c>
      <c r="CG57" s="27" t="str">
        <f t="shared" si="31"/>
        <v/>
      </c>
      <c r="CH57" s="27" t="str">
        <f>IF(Compositions!J122="","",(Compositions!J122/(VLOOKUP(Compositions!G122,'HHV-LHV-MW'!$A$3:$F$40,6,FALSE))))</f>
        <v/>
      </c>
      <c r="CI57" s="25" t="str">
        <f>IF(CF57="","",((VLOOKUP(Compositions!G122,'HHV-LHV-MW'!$A$3:$F$40,4,FALSE))*(CF57/100)))</f>
        <v/>
      </c>
      <c r="CJ57" s="25" t="str">
        <f>IF(CF57="","",((VLOOKUP(Compositions!G122,'HHV-LHV-MW'!$A$3:$F$40,5,FALSE))*(CF57/100)))</f>
        <v/>
      </c>
      <c r="CK57" s="25" t="str">
        <f>IF(CF57="","",((VLOOKUP(Compositions!G122,'HHV-LHV-MW'!$A$3:$F$40,6,FALSE))*(CF57/100)))</f>
        <v/>
      </c>
      <c r="CL57" s="25" t="str">
        <f>IF(Compositions!J122="","",(Compositions!J122*(VLOOKUP(Compositions!G122,'HHV-LHV-MW'!$A$3:$F$40,6,FALSE))))</f>
        <v/>
      </c>
      <c r="CM57" s="295" t="str">
        <f>IF(Compositions!J122="","",IF(OR(Compositions!$J$118="wt%",Compositions!$J$118=""),Compositions!J122,(IF(CL57="","",((CL57/$CL$78)*100)))))</f>
        <v/>
      </c>
      <c r="CN57" s="185" t="str">
        <f>IF(CM57="","",(IF(OR(Compositions!G122="Hydrogen",Compositions!G122="Helium",Compositions!G122="Water",Compositions!G122="Carbon Monoxide",Compositions!G122="Nitrogen",Compositions!G122="Oxygen",Compositions!G122="Hydrogen Sulfide",Compositions!G122="Argon",Compositions!G122="Carbon Dioxide",Compositions!G122="Carbon Disulfide"),0,CM57)))</f>
        <v/>
      </c>
      <c r="CO57" s="187" t="str">
        <f>IF(Compositions!J122="","",((CF57/100)*((VLOOKUP(Compositions!G122,'HHV-LHV-MW'!$A$3:$G$40,7,FALSE)))))</f>
        <v/>
      </c>
      <c r="CP57" s="187" t="str">
        <f>IF(CF57="","",(IF(OR(Compositions!G122="Hydrogen",Compositions!G122="Carbon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Dioxide",Compositions!G122="Methane",Compositions!G122="Ethane"),0,(CF57/100))))</f>
        <v/>
      </c>
      <c r="CQ57" s="205" t="str">
        <f>IF(CF57="","",(IF(OR($CP$78=0,$CP$78=""),0,       ((VLOOKUP(Compositions!G122,'HHV-LHV-MW'!$A$3:$F$40,6,FALSE))*(CP57/$CP$78)))))</f>
        <v/>
      </c>
      <c r="CR57" s="28" t="str">
        <f>IF(Compositions!K122="","",IF(Compositions!$K$118="mol%",Compositions!K122,CS57))</f>
        <v/>
      </c>
      <c r="CS57" s="28" t="str">
        <f t="shared" si="32"/>
        <v/>
      </c>
      <c r="CT57" s="28" t="str">
        <f>IF(Compositions!K122="","",(Compositions!K122/(VLOOKUP(Compositions!G122,'HHV-LHV-MW'!$A$3:$F$40,6,FALSE))))</f>
        <v/>
      </c>
      <c r="CU57" s="26" t="str">
        <f>IF(CR57="","",((VLOOKUP(Compositions!G122,'HHV-LHV-MW'!$A$3:$F$40,4,FALSE))*(CR57/100)))</f>
        <v/>
      </c>
      <c r="CV57" s="26" t="str">
        <f>IF(CR57="","",((VLOOKUP(Compositions!G122,'HHV-LHV-MW'!$A$3:$F$40,5,FALSE))*(CR57/100)))</f>
        <v/>
      </c>
      <c r="CW57" s="26" t="str">
        <f>IF(CR57="","",((VLOOKUP(Compositions!G122,'HHV-LHV-MW'!$A$3:$F$40,6,FALSE))*(CR57/100)))</f>
        <v/>
      </c>
      <c r="CX57" s="26" t="str">
        <f>IF(Compositions!K122="","",(Compositions!K122*(VLOOKUP(Compositions!G122,'HHV-LHV-MW'!$A$3:$F$40,6,FALSE))))</f>
        <v/>
      </c>
      <c r="CY57" s="296" t="str">
        <f>IF(Compositions!K122="","",IF(OR(Compositions!$K$118="wt%",Compositions!$K$118=""),Compositions!K122,(IF(CX57="","",((CX57/$CX$78)*100)))))</f>
        <v/>
      </c>
      <c r="CZ57" s="39" t="str">
        <f>IF(CY57="","",(IF(OR(Compositions!G122="Hydrogen",Compositions!G122="Helium",Compositions!G122="Water",Compositions!G122="Carbon Monoxide",Compositions!G122="Nitrogen",Compositions!G122="Oxygen",Compositions!G122="Hydrogen Sulfide",Compositions!G122="Argon",Compositions!G122="Carbon Dioxide",Compositions!G122="Carbon Disulfide"),0,CY57)))</f>
        <v/>
      </c>
      <c r="DA57" s="186" t="str">
        <f>IF(Compositions!K122="","",((CR57/100)*((VLOOKUP(Compositions!G122,'HHV-LHV-MW'!$A$3:$G$40,7,FALSE)))))</f>
        <v/>
      </c>
      <c r="DB57" s="186" t="str">
        <f>IF(CR57="","",(IF(OR(Compositions!G122="Hydrogen",Compositions!G122="Carbon Disulfide",Compositions!G122="Helium",Compositions!G122="Water",Compositions!G122="Carbon Monoxide",Compositions!G122="Nitrogen",Compositions!G122="Oxygen",Compositions!G122="Hydrogen Sulfide",Compositions!G122="Argon",Compositions!G122="Carbon Dioxide",Compositions!G122="Methane",Compositions!G122="Ethane"),0,(CR57/100))))</f>
        <v/>
      </c>
      <c r="DC57" s="39" t="str">
        <f>IF(CR57="","",(IF(OR($DB$78=0,$DB$78=""),0,       ((VLOOKUP(Compositions!G122,'HHV-LHV-MW'!$A$3:$F$40,6,FALSE))*(DB57/$DB$78)))))</f>
        <v/>
      </c>
      <c r="DE57" s="27" t="str">
        <f>IF(Compositions!N122="","",IF(Compositions!$N$118="mol%",Compositions!N122,DF57))</f>
        <v/>
      </c>
      <c r="DF57" s="27" t="str">
        <f t="shared" si="33"/>
        <v/>
      </c>
      <c r="DG57" s="27" t="str">
        <f>IF(Compositions!N122="","",(Compositions!N122/(VLOOKUP(Compositions!M122,'HHV-LHV-MW'!$A$3:$F$40,6,FALSE))))</f>
        <v/>
      </c>
      <c r="DH57" s="25" t="str">
        <f>IF(DE57="","",((VLOOKUP(Compositions!M122,'HHV-LHV-MW'!$A$3:$F$40,4,FALSE))*(DE57/100)))</f>
        <v/>
      </c>
      <c r="DI57" s="25" t="str">
        <f>IF(DE57="","",((VLOOKUP(Compositions!M122,'HHV-LHV-MW'!$A$3:$F$40,5,FALSE))*(DE57/100)))</f>
        <v/>
      </c>
      <c r="DJ57" s="25" t="str">
        <f>IF(DE57="","",((VLOOKUP(Compositions!M122,'HHV-LHV-MW'!$A$3:$F$40,6,FALSE))*(DE57/100)))</f>
        <v/>
      </c>
      <c r="DK57" s="25" t="str">
        <f>IF(Compositions!N122="","",(Compositions!N122*(VLOOKUP(Compositions!M122,'HHV-LHV-MW'!$A$3:$F$40,6,FALSE))))</f>
        <v/>
      </c>
      <c r="DL57" s="295" t="str">
        <f>IF(Compositions!N122="","",IF(OR(Compositions!$N$118="wt%",Compositions!$N$118=""),Compositions!N122,(IF(DK57="","",((DK57/$DK$78)*100)))))</f>
        <v/>
      </c>
      <c r="DM57" s="185" t="str">
        <f>IF(DL57="","",(IF(OR(Compositions!M122="Hydrogen",Compositions!M122="Helium",Compositions!M122="Water",Compositions!M122="Carbon Monoxide",Compositions!M122="Nitrogen",Compositions!M122="Oxygen",Compositions!M122="Hydrogen Sulfide",Compositions!M122="Argon",Compositions!M122="Carbon Dioxide",Compositions!M122="Carbon Disulfide"),0,DL57)))</f>
        <v/>
      </c>
      <c r="DN57" s="187" t="str">
        <f>IF(Compositions!N122="","",((DE57/100)*((VLOOKUP(Compositions!M122,'HHV-LHV-MW'!$A$3:$G$40,7,FALSE)))))</f>
        <v/>
      </c>
      <c r="DO57" s="187" t="str">
        <f>IF(DE57="","",(IF(OR(Compositions!M122="Hydrogen",Compositions!M122="Carbon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Dioxide",Compositions!M122="Methane",Compositions!M122="Ethane"),0,(DE57/100))))</f>
        <v/>
      </c>
      <c r="DP57" s="205" t="str">
        <f>IF(DE57="","",(IF(OR($DO$78=0,$DO$78=""),0,       ((VLOOKUP(Compositions!M122,'HHV-LHV-MW'!$A$3:$F$40,6,FALSE))*(DO57/$DO$78)))))</f>
        <v/>
      </c>
      <c r="DQ57" s="28" t="str">
        <f>IF(Compositions!O122="","",IF(Compositions!$O$118="mol%",Compositions!O122,DR57))</f>
        <v/>
      </c>
      <c r="DR57" s="28" t="str">
        <f t="shared" si="34"/>
        <v/>
      </c>
      <c r="DS57" s="28" t="str">
        <f>IF(Compositions!O122="","",(Compositions!O122/(VLOOKUP(Compositions!M122,'HHV-LHV-MW'!$A$3:$F$40,6,FALSE))))</f>
        <v/>
      </c>
      <c r="DT57" s="26" t="str">
        <f>IF(DQ57="","",((VLOOKUP(Compositions!M122,'HHV-LHV-MW'!$A$3:$F$40,4,FALSE))*(DQ57/100)))</f>
        <v/>
      </c>
      <c r="DU57" s="26" t="str">
        <f>IF(DQ57="","",((VLOOKUP(Compositions!M122,'HHV-LHV-MW'!$A$3:$F$40,5,FALSE))*(DQ57/100)))</f>
        <v/>
      </c>
      <c r="DV57" s="26" t="str">
        <f>IF(DQ57="","",((VLOOKUP(Compositions!M122,'HHV-LHV-MW'!$A$3:$F$40,6,FALSE))*(DQ57/100)))</f>
        <v/>
      </c>
      <c r="DW57" s="26" t="str">
        <f>IF(Compositions!O122="","",(Compositions!O122*(VLOOKUP(Compositions!M122,'HHV-LHV-MW'!$A$3:$F$40,6,FALSE))))</f>
        <v/>
      </c>
      <c r="DX57" s="296" t="str">
        <f>IF(Compositions!O122="","",IF(OR(Compositions!$O$118="wt%",Compositions!$O$118=""),Compositions!O122,(IF(DW57="","",((DW57/$DW$78)*100)))))</f>
        <v/>
      </c>
      <c r="DY57" s="39" t="str">
        <f>IF(DX57="","",(IF(OR(Compositions!M122="Hydrogen",Compositions!M122="Helium",Compositions!M122="Water",Compositions!M122="Carbon Monoxide",Compositions!M122="Nitrogen",Compositions!M122="Oxygen",Compositions!M122="Hydrogen Sulfide",Compositions!M122="Argon",Compositions!M122="Carbon Dioxide",Compositions!M122="Carbon Disulfide"),0,DX57)))</f>
        <v/>
      </c>
      <c r="DZ57" s="186" t="str">
        <f>IF(Compositions!O122="","",((DQ57/100)*((VLOOKUP(Compositions!M122,'HHV-LHV-MW'!$A$3:$G$40,7,FALSE)))))</f>
        <v/>
      </c>
      <c r="EA57" s="186" t="str">
        <f>IF(DQ57="","",(IF(OR(Compositions!M122="Hydrogen",Compositions!M122="Carbon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Dioxide",Compositions!M122="Methane",Compositions!M122="Ethane"),0,(DQ57/100))))</f>
        <v/>
      </c>
      <c r="EB57" s="39" t="str">
        <f>IF(DQ57="","",(IF(OR($EA$78=0,$EA$78=""),0,       ((VLOOKUP(Compositions!M122,'HHV-LHV-MW'!$A$3:$F$40,6,FALSE))*(EA57/$EA$78)))))</f>
        <v/>
      </c>
      <c r="EC57" s="27" t="str">
        <f>IF(Compositions!P122="","",IF(Compositions!$P$118="mol%",Compositions!P122,ED57))</f>
        <v/>
      </c>
      <c r="ED57" s="27" t="str">
        <f t="shared" si="35"/>
        <v/>
      </c>
      <c r="EE57" s="27" t="str">
        <f>IF(Compositions!P122="","",(Compositions!P122/(VLOOKUP(Compositions!M122,'HHV-LHV-MW'!$A$3:$F$40,6,FALSE))))</f>
        <v/>
      </c>
      <c r="EF57" s="25" t="str">
        <f>IF(EC57="","",((VLOOKUP(Compositions!M122,'HHV-LHV-MW'!$A$3:$F$40,4,FALSE))*(EC57/100)))</f>
        <v/>
      </c>
      <c r="EG57" s="25" t="str">
        <f>IF(EC57="","",((VLOOKUP(Compositions!M122,'HHV-LHV-MW'!$A$3:$F$40,5,FALSE))*(EC57/100)))</f>
        <v/>
      </c>
      <c r="EH57" s="25" t="str">
        <f>IF(EC57="","",((VLOOKUP(Compositions!M122,'HHV-LHV-MW'!$A$3:$F$40,6,FALSE))*(EC57/100)))</f>
        <v/>
      </c>
      <c r="EI57" s="25" t="str">
        <f>IF(Compositions!P122="","",(Compositions!P122*(VLOOKUP(Compositions!M122,'HHV-LHV-MW'!$A$3:$F$40,6,FALSE))))</f>
        <v/>
      </c>
      <c r="EJ57" s="295" t="str">
        <f>IF(Compositions!P122="","",IF(OR(Compositions!$P$118="wt%",Compositions!$P$118=""),Compositions!P122,(IF(EI57="","",((EI57/$EI$78)*100)))))</f>
        <v/>
      </c>
      <c r="EK57" s="185" t="str">
        <f>IF(EJ57="","",(IF(OR(Compositions!M122="Hydrogen",Compositions!M122="Helium",Compositions!M122="Water",Compositions!M122="Carbon Monoxide",Compositions!M122="Nitrogen",Compositions!M122="Oxygen",Compositions!M122="Hydrogen Sulfide",Compositions!M122="Argon",Compositions!M122="Carbon Dioxide",Compositions!M122="Carbon Disulfide"),0,EJ57)))</f>
        <v/>
      </c>
      <c r="EL57" s="187" t="str">
        <f>IF(Compositions!P122="","",((EC57/100)*((VLOOKUP(Compositions!M122,'HHV-LHV-MW'!$A$3:$G$40,7,FALSE)))))</f>
        <v/>
      </c>
      <c r="EM57" s="187" t="str">
        <f>IF(EC57="","",(IF(OR(Compositions!M122="Hydrogen",Compositions!M122="Carbon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Dioxide",Compositions!M122="Methane",Compositions!M122="Ethane"),0,(EC57/100))))</f>
        <v/>
      </c>
      <c r="EN57" s="205" t="str">
        <f>IF(EC57="","",(IF(OR($EM$78=0,$EM$78=""),0,       ((VLOOKUP(Compositions!M122,'HHV-LHV-MW'!$A$3:$F$40,6,FALSE))*(EM57/$EM$78)))))</f>
        <v/>
      </c>
      <c r="EO57" s="28" t="str">
        <f>IF(Compositions!Q122="","",IF(Compositions!$Q$118="mol%",Compositions!Q122,EP57))</f>
        <v/>
      </c>
      <c r="EP57" s="28" t="str">
        <f t="shared" si="36"/>
        <v/>
      </c>
      <c r="EQ57" s="28" t="str">
        <f>IF(Compositions!Q122="","",(Compositions!Q122/(VLOOKUP(Compositions!M122,'HHV-LHV-MW'!$A$3:$F$40,6,FALSE))))</f>
        <v/>
      </c>
      <c r="ER57" s="26" t="str">
        <f>IF(EO57="","",((VLOOKUP(Compositions!M122,'HHV-LHV-MW'!$A$3:$F$40,4,FALSE))*(EO57/100)))</f>
        <v/>
      </c>
      <c r="ES57" s="26" t="str">
        <f>IF(EO57="","",((VLOOKUP(Compositions!M122,'HHV-LHV-MW'!$A$3:$F$40,5,FALSE))*(EO57/100)))</f>
        <v/>
      </c>
      <c r="ET57" s="26" t="str">
        <f>IF(EO57="","",((VLOOKUP(Compositions!M122,'HHV-LHV-MW'!$A$3:$F$40,6,FALSE))*(EO57/100)))</f>
        <v/>
      </c>
      <c r="EU57" s="26" t="str">
        <f>IF(Compositions!Q122="","",(Compositions!Q122*(VLOOKUP(Compositions!M122,'HHV-LHV-MW'!$A$3:$F$40,6,FALSE))))</f>
        <v/>
      </c>
      <c r="EV57" s="296" t="str">
        <f>IF(Compositions!Q122="","",IF(OR(Compositions!$Q$118="wt%",Compositions!$Q$118=""),Compositions!Q122,(IF(EU57="","",((EU57/$EU$78)*100)))))</f>
        <v/>
      </c>
      <c r="EW57" s="39" t="str">
        <f>IF(EV57="","",(IF(OR(Compositions!M122="Hydrogen",Compositions!M122="Helium",Compositions!M122="Water",Compositions!M122="Carbon Monoxide",Compositions!M122="Nitrogen",Compositions!M122="Oxygen",Compositions!M122="Hydrogen Sulfide",Compositions!M122="Argon",Compositions!M122="Carbon Dioxide",Compositions!M122="Carbon Disulfide"),0,EV57)))</f>
        <v/>
      </c>
      <c r="EX57" s="186" t="str">
        <f>IF(Compositions!Q122="","",((EO57/100)*((VLOOKUP(Compositions!M122,'HHV-LHV-MW'!$A$3:$G$40,7,FALSE)))))</f>
        <v/>
      </c>
      <c r="EY57" s="186" t="str">
        <f>IF(EO57="","",(IF(OR(Compositions!M122="Hydrogen",Compositions!M122="Carbon Disulfide",Compositions!M122="Helium",Compositions!M122="Water",Compositions!M122="Carbon Monoxide",Compositions!M122="Nitrogen",Compositions!M122="Oxygen",Compositions!M122="Hydrogen Sulfide",Compositions!M122="Argon",Compositions!M122="Carbon Dioxide",Compositions!M122="Methane",Compositions!M122="Ethane"),0,(EO57/100))))</f>
        <v/>
      </c>
      <c r="EZ57" s="39" t="str">
        <f>IF(EO57="","",(IF(OR($EY$78=0,$EY$78=""),0,       ((VLOOKUP(Compositions!M122,'HHV-LHV-MW'!$A$3:$F$40,6,FALSE))*(EY57/$EY$78)))))</f>
        <v/>
      </c>
      <c r="FB57" s="27" t="str">
        <f>IF(Compositions!T122="","",IF(Compositions!$T$118="mol%",Compositions!T122,FC57))</f>
        <v/>
      </c>
      <c r="FC57" s="27" t="str">
        <f t="shared" si="37"/>
        <v/>
      </c>
      <c r="FD57" s="27" t="str">
        <f>IF(Compositions!T122="","",(Compositions!T122/(VLOOKUP(Compositions!S122,'HHV-LHV-MW'!$A$3:$F$40,6,FALSE))))</f>
        <v/>
      </c>
      <c r="FE57" s="25" t="str">
        <f>IF(FB57="","",((VLOOKUP(Compositions!S122,'HHV-LHV-MW'!$A$3:$F$40,4,FALSE))*(FB57/100)))</f>
        <v/>
      </c>
      <c r="FF57" s="25" t="str">
        <f>IF(FB57="","",((VLOOKUP(Compositions!S122,'HHV-LHV-MW'!$A$3:$F$40,5,FALSE))*(FB57/100)))</f>
        <v/>
      </c>
      <c r="FG57" s="25" t="str">
        <f>IF(FB57="","",((VLOOKUP(Compositions!S122,'HHV-LHV-MW'!$A$3:$F$40,6,FALSE))*(FB57/100)))</f>
        <v/>
      </c>
      <c r="FH57" s="25" t="str">
        <f>IF(Compositions!T122="","",(Compositions!T122*(VLOOKUP(Compositions!S122,'HHV-LHV-MW'!$A$3:$F$40,6,FALSE))))</f>
        <v/>
      </c>
      <c r="FI57" s="295" t="str">
        <f>IF(Compositions!T122="","",IF(OR(Compositions!$T$118="wt%",Compositions!$T$118=""),Compositions!T122,(IF(FH57="","",((FH57/$FH$78)*100)))))</f>
        <v/>
      </c>
      <c r="FJ57" s="185" t="str">
        <f>IF(FI57="","",(IF(OR(Compositions!S122="Hydrogen",Compositions!S122="Helium",Compositions!S122="Water",Compositions!S122="Carbon Monoxide",Compositions!S122="Nitrogen",Compositions!S122="Oxygen",Compositions!S122="Hydrogen Sulfide",Compositions!S122="Argon",Compositions!S122="Carbon Dioxide",Compositions!S122="Carbon Disulfide"),0,FI57)))</f>
        <v/>
      </c>
      <c r="FK57" s="187" t="str">
        <f>IF(Compositions!T122="","",((FB57/100)*((VLOOKUP(Compositions!S122,'HHV-LHV-MW'!$A$3:$G$40,7,FALSE)))))</f>
        <v/>
      </c>
      <c r="FL57" s="187" t="str">
        <f>IF(FB57="","",(IF(OR(Compositions!S122="Hydrogen",Compositions!S122="Carbon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Dioxide",Compositions!S122="Methane",Compositions!S122="Ethane"),0,(FB57/100))))</f>
        <v/>
      </c>
      <c r="FM57" s="205" t="str">
        <f>IF(FB57="","",(IF(OR($FL$78=0,$FL$78=""),0,       ((VLOOKUP(Compositions!S122,'HHV-LHV-MW'!$A$3:$F$40,6,FALSE))*(FL57/$FL$78)))))</f>
        <v/>
      </c>
      <c r="FN57" s="28" t="str">
        <f>IF(Compositions!U122="","",IF(Compositions!$U$118="mol%",Compositions!U122,FO57))</f>
        <v/>
      </c>
      <c r="FO57" s="28" t="str">
        <f t="shared" si="38"/>
        <v/>
      </c>
      <c r="FP57" s="28" t="str">
        <f>IF(Compositions!U122="","",(Compositions!U122/(VLOOKUP(Compositions!S122,'HHV-LHV-MW'!$A$3:$F$40,6,FALSE))))</f>
        <v/>
      </c>
      <c r="FQ57" s="26" t="str">
        <f>IF(FN57="","",((VLOOKUP(Compositions!S122,'HHV-LHV-MW'!$A$3:$F$40,4,FALSE))*(FN57/100)))</f>
        <v/>
      </c>
      <c r="FR57" s="26" t="str">
        <f>IF(FN57="","",((VLOOKUP(Compositions!S122,'HHV-LHV-MW'!$A$3:$F$40,5,FALSE))*(FN57/100)))</f>
        <v/>
      </c>
      <c r="FS57" s="26" t="str">
        <f>IF(FN57="","",((VLOOKUP(Compositions!S122,'HHV-LHV-MW'!$A$3:$F$40,6,FALSE))*(FN57/100)))</f>
        <v/>
      </c>
      <c r="FT57" s="26" t="str">
        <f>IF(Compositions!U122="","",(Compositions!U122*(VLOOKUP(Compositions!S122,'HHV-LHV-MW'!$A$3:$F$40,6,FALSE))))</f>
        <v/>
      </c>
      <c r="FU57" s="296" t="str">
        <f>IF(Compositions!U122="","",IF(OR(Compositions!$U$118="wt%",Compositions!$U$118=""),Compositions!U122,(IF(FT57="","",((FT57/$FT$78)*100)))))</f>
        <v/>
      </c>
      <c r="FV57" s="39" t="str">
        <f>IF(FU57="","",(IF(OR(Compositions!S122="Hydrogen",Compositions!S122="Helium",Compositions!S122="Water",Compositions!S122="Carbon Monoxide",Compositions!S122="Nitrogen",Compositions!S122="Oxygen",Compositions!S122="Hydrogen Sulfide",Compositions!S122="Argon",Compositions!S122="Carbon Dioxide",Compositions!S122="Carbon Disulfide"),0,FU57)))</f>
        <v/>
      </c>
      <c r="FW57" s="186" t="str">
        <f>IF(Compositions!U122="","",((FN57/100)*((VLOOKUP(Compositions!S122,'HHV-LHV-MW'!$A$3:$G$40,7,FALSE)))))</f>
        <v/>
      </c>
      <c r="FX57" s="186" t="str">
        <f>IF(FN57="","",(IF(OR(Compositions!S122="Hydrogen",Compositions!S122="Carbon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Dioxide",Compositions!S122="Methane",Compositions!S122="Ethane"),0,(FN57/100))))</f>
        <v/>
      </c>
      <c r="FY57" s="39" t="str">
        <f>IF(FN57="","",(IF(OR($FX$78=0,$FX$78=""),0,       ((VLOOKUP(Compositions!S122,'HHV-LHV-MW'!$A$3:$F$40,6,FALSE))*(FX57/$FX$78)))))</f>
        <v/>
      </c>
      <c r="FZ57" s="27" t="str">
        <f>IF(Compositions!V122="","",IF(Compositions!$V$118="mol%",Compositions!V122,GA57))</f>
        <v/>
      </c>
      <c r="GA57" s="27" t="str">
        <f t="shared" si="39"/>
        <v/>
      </c>
      <c r="GB57" s="27" t="str">
        <f>IF(Compositions!V122="","",(Compositions!V122/(VLOOKUP(Compositions!S122,'HHV-LHV-MW'!$A$3:$F$40,6,FALSE))))</f>
        <v/>
      </c>
      <c r="GC57" s="25" t="str">
        <f>IF(FZ57="","",((VLOOKUP(Compositions!S122,'HHV-LHV-MW'!$A$3:$F$40,4,FALSE))*(FZ57/100)))</f>
        <v/>
      </c>
      <c r="GD57" s="25" t="str">
        <f>IF(FZ57="","",((VLOOKUP(Compositions!S122,'HHV-LHV-MW'!$A$3:$F$40,5,FALSE))*(FZ57/100)))</f>
        <v/>
      </c>
      <c r="GE57" s="25" t="str">
        <f>IF(FZ57="","",((VLOOKUP(Compositions!S122,'HHV-LHV-MW'!$A$3:$F$40,6,FALSE))*(FZ57/100)))</f>
        <v/>
      </c>
      <c r="GF57" s="25" t="str">
        <f>IF(Compositions!V122="","",(Compositions!V122*(VLOOKUP(Compositions!S122,'HHV-LHV-MW'!$A$3:$F$40,6,FALSE))))</f>
        <v/>
      </c>
      <c r="GG57" s="295" t="str">
        <f>IF(Compositions!V122="","",IF(OR(Compositions!$V$118="wt%",Compositions!$V$118=""),Compositions!V122,(IF(GF57="","",((GF57/$GF$78)*100)))))</f>
        <v/>
      </c>
      <c r="GH57" s="185" t="str">
        <f>IF(GG57="","",(IF(OR(Compositions!S122="Hydrogen",Compositions!S122="Helium",Compositions!S122="Water",Compositions!S122="Carbon Monoxide",Compositions!S122="Nitrogen",Compositions!S122="Oxygen",Compositions!S122="Hydrogen Sulfide",Compositions!S122="Argon",Compositions!S122="Carbon Dioxide",Compositions!S122="Carbon Disulfide"),0,GG57)))</f>
        <v/>
      </c>
      <c r="GI57" s="187" t="str">
        <f>IF(Compositions!V122="","",((FZ57/100)*((VLOOKUP(Compositions!S122,'HHV-LHV-MW'!$A$3:$G$40,7,FALSE)))))</f>
        <v/>
      </c>
      <c r="GJ57" s="187" t="str">
        <f>IF(FZ57="","",(IF(OR(Compositions!S122="Hydrogen",Compositions!S122="Carbon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Dioxide",Compositions!S122="Methane",Compositions!S122="Ethane"),0,(FZ57/100))))</f>
        <v/>
      </c>
      <c r="GK57" s="205" t="str">
        <f>IF(FZ57="","",(IF(OR($GJ$78=0,$GJ$78=""),0,       ((VLOOKUP(Compositions!S122,'HHV-LHV-MW'!$A$3:$F$40,6,FALSE))*(GJ57/$GJ$78)))))</f>
        <v/>
      </c>
      <c r="GL57" s="28" t="str">
        <f>IF(Compositions!W122="","",IF(Compositions!$W$118="mol%",Compositions!W122,GM57))</f>
        <v/>
      </c>
      <c r="GM57" s="28" t="str">
        <f t="shared" si="40"/>
        <v/>
      </c>
      <c r="GN57" s="28" t="str">
        <f>IF(Compositions!W122="","",(Compositions!W122/(VLOOKUP(Compositions!S122,'HHV-LHV-MW'!$A$3:$F$40,6,FALSE))))</f>
        <v/>
      </c>
      <c r="GO57" s="26" t="str">
        <f>IF(GL57="","",((VLOOKUP(Compositions!S122,'HHV-LHV-MW'!$A$3:$F$40,4,FALSE))*(GL57/100)))</f>
        <v/>
      </c>
      <c r="GP57" s="26" t="str">
        <f>IF(GL57="","",((VLOOKUP(Compositions!S122,'HHV-LHV-MW'!$A$3:$F$40,5,FALSE))*(GL57/100)))</f>
        <v/>
      </c>
      <c r="GQ57" s="26" t="str">
        <f>IF(GL57="","",((VLOOKUP(Compositions!S122,'HHV-LHV-MW'!$A$3:$F$40,6,FALSE))*(GL57/100)))</f>
        <v/>
      </c>
      <c r="GR57" s="26" t="str">
        <f>IF(Compositions!W122="","",(Compositions!W122*(VLOOKUP(Compositions!S122,'HHV-LHV-MW'!$A$3:$F$40,6,FALSE))))</f>
        <v/>
      </c>
      <c r="GS57" s="296" t="str">
        <f>IF(Compositions!W122="","",IF(OR(Compositions!$W$118="wt%",Compositions!$W$118=""),Compositions!W122,(IF(GR57="","",((GR57/$GR$78)*100)))))</f>
        <v/>
      </c>
      <c r="GT57" s="39" t="str">
        <f>IF(GS57="","",(IF(OR(Compositions!S122="Hydrogen",Compositions!S122="Helium",Compositions!S122="Water",Compositions!S122="Carbon Monoxide",Compositions!S122="Nitrogen",Compositions!S122="Oxygen",Compositions!S122="Hydrogen Sulfide",Compositions!S122="Argon",Compositions!S122="Carbon Dioxide",Compositions!S122="Carbon Disulfide"),0,GS57)))</f>
        <v/>
      </c>
      <c r="GU57" s="186" t="str">
        <f>IF(Compositions!W122="","",((GL57/100)*((VLOOKUP(Compositions!S122,'HHV-LHV-MW'!$A$3:$G$40,7,FALSE)))))</f>
        <v/>
      </c>
      <c r="GV57" s="186" t="str">
        <f>IF(GL57="","",(IF(OR(Compositions!S122="Hydrogen",Compositions!S122="Carbon Disulfide",Compositions!S122="Helium",Compositions!S122="Water",Compositions!S122="Carbon Monoxide",Compositions!S122="Nitrogen",Compositions!S122="Oxygen",Compositions!S122="Hydrogen Sulfide",Compositions!S122="Argon",Compositions!S122="Carbon Dioxide",Compositions!S122="Methane",Compositions!S122="Ethane"),0,(GL57/100))))</f>
        <v/>
      </c>
      <c r="GW57" s="39" t="str">
        <f>IF(GL57="","",(IF(OR($GV$78=0,$GV$78=""),0,       ((VLOOKUP(Compositions!S122,'HHV-LHV-MW'!$A$3:$F$40,6,FALSE))*(GV57/$GV$78)))))</f>
        <v/>
      </c>
      <c r="GY57" s="27" t="str">
        <f>IF(Compositions!Z122="","",IF(Compositions!$Z$118="mol%",Compositions!Z122,GZ57))</f>
        <v/>
      </c>
      <c r="GZ57" s="27" t="str">
        <f t="shared" si="41"/>
        <v/>
      </c>
      <c r="HA57" s="27" t="str">
        <f>IF(Compositions!Z122="","",(Compositions!Z122/(VLOOKUP(Compositions!Y122,'HHV-LHV-MW'!$A$3:$F$40,6,FALSE))))</f>
        <v/>
      </c>
      <c r="HB57" s="25" t="str">
        <f>IF(GY57="","",((VLOOKUP(Compositions!Y122,'HHV-LHV-MW'!$A$3:$F$40,4,FALSE))*(GY57/100)))</f>
        <v/>
      </c>
      <c r="HC57" s="25" t="str">
        <f>IF(GY57="","",((VLOOKUP(Compositions!Y122,'HHV-LHV-MW'!$A$3:$F$40,5,FALSE))*(GY57/100)))</f>
        <v/>
      </c>
      <c r="HD57" s="25" t="str">
        <f>IF(GY57="","",((VLOOKUP(Compositions!Y122,'HHV-LHV-MW'!$A$3:$F$40,6,FALSE))*(GY57/100)))</f>
        <v/>
      </c>
      <c r="HE57" s="25" t="str">
        <f>IF(Compositions!Z122="","",(Compositions!Z122*(VLOOKUP(Compositions!Y122,'HHV-LHV-MW'!$A$3:$F$40,6,FALSE))))</f>
        <v/>
      </c>
      <c r="HF57" s="295" t="str">
        <f>IF(Compositions!Z122="","",IF(OR(Compositions!$Z$118="wt%",Compositions!$Z$118=""),Compositions!Z122,(IF(HE57="","",((HE57/$HE$78)*100)))))</f>
        <v/>
      </c>
      <c r="HG57" s="185" t="str">
        <f>IF(HF57="","",(IF(OR(Compositions!Y122="Hydrogen",Compositions!Y122="Helium",Compositions!Y122="Water",Compositions!Y122="Carbon Monoxide",Compositions!Y122="Nitrogen",Compositions!Y122="Oxygen",Compositions!Y122="Hydrogen Sulfide",Compositions!Y122="Argon",Compositions!Y122="Carbon Dioxide",Compositions!Y122="Carbon Disulfide"),0,HF57)))</f>
        <v/>
      </c>
      <c r="HH57" s="187" t="str">
        <f>IF(Compositions!Z122="","",((GY57/100)*((VLOOKUP(Compositions!Y122,'HHV-LHV-MW'!$A$3:$G$40,7,FALSE)))))</f>
        <v/>
      </c>
      <c r="HI57" s="187" t="str">
        <f>IF(GY57="","",(IF(OR(Compositions!Y122="Hydrogen",Compositions!Y122="Carbon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Dioxide",Compositions!Y122="Methane",Compositions!Y122="Ethane"),0,(GY57/100))))</f>
        <v/>
      </c>
      <c r="HJ57" s="205" t="str">
        <f>IF(GY57="","",(IF(OR($HI$78=0,$HI$78=""),0,       ((VLOOKUP(Compositions!Y122,'HHV-LHV-MW'!$A$3:$F$40,6,FALSE))*(HI57/$HI$78)))))</f>
        <v/>
      </c>
      <c r="HK57" s="28" t="str">
        <f>IF(Compositions!AA122="","",IF(Compositions!$AA$118="mol%",Compositions!AA122,HL57))</f>
        <v/>
      </c>
      <c r="HL57" s="28" t="str">
        <f t="shared" si="42"/>
        <v/>
      </c>
      <c r="HM57" s="28" t="str">
        <f>IF(Compositions!AA122="","",(Compositions!AA122/(VLOOKUP(Compositions!Y122,'HHV-LHV-MW'!$A$3:$F$40,6,FALSE))))</f>
        <v/>
      </c>
      <c r="HN57" s="26" t="str">
        <f>IF(HK57="","",((VLOOKUP(Compositions!Y122,'HHV-LHV-MW'!$A$3:$F$40,4,FALSE))*(HK57/100)))</f>
        <v/>
      </c>
      <c r="HO57" s="26" t="str">
        <f>IF(HK57="","",((VLOOKUP(Compositions!Y122,'HHV-LHV-MW'!$A$3:$F$40,5,FALSE))*(HK57/100)))</f>
        <v/>
      </c>
      <c r="HP57" s="26" t="str">
        <f>IF(HK57="","",((VLOOKUP(Compositions!Y122,'HHV-LHV-MW'!$A$3:$F$40,6,FALSE))*(HK57/100)))</f>
        <v/>
      </c>
      <c r="HQ57" s="26" t="str">
        <f>IF(Compositions!AA122="","",(Compositions!AA122*(VLOOKUP(Compositions!Y122,'HHV-LHV-MW'!$A$3:$F$40,6,FALSE))))</f>
        <v/>
      </c>
      <c r="HR57" s="296" t="str">
        <f>IF(Compositions!AA122="","",IF(OR(Compositions!$AA$118="wt%",Compositions!$AA$118=""),Compositions!AA122,(IF(HQ57="","",((HQ57/$HQ$78)*100)))))</f>
        <v/>
      </c>
      <c r="HS57" s="39" t="str">
        <f>IF(HR57="","",(IF(OR(Compositions!Y122="Hydrogen",Compositions!Y122="Helium",Compositions!Y122="Water",Compositions!Y122="Carbon Monoxide",Compositions!Y122="Nitrogen",Compositions!Y122="Oxygen",Compositions!Y122="Hydrogen Sulfide",Compositions!Y122="Argon",Compositions!Y122="Carbon Dioxide",Compositions!Y122="Carbon Disulfide"),0,HR57)))</f>
        <v/>
      </c>
      <c r="HT57" s="186" t="str">
        <f>IF(Compositions!AA122="","",((HK57/100)*((VLOOKUP(Compositions!Y122,'HHV-LHV-MW'!$A$3:$G$40,7,FALSE)))))</f>
        <v/>
      </c>
      <c r="HU57" s="186" t="str">
        <f>IF(HK57="","",(IF(OR(Compositions!Y122="Hydrogen",Compositions!Y122="Carbon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Dioxide",Compositions!Y122="Methane",Compositions!Y122="Ethane"),0,(HK57/100))))</f>
        <v/>
      </c>
      <c r="HV57" s="39" t="str">
        <f>IF(HK57="","",(IF(OR($HU$78=0,$HU$78=""),0,       ((VLOOKUP(Compositions!Y122,'HHV-LHV-MW'!$A$3:$F$40,6,FALSE))*(HU57/$HU$78)))))</f>
        <v/>
      </c>
      <c r="HW57" s="27" t="str">
        <f>IF(Compositions!AB122="","",IF(Compositions!$AB$118="mol%",Compositions!AB122,HX57))</f>
        <v/>
      </c>
      <c r="HX57" s="27" t="str">
        <f t="shared" si="43"/>
        <v/>
      </c>
      <c r="HY57" s="27" t="str">
        <f>IF(Compositions!AB122="","",(Compositions!AB122/(VLOOKUP(Compositions!Y122,'HHV-LHV-MW'!$A$3:$F$40,6,FALSE))))</f>
        <v/>
      </c>
      <c r="HZ57" s="25" t="str">
        <f>IF(HW57="","",((VLOOKUP(Compositions!Y122,'HHV-LHV-MW'!$A$3:$F$40,4,FALSE))*(HW57/100)))</f>
        <v/>
      </c>
      <c r="IA57" s="25" t="str">
        <f>IF(HW57="","",((VLOOKUP(Compositions!Y122,'HHV-LHV-MW'!$A$3:$F$40,5,FALSE))*(HW57/100)))</f>
        <v/>
      </c>
      <c r="IB57" s="25" t="str">
        <f>IF(HW57="","",((VLOOKUP(Compositions!Y122,'HHV-LHV-MW'!$A$3:$F$40,6,FALSE))*(HW57/100)))</f>
        <v/>
      </c>
      <c r="IC57" s="25" t="str">
        <f>IF(Compositions!AB122="","",(Compositions!AB122*(VLOOKUP(Compositions!Y122,'HHV-LHV-MW'!$A$3:$F$40,6,FALSE))))</f>
        <v/>
      </c>
      <c r="ID57" s="295" t="str">
        <f>IF(Compositions!AB122="","",IF(OR(Compositions!$AB$118="wt%",Compositions!$AB$118=""),Compositions!AB122,(IF(IC57="","",((IC57/$IC$78)*100)))))</f>
        <v/>
      </c>
      <c r="IE57" s="185" t="str">
        <f>IF(ID57="","",(IF(OR(Compositions!Y122="Hydrogen",Compositions!Y122="Helium",Compositions!Y122="Water",Compositions!Y122="Carbon Monoxide",Compositions!Y122="Nitrogen",Compositions!Y122="Oxygen",Compositions!Y122="Hydrogen Sulfide",Compositions!Y122="Argon",Compositions!Y122="Carbon Dioxide",Compositions!Y122="Carbon Disulfide"),0,ID57)))</f>
        <v/>
      </c>
      <c r="IF57" s="187" t="str">
        <f>IF(Compositions!AB122="","",((HW57/100)*((VLOOKUP(Compositions!Y122,'HHV-LHV-MW'!$A$3:$G$40,7,FALSE)))))</f>
        <v/>
      </c>
      <c r="IG57" s="187" t="str">
        <f>IF(HW57="","",(IF(OR(Compositions!Y122="Hydrogen",Compositions!Y122="Carbon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Dioxide",Compositions!Y122="Methane",Compositions!Y122="Ethane"),0,(HW57/100))))</f>
        <v/>
      </c>
      <c r="IH57" s="205" t="str">
        <f>IF(HW57="","",(IF(OR($IG$78=0,$IG$78=""),0,       ((VLOOKUP(Compositions!Y122,'HHV-LHV-MW'!$A$3:$F$40,6,FALSE))*(IG57/$IG$78)))))</f>
        <v/>
      </c>
      <c r="II57" s="28" t="str">
        <f>IF(Compositions!AC122="","",IF(Compositions!$AC$118="mol%",Compositions!AC122,IJ57))</f>
        <v/>
      </c>
      <c r="IJ57" s="28" t="str">
        <f t="shared" si="44"/>
        <v/>
      </c>
      <c r="IK57" s="28" t="str">
        <f>IF(Compositions!AC122="","",(Compositions!AC122/(VLOOKUP(Compositions!Y122,'HHV-LHV-MW'!$A$3:$F$40,6,FALSE))))</f>
        <v/>
      </c>
      <c r="IL57" s="26" t="str">
        <f>IF(II57="","",((VLOOKUP(Compositions!Y122,'HHV-LHV-MW'!$A$3:$F$40,4,FALSE))*(II57/100)))</f>
        <v/>
      </c>
      <c r="IM57" s="26" t="str">
        <f>IF(II57="","",((VLOOKUP(Compositions!Y122,'HHV-LHV-MW'!$A$3:$F$40,5,FALSE))*(II57/100)))</f>
        <v/>
      </c>
      <c r="IN57" s="26" t="str">
        <f>IF(II57="","",((VLOOKUP(Compositions!Y122,'HHV-LHV-MW'!$A$3:$F$40,6,FALSE))*(II57/100)))</f>
        <v/>
      </c>
      <c r="IO57" s="26" t="str">
        <f>IF(Compositions!AC122="","",(Compositions!AC122*(VLOOKUP(Compositions!Y122,'HHV-LHV-MW'!$A$3:$F$40,6,FALSE))))</f>
        <v/>
      </c>
      <c r="IP57" s="296" t="str">
        <f>IF(Compositions!AC122="","",IF(OR(Compositions!$AC$118="wt%",Compositions!$AC$118=""),Compositions!AC122,(IF(IO57="","",((IO57/$IO$78)*100)))))</f>
        <v/>
      </c>
      <c r="IQ57" s="39" t="str">
        <f>IF(IP57="","",(IF(OR(Compositions!Y122="Hydrogen",Compositions!Y122="Helium",Compositions!Y122="Water",Compositions!Y122="Carbon Monoxide",Compositions!Y122="Nitrogen",Compositions!Y122="Oxygen",Compositions!Y122="Hydrogen Sulfide",Compositions!Y122="Argon",Compositions!Y122="Carbon Dioxide",Compositions!Y122="Carbon Disulfide"),0,IP57)))</f>
        <v/>
      </c>
      <c r="IR57" s="186" t="str">
        <f>IF(Compositions!AC122="","",((II57/100)*((VLOOKUP(Compositions!Y122,'HHV-LHV-MW'!$A$3:$G$40,7,FALSE)))))</f>
        <v/>
      </c>
      <c r="IS57" s="186" t="str">
        <f>IF(II57="","",(IF(OR(Compositions!Y122="Hydrogen",Compositions!Y122="Carbon Disulfide",Compositions!Y122="Helium",Compositions!Y122="Water",Compositions!Y122="Carbon Monoxide",Compositions!Y122="Nitrogen",Compositions!Y122="Oxygen",Compositions!Y122="Hydrogen Sulfide",Compositions!Y122="Argon",Compositions!Y122="Carbon Dioxide",Compositions!Y122="Methane",Compositions!Y122="Ethane"),0,(II57/100))))</f>
        <v/>
      </c>
      <c r="IT57" s="39" t="str">
        <f>IF(II57="","",(IF(OR($IS$78=0,$IS$78=""),0,      ((VLOOKUP(Compositions!Y122,'HHV-LHV-MW'!$A$3:$F$40,6,FALSE))*(IS57/$IS$78)))))</f>
        <v/>
      </c>
      <c r="IV57" s="27" t="str">
        <f>IF(Compositions!AF122="","",IF(Compositions!$AF$118="mol%",Compositions!AF122,IW57))</f>
        <v/>
      </c>
      <c r="IW57" s="27" t="str">
        <f t="shared" si="45"/>
        <v/>
      </c>
      <c r="IX57" s="27" t="str">
        <f>IF(Compositions!AF122="","",(Compositions!AF122/(VLOOKUP(Compositions!AE122,'HHV-LHV-MW'!$A$3:$F$40,6,FALSE))))</f>
        <v/>
      </c>
      <c r="IY57" s="25" t="str">
        <f>IF(IV57="","",((VLOOKUP(Compositions!AE122,'HHV-LHV-MW'!$A$3:$F$40,4,FALSE))*(IV57/100)))</f>
        <v/>
      </c>
      <c r="IZ57" s="25" t="str">
        <f>IF(IV57="","",((VLOOKUP(Compositions!AE122,'HHV-LHV-MW'!$A$3:$F$40,5,FALSE))*(IV57/100)))</f>
        <v/>
      </c>
      <c r="JA57" s="25" t="str">
        <f>IF(IV57="","",((VLOOKUP(Compositions!AE122,'HHV-LHV-MW'!$A$3:$F$40,6,FALSE))*(IV57/100)))</f>
        <v/>
      </c>
      <c r="JB57" s="25" t="str">
        <f>IF(Compositions!AF122="","",(Compositions!AF122*(VLOOKUP(Compositions!AE122,'HHV-LHV-MW'!$A$3:$F$40,6,FALSE))))</f>
        <v/>
      </c>
      <c r="JC57" s="298" t="str">
        <f>IF(Compositions!AF122="","",IF(OR(Compositions!$AF$118="wt%",Compositions!$AF$118=""),Compositions!AF122,(IF(JB57="","",((JB57/$JB$78)*100)))))</f>
        <v/>
      </c>
      <c r="JD57" s="185" t="str">
        <f>IF(JC57="","",(IF(OR(Compositions!AE122="Hydrogen",Compositions!AE122="Helium",Compositions!AE122="Water",Compositions!AE122="Carbon Monoxide",Compositions!AE122="Nitrogen",Compositions!AE122="Oxygen",Compositions!AE122="Hydrogen Sulfide",Compositions!AE122="Argon",Compositions!AE122="Carbon Dioxide",Compositions!AE122="Carbon Disulfide"),0,JC57)))</f>
        <v/>
      </c>
      <c r="JE57" s="187" t="str">
        <f>IF(Compositions!AF122="","",((IV57/100)*((VLOOKUP(Compositions!AE122,'HHV-LHV-MW'!$A$3:$G$40,7,FALSE)))))</f>
        <v/>
      </c>
      <c r="JF57" s="187" t="str">
        <f>IF(IV57="","",(IF(OR(Compositions!AE122="Hydrogen",Compositions!AE122="Carbon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Dioxide",Compositions!AE122="Methane",Compositions!AE122="Ethane"),0,(IV57/100))))</f>
        <v/>
      </c>
      <c r="JG57" s="205" t="str">
        <f>IF(IV57="","",(IF(OR($JF$78=0,$JF$78=""),0,      ((VLOOKUP(Compositions!AE122,'HHV-LHV-MW'!$A$3:$F$40,6,FALSE))*(JF57/$JF$78)))))</f>
        <v/>
      </c>
      <c r="JH57" s="28" t="str">
        <f>IF(Compositions!AG122="","",IF(Compositions!$AG$118="mol%",Compositions!AG122,JI57))</f>
        <v/>
      </c>
      <c r="JI57" s="28" t="str">
        <f t="shared" si="46"/>
        <v/>
      </c>
      <c r="JJ57" s="28" t="str">
        <f>IF(Compositions!AG122="","",(Compositions!AG122/(VLOOKUP(Compositions!AE122,'HHV-LHV-MW'!$A$3:$F$40,6,FALSE))))</f>
        <v/>
      </c>
      <c r="JK57" s="26" t="str">
        <f>IF(JH57="","",((VLOOKUP(Compositions!AE122,'HHV-LHV-MW'!$A$3:$F$40,4,FALSE))*(JH57/100)))</f>
        <v/>
      </c>
      <c r="JL57" s="26" t="str">
        <f>IF(JH57="","",((VLOOKUP(Compositions!AE122,'HHV-LHV-MW'!$A$3:$F$40,5,FALSE))*(JH57/100)))</f>
        <v/>
      </c>
      <c r="JM57" s="26" t="str">
        <f>IF(JH57="","",((VLOOKUP(Compositions!AE122,'HHV-LHV-MW'!$A$3:$F$40,6,FALSE))*(JH57/100)))</f>
        <v/>
      </c>
      <c r="JN57" s="26" t="str">
        <f>IF(Compositions!AG122="","",(Compositions!AG122*(VLOOKUP(Compositions!AE122,'HHV-LHV-MW'!$A$3:$F$40,6,FALSE))))</f>
        <v/>
      </c>
      <c r="JO57" s="297" t="str">
        <f>IF(Compositions!AG122="","",IF(OR(Compositions!$AG$118="wt%",Compositions!$AG$118=""),Compositions!AG122,(IF(JN57="","",((JN57/$JN$78)*100)))))</f>
        <v/>
      </c>
      <c r="JP57" s="39" t="str">
        <f>IF(JO57="","",(IF(OR(Compositions!AE122="Hydrogen",Compositions!AE122="Helium",Compositions!AE122="Water",Compositions!AE122="Carbon Monoxide",Compositions!AE122="Nitrogen",Compositions!AE122="Oxygen",Compositions!AE122="Hydrogen Sulfide",Compositions!AE122="Argon",Compositions!AE122="Carbon Dioxide",Compositions!AE122="Carbon Disulfide"),0,JO57)))</f>
        <v/>
      </c>
      <c r="JQ57" s="186" t="str">
        <f>IF(Compositions!AG122="","",((JH57/100)*((VLOOKUP(Compositions!AE122,'HHV-LHV-MW'!$A$3:$G$40,7,FALSE)))))</f>
        <v/>
      </c>
      <c r="JR57" s="186" t="str">
        <f>IF(JH57="","",(IF(OR(Compositions!AE122="Hydrogen",Compositions!AE122="Carbon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Dioxide",Compositions!AE122="Methane",Compositions!AE122="Ethane"),0,(JH57/100))))</f>
        <v/>
      </c>
      <c r="JS57" s="39" t="str">
        <f>IF(JH57="","",(IF(OR($JR$78=0,$JR$78=""),0,      ((VLOOKUP(Compositions!AE122,'HHV-LHV-MW'!$A$3:$F$40,6,FALSE))*(JR57/$JR$78)))))</f>
        <v/>
      </c>
      <c r="JT57" s="27" t="str">
        <f>IF(Compositions!AH122="","",IF(Compositions!$AH$118="mol%",Compositions!AH122,JU57))</f>
        <v/>
      </c>
      <c r="JU57" s="27" t="str">
        <f t="shared" si="47"/>
        <v/>
      </c>
      <c r="JV57" s="27" t="str">
        <f>IF(Compositions!AH122="","",(Compositions!AH122/(VLOOKUP(Compositions!AE122,'HHV-LHV-MW'!$A$3:$F$40,6,FALSE))))</f>
        <v/>
      </c>
      <c r="JW57" s="25" t="str">
        <f>IF(JT57="","",((VLOOKUP(Compositions!AE122,'HHV-LHV-MW'!$A$3:$F$40,4,FALSE))*(JT57/100)))</f>
        <v/>
      </c>
      <c r="JX57" s="25" t="str">
        <f>IF(JT57="","",((VLOOKUP(Compositions!AE122,'HHV-LHV-MW'!$A$3:$F$40,5,FALSE))*(JT57/100)))</f>
        <v/>
      </c>
      <c r="JY57" s="25" t="str">
        <f>IF(JT57="","",((VLOOKUP(Compositions!AE122,'HHV-LHV-MW'!$A$3:$F$40,6,FALSE))*(JT57/100)))</f>
        <v/>
      </c>
      <c r="JZ57" s="25" t="str">
        <f>IF(Compositions!AH122="","",(Compositions!AH122*(VLOOKUP(Compositions!AE122,'HHV-LHV-MW'!$A$3:$F$40,6,FALSE))))</f>
        <v/>
      </c>
      <c r="KA57" s="298" t="str">
        <f>IF(Compositions!AH122="","",IF(OR(Compositions!$AH$118="wt%",Compositions!$AH$118=""),Compositions!AH122,(IF(JZ57="","",((JZ57/$JZ$78)*100)))))</f>
        <v/>
      </c>
      <c r="KB57" s="185" t="str">
        <f>IF(KA57="","",(IF(OR(Compositions!AE122="Hydrogen",Compositions!AE122="Helium",Compositions!AE122="Water",Compositions!AE122="Carbon Monoxide",Compositions!AE122="Nitrogen",Compositions!AE122="Oxygen",Compositions!AE122="Hydrogen Sulfide",Compositions!AE122="Argon",Compositions!AE122="Carbon Dioxide",Compositions!AE122="Carbon Disulfide"),0,KA57)))</f>
        <v/>
      </c>
      <c r="KC57" s="187" t="str">
        <f>IF(Compositions!AH122="","",((JT57/100)*((VLOOKUP(Compositions!AE122,'HHV-LHV-MW'!$A$3:$G$40,7,FALSE)))))</f>
        <v/>
      </c>
      <c r="KD57" s="187" t="str">
        <f>IF(JT57="","",(IF(OR(Compositions!AE122="Hydrogen",Compositions!AE122="Carbon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Dioxide",Compositions!AE122="Methane",Compositions!AE122="Ethane"),0,(JT57/100))))</f>
        <v/>
      </c>
      <c r="KE57" s="205" t="str">
        <f>IF(JT57="","",(IF(OR($KD$78=0,$KD$78=""),0,      ((VLOOKUP(Compositions!AE122,'HHV-LHV-MW'!$A$3:$F$40,6,FALSE))*(KD57/$KD$78)))))</f>
        <v/>
      </c>
      <c r="KF57" s="28" t="str">
        <f>IF(Compositions!AI122="","",IF(Compositions!$AI$118="mol%",Compositions!AI122,KG57))</f>
        <v/>
      </c>
      <c r="KG57" s="28" t="str">
        <f t="shared" si="48"/>
        <v/>
      </c>
      <c r="KH57" s="28" t="str">
        <f>IF(Compositions!AI122="","",(Compositions!AI122/(VLOOKUP(Compositions!AE122,'HHV-LHV-MW'!$A$3:$F$40,6,FALSE))))</f>
        <v/>
      </c>
      <c r="KI57" s="26" t="str">
        <f>IF(KF57="","",((VLOOKUP(Compositions!AE122,'HHV-LHV-MW'!$A$3:$F$40,4,FALSE))*(KF57/100)))</f>
        <v/>
      </c>
      <c r="KJ57" s="26" t="str">
        <f>IF(KF57="","",((VLOOKUP(Compositions!AE122,'HHV-LHV-MW'!$A$3:$F$40,5,FALSE))*(KF57/100)))</f>
        <v/>
      </c>
      <c r="KK57" s="26" t="str">
        <f>IF(KF57="","",((VLOOKUP(Compositions!AE122,'HHV-LHV-MW'!$A$3:$F$40,6,FALSE))*(KF57/100)))</f>
        <v/>
      </c>
      <c r="KL57" s="26" t="str">
        <f>IF(Compositions!AI122="","",(Compositions!AI122*(VLOOKUP(Compositions!AE122,'HHV-LHV-MW'!$A$3:$F$40,6,FALSE))))</f>
        <v/>
      </c>
      <c r="KM57" s="297" t="str">
        <f>IF(Compositions!AI122="","",IF(OR(Compositions!$AI$118="wt%",Compositions!$AI$118=""),Compositions!AI122,(IF(KL57="","",((KL57/$KL$78)*100)))))</f>
        <v/>
      </c>
      <c r="KN57" s="39" t="str">
        <f>IF(KM57="","",(IF(OR(Compositions!AE122="Hydrogen",Compositions!AE122="Helium",Compositions!AE122="Water",Compositions!AE122="Carbon Monoxide",Compositions!AE122="Nitrogen",Compositions!AE122="Oxygen",Compositions!AE122="Hydrogen Sulfide",Compositions!AE122="Argon",Compositions!AE122="Carbon Dioxide",Compositions!AE122="Carbon Disulfide"),0,KM57)))</f>
        <v/>
      </c>
      <c r="KO57" s="186" t="str">
        <f>IF(Compositions!AI122="","",((KF57/100)*((VLOOKUP(Compositions!AE122,'HHV-LHV-MW'!$A$3:$G$40,7,FALSE)))))</f>
        <v/>
      </c>
      <c r="KP57" s="186" t="str">
        <f>IF(KF57="","",(IF(OR(Compositions!AE122="Hydrogen",Compositions!AE122="Carbon Disulfide",Compositions!AE122="Helium",Compositions!AE122="Water",Compositions!AE122="Carbon Monoxide",Compositions!AE122="Nitrogen",Compositions!AE122="Oxygen",Compositions!AE122="Hydrogen Sulfide",Compositions!AE122="Argon",Compositions!AE122="Carbon Dioxide",Compositions!AE122="Methane",Compositions!AE122="Ethane"),0,(KF57/100))))</f>
        <v/>
      </c>
      <c r="KQ57" s="39" t="str">
        <f>IF(KF57="","",(IF(OR($KP$78=0,$KP$78=""),0,      ((VLOOKUP(Compositions!AE122,'HHV-LHV-MW'!$A$3:$F$40,6,FALSE))*(KP57/$KP$78)))))</f>
        <v/>
      </c>
      <c r="KS57" s="27" t="str">
        <f>IF(Compositions!AL122="","",IF(Compositions!$AL$118="mol%",Compositions!AL122,KT57))</f>
        <v/>
      </c>
      <c r="KT57" s="27" t="str">
        <f t="shared" si="49"/>
        <v/>
      </c>
      <c r="KU57" s="27" t="str">
        <f>IF(Compositions!AL122="","",(Compositions!AL122/(VLOOKUP(Compositions!AK122,'HHV-LHV-MW'!$A$3:$F$40,6,FALSE))))</f>
        <v/>
      </c>
      <c r="KV57" s="185" t="str">
        <f>IF(KS57="","",((VLOOKUP(Compositions!AK122,'HHV-LHV-MW'!$A$3:$F$40,4,FALSE))*(KS57/100)))</f>
        <v/>
      </c>
      <c r="KW57" s="185" t="str">
        <f>IF(KS57="","",((VLOOKUP(Compositions!AK122,'HHV-LHV-MW'!$A$3:$F$40,5,FALSE))*(KS57/100)))</f>
        <v/>
      </c>
      <c r="KX57" s="185" t="str">
        <f>IF(KS57="","",((VLOOKUP(Compositions!AK122,'HHV-LHV-MW'!$A$3:$F$40,6,FALSE))*(KS57/100)))</f>
        <v/>
      </c>
      <c r="KY57" s="185" t="str">
        <f>IF(Compositions!AL122="","",(Compositions!AL122*(VLOOKUP(Compositions!AK122,'HHV-LHV-MW'!$A$3:$F$40,6,FALSE))))</f>
        <v/>
      </c>
      <c r="KZ57" s="298" t="str">
        <f>IF(Compositions!AL122="","",IF(OR(Compositions!$AL$118="wt%",Compositions!$AL$118=""),Compositions!AL122,(IF(KY57="","",((KY57/$KY$78)*100)))))</f>
        <v/>
      </c>
      <c r="LA57" s="185" t="str">
        <f>IF(KZ57="","",(IF(OR(Compositions!AK122="Hydrogen",Compositions!AK122="Helium",Compositions!AK122="Water",Compositions!AK122="Carbon Monoxide",Compositions!AK122="Nitrogen",Compositions!AK122="Oxygen",Compositions!AK122="Hydrogen Sulfide",Compositions!AK122="Argon",Compositions!AK122="Carbon Dioxide",Compositions!AK122="Carbon Disulfide"),0,KZ57)))</f>
        <v/>
      </c>
      <c r="LB57" s="187" t="str">
        <f>IF(Compositions!AL122="","",((KS57/100)*((VLOOKUP(Compositions!AK122,'HHV-LHV-MW'!$A$3:$G$40,7,FALSE)))))</f>
        <v/>
      </c>
      <c r="LC57" s="187" t="str">
        <f>IF(KS57="","",(IF(OR(Compositions!AK122="Hydrogen",Compositions!AK122="Carbon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Dioxide",Compositions!AK122="Methane",Compositions!AK122="Ethane"),0,(KS57/100))))</f>
        <v/>
      </c>
      <c r="LD57" s="205" t="str">
        <f>IF(KS57="","",(IF(OR($LC$78=0,$LC$78=""),0,      ((VLOOKUP(Compositions!AK122,'HHV-LHV-MW'!$A$3:$F$40,6,FALSE))*(LC57/$LC$78)))))</f>
        <v/>
      </c>
      <c r="LE57" s="28" t="str">
        <f>IF(Compositions!AM122="","",IF(Compositions!$AM$118="mol%",Compositions!AM122,LF57))</f>
        <v/>
      </c>
      <c r="LF57" s="28" t="str">
        <f t="shared" si="50"/>
        <v/>
      </c>
      <c r="LG57" s="28" t="str">
        <f>IF(Compositions!AM122="","",(Compositions!AM122/(VLOOKUP(Compositions!AK122,'HHV-LHV-MW'!$A$3:$F$40,6,FALSE))))</f>
        <v/>
      </c>
      <c r="LH57" s="184" t="str">
        <f>IF(LE57="","",((VLOOKUP(Compositions!AK122,'HHV-LHV-MW'!$A$3:$F$40,4,FALSE))*(LE57/100)))</f>
        <v/>
      </c>
      <c r="LI57" s="184" t="str">
        <f>IF(LE57="","",((VLOOKUP(Compositions!AK122,'HHV-LHV-MW'!$A$3:$F$40,5,FALSE))*(LE57/100)))</f>
        <v/>
      </c>
      <c r="LJ57" s="184" t="str">
        <f>IF(LE57="","",((VLOOKUP(Compositions!AK122,'HHV-LHV-MW'!$A$3:$F$40,6,FALSE))*(LE57/100)))</f>
        <v/>
      </c>
      <c r="LK57" s="184" t="str">
        <f>IF(Compositions!AM122="","",(Compositions!AM122*(VLOOKUP(Compositions!AK122,'HHV-LHV-MW'!$A$3:$F$40,6,FALSE))))</f>
        <v/>
      </c>
      <c r="LL57" s="297" t="str">
        <f>IF(Compositions!AM122="","",IF(OR(Compositions!$AM$118="wt%",Compositions!$AM$118=""),Compositions!AM122,(IF(LK57="","",((LK57/$LK$78)*100)))))</f>
        <v/>
      </c>
      <c r="LM57" s="39" t="str">
        <f>IF(LL57="","",(IF(OR(Compositions!AK122="Hydrogen",Compositions!AK122="Helium",Compositions!AK122="Water",Compositions!AK122="Carbon Monoxide",Compositions!AK122="Nitrogen",Compositions!AK122="Oxygen",Compositions!AK122="Hydrogen Sulfide",Compositions!AK122="Argon",Compositions!AK122="Carbon Dioxide",Compositions!AK122="Carbon Disulfide"),0,LL57)))</f>
        <v/>
      </c>
      <c r="LN57" s="186" t="str">
        <f>IF(Compositions!AM122="","",((LE57/100)*((VLOOKUP(Compositions!AK122,'HHV-LHV-MW'!$A$3:$G$40,7,FALSE)))))</f>
        <v/>
      </c>
      <c r="LO57" s="186" t="str">
        <f>IF(LE57="","",(IF(OR(Compositions!AK122="Hydrogen",Compositions!AK122="Carbon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Dioxide",Compositions!AK122="Methane",Compositions!AK122="Ethane"),0,(LE57/100))))</f>
        <v/>
      </c>
      <c r="LP57" s="39" t="str">
        <f>IF(LE57="","",(IF(OR($LO$78=0,$LO$78=""),0,     ((VLOOKUP(Compositions!AK122,'HHV-LHV-MW'!$A$3:$F$40,6,FALSE))*(LO57/$LO$78)))))</f>
        <v/>
      </c>
      <c r="LQ57" s="27" t="str">
        <f>IF(Compositions!AN122="","",IF(Compositions!$AN$118="mol%",Compositions!AN122,LR57))</f>
        <v/>
      </c>
      <c r="LR57" s="27" t="str">
        <f t="shared" si="51"/>
        <v/>
      </c>
      <c r="LS57" s="27" t="str">
        <f>IF(Compositions!AN122="","",(Compositions!AN122/(VLOOKUP(Compositions!AK122,'HHV-LHV-MW'!$A$3:$F$40,6,FALSE))))</f>
        <v/>
      </c>
      <c r="LT57" s="185" t="str">
        <f>IF(LQ57="","",((VLOOKUP(Compositions!AK122,'HHV-LHV-MW'!$A$3:$F$40,4,FALSE))*(LQ57/100)))</f>
        <v/>
      </c>
      <c r="LU57" s="185" t="str">
        <f>IF(LQ57="","",((VLOOKUP(Compositions!AK122,'HHV-LHV-MW'!$A$3:$F$40,5,FALSE))*(LQ57/100)))</f>
        <v/>
      </c>
      <c r="LV57" s="185" t="str">
        <f>IF(LQ57="","",((VLOOKUP(Compositions!AK122,'HHV-LHV-MW'!$A$3:$F$40,6,FALSE))*(LQ57/100)))</f>
        <v/>
      </c>
      <c r="LW57" s="185" t="str">
        <f>IF(Compositions!AN122="","",(Compositions!AN122*(VLOOKUP(Compositions!AK122,'HHV-LHV-MW'!$A$3:$F$40,6,FALSE))))</f>
        <v/>
      </c>
      <c r="LX57" s="298" t="str">
        <f>IF(Compositions!AN122="","",IF(OR(Compositions!$AN$118="wt%",Compositions!$AN$118=""),Compositions!AN122,(IF(LW57="","",((LW57/$LW$78)*100)))))</f>
        <v/>
      </c>
      <c r="LY57" s="185" t="str">
        <f>IF(LX57="","",(IF(OR(Compositions!AK122="Hydrogen",Compositions!AK122="Helium",Compositions!AK122="Water",Compositions!AK122="Carbon Monoxide",Compositions!AK122="Nitrogen",Compositions!AK122="Oxygen",Compositions!AK122="Hydrogen Sulfide",Compositions!AK122="Argon",Compositions!AK122="Carbon Dioxide",Compositions!AK122="Carbon Disulfide"),0,LX57)))</f>
        <v/>
      </c>
      <c r="LZ57" s="187" t="str">
        <f>IF(Compositions!AN122="","",((LQ57/100)*((VLOOKUP(Compositions!AK122,'HHV-LHV-MW'!$A$3:$G$40,7,FALSE)))))</f>
        <v/>
      </c>
      <c r="MA57" s="187" t="str">
        <f>IF(LQ57="","",(IF(OR(Compositions!AK122="Hydrogen",Compositions!AK122="Carbon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Dioxide",Compositions!AK122="Methane",Compositions!AK122="Ethane"),0,(LQ57/100))))</f>
        <v/>
      </c>
      <c r="MB57" s="205" t="str">
        <f>IF(LQ57="","",(IF(OR($MA$78=0,$MA$78=""),0,     ((VLOOKUP(Compositions!AK122,'HHV-LHV-MW'!$A$3:$F$40,6,FALSE))*(MA57/$MA$78)))))</f>
        <v/>
      </c>
      <c r="MC57" s="28" t="str">
        <f>IF(Compositions!AO122="","",IF(Compositions!$AO$118="mol%",Compositions!AO122,MD57))</f>
        <v/>
      </c>
      <c r="MD57" s="28" t="str">
        <f t="shared" si="52"/>
        <v/>
      </c>
      <c r="ME57" s="28" t="str">
        <f>IF(Compositions!AO122="","",(Compositions!AO122/(VLOOKUP(Compositions!AK122,'HHV-LHV-MW'!$A$3:$F$40,6,FALSE))))</f>
        <v/>
      </c>
      <c r="MF57" s="184" t="str">
        <f>IF(MC57="","",((VLOOKUP(Compositions!AK122,'HHV-LHV-MW'!$A$3:$F$40,4,FALSE))*(MC57/100)))</f>
        <v/>
      </c>
      <c r="MG57" s="184" t="str">
        <f>IF(MC57="","",((VLOOKUP(Compositions!AK122,'HHV-LHV-MW'!$A$3:$F$40,5,FALSE))*(MC57/100)))</f>
        <v/>
      </c>
      <c r="MH57" s="184" t="str">
        <f>IF(MC57="","",((VLOOKUP(Compositions!AK122,'HHV-LHV-MW'!$A$3:$F$40,6,FALSE))*(MC57/100)))</f>
        <v/>
      </c>
      <c r="MI57" s="184" t="str">
        <f>IF(Compositions!AO122="","",(Compositions!AO122*(VLOOKUP(Compositions!AK122,'HHV-LHV-MW'!$A$3:$F$40,6,FALSE))))</f>
        <v/>
      </c>
      <c r="MJ57" s="297" t="str">
        <f>IF(Compositions!AO122="","",IF(OR(Compositions!$AO$118="wt%",Compositions!$AO$118=""),Compositions!AO122,(IF(MI57="","",((MI57/$MI$78)*100)))))</f>
        <v/>
      </c>
      <c r="MK57" s="39" t="str">
        <f>IF(MJ57="","",(IF(OR(Compositions!AK122="Hydrogen",Compositions!AK122="Helium",Compositions!AK122="Water",Compositions!AK122="Carbon Monoxide",Compositions!AK122="Nitrogen",Compositions!AK122="Oxygen",Compositions!AK122="Hydrogen Sulfide",Compositions!AK122="Argon",Compositions!AK122="Carbon Dioxide",Compositions!AK122="Carbon Disulfide"),0,MJ57)))</f>
        <v/>
      </c>
      <c r="ML57" s="186" t="str">
        <f>IF(Compositions!AO122="","",((MC57/100)*((VLOOKUP(Compositions!AK122,'HHV-LHV-MW'!$A$3:$G$40,7,FALSE)))))</f>
        <v/>
      </c>
      <c r="MM57" s="186" t="str">
        <f>IF(MC57="","",(IF(OR(Compositions!AK122="Hydrogen",Compositions!AK122="Carbon Disulfide",Compositions!AK122="Helium",Compositions!AK122="Water",Compositions!AK122="Carbon Monoxide",Compositions!AK122="Nitrogen",Compositions!AK122="Oxygen",Compositions!AK122="Hydrogen Sulfide",Compositions!AK122="Argon",Compositions!AK122="Carbon Dioxide",Compositions!AK122="Methane",Compositions!AK122="Ethane"),0,(MC57/100))))</f>
        <v/>
      </c>
      <c r="MN57" s="39" t="str">
        <f>IF(MC57="","",(IF(OR($MM$78=0,$MM$78=""),0,     ((VLOOKUP(Compositions!AK122,'HHV-LHV-MW'!$A$3:$F$40,6,FALSE))*(MM57/$MM$78)))))</f>
        <v/>
      </c>
      <c r="MP57" s="27" t="str">
        <f>IF(Compositions!AR122="","",IF(Compositions!$AR$118="mol%",Compositions!AR122,MQ57))</f>
        <v/>
      </c>
      <c r="MQ57" s="27" t="str">
        <f t="shared" si="53"/>
        <v/>
      </c>
      <c r="MR57" s="27" t="str">
        <f>IF(Compositions!AR122="","",(Compositions!AR122/(VLOOKUP(Compositions!AQ122,'HHV-LHV-MW'!$A$3:$F$40,6,FALSE))))</f>
        <v/>
      </c>
      <c r="MS57" s="185" t="str">
        <f>IF(MP57="","",((VLOOKUP(Compositions!AQ122,'HHV-LHV-MW'!$A$3:$F$40,4,FALSE))*(MP57/100)))</f>
        <v/>
      </c>
      <c r="MT57" s="185" t="str">
        <f>IF(MP57="","",((VLOOKUP(Compositions!AQ122,'HHV-LHV-MW'!$A$3:$F$40,5,FALSE))*(MP57/100)))</f>
        <v/>
      </c>
      <c r="MU57" s="185" t="str">
        <f>IF(MP57="","",((VLOOKUP(Compositions!AQ122,'HHV-LHV-MW'!$A$3:$F$40,6,FALSE))*(MP57/100)))</f>
        <v/>
      </c>
      <c r="MV57" s="185" t="str">
        <f>IF(Compositions!AR122="","",(Compositions!AR122*(VLOOKUP(Compositions!AQ122,'HHV-LHV-MW'!$A$3:$F$40,6,FALSE))))</f>
        <v/>
      </c>
      <c r="MW57" s="298" t="str">
        <f>IF(Compositions!AR122="","",IF(OR(Compositions!$AR$118="wt%",Compositions!$AR$118=""),Compositions!AR122,(IF(MV57="","",((MV57/$MV$78)*100)))))</f>
        <v/>
      </c>
      <c r="MX57" s="185" t="str">
        <f>IF(MW57="","",(IF(OR(Compositions!AQ122="Hydrogen",Compositions!AQ122="Helium",Compositions!AQ122="Water",Compositions!AQ122="Carbon Monoxide",Compositions!AQ122="Nitrogen",Compositions!AQ122="Oxygen",Compositions!AQ122="Hydrogen Sulfide",Compositions!AQ122="Argon",Compositions!AQ122="Carbon Dioxide",Compositions!AQ122="Carbon Disulfide"),0,MW57)))</f>
        <v/>
      </c>
      <c r="MY57" s="187" t="str">
        <f>IF(Compositions!AR122="","",((MP57/100)*((VLOOKUP(Compositions!AQ122,'HHV-LHV-MW'!$A$3:$G$40,7,FALSE)))))</f>
        <v/>
      </c>
      <c r="MZ57" s="187" t="str">
        <f>IF(MP57="","",(IF(OR(Compositions!AQ122="Hydrogen",Compositions!AQ122="Carbon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Dioxide",Compositions!AQ122="Methane",Compositions!AQ122="Ethane"),0,(MP57/100))))</f>
        <v/>
      </c>
      <c r="NA57" s="205" t="str">
        <f>IF(MP57="","",(IF(OR($MZ$78=0,$MZ$78=""),0,     ((VLOOKUP(Compositions!AQ122,'HHV-LHV-MW'!$A$3:$F$40,6,FALSE))*(MZ57/$MZ$78)))))</f>
        <v/>
      </c>
      <c r="NB57" s="28" t="str">
        <f>IF(Compositions!AS122="","",IF(Compositions!$AS$118="mol%",Compositions!AS122,NC57))</f>
        <v/>
      </c>
      <c r="NC57" s="28" t="str">
        <f t="shared" si="54"/>
        <v/>
      </c>
      <c r="ND57" s="28" t="str">
        <f>IF(Compositions!AS122="","",(Compositions!AS122/(VLOOKUP(Compositions!AQ122,'HHV-LHV-MW'!$A$3:$F$40,6,FALSE))))</f>
        <v/>
      </c>
      <c r="NE57" s="184" t="str">
        <f>IF(NB57="","",((VLOOKUP(Compositions!AQ122,'HHV-LHV-MW'!$A$3:$F$40,4,FALSE))*(NB57/100)))</f>
        <v/>
      </c>
      <c r="NF57" s="184" t="str">
        <f>IF(NB57="","",((VLOOKUP(Compositions!AQ122,'HHV-LHV-MW'!$A$3:$F$40,5,FALSE))*(NB57/100)))</f>
        <v/>
      </c>
      <c r="NG57" s="184" t="str">
        <f>IF(NB57="","",((VLOOKUP(Compositions!AQ122,'HHV-LHV-MW'!$A$3:$F$40,6,FALSE))*(NB57/100)))</f>
        <v/>
      </c>
      <c r="NH57" s="184" t="str">
        <f>IF(Compositions!AS122="","",(Compositions!AS122*(VLOOKUP(Compositions!AQ122,'HHV-LHV-MW'!$A$3:$F$40,6,FALSE))))</f>
        <v/>
      </c>
      <c r="NI57" s="297" t="str">
        <f>IF(Compositions!AS122="","",IF(OR(Compositions!$AS$118="wt%",Compositions!$AS$118=""),Compositions!AS122,(IF(NH57="","",((NH57/$NH$78)*100)))))</f>
        <v/>
      </c>
      <c r="NJ57" s="39" t="str">
        <f>IF(NI57="","",(IF(OR(Compositions!AQ122="Hydrogen",Compositions!AQ122="Helium",Compositions!AQ122="Water",Compositions!AQ122="Carbon Monoxide",Compositions!AQ122="Nitrogen",Compositions!AQ122="Oxygen",Compositions!AQ122="Hydrogen Sulfide",Compositions!AQ122="Argon",Compositions!AQ122="Carbon Dioxide",Compositions!AQ122="Carbon Disulfide"),0,NI57)))</f>
        <v/>
      </c>
      <c r="NK57" s="186" t="str">
        <f>IF(Compositions!AS122="","",((NB57/100)*((VLOOKUP(Compositions!AQ122,'HHV-LHV-MW'!$A$3:$G$40,7,FALSE)))))</f>
        <v/>
      </c>
      <c r="NL57" s="186" t="str">
        <f>IF(NB57="","",(IF(OR(Compositions!AQ122="Hydrogen",Compositions!AQ122="Carbon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Dioxide",Compositions!AQ122="Methane",Compositions!AQ122="Ethane"),0,(NB57/100))))</f>
        <v/>
      </c>
      <c r="NM57" s="39" t="str">
        <f>IF(NB57="","",(IF(OR($NL$78=0,$NL$78=""),0,     ((VLOOKUP(Compositions!AQ122,'HHV-LHV-MW'!$A$3:$F$40,6,FALSE))*(NL57/$NL$78)))))</f>
        <v/>
      </c>
      <c r="NN57" s="27" t="str">
        <f>IF(Compositions!AT122="","",IF(Compositions!$AT$118="mol%",Compositions!AT122,NO57))</f>
        <v/>
      </c>
      <c r="NO57" s="27" t="str">
        <f t="shared" si="55"/>
        <v/>
      </c>
      <c r="NP57" s="27" t="str">
        <f>IF(Compositions!AT122="","",(Compositions!AT122/(VLOOKUP(Compositions!AQ122,'HHV-LHV-MW'!$A$3:$F$40,6,FALSE))))</f>
        <v/>
      </c>
      <c r="NQ57" s="185" t="str">
        <f>IF(NN57="","",((VLOOKUP(Compositions!AQ122,'HHV-LHV-MW'!$A$3:$F$40,4,FALSE))*(NN57/100)))</f>
        <v/>
      </c>
      <c r="NR57" s="185" t="str">
        <f>IF(NN57="","",((VLOOKUP(Compositions!AQ122,'HHV-LHV-MW'!$A$3:$F$40,5,FALSE))*(NN57/100)))</f>
        <v/>
      </c>
      <c r="NS57" s="185" t="str">
        <f>IF(NN57="","",((VLOOKUP(Compositions!AQ122,'HHV-LHV-MW'!$A$3:$F$40,6,FALSE))*(NN57/100)))</f>
        <v/>
      </c>
      <c r="NT57" s="185" t="str">
        <f>IF(Compositions!AT122="","",(Compositions!AT122*(VLOOKUP(Compositions!AQ122,'HHV-LHV-MW'!$A$3:$F$40,6,FALSE))))</f>
        <v/>
      </c>
      <c r="NU57" s="298" t="str">
        <f>IF(Compositions!AT122="","",IF(OR(Compositions!$AT$118="wt%",Compositions!$AT$118=""),Compositions!AT122,(IF(NT57="","",((NT57/$NT$78)*100)))))</f>
        <v/>
      </c>
      <c r="NV57" s="185" t="str">
        <f>IF(NU57="","",(IF(OR(Compositions!AQ122="Hydrogen",Compositions!AQ122="Helium",Compositions!AQ122="Water",Compositions!AQ122="Carbon Monoxide",Compositions!AQ122="Nitrogen",Compositions!AQ122="Oxygen",Compositions!AQ122="Hydrogen Sulfide",Compositions!AQ122="Argon",Compositions!AQ122="Carbon Dioxide",Compositions!AQ122="Carbon Disulfide"),0,NU57)))</f>
        <v/>
      </c>
      <c r="NW57" s="187" t="str">
        <f>IF(Compositions!AT122="","",((NN57/100)*((VLOOKUP(Compositions!AQ122,'HHV-LHV-MW'!$A$3:$G$40,7,FALSE)))))</f>
        <v/>
      </c>
      <c r="NX57" s="187" t="str">
        <f>IF(NN57="","",(IF(OR(Compositions!AQ122="Hydrogen",Compositions!AQ122="Carbon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Dioxide",Compositions!AQ122="Methane",Compositions!AQ122="Ethane"),0,(NN57/100))))</f>
        <v/>
      </c>
      <c r="NY57" s="205" t="str">
        <f>IF(NN57="","",(IF(OR($NX$78=0,$NX$78=""),0,     ((VLOOKUP(Compositions!AQ122,'HHV-LHV-MW'!$A$3:$F$40,6,FALSE))*(NX57/$NX$78)))))</f>
        <v/>
      </c>
      <c r="NZ57" s="28" t="str">
        <f>IF(Compositions!AU122="","",IF(Compositions!$AU$118="mol%",Compositions!AU122,OA57))</f>
        <v/>
      </c>
      <c r="OA57" s="28" t="str">
        <f t="shared" si="56"/>
        <v/>
      </c>
      <c r="OB57" s="28" t="str">
        <f>IF(Compositions!AU122="","",(Compositions!AU122/(VLOOKUP(Compositions!AQ122,'HHV-LHV-MW'!$A$3:$F$40,6,FALSE))))</f>
        <v/>
      </c>
      <c r="OC57" s="184" t="str">
        <f>IF(NZ57="","",((VLOOKUP(Compositions!AQ122,'HHV-LHV-MW'!$A$3:$F$40,4,FALSE))*(NZ57/100)))</f>
        <v/>
      </c>
      <c r="OD57" s="184" t="str">
        <f>IF(NZ57="","",((VLOOKUP(Compositions!AQ122,'HHV-LHV-MW'!$A$3:$F$40,5,FALSE))*(NZ57/100)))</f>
        <v/>
      </c>
      <c r="OE57" s="184" t="str">
        <f>IF(NZ57="","",((VLOOKUP(Compositions!AQ122,'HHV-LHV-MW'!$A$3:$F$40,6,FALSE))*(NZ57/100)))</f>
        <v/>
      </c>
      <c r="OF57" s="184" t="str">
        <f>IF(Compositions!AU122="","",(Compositions!AU122*(VLOOKUP(Compositions!AQ122,'HHV-LHV-MW'!$A$3:$F$40,6,FALSE))))</f>
        <v/>
      </c>
      <c r="OG57" s="297" t="str">
        <f>IF(Compositions!AU122="","",IF(OR(Compositions!$AU$118="wt%",Compositions!$AU$118=""),Compositions!AU122,(IF(OF57="","",((OF57/$OF$78)*100)))))</f>
        <v/>
      </c>
      <c r="OH57" s="39" t="str">
        <f>IF(OG57="","",(IF(OR(Compositions!AQ122="Hydrogen",Compositions!AQ122="Helium",Compositions!AQ122="Water",Compositions!AQ122="Carbon Monoxide",Compositions!AQ122="Nitrogen",Compositions!AQ122="Oxygen",Compositions!AQ122="Hydrogen Sulfide",Compositions!AQ122="Argon",Compositions!AQ122="Carbon Dioxide",Compositions!AQ122="Carbon Disulfide"),0,OG57)))</f>
        <v/>
      </c>
      <c r="OI57" s="186" t="str">
        <f>IF(Compositions!AU122="","",((NZ57/100)*((VLOOKUP(Compositions!AQ122,'HHV-LHV-MW'!$A$3:$G$40,7,FALSE)))))</f>
        <v/>
      </c>
      <c r="OJ57" s="186" t="str">
        <f>IF(NZ57="","",(IF(OR(Compositions!AQ122="Hydrogen",Compositions!AQ122="Carbon Disulfide",Compositions!AQ122="Helium",Compositions!AQ122="Water",Compositions!AQ122="Carbon Monoxide",Compositions!AQ122="Nitrogen",Compositions!AQ122="Oxygen",Compositions!AQ122="Hydrogen Sulfide",Compositions!AQ122="Argon",Compositions!AQ122="Carbon Dioxide",Compositions!AQ122="Methane",Compositions!AQ122="Ethane"),0,(NZ57/100))))</f>
        <v/>
      </c>
      <c r="OK57" s="39" t="str">
        <f>IF(NZ57="","",(IF(OR($OJ$78=0,$OJ$78=""),0,     ((VLOOKUP(Compositions!AQ122,'HHV-LHV-MW'!$A$3:$F$40,6,FALSE))*(OJ57/$OJ$78)))))</f>
        <v/>
      </c>
      <c r="ON57" s="27" t="str">
        <f>IF(Compositions!AX122="","",IF(Compositions!$AX$118="mol%",Compositions!AX122,OO57))</f>
        <v/>
      </c>
      <c r="OO57" s="27" t="str">
        <f t="shared" si="57"/>
        <v/>
      </c>
      <c r="OP57" s="27" t="str">
        <f>IF(Compositions!AX122="","",(Compositions!AX122/(VLOOKUP(Compositions!AW122,'HHV-LHV-MW'!$A$3:$F$40,6,FALSE))))</f>
        <v/>
      </c>
      <c r="OQ57" s="185" t="str">
        <f>IF(ON57="","",((VLOOKUP(Compositions!AW122,'HHV-LHV-MW'!$A$3:$F$40,4,FALSE))*(ON57/100)))</f>
        <v/>
      </c>
      <c r="OR57" s="185" t="str">
        <f>IF(ON57="","",((VLOOKUP(Compositions!AW122,'HHV-LHV-MW'!$A$3:$F$40,5,FALSE))*(ON57/100)))</f>
        <v/>
      </c>
      <c r="OS57" s="185" t="str">
        <f>IF(ON57="","",((VLOOKUP(Compositions!AW122,'HHV-LHV-MW'!$A$3:$F$40,6,FALSE))*(ON57/100)))</f>
        <v/>
      </c>
      <c r="OT57" s="185" t="str">
        <f>IF(Compositions!AX122="","",(Compositions!AX122*(VLOOKUP(Compositions!AW122,'HHV-LHV-MW'!$A$3:$F$40,6,FALSE))))</f>
        <v/>
      </c>
      <c r="OU57" s="298" t="str">
        <f>IF(Compositions!AX122="","",IF(OR(Compositions!$AX$118="wt%",Compositions!$AX$118=""),Compositions!AX122,(IF(OT57="","",((OT57/$OT$78)*100)))))</f>
        <v/>
      </c>
      <c r="OV57" s="185" t="str">
        <f>IF(OU57="","",(IF(OR(Compositions!AW122="Hydrogen",Compositions!AW122="Helium",Compositions!AW122="Water",Compositions!AW122="Carbon Monoxide",Compositions!AW122="Nitrogen",Compositions!AW122="Oxygen",Compositions!AW122="Hydrogen Sulfide",Compositions!AW122="Argon",Compositions!AW122="Carbon Dioxide",Compositions!AW122="Carbon Disulfide"),0,OU57)))</f>
        <v/>
      </c>
      <c r="OW57" s="187" t="str">
        <f>IF(Compositions!AX122="","",((ON57/100)*((VLOOKUP(Compositions!AW122,'HHV-LHV-MW'!$A$3:$G$40,7,FALSE)))))</f>
        <v/>
      </c>
      <c r="OX57" s="187" t="str">
        <f>IF(ON57="","",(IF(OR(Compositions!AW122="Hydrogen",Compositions!AW122="Carbon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Dioxide",Compositions!AW122="Methane",Compositions!AW122="Ethane"),0,(ON57/100))))</f>
        <v/>
      </c>
      <c r="OY57" s="205" t="str">
        <f>IF(ON57="","",(IF(OR($OX$78=0,$OX$78=""),0,     ((VLOOKUP(Compositions!AW122,'HHV-LHV-MW'!$A$3:$F$40,6,FALSE))*(OX57/$OX$78)))))</f>
        <v/>
      </c>
      <c r="OZ57" s="28" t="str">
        <f>IF(Compositions!AY122="","",IF(Compositions!$AY$118="mol%",Compositions!AY122,PA57))</f>
        <v/>
      </c>
      <c r="PA57" s="28" t="str">
        <f t="shared" ref="PA57:PA77" si="64">IF(PB57="","",((PB57/$PB$78)*100))</f>
        <v/>
      </c>
      <c r="PB57" s="28" t="str">
        <f>IF(Compositions!AY122="","",(Compositions!AY122/(VLOOKUP(Compositions!AW122,'HHV-LHV-MW'!$A$3:$F$40,6,FALSE))))</f>
        <v/>
      </c>
      <c r="PC57" s="184" t="str">
        <f>IF(OZ57="","",((VLOOKUP(Compositions!AW122,'HHV-LHV-MW'!$A$3:$F$40,4,FALSE))*(OZ57/100)))</f>
        <v/>
      </c>
      <c r="PD57" s="184" t="str">
        <f>IF(OZ57="","",((VLOOKUP(Compositions!AW122,'HHV-LHV-MW'!$A$3:$F$40,5,FALSE))*(OZ57/100)))</f>
        <v/>
      </c>
      <c r="PE57" s="184" t="str">
        <f>IF(OZ57="","",((VLOOKUP(Compositions!AW122,'HHV-LHV-MW'!$A$3:$F$40,6,FALSE))*(OZ57/100)))</f>
        <v/>
      </c>
      <c r="PF57" s="184" t="str">
        <f>IF(Compositions!AY122="","",(Compositions!AY122*(VLOOKUP(Compositions!AW122,'HHV-LHV-MW'!$A$3:$F$40,6,FALSE))))</f>
        <v/>
      </c>
      <c r="PG57" s="297" t="str">
        <f>IF(Compositions!AY122="","",IF(OR(Compositions!$AY$118="wt%",Compositions!$AY$118=""),Compositions!AY122,(IF(PF57="","",((PF57/$PF$78)*100)))))</f>
        <v/>
      </c>
      <c r="PH57" s="39" t="str">
        <f>IF(PG57="","",(IF(OR(Compositions!AW122="Hydrogen",Compositions!AW122="Helium",Compositions!AW122="Water",Compositions!AW122="Carbon Monoxide",Compositions!AW122="Nitrogen",Compositions!AW122="Oxygen",Compositions!AW122="Hydrogen Sulfide",Compositions!AW122="Argon",Compositions!AW122="Carbon Dioxide",Compositions!AW122="Carbon Disulfide"),0,PG57)))</f>
        <v/>
      </c>
      <c r="PI57" s="186" t="str">
        <f>IF(Compositions!AY122="","",((OZ57/100)*((VLOOKUP(Compositions!AW122,'HHV-LHV-MW'!$A$3:$G$40,7,FALSE)))))</f>
        <v/>
      </c>
      <c r="PJ57" s="186" t="str">
        <f>IF(OZ57="","",(IF(OR(Compositions!AW122="Hydrogen",Compositions!AW122="Carbon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Dioxide",Compositions!AW122="Methane",Compositions!AW122="Ethane"),0,(OZ57/100))))</f>
        <v/>
      </c>
      <c r="PK57" s="39" t="str">
        <f>IF(OZ57="","",(IF(OR($PJ$78=0,$PJ$78=""),0,     ((VLOOKUP(Compositions!AW122,'HHV-LHV-MW'!$A$3:$F$40,6,FALSE))*(PJ57/$PJ$78)))))</f>
        <v/>
      </c>
      <c r="PL57" s="27" t="str">
        <f>IF(Compositions!AZ122="","",IF(Compositions!$AZ$118="mol%",Compositions!AZ122,PM57))</f>
        <v/>
      </c>
      <c r="PM57" s="27" t="str">
        <f t="shared" si="58"/>
        <v/>
      </c>
      <c r="PN57" s="27" t="str">
        <f>IF(Compositions!AZ122="","",(Compositions!AZ122/(VLOOKUP(Compositions!AW122,'HHV-LHV-MW'!$A$3:$F$40,6,FALSE))))</f>
        <v/>
      </c>
      <c r="PO57" s="185" t="str">
        <f>IF(PL57="","",((VLOOKUP(Compositions!AW122,'HHV-LHV-MW'!$A$3:$F$40,4,FALSE))*(PL57/100)))</f>
        <v/>
      </c>
      <c r="PP57" s="185" t="str">
        <f>IF(PL57="","",((VLOOKUP(Compositions!AW122,'HHV-LHV-MW'!$A$3:$F$40,5,FALSE))*(PL57/100)))</f>
        <v/>
      </c>
      <c r="PQ57" s="185" t="str">
        <f>IF(PL57="","",((VLOOKUP(Compositions!AW122,'HHV-LHV-MW'!$A$3:$F$40,6,FALSE))*(PL57/100)))</f>
        <v/>
      </c>
      <c r="PR57" s="185" t="str">
        <f>IF(Compositions!AZ122="","",(Compositions!AZ122*(VLOOKUP(Compositions!AW122,'HHV-LHV-MW'!$A$3:$F$40,6,FALSE))))</f>
        <v/>
      </c>
      <c r="PS57" s="298" t="str">
        <f>IF(Compositions!AZ122="","",IF(OR(Compositions!$AZ$118="wt%",Compositions!$AZ$118=""),Compositions!AZ122,(IF(PR57="","",((PR57/$PR$78)*100)))))</f>
        <v/>
      </c>
      <c r="PT57" s="185" t="str">
        <f>IF(PS57="","",(IF(OR(Compositions!AW122="Hydrogen",Compositions!AW122="Helium",Compositions!AW122="Water",Compositions!AW122="Carbon Monoxide",Compositions!AW122="Nitrogen",Compositions!AW122="Oxygen",Compositions!AW122="Hydrogen Sulfide",Compositions!AW122="Argon",Compositions!AW122="Carbon Dioxide",Compositions!AW122="Carbon Disulfide"),0,PS57)))</f>
        <v/>
      </c>
      <c r="PU57" s="187" t="str">
        <f>IF(Compositions!AZ122="","",((PL57/100)*((VLOOKUP(Compositions!AW122,'HHV-LHV-MW'!$A$3:$G$40,7,FALSE)))))</f>
        <v/>
      </c>
      <c r="PV57" s="187" t="str">
        <f>IF(PL57="","",(IF(OR(Compositions!AW122="Hydrogen",Compositions!AW122="Carbon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Dioxide",Compositions!AW122="Methane",Compositions!AW122="Ethane"),0,(PL57/100))))</f>
        <v/>
      </c>
      <c r="PW57" s="205" t="str">
        <f>IF(PL57="","",(IF(OR($PV$78=0,$PV$78=""),0,     ((VLOOKUP(Compositions!AW122,'HHV-LHV-MW'!$A$3:$F$40,6,FALSE))*(PV57/$PV$78)))))</f>
        <v/>
      </c>
      <c r="PX57" s="28" t="str">
        <f>IF(Compositions!BA122="","",IF(Compositions!$BA$118="mol%",Compositions!BA122,PY57))</f>
        <v/>
      </c>
      <c r="PY57" s="28" t="str">
        <f t="shared" si="59"/>
        <v/>
      </c>
      <c r="PZ57" s="28" t="str">
        <f>IF(Compositions!BA122="","",(Compositions!BA122/(VLOOKUP(Compositions!AW122,'HHV-LHV-MW'!$A$3:$F$40,6,FALSE))))</f>
        <v/>
      </c>
      <c r="QA57" s="184" t="str">
        <f>IF(PX57="","",((VLOOKUP(Compositions!AW122,'HHV-LHV-MW'!$A$3:$F$40,4,FALSE))*(PX57/100)))</f>
        <v/>
      </c>
      <c r="QB57" s="184" t="str">
        <f>IF(PX57="","",((VLOOKUP(Compositions!AW122,'HHV-LHV-MW'!$A$3:$F$40,5,FALSE))*(PX57/100)))</f>
        <v/>
      </c>
      <c r="QC57" s="184" t="str">
        <f>IF(PX57="","",((VLOOKUP(Compositions!AW122,'HHV-LHV-MW'!$A$3:$F$40,6,FALSE))*(PX57/100)))</f>
        <v/>
      </c>
      <c r="QD57" s="189" t="str">
        <f>IF(Compositions!BA122="","",(Compositions!BA122*(VLOOKUP(Compositions!AW122,'HHV-LHV-MW'!$A$3:$F$40,6,FALSE))))</f>
        <v/>
      </c>
      <c r="QE57" s="297" t="str">
        <f>IF(Compositions!BA122="","",IF(OR(Compositions!$BA$118="wt%",Compositions!$BA$118=""),Compositions!BA122,(IF(QD57="","",((QD57/$QD$78)*100)))))</f>
        <v/>
      </c>
      <c r="QF57" s="39" t="str">
        <f>IF(QE57="","",(IF(OR(Compositions!AW122="Hydrogen",Compositions!AW122="Helium",Compositions!AW122="Water",Compositions!AW122="Carbon Monoxide",Compositions!AW122="Nitrogen",Compositions!AW122="Oxygen",Compositions!AW122="Hydrogen Sulfide",Compositions!AW122="Argon",Compositions!AW122="Carbon Dioxide",Compositions!AW122="Carbon Disulfide"),0,QE57)))</f>
        <v/>
      </c>
      <c r="QG57" s="186" t="str">
        <f>IF(Compositions!BA122="","",((PX57/100)*((VLOOKUP(Compositions!AW122,'HHV-LHV-MW'!$A$3:$G$40,7,FALSE)))))</f>
        <v/>
      </c>
      <c r="QH57" s="186" t="str">
        <f>IF(PX57="","",(IF(OR(Compositions!AW122="Hydrogen",Compositions!AW122="Carbon Disulfide",Compositions!AW122="Helium",Compositions!AW122="Water",Compositions!AW122="Carbon Monoxide",Compositions!AW122="Nitrogen",Compositions!AW122="Oxygen",Compositions!AW122="Hydrogen Sulfide",Compositions!AW122="Argon",Compositions!AW122="Carbon Dioxide",Compositions!AW122="Methane",Compositions!AW122="Ethane"),0,(PX57/100))))</f>
        <v/>
      </c>
      <c r="QI57" s="39" t="str">
        <f>IF(PX57="","",(IF(OR($QH$78=0,$QH$78=""),0,     ((VLOOKUP(Compositions!AW122,'HHV-LHV-MW'!$A$3:$F$40,6,FALSE))*(QH57/$QH$78)))))</f>
        <v/>
      </c>
      <c r="QK57" s="27" t="str">
        <f>IF(Compositions!BD122="","",IF(Compositions!$BD$118="mol%",Compositions!BD122,QL57))</f>
        <v/>
      </c>
      <c r="QL57" s="27" t="str">
        <f t="shared" si="60"/>
        <v/>
      </c>
      <c r="QM57" s="27" t="str">
        <f>IF(Compositions!BD122="","",(Compositions!BD122/(VLOOKUP(Compositions!BC122,'HHV-LHV-MW'!$A$3:$F$40,6,FALSE))))</f>
        <v/>
      </c>
      <c r="QN57" s="185" t="str">
        <f>IF(QK57="","",((VLOOKUP(Compositions!BC122,'HHV-LHV-MW'!$A$3:$F$40,4,FALSE))*(QK57/100)))</f>
        <v/>
      </c>
      <c r="QO57" s="185" t="str">
        <f>IF(QK57="","",((VLOOKUP(Compositions!BC122,'HHV-LHV-MW'!$A$3:$F$40,5,FALSE))*(QK57/100)))</f>
        <v/>
      </c>
      <c r="QP57" s="185" t="str">
        <f>IF(QK57="","",((VLOOKUP(Compositions!BC122,'HHV-LHV-MW'!$A$3:$F$40,6,FALSE))*(QK57/100)))</f>
        <v/>
      </c>
      <c r="QQ57" s="185" t="str">
        <f>IF(Compositions!BD122="","",(Compositions!BD122*(VLOOKUP(Compositions!BC122,'HHV-LHV-MW'!$A$3:$F$40,6,FALSE))))</f>
        <v/>
      </c>
      <c r="QR57" s="298" t="str">
        <f>IF(Compositions!BD122="","",IF(OR(Compositions!$BD$118="wt%",Compositions!$BD$118=""),Compositions!BD122,(IF(QQ57="","",((QQ57/$QQ$78)*100)))))</f>
        <v/>
      </c>
      <c r="QS57" s="185" t="str">
        <f>IF(QR57="","",(IF(OR(Compositions!BC122="Hydrogen",Compositions!BC122="Helium",Compositions!BC122="Water",Compositions!BC122="Carbon Monoxide",Compositions!BC122="Nitrogen",Compositions!BC122="Oxygen",Compositions!BC122="Hydrogen Sulfide",Compositions!BC122="Argon",Compositions!BC122="Carbon Dioxide",Compositions!BC122="Carbon Disulfide"),0,QR57)))</f>
        <v/>
      </c>
      <c r="QT57" s="187" t="str">
        <f>IF(Compositions!BD122="","",((QK57/100)*((VLOOKUP(Compositions!BC122,'HHV-LHV-MW'!$A$3:$G$40,7,FALSE)))))</f>
        <v/>
      </c>
      <c r="QU57" s="187" t="str">
        <f>IF(QK57="","",(IF(OR(Compositions!BC122="Hydrogen",Compositions!BC122="Carbon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Dioxide",Compositions!BC122="Methane",Compositions!BC122="Ethane"),0,(QK57/100))))</f>
        <v/>
      </c>
      <c r="QV57" s="205" t="str">
        <f>IF(QK57="","",(IF(OR($QU$78=0,$QU$78=""),0,     ((VLOOKUP(Compositions!BC122,'HHV-LHV-MW'!$A$3:$F$40,6,FALSE))*(QU57/$QU$78)))))</f>
        <v/>
      </c>
      <c r="QW57" s="28" t="str">
        <f>IF(Compositions!BE122="","",IF(Compositions!$BE$118="mol%",Compositions!BE122,QX57))</f>
        <v/>
      </c>
      <c r="QX57" s="28" t="str">
        <f t="shared" si="61"/>
        <v/>
      </c>
      <c r="QY57" s="28" t="str">
        <f>IF(Compositions!BE122="","",(Compositions!BE122/(VLOOKUP(Compositions!BC122,'HHV-LHV-MW'!$A$3:$F$40,6,FALSE))))</f>
        <v/>
      </c>
      <c r="QZ57" s="184" t="str">
        <f>IF(QW57="","",((VLOOKUP(Compositions!BC122,'HHV-LHV-MW'!$A$3:$F$40,4,FALSE))*(QW57/100)))</f>
        <v/>
      </c>
      <c r="RA57" s="184" t="str">
        <f>IF(QW57="","",((VLOOKUP(Compositions!BC122,'HHV-LHV-MW'!$A$3:$F$40,5,FALSE))*(QW57/100)))</f>
        <v/>
      </c>
      <c r="RB57" s="184" t="str">
        <f>IF(QW57="","",((VLOOKUP(Compositions!BC122,'HHV-LHV-MW'!$A$3:$F$40,6,FALSE))*(QW57/100)))</f>
        <v/>
      </c>
      <c r="RC57" s="184" t="str">
        <f>IF(Compositions!BE122="","",(Compositions!BE122*(VLOOKUP(Compositions!BC122,'HHV-LHV-MW'!$A$3:$F$40,6,FALSE))))</f>
        <v/>
      </c>
      <c r="RD57" s="297" t="str">
        <f>IF(Compositions!BE122="","",IF(OR(Compositions!$BE$118="wt%",Compositions!$BE$118=""),Compositions!BE122,(IF(RC57="","",((RC57/$RC$78)*100)))))</f>
        <v/>
      </c>
      <c r="RE57" s="39" t="str">
        <f>IF(RD57="","",(IF(OR(Compositions!BC122="Hydrogen",Compositions!BC122="Helium",Compositions!BC122="Water",Compositions!BC122="Carbon Monoxide",Compositions!BC122="Nitrogen",Compositions!BC122="Oxygen",Compositions!BC122="Hydrogen Sulfide",Compositions!BC122="Argon",Compositions!BC122="Carbon Dioxide",Compositions!BC122="Carbon Disulfide"),0,RD57)))</f>
        <v/>
      </c>
      <c r="RF57" s="186" t="str">
        <f>IF(Compositions!BE122="","",((QW57/100)*((VLOOKUP(Compositions!BC122,'HHV-LHV-MW'!$A$3:$G$40,7,FALSE)))))</f>
        <v/>
      </c>
      <c r="RG57" s="186" t="str">
        <f>IF(QW57="","",(IF(OR(Compositions!BC122="Hydrogen",Compositions!BC122="Carbon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Dioxide",Compositions!BC122="Methane",Compositions!BC122="Ethane"),0,(QW57/100))))</f>
        <v/>
      </c>
      <c r="RH57" s="39" t="str">
        <f>IF(QW57="","",(IF(OR($RG$78=0,$RG$78=""),0,     ((VLOOKUP(Compositions!BC122,'HHV-LHV-MW'!$A$3:$F$40,6,FALSE))*(RG57/$RG$78)))))</f>
        <v/>
      </c>
      <c r="RI57" s="27" t="str">
        <f>IF(Compositions!BF122="","",IF(Compositions!$BF$118="mol%",Compositions!BF122,RJ57))</f>
        <v/>
      </c>
      <c r="RJ57" s="27" t="str">
        <f t="shared" si="62"/>
        <v/>
      </c>
      <c r="RK57" s="27" t="str">
        <f>IF(Compositions!BF122="","",(Compositions!BF122/(VLOOKUP(Compositions!BC122,'HHV-LHV-MW'!$A$3:$F$40,6,FALSE))))</f>
        <v/>
      </c>
      <c r="RL57" s="185" t="str">
        <f>IF(RI57="","",((VLOOKUP(Compositions!BC122,'HHV-LHV-MW'!$A$3:$F$40,4,FALSE))*(RI57/100)))</f>
        <v/>
      </c>
      <c r="RM57" s="185" t="str">
        <f>IF(RI57="","",((VLOOKUP(Compositions!BC122,'HHV-LHV-MW'!$A$3:$F$40,5,FALSE))*(RI57/100)))</f>
        <v/>
      </c>
      <c r="RN57" s="185" t="str">
        <f>IF(RI57="","",((VLOOKUP(Compositions!BC122,'HHV-LHV-MW'!$A$3:$F$40,6,FALSE))*(RI57/100)))</f>
        <v/>
      </c>
      <c r="RO57" s="185" t="str">
        <f>IF(Compositions!BF122="","",(Compositions!BF122*(VLOOKUP(Compositions!BC122,'HHV-LHV-MW'!$A$3:$F$40,6,FALSE))))</f>
        <v/>
      </c>
      <c r="RP57" s="298" t="str">
        <f>IF(Compositions!BF122="","",IF(OR(Compositions!$BF$118="wt%",Compositions!$BF$118=""),Compositions!BF122,(IF(RO57="","",((RO57/$RO$78)*100)))))</f>
        <v/>
      </c>
      <c r="RQ57" s="185" t="str">
        <f>IF(RP57="","",(IF(OR(Compositions!BC122="Hydrogen",Compositions!BC122="Helium",Compositions!BC122="Water",Compositions!BC122="Carbon Monoxide",Compositions!BC122="Nitrogen",Compositions!BC122="Oxygen",Compositions!BC122="Hydrogen Sulfide",Compositions!BC122="Argon",Compositions!BC122="Carbon Dioxide",Compositions!BC122="Carbon Disulfide"),0,RP57)))</f>
        <v/>
      </c>
      <c r="RR57" s="187" t="str">
        <f>IF(Compositions!BF122="","",((RI57/100)*((VLOOKUP(Compositions!BC122,'HHV-LHV-MW'!$A$3:$G$40,7,FALSE)))))</f>
        <v/>
      </c>
      <c r="RS57" s="187" t="str">
        <f>IF(RI57="","",(IF(OR(Compositions!BC122="Hydrogen",Compositions!BC122="Carbon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Dioxide",Compositions!BC122="Methane",Compositions!BC122="Ethane"),0,(RI57/100))))</f>
        <v/>
      </c>
      <c r="RT57" s="205" t="str">
        <f>IF(RI57="","",(IF(OR($RS$78=0,$RS$78=""),0,     ((VLOOKUP(Compositions!BC122,'HHV-LHV-MW'!$A$3:$F$40,6,FALSE))*(RS57/$RS$78)))))</f>
        <v/>
      </c>
      <c r="RU57" s="28" t="str">
        <f>IF(Compositions!BG122="","",IF(Compositions!$BG$118="mol%",Compositions!BG122,RV57))</f>
        <v/>
      </c>
      <c r="RV57" s="28" t="str">
        <f t="shared" si="63"/>
        <v/>
      </c>
      <c r="RW57" s="28" t="str">
        <f>IF(Compositions!BG122="","",(Compositions!BG122/(VLOOKUP(Compositions!BC122,'HHV-LHV-MW'!$A$3:$F$40,6,FALSE))))</f>
        <v/>
      </c>
      <c r="RX57" s="184" t="str">
        <f>IF(RU57="","",((VLOOKUP(Compositions!BC122,'HHV-LHV-MW'!$A$3:$F$40,4,FALSE))*(RU57/100)))</f>
        <v/>
      </c>
      <c r="RY57" s="184" t="str">
        <f>IF(RU57="","",((VLOOKUP(Compositions!BC122,'HHV-LHV-MW'!$A$3:$F$40,5,FALSE))*(RU57/100)))</f>
        <v/>
      </c>
      <c r="RZ57" s="184" t="str">
        <f>IF(RU57="","",((VLOOKUP(Compositions!BC122,'HHV-LHV-MW'!$A$3:$F$40,6,FALSE))*(RU57/100)))</f>
        <v/>
      </c>
      <c r="SA57" s="184" t="str">
        <f>IF(Compositions!BG122="","",(Compositions!BG122*(VLOOKUP(Compositions!BC122,'HHV-LHV-MW'!$A$3:$F$40,6,FALSE))))</f>
        <v/>
      </c>
      <c r="SB57" s="297" t="str">
        <f>IF(Compositions!BG122="","",IF(OR(Compositions!$BG$118="wt%",Compositions!$BG$118=""),Compositions!BG122,(IF(SA57="","",((SA57/$SA$78)*100)))))</f>
        <v/>
      </c>
      <c r="SC57" s="39" t="str">
        <f>IF(SB57="","",(IF(OR(Compositions!BC122="Hydrogen",Compositions!BC122="Helium",Compositions!BC122="Water",Compositions!BC122="Carbon Monoxide",Compositions!BC122="Nitrogen",Compositions!BC122="Oxygen",Compositions!BC122="Hydrogen Sulfide",Compositions!BC122="Argon",Compositions!BC122="Carbon Dioxide",Compositions!BC122="Carbon Disulfide"),0,SB57)))</f>
        <v/>
      </c>
      <c r="SD57" s="186" t="str">
        <f>IF(Compositions!BG122="","",((RU57/100)*((VLOOKUP(Compositions!BC122,'HHV-LHV-MW'!$A$3:$G$40,7,FALSE)))))</f>
        <v/>
      </c>
      <c r="SE57" s="186" t="str">
        <f>IF(RU57="","",(IF(OR(Compositions!BC122="Hydrogen",Compositions!BC122="Carbon Disulfide",Compositions!BC122="Helium",Compositions!BC122="Water",Compositions!BC122="Carbon Monoxide",Compositions!BC122="Nitrogen",Compositions!BC122="Oxygen",Compositions!BC122="Hydrogen Sulfide",Compositions!BC122="Argon",Compositions!BC122="Carbon Dioxide",Compositions!BC122="Methane",Compositions!BC122="Ethane"),0,(RU57/100))))</f>
        <v/>
      </c>
      <c r="SF57" s="39" t="str">
        <f>IF(RU57="","",(IF(OR($SE$78=0,$SE$78=""),0,     ((VLOOKUP(Compositions!BC122,'HHV-LHV-MW'!$A$3:$F$40,6,FALSE))*(SE57/$SE$78)))))</f>
        <v/>
      </c>
    </row>
    <row r="58" spans="1:500" ht="15.6">
      <c r="A58" s="18" t="s">
        <v>183</v>
      </c>
      <c r="B58" s="19" t="s">
        <v>182</v>
      </c>
      <c r="C58" s="20">
        <v>2</v>
      </c>
      <c r="D58" s="20">
        <v>1.56</v>
      </c>
      <c r="E58" s="20">
        <v>1.4288000000000001</v>
      </c>
      <c r="F58" s="20">
        <v>30.06964</v>
      </c>
      <c r="G58" s="20">
        <v>0</v>
      </c>
      <c r="H58" s="170"/>
      <c r="I58" s="170"/>
      <c r="K58" s="27" t="str">
        <f>IF(Compositions!B123="","",IF(Compositions!$B$118="mol%",Compositions!B123,L58))</f>
        <v/>
      </c>
      <c r="L58" s="27" t="str">
        <f t="shared" si="25"/>
        <v/>
      </c>
      <c r="M58" s="27" t="str">
        <f>IF(Compositions!B123="","",(Compositions!B123/(VLOOKUP(Compositions!A123,'HHV-LHV-MW'!$A$3:$F$40,6,FALSE))))</f>
        <v/>
      </c>
      <c r="N58" s="25" t="str">
        <f>IF(K58="","",((VLOOKUP(Compositions!A123,'HHV-LHV-MW'!$A$3:$F$40,4,FALSE))*(K58/100)))</f>
        <v/>
      </c>
      <c r="O58" s="25" t="str">
        <f>IF(K58="","",((VLOOKUP(Compositions!A123,'HHV-LHV-MW'!$A$3:$F$40,5,FALSE))*(K58/100)))</f>
        <v/>
      </c>
      <c r="P58" s="25" t="str">
        <f>IF(K58="","",((VLOOKUP(Compositions!A123,'HHV-LHV-MW'!$A$3:$F$40,6,FALSE))*(K58/100)))</f>
        <v/>
      </c>
      <c r="Q58" s="25" t="str">
        <f>IF(Compositions!B123="","",(Compositions!B123*(VLOOKUP(Compositions!A123,'HHV-LHV-MW'!$A$3:$F$40,6,FALSE))))</f>
        <v/>
      </c>
      <c r="R58" s="188" t="str">
        <f>IF(Compositions!B123="","",IF(OR(Compositions!$B$118="wt%",Compositions!$B$118=""),Compositions!B123,(IF(Q58="","",((Q58/$Q$78)*100)))))</f>
        <v/>
      </c>
      <c r="S58" s="185" t="str">
        <f>IF(R58="","",(IF(OR(Compositions!A123="Hydrogen",Compositions!A123="Helium",Compositions!A123="Water",Compositions!A123="Carbon Monoxide",Compositions!A123="Nitrogen",Compositions!A123="Oxygen",Compositions!A123="Hydrogen Sulfide",Compositions!A123="Argon",Compositions!A123="Carbon Dioxide",Compositions!A123="Carbon Disulfide"),0,R58)))</f>
        <v/>
      </c>
      <c r="T58" s="169" t="str">
        <f>IF(Compositions!B123="","",((K58/100)*((VLOOKUP(Compositions!A123,'HHV-LHV-MW'!$A$3:$G$40,7,FALSE)))))</f>
        <v/>
      </c>
      <c r="U58" s="187" t="str">
        <f>IF(K58="","",(IF(OR(Compositions!A123="Hydrogen",Compositions!A123="Carbon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Dioxide",Compositions!A123="Methane",Compositions!A123="Ethane"),0,(K58/100))))</f>
        <v/>
      </c>
      <c r="V58" s="188" t="str">
        <f>IF(K58="","", (IF(OR($U$78=0,$U$78=""),0,((VLOOKUP(Compositions!A123,'HHV-LHV-MW'!$A$3:$F$40,6,FALSE))*(U58/$U$78))   ))   )</f>
        <v/>
      </c>
      <c r="W58" s="28" t="str">
        <f>IF(Compositions!C123="","",IF(Compositions!$C$118="mol%",Compositions!C123,X58))</f>
        <v/>
      </c>
      <c r="X58" s="28" t="str">
        <f t="shared" si="26"/>
        <v/>
      </c>
      <c r="Y58" s="28" t="str">
        <f>IF(Compositions!C123="","",(Compositions!C123/(VLOOKUP(Compositions!A123,'HHV-LHV-MW'!$A$3:$F$40,6,FALSE))))</f>
        <v/>
      </c>
      <c r="Z58" s="26" t="str">
        <f>IF(W58="","",((VLOOKUP(Compositions!A123,'HHV-LHV-MW'!$A$3:$F$40,4,FALSE))*(W58/100)))</f>
        <v/>
      </c>
      <c r="AA58" s="26" t="str">
        <f>IF(W58="","",((VLOOKUP(Compositions!A123,'HHV-LHV-MW'!$A$3:$F$40,5,FALSE))*(W58/100)))</f>
        <v/>
      </c>
      <c r="AB58" s="26" t="str">
        <f>IF(W58="","",((VLOOKUP(Compositions!A123,'HHV-LHV-MW'!$A$3:$F$40,6,FALSE))*(W58/100)))</f>
        <v/>
      </c>
      <c r="AC58" s="26" t="str">
        <f>IF(Compositions!C123="","",(Compositions!C123*(VLOOKUP(Compositions!A123,'HHV-LHV-MW'!$A$3:$F$40,6,FALSE))))</f>
        <v/>
      </c>
      <c r="AD58" s="296" t="str">
        <f>IF(Compositions!C123="","",IF(OR(Compositions!$C$118="wt%",Compositions!$C$118=""),Compositions!C123,(IF(AC58="","",((AC58/$AC$78)*100)))))</f>
        <v/>
      </c>
      <c r="AE58" s="39" t="str">
        <f>IF(AD58="","",(IF(OR(Compositions!A123="Hydrogen",Compositions!A123="Helium",Compositions!A123="Water",Compositions!A123="Carbon Monoxide",Compositions!A123="Nitrogen",Compositions!A123="Oxygen",Compositions!A123="Hydrogen Sulfide",Compositions!A123="Argon",Compositions!A123="Carbon Dioxide",Compositions!A123="Carbon Disulfide"),0,AD58)))</f>
        <v/>
      </c>
      <c r="AF58" s="186" t="str">
        <f>IF(Compositions!C123="","",((W58/100)*((VLOOKUP(Compositions!A123,'HHV-LHV-MW'!$A$3:$G$40,7,FALSE)))))</f>
        <v/>
      </c>
      <c r="AG58" s="186" t="str">
        <f>IF(W58="","",(IF(OR(Compositions!A123="Hydrogen",Compositions!A123="Carbon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Dioxide",Compositions!A123="Methane",Compositions!A123="Ethane"),0,(W58/100))))</f>
        <v/>
      </c>
      <c r="AH58" s="39" t="str">
        <f>IF(W58="","", (IF(OR($AG$78=0,$AG$78=""),0,   ((VLOOKUP(Compositions!A123,'HHV-LHV-MW'!$A$3:$F$40,6,FALSE))*(AG58/$AG$78)))))</f>
        <v/>
      </c>
      <c r="AI58" s="27" t="str">
        <f>IF(Compositions!D123="","",IF(Compositions!$D$118="mol%",Compositions!D123,AJ58))</f>
        <v/>
      </c>
      <c r="AJ58" s="27" t="str">
        <f t="shared" si="27"/>
        <v/>
      </c>
      <c r="AK58" s="27" t="str">
        <f>IF(Compositions!D123="","",(Compositions!D123/(VLOOKUP(Compositions!A123,'HHV-LHV-MW'!$A$3:$F$40,6,FALSE))))</f>
        <v/>
      </c>
      <c r="AL58" s="25" t="str">
        <f>IF(AI58="","",((VLOOKUP(Compositions!A123,'HHV-LHV-MW'!$A$3:$F$40,4,FALSE))*(AI58/100)))</f>
        <v/>
      </c>
      <c r="AM58" s="25" t="str">
        <f>IF(AI58="","",((VLOOKUP(Compositions!A123,'HHV-LHV-MW'!$A$3:$F$40,5,FALSE))*(AI58/100)))</f>
        <v/>
      </c>
      <c r="AN58" s="25" t="str">
        <f>IF(AI58="","",((VLOOKUP(Compositions!A123,'HHV-LHV-MW'!$A$3:$F$40,6,FALSE))*(AI58/100)))</f>
        <v/>
      </c>
      <c r="AO58" s="25" t="str">
        <f>IF(Compositions!D123="","",(Compositions!D123*(VLOOKUP(Compositions!A123,'HHV-LHV-MW'!$A$3:$F$40,6,FALSE))))</f>
        <v/>
      </c>
      <c r="AP58" s="295" t="str">
        <f>IF(Compositions!D123="","",IF(OR(Compositions!$D$118="wt%",Compositions!$D$118=""),Compositions!D123,(IF(AO58="","",((AO58/$AO$78)*100)))))</f>
        <v/>
      </c>
      <c r="AQ58" s="185" t="str">
        <f>IF(AP58="","",(IF(OR(Compositions!A123="Hydrogen",Compositions!A123="Helium",Compositions!A123="Water",Compositions!A123="Carbon Monoxide",Compositions!A123="Nitrogen",Compositions!A123="Oxygen",Compositions!A123="Hydrogen Sulfide",Compositions!A123="Argon",Compositions!A123="Carbon Dioxide",Compositions!A123="Carbon Disulfide"),0,AP58)))</f>
        <v/>
      </c>
      <c r="AR58" s="187" t="str">
        <f>IF(Compositions!D123="","",((AI58/100)*((VLOOKUP(Compositions!A123,'HHV-LHV-MW'!$A$3:$G$40,7,FALSE)))))</f>
        <v/>
      </c>
      <c r="AS58" s="187" t="str">
        <f>IF(AI58="","",(IF(OR(Compositions!A123="Hydrogen",Compositions!A123="Carbon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Dioxide",Compositions!A123="Methane",Compositions!A123="Ethane"),0,(AI58/100))))</f>
        <v/>
      </c>
      <c r="AT58" s="205" t="str">
        <f>IF(AI58="","",(IF(OR($AS$78=0,$AS$78=""),0,      ((VLOOKUP(Compositions!A123,'HHV-LHV-MW'!$A$3:$F$40,6,FALSE))*(AS58/$AS$78)))))</f>
        <v/>
      </c>
      <c r="AU58" s="28" t="str">
        <f>IF(Compositions!E123="","",IF(Compositions!$E$118="mol%",Compositions!E123,AV58))</f>
        <v/>
      </c>
      <c r="AV58" s="28" t="str">
        <f t="shared" si="28"/>
        <v/>
      </c>
      <c r="AW58" s="28" t="str">
        <f>IF(Compositions!E123="","",(Compositions!E123/(VLOOKUP(Compositions!A123,'HHV-LHV-MW'!$A$3:$F$40,6,FALSE))))</f>
        <v/>
      </c>
      <c r="AX58" s="26" t="str">
        <f>IF(AU58="","",((VLOOKUP(Compositions!A123,'HHV-LHV-MW'!$A$3:$F$40,4,FALSE))*(AU58/100)))</f>
        <v/>
      </c>
      <c r="AY58" s="26" t="str">
        <f>IF(AU58="","",((VLOOKUP(Compositions!A123,'HHV-LHV-MW'!$A$3:$F$40,5,FALSE))*(AU58/100)))</f>
        <v/>
      </c>
      <c r="AZ58" s="26" t="str">
        <f>IF(AU58="","",((VLOOKUP(Compositions!A123,'HHV-LHV-MW'!$A$3:$F$40,6,FALSE))*(AU58/100)))</f>
        <v/>
      </c>
      <c r="BA58" s="26" t="str">
        <f>IF(Compositions!E123="","",(Compositions!E123*(VLOOKUP(Compositions!A123,'HHV-LHV-MW'!$A$3:$F$40,6,FALSE))))</f>
        <v/>
      </c>
      <c r="BB58" s="296" t="str">
        <f>IF(Compositions!E123="","",IF(OR(Compositions!$E$118="wt%",Compositions!$E$118=""),Compositions!E123,(IF(BA58="","",((BA58/$BA$78)*100)))))</f>
        <v/>
      </c>
      <c r="BC58" s="39" t="str">
        <f>IF(BB58="","",(IF(OR(Compositions!A123="Hydrogen",Compositions!A123="Helium",Compositions!A123="Water",Compositions!A123="Carbon Monoxide",Compositions!A123="Nitrogen",Compositions!A123="Oxygen",Compositions!A123="Hydrogen Sulfide",Compositions!A123="Argon",Compositions!A123="Carbon Dioxide",Compositions!A123="Carbon Disulfide"),0,BB58)))</f>
        <v/>
      </c>
      <c r="BD58" s="186" t="str">
        <f>IF(Compositions!E123="","",((AU58/100)*((VLOOKUP(Compositions!A123,'HHV-LHV-MW'!$A$3:$G$40,7,FALSE)))))</f>
        <v/>
      </c>
      <c r="BE58" s="186" t="str">
        <f>IF(AU58="","",(IF(OR(Compositions!A123="Hydrogen",Compositions!A123="Carbon Disulfide",Compositions!A123="Helium",Compositions!A123="Water",Compositions!A123="Carbon Monoxide",Compositions!A123="Nitrogen",Compositions!A123="Oxygen",Compositions!A123="Hydrogen Sulfide",Compositions!A123="Argon",Compositions!A123="Carbon Dioxide",Compositions!A123="Methane",Compositions!A123="Ethane"),0,(AU58/100))))</f>
        <v/>
      </c>
      <c r="BF58" s="39" t="str">
        <f>IF(AU58="","",(IF(OR($BE$78=0,$BE$78=""),0,     ((VLOOKUP(Compositions!A123,'HHV-LHV-MW'!$A$3:$F$40,6,FALSE))*(BE58/$BE$78)))))</f>
        <v/>
      </c>
      <c r="BH58" s="27" t="str">
        <f>IF(Compositions!H123="","",IF(Compositions!$H$118="mol%",Compositions!H123,BI58))</f>
        <v/>
      </c>
      <c r="BI58" s="27" t="str">
        <f t="shared" si="29"/>
        <v/>
      </c>
      <c r="BJ58" s="27" t="str">
        <f>IF(Compositions!H123="","",(Compositions!H123/(VLOOKUP(Compositions!G123,'HHV-LHV-MW'!$A$3:$F$40,6,FALSE))))</f>
        <v/>
      </c>
      <c r="BK58" s="25" t="str">
        <f>IF(BH58="","",((VLOOKUP(Compositions!G123,'HHV-LHV-MW'!$A$3:$F$40,4,FALSE))*(BH58/100)))</f>
        <v/>
      </c>
      <c r="BL58" s="25" t="str">
        <f>IF(BH58="","",((VLOOKUP(Compositions!G123,'HHV-LHV-MW'!$A$3:$F$40,5,FALSE))*(BH58/100)))</f>
        <v/>
      </c>
      <c r="BM58" s="25" t="str">
        <f>IF(BH58="","",((VLOOKUP(Compositions!G123,'HHV-LHV-MW'!$A$3:$F$40,6,FALSE))*(BH58/100)))</f>
        <v/>
      </c>
      <c r="BN58" s="25" t="str">
        <f>IF(Compositions!H123="","",(Compositions!H123*(VLOOKUP(Compositions!G123,'HHV-LHV-MW'!$A$3:$F$40,6,FALSE))))</f>
        <v/>
      </c>
      <c r="BO58" s="295" t="str">
        <f>IF(Compositions!H123="","",IF(OR(Compositions!$H$118="wt%",Compositions!$H$118=""),Compositions!H123,(IF(BN58="","",((BN58/$BN$78)*100)))))</f>
        <v/>
      </c>
      <c r="BP58" s="185" t="str">
        <f>IF(BO58="","",(IF(OR(Compositions!G123="Hydrogen",Compositions!G123="Helium",Compositions!G123="Water",Compositions!G123="Carbon Monoxide",Compositions!G123="Nitrogen",Compositions!G123="Oxygen",Compositions!G123="Hydrogen Sulfide",Compositions!G123="Argon",Compositions!G123="Carbon Dioxide",Compositions!G123="Carbon Disulfide"),0,BO58)))</f>
        <v/>
      </c>
      <c r="BQ58" s="187" t="str">
        <f>IF(Compositions!H123="","",((BH58/100)*((VLOOKUP(Compositions!G123,'HHV-LHV-MW'!$A$3:$G$40,7,FALSE)))))</f>
        <v/>
      </c>
      <c r="BR58" s="187" t="str">
        <f>IF(BH58="","",(IF(OR(Compositions!G123="Hydrogen",Compositions!G123="Carbon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Dioxide",Compositions!G123="Methane",Compositions!G123="Ethane"),0,(BH58/100))))</f>
        <v/>
      </c>
      <c r="BS58" s="205" t="str">
        <f>IF(BH58="","",(IF(OR($BR$78=0,$BR$78=""),0,    ((VLOOKUP(Compositions!G123,'HHV-LHV-MW'!$A$3:$F$40,6,FALSE))*(BR58/$BR$78)))))</f>
        <v/>
      </c>
      <c r="BT58" s="28" t="str">
        <f>IF(Compositions!I123="","",IF(Compositions!$I$118="mol%",Compositions!I123,BU58))</f>
        <v/>
      </c>
      <c r="BU58" s="28" t="str">
        <f t="shared" si="30"/>
        <v/>
      </c>
      <c r="BV58" s="28" t="str">
        <f>IF(Compositions!I123="","",(Compositions!I123/(VLOOKUP(Compositions!G123,'HHV-LHV-MW'!$A$3:$F$40,6,FALSE))))</f>
        <v/>
      </c>
      <c r="BW58" s="26" t="str">
        <f>IF(BT58="","",((VLOOKUP(Compositions!G123,'HHV-LHV-MW'!$A$3:$F$40,4,FALSE))*(BT58/100)))</f>
        <v/>
      </c>
      <c r="BX58" s="26" t="str">
        <f>IF(BT58="","",((VLOOKUP(Compositions!G123,'HHV-LHV-MW'!$A$3:$F$40,5,FALSE))*(BT58/100)))</f>
        <v/>
      </c>
      <c r="BY58" s="26" t="str">
        <f>IF(BT58="","",((VLOOKUP(Compositions!G123,'HHV-LHV-MW'!$A$3:$F$40,6,FALSE))*(BT58/100)))</f>
        <v/>
      </c>
      <c r="BZ58" s="26" t="str">
        <f>IF(Compositions!I123="","",(Compositions!I123*(VLOOKUP(Compositions!G123,'HHV-LHV-MW'!$A$3:$F$40,6,FALSE))))</f>
        <v/>
      </c>
      <c r="CA58" s="296" t="str">
        <f>IF(Compositions!I123="","",IF(OR(Compositions!$I$118="wt%",Compositions!$I$118=""),Compositions!I123,(IF(BZ58="","",((BZ58/$BZ$78)*100)))))</f>
        <v/>
      </c>
      <c r="CB58" s="39" t="str">
        <f>IF(CA58="","",(IF(OR(Compositions!G123="Hydrogen",Compositions!G123="Helium",Compositions!G123="Water",Compositions!G123="Carbon Monoxide",Compositions!G123="Nitrogen",Compositions!G123="Oxygen",Compositions!G123="Hydrogen Sulfide",Compositions!G123="Argon",Compositions!G123="Carbon Dioxide",Compositions!G123="Carbon Disulfide"),0,CA58)))</f>
        <v/>
      </c>
      <c r="CC58" s="186" t="str">
        <f>IF(Compositions!I123="","",((BT58/100)*((VLOOKUP(Compositions!G123,'HHV-LHV-MW'!$A$3:$G$40,7,FALSE)))))</f>
        <v/>
      </c>
      <c r="CD58" s="186" t="str">
        <f>IF(BT58="","",(IF(OR(Compositions!G123="Hydrogen",Compositions!G123="Carbon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Dioxide",Compositions!G123="Methane",Compositions!G123="Ethane"),0,(BT58/100))))</f>
        <v/>
      </c>
      <c r="CE58" s="39" t="str">
        <f>IF(BT58="","",(IF(OR($CD$78=0,$CD$78=""),0,       ((VLOOKUP(Compositions!G123,'HHV-LHV-MW'!$A$3:$F$40,6,FALSE))*(CD58/$CD$78)))))</f>
        <v/>
      </c>
      <c r="CF58" s="27" t="str">
        <f>IF(Compositions!J123="","",IF(Compositions!$J$118="mol%",Compositions!J123,CG58))</f>
        <v/>
      </c>
      <c r="CG58" s="27" t="str">
        <f t="shared" si="31"/>
        <v/>
      </c>
      <c r="CH58" s="27" t="str">
        <f>IF(Compositions!J123="","",(Compositions!J123/(VLOOKUP(Compositions!G123,'HHV-LHV-MW'!$A$3:$F$40,6,FALSE))))</f>
        <v/>
      </c>
      <c r="CI58" s="25" t="str">
        <f>IF(CF58="","",((VLOOKUP(Compositions!G123,'HHV-LHV-MW'!$A$3:$F$40,4,FALSE))*(CF58/100)))</f>
        <v/>
      </c>
      <c r="CJ58" s="25" t="str">
        <f>IF(CF58="","",((VLOOKUP(Compositions!G123,'HHV-LHV-MW'!$A$3:$F$40,5,FALSE))*(CF58/100)))</f>
        <v/>
      </c>
      <c r="CK58" s="25" t="str">
        <f>IF(CF58="","",((VLOOKUP(Compositions!G123,'HHV-LHV-MW'!$A$3:$F$40,6,FALSE))*(CF58/100)))</f>
        <v/>
      </c>
      <c r="CL58" s="25" t="str">
        <f>IF(Compositions!J123="","",(Compositions!J123*(VLOOKUP(Compositions!G123,'HHV-LHV-MW'!$A$3:$F$40,6,FALSE))))</f>
        <v/>
      </c>
      <c r="CM58" s="295" t="str">
        <f>IF(Compositions!J123="","",IF(OR(Compositions!$J$118="wt%",Compositions!$J$118=""),Compositions!J123,(IF(CL58="","",((CL58/$CL$78)*100)))))</f>
        <v/>
      </c>
      <c r="CN58" s="185" t="str">
        <f>IF(CM58="","",(IF(OR(Compositions!G123="Hydrogen",Compositions!G123="Helium",Compositions!G123="Water",Compositions!G123="Carbon Monoxide",Compositions!G123="Nitrogen",Compositions!G123="Oxygen",Compositions!G123="Hydrogen Sulfide",Compositions!G123="Argon",Compositions!G123="Carbon Dioxide",Compositions!G123="Carbon Disulfide"),0,CM58)))</f>
        <v/>
      </c>
      <c r="CO58" s="187" t="str">
        <f>IF(Compositions!J123="","",((CF58/100)*((VLOOKUP(Compositions!G123,'HHV-LHV-MW'!$A$3:$G$40,7,FALSE)))))</f>
        <v/>
      </c>
      <c r="CP58" s="187" t="str">
        <f>IF(CF58="","",(IF(OR(Compositions!G123="Hydrogen",Compositions!G123="Carbon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Dioxide",Compositions!G123="Methane",Compositions!G123="Ethane"),0,(CF58/100))))</f>
        <v/>
      </c>
      <c r="CQ58" s="205" t="str">
        <f>IF(CF58="","",(IF(OR($CP$78=0,$CP$78=""),0,       ((VLOOKUP(Compositions!G123,'HHV-LHV-MW'!$A$3:$F$40,6,FALSE))*(CP58/$CP$78)))))</f>
        <v/>
      </c>
      <c r="CR58" s="28" t="str">
        <f>IF(Compositions!K123="","",IF(Compositions!$K$118="mol%",Compositions!K123,CS58))</f>
        <v/>
      </c>
      <c r="CS58" s="28" t="str">
        <f t="shared" si="32"/>
        <v/>
      </c>
      <c r="CT58" s="28" t="str">
        <f>IF(Compositions!K123="","",(Compositions!K123/(VLOOKUP(Compositions!G123,'HHV-LHV-MW'!$A$3:$F$40,6,FALSE))))</f>
        <v/>
      </c>
      <c r="CU58" s="26" t="str">
        <f>IF(CR58="","",((VLOOKUP(Compositions!G123,'HHV-LHV-MW'!$A$3:$F$40,4,FALSE))*(CR58/100)))</f>
        <v/>
      </c>
      <c r="CV58" s="26" t="str">
        <f>IF(CR58="","",((VLOOKUP(Compositions!G123,'HHV-LHV-MW'!$A$3:$F$40,5,FALSE))*(CR58/100)))</f>
        <v/>
      </c>
      <c r="CW58" s="26" t="str">
        <f>IF(CR58="","",((VLOOKUP(Compositions!G123,'HHV-LHV-MW'!$A$3:$F$40,6,FALSE))*(CR58/100)))</f>
        <v/>
      </c>
      <c r="CX58" s="26" t="str">
        <f>IF(Compositions!K123="","",(Compositions!K123*(VLOOKUP(Compositions!G123,'HHV-LHV-MW'!$A$3:$F$40,6,FALSE))))</f>
        <v/>
      </c>
      <c r="CY58" s="296" t="str">
        <f>IF(Compositions!K123="","",IF(OR(Compositions!$K$118="wt%",Compositions!$K$118=""),Compositions!K123,(IF(CX58="","",((CX58/$CX$78)*100)))))</f>
        <v/>
      </c>
      <c r="CZ58" s="39" t="str">
        <f>IF(CY58="","",(IF(OR(Compositions!G123="Hydrogen",Compositions!G123="Helium",Compositions!G123="Water",Compositions!G123="Carbon Monoxide",Compositions!G123="Nitrogen",Compositions!G123="Oxygen",Compositions!G123="Hydrogen Sulfide",Compositions!G123="Argon",Compositions!G123="Carbon Dioxide",Compositions!G123="Carbon Disulfide"),0,CY58)))</f>
        <v/>
      </c>
      <c r="DA58" s="186" t="str">
        <f>IF(Compositions!K123="","",((CR58/100)*((VLOOKUP(Compositions!G123,'HHV-LHV-MW'!$A$3:$G$40,7,FALSE)))))</f>
        <v/>
      </c>
      <c r="DB58" s="186" t="str">
        <f>IF(CR58="","",(IF(OR(Compositions!G123="Hydrogen",Compositions!G123="Carbon Disulfide",Compositions!G123="Helium",Compositions!G123="Water",Compositions!G123="Carbon Monoxide",Compositions!G123="Nitrogen",Compositions!G123="Oxygen",Compositions!G123="Hydrogen Sulfide",Compositions!G123="Argon",Compositions!G123="Carbon Dioxide",Compositions!G123="Methane",Compositions!G123="Ethane"),0,(CR58/100))))</f>
        <v/>
      </c>
      <c r="DC58" s="39" t="str">
        <f>IF(CR58="","",(IF(OR($DB$78=0,$DB$78=""),0,       ((VLOOKUP(Compositions!G123,'HHV-LHV-MW'!$A$3:$F$40,6,FALSE))*(DB58/$DB$78)))))</f>
        <v/>
      </c>
      <c r="DE58" s="27" t="str">
        <f>IF(Compositions!N123="","",IF(Compositions!$N$118="mol%",Compositions!N123,DF58))</f>
        <v/>
      </c>
      <c r="DF58" s="27" t="str">
        <f t="shared" si="33"/>
        <v/>
      </c>
      <c r="DG58" s="27" t="str">
        <f>IF(Compositions!N123="","",(Compositions!N123/(VLOOKUP(Compositions!M123,'HHV-LHV-MW'!$A$3:$F$40,6,FALSE))))</f>
        <v/>
      </c>
      <c r="DH58" s="25" t="str">
        <f>IF(DE58="","",((VLOOKUP(Compositions!M123,'HHV-LHV-MW'!$A$3:$F$40,4,FALSE))*(DE58/100)))</f>
        <v/>
      </c>
      <c r="DI58" s="25" t="str">
        <f>IF(DE58="","",((VLOOKUP(Compositions!M123,'HHV-LHV-MW'!$A$3:$F$40,5,FALSE))*(DE58/100)))</f>
        <v/>
      </c>
      <c r="DJ58" s="25" t="str">
        <f>IF(DE58="","",((VLOOKUP(Compositions!M123,'HHV-LHV-MW'!$A$3:$F$40,6,FALSE))*(DE58/100)))</f>
        <v/>
      </c>
      <c r="DK58" s="25" t="str">
        <f>IF(Compositions!N123="","",(Compositions!N123*(VLOOKUP(Compositions!M123,'HHV-LHV-MW'!$A$3:$F$40,6,FALSE))))</f>
        <v/>
      </c>
      <c r="DL58" s="295" t="str">
        <f>IF(Compositions!N123="","",IF(OR(Compositions!$N$118="wt%",Compositions!$N$118=""),Compositions!N123,(IF(DK58="","",((DK58/$DK$78)*100)))))</f>
        <v/>
      </c>
      <c r="DM58" s="185" t="str">
        <f>IF(DL58="","",(IF(OR(Compositions!M123="Hydrogen",Compositions!M123="Helium",Compositions!M123="Water",Compositions!M123="Carbon Monoxide",Compositions!M123="Nitrogen",Compositions!M123="Oxygen",Compositions!M123="Hydrogen Sulfide",Compositions!M123="Argon",Compositions!M123="Carbon Dioxide",Compositions!M123="Carbon Disulfide"),0,DL58)))</f>
        <v/>
      </c>
      <c r="DN58" s="187" t="str">
        <f>IF(Compositions!N123="","",((DE58/100)*((VLOOKUP(Compositions!M123,'HHV-LHV-MW'!$A$3:$G$40,7,FALSE)))))</f>
        <v/>
      </c>
      <c r="DO58" s="187" t="str">
        <f>IF(DE58="","",(IF(OR(Compositions!M123="Hydrogen",Compositions!M123="Carbon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Dioxide",Compositions!M123="Methane",Compositions!M123="Ethane"),0,(DE58/100))))</f>
        <v/>
      </c>
      <c r="DP58" s="205" t="str">
        <f>IF(DE58="","",(IF(OR($DO$78=0,$DO$78=""),0,       ((VLOOKUP(Compositions!M123,'HHV-LHV-MW'!$A$3:$F$40,6,FALSE))*(DO58/$DO$78)))))</f>
        <v/>
      </c>
      <c r="DQ58" s="28" t="str">
        <f>IF(Compositions!O123="","",IF(Compositions!$O$118="mol%",Compositions!O123,DR58))</f>
        <v/>
      </c>
      <c r="DR58" s="28" t="str">
        <f t="shared" si="34"/>
        <v/>
      </c>
      <c r="DS58" s="28" t="str">
        <f>IF(Compositions!O123="","",(Compositions!O123/(VLOOKUP(Compositions!M123,'HHV-LHV-MW'!$A$3:$F$40,6,FALSE))))</f>
        <v/>
      </c>
      <c r="DT58" s="26" t="str">
        <f>IF(DQ58="","",((VLOOKUP(Compositions!M123,'HHV-LHV-MW'!$A$3:$F$40,4,FALSE))*(DQ58/100)))</f>
        <v/>
      </c>
      <c r="DU58" s="26" t="str">
        <f>IF(DQ58="","",((VLOOKUP(Compositions!M123,'HHV-LHV-MW'!$A$3:$F$40,5,FALSE))*(DQ58/100)))</f>
        <v/>
      </c>
      <c r="DV58" s="26" t="str">
        <f>IF(DQ58="","",((VLOOKUP(Compositions!M123,'HHV-LHV-MW'!$A$3:$F$40,6,FALSE))*(DQ58/100)))</f>
        <v/>
      </c>
      <c r="DW58" s="26" t="str">
        <f>IF(Compositions!O123="","",(Compositions!O123*(VLOOKUP(Compositions!M123,'HHV-LHV-MW'!$A$3:$F$40,6,FALSE))))</f>
        <v/>
      </c>
      <c r="DX58" s="296" t="str">
        <f>IF(Compositions!O123="","",IF(OR(Compositions!$O$118="wt%",Compositions!$O$118=""),Compositions!O123,(IF(DW58="","",((DW58/$DW$78)*100)))))</f>
        <v/>
      </c>
      <c r="DY58" s="39" t="str">
        <f>IF(DX58="","",(IF(OR(Compositions!M123="Hydrogen",Compositions!M123="Helium",Compositions!M123="Water",Compositions!M123="Carbon Monoxide",Compositions!M123="Nitrogen",Compositions!M123="Oxygen",Compositions!M123="Hydrogen Sulfide",Compositions!M123="Argon",Compositions!M123="Carbon Dioxide",Compositions!M123="Carbon Disulfide"),0,DX58)))</f>
        <v/>
      </c>
      <c r="DZ58" s="186" t="str">
        <f>IF(Compositions!O123="","",((DQ58/100)*((VLOOKUP(Compositions!M123,'HHV-LHV-MW'!$A$3:$G$40,7,FALSE)))))</f>
        <v/>
      </c>
      <c r="EA58" s="186" t="str">
        <f>IF(DQ58="","",(IF(OR(Compositions!M123="Hydrogen",Compositions!M123="Carbon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Dioxide",Compositions!M123="Methane",Compositions!M123="Ethane"),0,(DQ58/100))))</f>
        <v/>
      </c>
      <c r="EB58" s="39" t="str">
        <f>IF(DQ58="","",(IF(OR($EA$78=0,$EA$78=""),0,       ((VLOOKUP(Compositions!M123,'HHV-LHV-MW'!$A$3:$F$40,6,FALSE))*(EA58/$EA$78)))))</f>
        <v/>
      </c>
      <c r="EC58" s="27" t="str">
        <f>IF(Compositions!P123="","",IF(Compositions!$P$118="mol%",Compositions!P123,ED58))</f>
        <v/>
      </c>
      <c r="ED58" s="27" t="str">
        <f t="shared" si="35"/>
        <v/>
      </c>
      <c r="EE58" s="27" t="str">
        <f>IF(Compositions!P123="","",(Compositions!P123/(VLOOKUP(Compositions!M123,'HHV-LHV-MW'!$A$3:$F$40,6,FALSE))))</f>
        <v/>
      </c>
      <c r="EF58" s="25" t="str">
        <f>IF(EC58="","",((VLOOKUP(Compositions!M123,'HHV-LHV-MW'!$A$3:$F$40,4,FALSE))*(EC58/100)))</f>
        <v/>
      </c>
      <c r="EG58" s="25" t="str">
        <f>IF(EC58="","",((VLOOKUP(Compositions!M123,'HHV-LHV-MW'!$A$3:$F$40,5,FALSE))*(EC58/100)))</f>
        <v/>
      </c>
      <c r="EH58" s="25" t="str">
        <f>IF(EC58="","",((VLOOKUP(Compositions!M123,'HHV-LHV-MW'!$A$3:$F$40,6,FALSE))*(EC58/100)))</f>
        <v/>
      </c>
      <c r="EI58" s="25" t="str">
        <f>IF(Compositions!P123="","",(Compositions!P123*(VLOOKUP(Compositions!M123,'HHV-LHV-MW'!$A$3:$F$40,6,FALSE))))</f>
        <v/>
      </c>
      <c r="EJ58" s="295" t="str">
        <f>IF(Compositions!P123="","",IF(OR(Compositions!$P$118="wt%",Compositions!$P$118=""),Compositions!P123,(IF(EI58="","",((EI58/$EI$78)*100)))))</f>
        <v/>
      </c>
      <c r="EK58" s="185" t="str">
        <f>IF(EJ58="","",(IF(OR(Compositions!M123="Hydrogen",Compositions!M123="Helium",Compositions!M123="Water",Compositions!M123="Carbon Monoxide",Compositions!M123="Nitrogen",Compositions!M123="Oxygen",Compositions!M123="Hydrogen Sulfide",Compositions!M123="Argon",Compositions!M123="Carbon Dioxide",Compositions!M123="Carbon Disulfide"),0,EJ58)))</f>
        <v/>
      </c>
      <c r="EL58" s="187" t="str">
        <f>IF(Compositions!P123="","",((EC58/100)*((VLOOKUP(Compositions!M123,'HHV-LHV-MW'!$A$3:$G$40,7,FALSE)))))</f>
        <v/>
      </c>
      <c r="EM58" s="187" t="str">
        <f>IF(EC58="","",(IF(OR(Compositions!M123="Hydrogen",Compositions!M123="Carbon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Dioxide",Compositions!M123="Methane",Compositions!M123="Ethane"),0,(EC58/100))))</f>
        <v/>
      </c>
      <c r="EN58" s="205" t="str">
        <f>IF(EC58="","",(IF(OR($EM$78=0,$EM$78=""),0,       ((VLOOKUP(Compositions!M123,'HHV-LHV-MW'!$A$3:$F$40,6,FALSE))*(EM58/$EM$78)))))</f>
        <v/>
      </c>
      <c r="EO58" s="28" t="str">
        <f>IF(Compositions!Q123="","",IF(Compositions!$Q$118="mol%",Compositions!Q123,EP58))</f>
        <v/>
      </c>
      <c r="EP58" s="28" t="str">
        <f t="shared" si="36"/>
        <v/>
      </c>
      <c r="EQ58" s="28" t="str">
        <f>IF(Compositions!Q123="","",(Compositions!Q123/(VLOOKUP(Compositions!M123,'HHV-LHV-MW'!$A$3:$F$40,6,FALSE))))</f>
        <v/>
      </c>
      <c r="ER58" s="26" t="str">
        <f>IF(EO58="","",((VLOOKUP(Compositions!M123,'HHV-LHV-MW'!$A$3:$F$40,4,FALSE))*(EO58/100)))</f>
        <v/>
      </c>
      <c r="ES58" s="26" t="str">
        <f>IF(EO58="","",((VLOOKUP(Compositions!M123,'HHV-LHV-MW'!$A$3:$F$40,5,FALSE))*(EO58/100)))</f>
        <v/>
      </c>
      <c r="ET58" s="26" t="str">
        <f>IF(EO58="","",((VLOOKUP(Compositions!M123,'HHV-LHV-MW'!$A$3:$F$40,6,FALSE))*(EO58/100)))</f>
        <v/>
      </c>
      <c r="EU58" s="26" t="str">
        <f>IF(Compositions!Q123="","",(Compositions!Q123*(VLOOKUP(Compositions!M123,'HHV-LHV-MW'!$A$3:$F$40,6,FALSE))))</f>
        <v/>
      </c>
      <c r="EV58" s="296" t="str">
        <f>IF(Compositions!Q123="","",IF(OR(Compositions!$Q$118="wt%",Compositions!$Q$118=""),Compositions!Q123,(IF(EU58="","",((EU58/$EU$78)*100)))))</f>
        <v/>
      </c>
      <c r="EW58" s="39" t="str">
        <f>IF(EV58="","",(IF(OR(Compositions!M123="Hydrogen",Compositions!M123="Helium",Compositions!M123="Water",Compositions!M123="Carbon Monoxide",Compositions!M123="Nitrogen",Compositions!M123="Oxygen",Compositions!M123="Hydrogen Sulfide",Compositions!M123="Argon",Compositions!M123="Carbon Dioxide",Compositions!M123="Carbon Disulfide"),0,EV58)))</f>
        <v/>
      </c>
      <c r="EX58" s="186" t="str">
        <f>IF(Compositions!Q123="","",((EO58/100)*((VLOOKUP(Compositions!M123,'HHV-LHV-MW'!$A$3:$G$40,7,FALSE)))))</f>
        <v/>
      </c>
      <c r="EY58" s="186" t="str">
        <f>IF(EO58="","",(IF(OR(Compositions!M123="Hydrogen",Compositions!M123="Carbon Disulfide",Compositions!M123="Helium",Compositions!M123="Water",Compositions!M123="Carbon Monoxide",Compositions!M123="Nitrogen",Compositions!M123="Oxygen",Compositions!M123="Hydrogen Sulfide",Compositions!M123="Argon",Compositions!M123="Carbon Dioxide",Compositions!M123="Methane",Compositions!M123="Ethane"),0,(EO58/100))))</f>
        <v/>
      </c>
      <c r="EZ58" s="39" t="str">
        <f>IF(EO58="","",(IF(OR($EY$78=0,$EY$78=""),0,       ((VLOOKUP(Compositions!M123,'HHV-LHV-MW'!$A$3:$F$40,6,FALSE))*(EY58/$EY$78)))))</f>
        <v/>
      </c>
      <c r="FB58" s="27" t="str">
        <f>IF(Compositions!T123="","",IF(Compositions!$T$118="mol%",Compositions!T123,FC58))</f>
        <v/>
      </c>
      <c r="FC58" s="27" t="str">
        <f t="shared" si="37"/>
        <v/>
      </c>
      <c r="FD58" s="27" t="str">
        <f>IF(Compositions!T123="","",(Compositions!T123/(VLOOKUP(Compositions!S123,'HHV-LHV-MW'!$A$3:$F$40,6,FALSE))))</f>
        <v/>
      </c>
      <c r="FE58" s="25" t="str">
        <f>IF(FB58="","",((VLOOKUP(Compositions!S123,'HHV-LHV-MW'!$A$3:$F$40,4,FALSE))*(FB58/100)))</f>
        <v/>
      </c>
      <c r="FF58" s="25" t="str">
        <f>IF(FB58="","",((VLOOKUP(Compositions!S123,'HHV-LHV-MW'!$A$3:$F$40,5,FALSE))*(FB58/100)))</f>
        <v/>
      </c>
      <c r="FG58" s="25" t="str">
        <f>IF(FB58="","",((VLOOKUP(Compositions!S123,'HHV-LHV-MW'!$A$3:$F$40,6,FALSE))*(FB58/100)))</f>
        <v/>
      </c>
      <c r="FH58" s="25" t="str">
        <f>IF(Compositions!T123="","",(Compositions!T123*(VLOOKUP(Compositions!S123,'HHV-LHV-MW'!$A$3:$F$40,6,FALSE))))</f>
        <v/>
      </c>
      <c r="FI58" s="295" t="str">
        <f>IF(Compositions!T123="","",IF(OR(Compositions!$T$118="wt%",Compositions!$T$118=""),Compositions!T123,(IF(FH58="","",((FH58/$FH$78)*100)))))</f>
        <v/>
      </c>
      <c r="FJ58" s="185" t="str">
        <f>IF(FI58="","",(IF(OR(Compositions!S123="Hydrogen",Compositions!S123="Helium",Compositions!S123="Water",Compositions!S123="Carbon Monoxide",Compositions!S123="Nitrogen",Compositions!S123="Oxygen",Compositions!S123="Hydrogen Sulfide",Compositions!S123="Argon",Compositions!S123="Carbon Dioxide",Compositions!S123="Carbon Disulfide"),0,FI58)))</f>
        <v/>
      </c>
      <c r="FK58" s="187" t="str">
        <f>IF(Compositions!T123="","",((FB58/100)*((VLOOKUP(Compositions!S123,'HHV-LHV-MW'!$A$3:$G$40,7,FALSE)))))</f>
        <v/>
      </c>
      <c r="FL58" s="187" t="str">
        <f>IF(FB58="","",(IF(OR(Compositions!S123="Hydrogen",Compositions!S123="Carbon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Dioxide",Compositions!S123="Methane",Compositions!S123="Ethane"),0,(FB58/100))))</f>
        <v/>
      </c>
      <c r="FM58" s="205" t="str">
        <f>IF(FB58="","",(IF(OR($FL$78=0,$FL$78=""),0,       ((VLOOKUP(Compositions!S123,'HHV-LHV-MW'!$A$3:$F$40,6,FALSE))*(FL58/$FL$78)))))</f>
        <v/>
      </c>
      <c r="FN58" s="28" t="str">
        <f>IF(Compositions!U123="","",IF(Compositions!$U$118="mol%",Compositions!U123,FO58))</f>
        <v/>
      </c>
      <c r="FO58" s="28" t="str">
        <f t="shared" si="38"/>
        <v/>
      </c>
      <c r="FP58" s="28" t="str">
        <f>IF(Compositions!U123="","",(Compositions!U123/(VLOOKUP(Compositions!S123,'HHV-LHV-MW'!$A$3:$F$40,6,FALSE))))</f>
        <v/>
      </c>
      <c r="FQ58" s="26" t="str">
        <f>IF(FN58="","",((VLOOKUP(Compositions!S123,'HHV-LHV-MW'!$A$3:$F$40,4,FALSE))*(FN58/100)))</f>
        <v/>
      </c>
      <c r="FR58" s="26" t="str">
        <f>IF(FN58="","",((VLOOKUP(Compositions!S123,'HHV-LHV-MW'!$A$3:$F$40,5,FALSE))*(FN58/100)))</f>
        <v/>
      </c>
      <c r="FS58" s="26" t="str">
        <f>IF(FN58="","",((VLOOKUP(Compositions!S123,'HHV-LHV-MW'!$A$3:$F$40,6,FALSE))*(FN58/100)))</f>
        <v/>
      </c>
      <c r="FT58" s="26" t="str">
        <f>IF(Compositions!U123="","",(Compositions!U123*(VLOOKUP(Compositions!S123,'HHV-LHV-MW'!$A$3:$F$40,6,FALSE))))</f>
        <v/>
      </c>
      <c r="FU58" s="296" t="str">
        <f>IF(Compositions!U123="","",IF(OR(Compositions!$U$118="wt%",Compositions!$U$118=""),Compositions!U123,(IF(FT58="","",((FT58/$FT$78)*100)))))</f>
        <v/>
      </c>
      <c r="FV58" s="39" t="str">
        <f>IF(FU58="","",(IF(OR(Compositions!S123="Hydrogen",Compositions!S123="Helium",Compositions!S123="Water",Compositions!S123="Carbon Monoxide",Compositions!S123="Nitrogen",Compositions!S123="Oxygen",Compositions!S123="Hydrogen Sulfide",Compositions!S123="Argon",Compositions!S123="Carbon Dioxide",Compositions!S123="Carbon Disulfide"),0,FU58)))</f>
        <v/>
      </c>
      <c r="FW58" s="186" t="str">
        <f>IF(Compositions!U123="","",((FN58/100)*((VLOOKUP(Compositions!S123,'HHV-LHV-MW'!$A$3:$G$40,7,FALSE)))))</f>
        <v/>
      </c>
      <c r="FX58" s="186" t="str">
        <f>IF(FN58="","",(IF(OR(Compositions!S123="Hydrogen",Compositions!S123="Carbon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Dioxide",Compositions!S123="Methane",Compositions!S123="Ethane"),0,(FN58/100))))</f>
        <v/>
      </c>
      <c r="FY58" s="39" t="str">
        <f>IF(FN58="","",(IF(OR($FX$78=0,$FX$78=""),0,       ((VLOOKUP(Compositions!S123,'HHV-LHV-MW'!$A$3:$F$40,6,FALSE))*(FX58/$FX$78)))))</f>
        <v/>
      </c>
      <c r="FZ58" s="27" t="str">
        <f>IF(Compositions!V123="","",IF(Compositions!$V$118="mol%",Compositions!V123,GA58))</f>
        <v/>
      </c>
      <c r="GA58" s="27" t="str">
        <f t="shared" si="39"/>
        <v/>
      </c>
      <c r="GB58" s="27" t="str">
        <f>IF(Compositions!V123="","",(Compositions!V123/(VLOOKUP(Compositions!S123,'HHV-LHV-MW'!$A$3:$F$40,6,FALSE))))</f>
        <v/>
      </c>
      <c r="GC58" s="25" t="str">
        <f>IF(FZ58="","",((VLOOKUP(Compositions!S123,'HHV-LHV-MW'!$A$3:$F$40,4,FALSE))*(FZ58/100)))</f>
        <v/>
      </c>
      <c r="GD58" s="25" t="str">
        <f>IF(FZ58="","",((VLOOKUP(Compositions!S123,'HHV-LHV-MW'!$A$3:$F$40,5,FALSE))*(FZ58/100)))</f>
        <v/>
      </c>
      <c r="GE58" s="25" t="str">
        <f>IF(FZ58="","",((VLOOKUP(Compositions!S123,'HHV-LHV-MW'!$A$3:$F$40,6,FALSE))*(FZ58/100)))</f>
        <v/>
      </c>
      <c r="GF58" s="25" t="str">
        <f>IF(Compositions!V123="","",(Compositions!V123*(VLOOKUP(Compositions!S123,'HHV-LHV-MW'!$A$3:$F$40,6,FALSE))))</f>
        <v/>
      </c>
      <c r="GG58" s="295" t="str">
        <f>IF(Compositions!V123="","",IF(OR(Compositions!$V$118="wt%",Compositions!$V$118=""),Compositions!V123,(IF(GF58="","",((GF58/$GF$78)*100)))))</f>
        <v/>
      </c>
      <c r="GH58" s="185" t="str">
        <f>IF(GG58="","",(IF(OR(Compositions!S123="Hydrogen",Compositions!S123="Helium",Compositions!S123="Water",Compositions!S123="Carbon Monoxide",Compositions!S123="Nitrogen",Compositions!S123="Oxygen",Compositions!S123="Hydrogen Sulfide",Compositions!S123="Argon",Compositions!S123="Carbon Dioxide",Compositions!S123="Carbon Disulfide"),0,GG58)))</f>
        <v/>
      </c>
      <c r="GI58" s="187" t="str">
        <f>IF(Compositions!V123="","",((FZ58/100)*((VLOOKUP(Compositions!S123,'HHV-LHV-MW'!$A$3:$G$40,7,FALSE)))))</f>
        <v/>
      </c>
      <c r="GJ58" s="187" t="str">
        <f>IF(FZ58="","",(IF(OR(Compositions!S123="Hydrogen",Compositions!S123="Carbon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Dioxide",Compositions!S123="Methane",Compositions!S123="Ethane"),0,(FZ58/100))))</f>
        <v/>
      </c>
      <c r="GK58" s="205" t="str">
        <f>IF(FZ58="","",(IF(OR($GJ$78=0,$GJ$78=""),0,       ((VLOOKUP(Compositions!S123,'HHV-LHV-MW'!$A$3:$F$40,6,FALSE))*(GJ58/$GJ$78)))))</f>
        <v/>
      </c>
      <c r="GL58" s="28" t="str">
        <f>IF(Compositions!W123="","",IF(Compositions!$W$118="mol%",Compositions!W123,GM58))</f>
        <v/>
      </c>
      <c r="GM58" s="28" t="str">
        <f t="shared" si="40"/>
        <v/>
      </c>
      <c r="GN58" s="28" t="str">
        <f>IF(Compositions!W123="","",(Compositions!W123/(VLOOKUP(Compositions!S123,'HHV-LHV-MW'!$A$3:$F$40,6,FALSE))))</f>
        <v/>
      </c>
      <c r="GO58" s="26" t="str">
        <f>IF(GL58="","",((VLOOKUP(Compositions!S123,'HHV-LHV-MW'!$A$3:$F$40,4,FALSE))*(GL58/100)))</f>
        <v/>
      </c>
      <c r="GP58" s="26" t="str">
        <f>IF(GL58="","",((VLOOKUP(Compositions!S123,'HHV-LHV-MW'!$A$3:$F$40,5,FALSE))*(GL58/100)))</f>
        <v/>
      </c>
      <c r="GQ58" s="26" t="str">
        <f>IF(GL58="","",((VLOOKUP(Compositions!S123,'HHV-LHV-MW'!$A$3:$F$40,6,FALSE))*(GL58/100)))</f>
        <v/>
      </c>
      <c r="GR58" s="26" t="str">
        <f>IF(Compositions!W123="","",(Compositions!W123*(VLOOKUP(Compositions!S123,'HHV-LHV-MW'!$A$3:$F$40,6,FALSE))))</f>
        <v/>
      </c>
      <c r="GS58" s="296" t="str">
        <f>IF(Compositions!W123="","",IF(OR(Compositions!$W$118="wt%",Compositions!$W$118=""),Compositions!W123,(IF(GR58="","",((GR58/$GR$78)*100)))))</f>
        <v/>
      </c>
      <c r="GT58" s="39" t="str">
        <f>IF(GS58="","",(IF(OR(Compositions!S123="Hydrogen",Compositions!S123="Helium",Compositions!S123="Water",Compositions!S123="Carbon Monoxide",Compositions!S123="Nitrogen",Compositions!S123="Oxygen",Compositions!S123="Hydrogen Sulfide",Compositions!S123="Argon",Compositions!S123="Carbon Dioxide",Compositions!S123="Carbon Disulfide"),0,GS58)))</f>
        <v/>
      </c>
      <c r="GU58" s="186" t="str">
        <f>IF(Compositions!W123="","",((GL58/100)*((VLOOKUP(Compositions!S123,'HHV-LHV-MW'!$A$3:$G$40,7,FALSE)))))</f>
        <v/>
      </c>
      <c r="GV58" s="186" t="str">
        <f>IF(GL58="","",(IF(OR(Compositions!S123="Hydrogen",Compositions!S123="Carbon Disulfide",Compositions!S123="Helium",Compositions!S123="Water",Compositions!S123="Carbon Monoxide",Compositions!S123="Nitrogen",Compositions!S123="Oxygen",Compositions!S123="Hydrogen Sulfide",Compositions!S123="Argon",Compositions!S123="Carbon Dioxide",Compositions!S123="Methane",Compositions!S123="Ethane"),0,(GL58/100))))</f>
        <v/>
      </c>
      <c r="GW58" s="39" t="str">
        <f>IF(GL58="","",(IF(OR($GV$78=0,$GV$78=""),0,       ((VLOOKUP(Compositions!S123,'HHV-LHV-MW'!$A$3:$F$40,6,FALSE))*(GV58/$GV$78)))))</f>
        <v/>
      </c>
      <c r="GY58" s="27" t="str">
        <f>IF(Compositions!Z123="","",IF(Compositions!$Z$118="mol%",Compositions!Z123,GZ58))</f>
        <v/>
      </c>
      <c r="GZ58" s="27" t="str">
        <f t="shared" si="41"/>
        <v/>
      </c>
      <c r="HA58" s="27" t="str">
        <f>IF(Compositions!Z123="","",(Compositions!Z123/(VLOOKUP(Compositions!Y123,'HHV-LHV-MW'!$A$3:$F$40,6,FALSE))))</f>
        <v/>
      </c>
      <c r="HB58" s="25" t="str">
        <f>IF(GY58="","",((VLOOKUP(Compositions!Y123,'HHV-LHV-MW'!$A$3:$F$40,4,FALSE))*(GY58/100)))</f>
        <v/>
      </c>
      <c r="HC58" s="25" t="str">
        <f>IF(GY58="","",((VLOOKUP(Compositions!Y123,'HHV-LHV-MW'!$A$3:$F$40,5,FALSE))*(GY58/100)))</f>
        <v/>
      </c>
      <c r="HD58" s="25" t="str">
        <f>IF(GY58="","",((VLOOKUP(Compositions!Y123,'HHV-LHV-MW'!$A$3:$F$40,6,FALSE))*(GY58/100)))</f>
        <v/>
      </c>
      <c r="HE58" s="25" t="str">
        <f>IF(Compositions!Z123="","",(Compositions!Z123*(VLOOKUP(Compositions!Y123,'HHV-LHV-MW'!$A$3:$F$40,6,FALSE))))</f>
        <v/>
      </c>
      <c r="HF58" s="295" t="str">
        <f>IF(Compositions!Z123="","",IF(OR(Compositions!$Z$118="wt%",Compositions!$Z$118=""),Compositions!Z123,(IF(HE58="","",((HE58/$HE$78)*100)))))</f>
        <v/>
      </c>
      <c r="HG58" s="185" t="str">
        <f>IF(HF58="","",(IF(OR(Compositions!Y123="Hydrogen",Compositions!Y123="Helium",Compositions!Y123="Water",Compositions!Y123="Carbon Monoxide",Compositions!Y123="Nitrogen",Compositions!Y123="Oxygen",Compositions!Y123="Hydrogen Sulfide",Compositions!Y123="Argon",Compositions!Y123="Carbon Dioxide",Compositions!Y123="Carbon Disulfide"),0,HF58)))</f>
        <v/>
      </c>
      <c r="HH58" s="187" t="str">
        <f>IF(Compositions!Z123="","",((GY58/100)*((VLOOKUP(Compositions!Y123,'HHV-LHV-MW'!$A$3:$G$40,7,FALSE)))))</f>
        <v/>
      </c>
      <c r="HI58" s="187" t="str">
        <f>IF(GY58="","",(IF(OR(Compositions!Y123="Hydrogen",Compositions!Y123="Carbon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Dioxide",Compositions!Y123="Methane",Compositions!Y123="Ethane"),0,(GY58/100))))</f>
        <v/>
      </c>
      <c r="HJ58" s="205" t="str">
        <f>IF(GY58="","",(IF(OR($HI$78=0,$HI$78=""),0,       ((VLOOKUP(Compositions!Y123,'HHV-LHV-MW'!$A$3:$F$40,6,FALSE))*(HI58/$HI$78)))))</f>
        <v/>
      </c>
      <c r="HK58" s="28" t="str">
        <f>IF(Compositions!AA123="","",IF(Compositions!$AA$118="mol%",Compositions!AA123,HL58))</f>
        <v/>
      </c>
      <c r="HL58" s="28" t="str">
        <f t="shared" si="42"/>
        <v/>
      </c>
      <c r="HM58" s="28" t="str">
        <f>IF(Compositions!AA123="","",(Compositions!AA123/(VLOOKUP(Compositions!Y123,'HHV-LHV-MW'!$A$3:$F$40,6,FALSE))))</f>
        <v/>
      </c>
      <c r="HN58" s="26" t="str">
        <f>IF(HK58="","",((VLOOKUP(Compositions!Y123,'HHV-LHV-MW'!$A$3:$F$40,4,FALSE))*(HK58/100)))</f>
        <v/>
      </c>
      <c r="HO58" s="26" t="str">
        <f>IF(HK58="","",((VLOOKUP(Compositions!Y123,'HHV-LHV-MW'!$A$3:$F$40,5,FALSE))*(HK58/100)))</f>
        <v/>
      </c>
      <c r="HP58" s="26" t="str">
        <f>IF(HK58="","",((VLOOKUP(Compositions!Y123,'HHV-LHV-MW'!$A$3:$F$40,6,FALSE))*(HK58/100)))</f>
        <v/>
      </c>
      <c r="HQ58" s="26" t="str">
        <f>IF(Compositions!AA123="","",(Compositions!AA123*(VLOOKUP(Compositions!Y123,'HHV-LHV-MW'!$A$3:$F$40,6,FALSE))))</f>
        <v/>
      </c>
      <c r="HR58" s="296" t="str">
        <f>IF(Compositions!AA123="","",IF(OR(Compositions!$AA$118="wt%",Compositions!$AA$118=""),Compositions!AA123,(IF(HQ58="","",((HQ58/$HQ$78)*100)))))</f>
        <v/>
      </c>
      <c r="HS58" s="39" t="str">
        <f>IF(HR58="","",(IF(OR(Compositions!Y123="Hydrogen",Compositions!Y123="Helium",Compositions!Y123="Water",Compositions!Y123="Carbon Monoxide",Compositions!Y123="Nitrogen",Compositions!Y123="Oxygen",Compositions!Y123="Hydrogen Sulfide",Compositions!Y123="Argon",Compositions!Y123="Carbon Dioxide",Compositions!Y123="Carbon Disulfide"),0,HR58)))</f>
        <v/>
      </c>
      <c r="HT58" s="186" t="str">
        <f>IF(Compositions!AA123="","",((HK58/100)*((VLOOKUP(Compositions!Y123,'HHV-LHV-MW'!$A$3:$G$40,7,FALSE)))))</f>
        <v/>
      </c>
      <c r="HU58" s="186" t="str">
        <f>IF(HK58="","",(IF(OR(Compositions!Y123="Hydrogen",Compositions!Y123="Carbon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Dioxide",Compositions!Y123="Methane",Compositions!Y123="Ethane"),0,(HK58/100))))</f>
        <v/>
      </c>
      <c r="HV58" s="39" t="str">
        <f>IF(HK58="","",(IF(OR($HU$78=0,$HU$78=""),0,       ((VLOOKUP(Compositions!Y123,'HHV-LHV-MW'!$A$3:$F$40,6,FALSE))*(HU58/$HU$78)))))</f>
        <v/>
      </c>
      <c r="HW58" s="27" t="str">
        <f>IF(Compositions!AB123="","",IF(Compositions!$AB$118="mol%",Compositions!AB123,HX58))</f>
        <v/>
      </c>
      <c r="HX58" s="27" t="str">
        <f t="shared" si="43"/>
        <v/>
      </c>
      <c r="HY58" s="27" t="str">
        <f>IF(Compositions!AB123="","",(Compositions!AB123/(VLOOKUP(Compositions!Y123,'HHV-LHV-MW'!$A$3:$F$40,6,FALSE))))</f>
        <v/>
      </c>
      <c r="HZ58" s="25" t="str">
        <f>IF(HW58="","",((VLOOKUP(Compositions!Y123,'HHV-LHV-MW'!$A$3:$F$40,4,FALSE))*(HW58/100)))</f>
        <v/>
      </c>
      <c r="IA58" s="25" t="str">
        <f>IF(HW58="","",((VLOOKUP(Compositions!Y123,'HHV-LHV-MW'!$A$3:$F$40,5,FALSE))*(HW58/100)))</f>
        <v/>
      </c>
      <c r="IB58" s="25" t="str">
        <f>IF(HW58="","",((VLOOKUP(Compositions!Y123,'HHV-LHV-MW'!$A$3:$F$40,6,FALSE))*(HW58/100)))</f>
        <v/>
      </c>
      <c r="IC58" s="25" t="str">
        <f>IF(Compositions!AB123="","",(Compositions!AB123*(VLOOKUP(Compositions!Y123,'HHV-LHV-MW'!$A$3:$F$40,6,FALSE))))</f>
        <v/>
      </c>
      <c r="ID58" s="295" t="str">
        <f>IF(Compositions!AB123="","",IF(OR(Compositions!$AB$118="wt%",Compositions!$AB$118=""),Compositions!AB123,(IF(IC58="","",((IC58/$IC$78)*100)))))</f>
        <v/>
      </c>
      <c r="IE58" s="185" t="str">
        <f>IF(ID58="","",(IF(OR(Compositions!Y123="Hydrogen",Compositions!Y123="Helium",Compositions!Y123="Water",Compositions!Y123="Carbon Monoxide",Compositions!Y123="Nitrogen",Compositions!Y123="Oxygen",Compositions!Y123="Hydrogen Sulfide",Compositions!Y123="Argon",Compositions!Y123="Carbon Dioxide",Compositions!Y123="Carbon Disulfide"),0,ID58)))</f>
        <v/>
      </c>
      <c r="IF58" s="187" t="str">
        <f>IF(Compositions!AB123="","",((HW58/100)*((VLOOKUP(Compositions!Y123,'HHV-LHV-MW'!$A$3:$G$40,7,FALSE)))))</f>
        <v/>
      </c>
      <c r="IG58" s="187" t="str">
        <f>IF(HW58="","",(IF(OR(Compositions!Y123="Hydrogen",Compositions!Y123="Carbon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Dioxide",Compositions!Y123="Methane",Compositions!Y123="Ethane"),0,(HW58/100))))</f>
        <v/>
      </c>
      <c r="IH58" s="205" t="str">
        <f>IF(HW58="","",(IF(OR($IG$78=0,$IG$78=""),0,       ((VLOOKUP(Compositions!Y123,'HHV-LHV-MW'!$A$3:$F$40,6,FALSE))*(IG58/$IG$78)))))</f>
        <v/>
      </c>
      <c r="II58" s="28" t="str">
        <f>IF(Compositions!AC123="","",IF(Compositions!$AC$118="mol%",Compositions!AC123,IJ58))</f>
        <v/>
      </c>
      <c r="IJ58" s="28" t="str">
        <f t="shared" si="44"/>
        <v/>
      </c>
      <c r="IK58" s="28" t="str">
        <f>IF(Compositions!AC123="","",(Compositions!AC123/(VLOOKUP(Compositions!Y123,'HHV-LHV-MW'!$A$3:$F$40,6,FALSE))))</f>
        <v/>
      </c>
      <c r="IL58" s="26" t="str">
        <f>IF(II58="","",((VLOOKUP(Compositions!Y123,'HHV-LHV-MW'!$A$3:$F$40,4,FALSE))*(II58/100)))</f>
        <v/>
      </c>
      <c r="IM58" s="26" t="str">
        <f>IF(II58="","",((VLOOKUP(Compositions!Y123,'HHV-LHV-MW'!$A$3:$F$40,5,FALSE))*(II58/100)))</f>
        <v/>
      </c>
      <c r="IN58" s="26" t="str">
        <f>IF(II58="","",((VLOOKUP(Compositions!Y123,'HHV-LHV-MW'!$A$3:$F$40,6,FALSE))*(II58/100)))</f>
        <v/>
      </c>
      <c r="IO58" s="26" t="str">
        <f>IF(Compositions!AC123="","",(Compositions!AC123*(VLOOKUP(Compositions!Y123,'HHV-LHV-MW'!$A$3:$F$40,6,FALSE))))</f>
        <v/>
      </c>
      <c r="IP58" s="296" t="str">
        <f>IF(Compositions!AC123="","",IF(OR(Compositions!$AC$118="wt%",Compositions!$AC$118=""),Compositions!AC123,(IF(IO58="","",((IO58/$IO$78)*100)))))</f>
        <v/>
      </c>
      <c r="IQ58" s="39" t="str">
        <f>IF(IP58="","",(IF(OR(Compositions!Y123="Hydrogen",Compositions!Y123="Helium",Compositions!Y123="Water",Compositions!Y123="Carbon Monoxide",Compositions!Y123="Nitrogen",Compositions!Y123="Oxygen",Compositions!Y123="Hydrogen Sulfide",Compositions!Y123="Argon",Compositions!Y123="Carbon Dioxide",Compositions!Y123="Carbon Disulfide"),0,IP58)))</f>
        <v/>
      </c>
      <c r="IR58" s="186" t="str">
        <f>IF(Compositions!AC123="","",((II58/100)*((VLOOKUP(Compositions!Y123,'HHV-LHV-MW'!$A$3:$G$40,7,FALSE)))))</f>
        <v/>
      </c>
      <c r="IS58" s="186" t="str">
        <f>IF(II58="","",(IF(OR(Compositions!Y123="Hydrogen",Compositions!Y123="Carbon Disulfide",Compositions!Y123="Helium",Compositions!Y123="Water",Compositions!Y123="Carbon Monoxide",Compositions!Y123="Nitrogen",Compositions!Y123="Oxygen",Compositions!Y123="Hydrogen Sulfide",Compositions!Y123="Argon",Compositions!Y123="Carbon Dioxide",Compositions!Y123="Methane",Compositions!Y123="Ethane"),0,(II58/100))))</f>
        <v/>
      </c>
      <c r="IT58" s="39" t="str">
        <f>IF(II58="","",(IF(OR($IS$78=0,$IS$78=""),0,      ((VLOOKUP(Compositions!Y123,'HHV-LHV-MW'!$A$3:$F$40,6,FALSE))*(IS58/$IS$78)))))</f>
        <v/>
      </c>
      <c r="IV58" s="27" t="str">
        <f>IF(Compositions!AF123="","",IF(Compositions!$AF$118="mol%",Compositions!AF123,IW58))</f>
        <v/>
      </c>
      <c r="IW58" s="27" t="str">
        <f t="shared" si="45"/>
        <v/>
      </c>
      <c r="IX58" s="27" t="str">
        <f>IF(Compositions!AF123="","",(Compositions!AF123/(VLOOKUP(Compositions!AE123,'HHV-LHV-MW'!$A$3:$F$40,6,FALSE))))</f>
        <v/>
      </c>
      <c r="IY58" s="25" t="str">
        <f>IF(IV58="","",((VLOOKUP(Compositions!AE123,'HHV-LHV-MW'!$A$3:$F$40,4,FALSE))*(IV58/100)))</f>
        <v/>
      </c>
      <c r="IZ58" s="25" t="str">
        <f>IF(IV58="","",((VLOOKUP(Compositions!AE123,'HHV-LHV-MW'!$A$3:$F$40,5,FALSE))*(IV58/100)))</f>
        <v/>
      </c>
      <c r="JA58" s="25" t="str">
        <f>IF(IV58="","",((VLOOKUP(Compositions!AE123,'HHV-LHV-MW'!$A$3:$F$40,6,FALSE))*(IV58/100)))</f>
        <v/>
      </c>
      <c r="JB58" s="25" t="str">
        <f>IF(Compositions!AF123="","",(Compositions!AF123*(VLOOKUP(Compositions!AE123,'HHV-LHV-MW'!$A$3:$F$40,6,FALSE))))</f>
        <v/>
      </c>
      <c r="JC58" s="298" t="str">
        <f>IF(Compositions!AF123="","",IF(OR(Compositions!$AF$118="wt%",Compositions!$AF$118=""),Compositions!AF123,(IF(JB58="","",((JB58/$JB$78)*100)))))</f>
        <v/>
      </c>
      <c r="JD58" s="185" t="str">
        <f>IF(JC58="","",(IF(OR(Compositions!AE123="Hydrogen",Compositions!AE123="Helium",Compositions!AE123="Water",Compositions!AE123="Carbon Monoxide",Compositions!AE123="Nitrogen",Compositions!AE123="Oxygen",Compositions!AE123="Hydrogen Sulfide",Compositions!AE123="Argon",Compositions!AE123="Carbon Dioxide",Compositions!AE123="Carbon Disulfide"),0,JC58)))</f>
        <v/>
      </c>
      <c r="JE58" s="187" t="str">
        <f>IF(Compositions!AF123="","",((IV58/100)*((VLOOKUP(Compositions!AE123,'HHV-LHV-MW'!$A$3:$G$40,7,FALSE)))))</f>
        <v/>
      </c>
      <c r="JF58" s="187" t="str">
        <f>IF(IV58="","",(IF(OR(Compositions!AE123="Hydrogen",Compositions!AE123="Carbon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Dioxide",Compositions!AE123="Methane",Compositions!AE123="Ethane"),0,(IV58/100))))</f>
        <v/>
      </c>
      <c r="JG58" s="205" t="str">
        <f>IF(IV58="","",(IF(OR($JF$78=0,$JF$78=""),0,      ((VLOOKUP(Compositions!AE123,'HHV-LHV-MW'!$A$3:$F$40,6,FALSE))*(JF58/$JF$78)))))</f>
        <v/>
      </c>
      <c r="JH58" s="28" t="str">
        <f>IF(Compositions!AG123="","",IF(Compositions!$AG$118="mol%",Compositions!AG123,JI58))</f>
        <v/>
      </c>
      <c r="JI58" s="28" t="str">
        <f t="shared" si="46"/>
        <v/>
      </c>
      <c r="JJ58" s="28" t="str">
        <f>IF(Compositions!AG123="","",(Compositions!AG123/(VLOOKUP(Compositions!AE123,'HHV-LHV-MW'!$A$3:$F$40,6,FALSE))))</f>
        <v/>
      </c>
      <c r="JK58" s="26" t="str">
        <f>IF(JH58="","",((VLOOKUP(Compositions!AE123,'HHV-LHV-MW'!$A$3:$F$40,4,FALSE))*(JH58/100)))</f>
        <v/>
      </c>
      <c r="JL58" s="26" t="str">
        <f>IF(JH58="","",((VLOOKUP(Compositions!AE123,'HHV-LHV-MW'!$A$3:$F$40,5,FALSE))*(JH58/100)))</f>
        <v/>
      </c>
      <c r="JM58" s="26" t="str">
        <f>IF(JH58="","",((VLOOKUP(Compositions!AE123,'HHV-LHV-MW'!$A$3:$F$40,6,FALSE))*(JH58/100)))</f>
        <v/>
      </c>
      <c r="JN58" s="26" t="str">
        <f>IF(Compositions!AG123="","",(Compositions!AG123*(VLOOKUP(Compositions!AE123,'HHV-LHV-MW'!$A$3:$F$40,6,FALSE))))</f>
        <v/>
      </c>
      <c r="JO58" s="297" t="str">
        <f>IF(Compositions!AG123="","",IF(OR(Compositions!$AG$118="wt%",Compositions!$AG$118=""),Compositions!AG123,(IF(JN58="","",((JN58/$JN$78)*100)))))</f>
        <v/>
      </c>
      <c r="JP58" s="39" t="str">
        <f>IF(JO58="","",(IF(OR(Compositions!AE123="Hydrogen",Compositions!AE123="Helium",Compositions!AE123="Water",Compositions!AE123="Carbon Monoxide",Compositions!AE123="Nitrogen",Compositions!AE123="Oxygen",Compositions!AE123="Hydrogen Sulfide",Compositions!AE123="Argon",Compositions!AE123="Carbon Dioxide",Compositions!AE123="Carbon Disulfide"),0,JO58)))</f>
        <v/>
      </c>
      <c r="JQ58" s="186" t="str">
        <f>IF(Compositions!AG123="","",((JH58/100)*((VLOOKUP(Compositions!AE123,'HHV-LHV-MW'!$A$3:$G$40,7,FALSE)))))</f>
        <v/>
      </c>
      <c r="JR58" s="186" t="str">
        <f>IF(JH58="","",(IF(OR(Compositions!AE123="Hydrogen",Compositions!AE123="Carbon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Dioxide",Compositions!AE123="Methane",Compositions!AE123="Ethane"),0,(JH58/100))))</f>
        <v/>
      </c>
      <c r="JS58" s="39" t="str">
        <f>IF(JH58="","",(IF(OR($JR$78=0,$JR$78=""),0,      ((VLOOKUP(Compositions!AE123,'HHV-LHV-MW'!$A$3:$F$40,6,FALSE))*(JR58/$JR$78)))))</f>
        <v/>
      </c>
      <c r="JT58" s="27" t="str">
        <f>IF(Compositions!AH123="","",IF(Compositions!$AH$118="mol%",Compositions!AH123,JU58))</f>
        <v/>
      </c>
      <c r="JU58" s="27" t="str">
        <f t="shared" si="47"/>
        <v/>
      </c>
      <c r="JV58" s="27" t="str">
        <f>IF(Compositions!AH123="","",(Compositions!AH123/(VLOOKUP(Compositions!AE123,'HHV-LHV-MW'!$A$3:$F$40,6,FALSE))))</f>
        <v/>
      </c>
      <c r="JW58" s="25" t="str">
        <f>IF(JT58="","",((VLOOKUP(Compositions!AE123,'HHV-LHV-MW'!$A$3:$F$40,4,FALSE))*(JT58/100)))</f>
        <v/>
      </c>
      <c r="JX58" s="25" t="str">
        <f>IF(JT58="","",((VLOOKUP(Compositions!AE123,'HHV-LHV-MW'!$A$3:$F$40,5,FALSE))*(JT58/100)))</f>
        <v/>
      </c>
      <c r="JY58" s="25" t="str">
        <f>IF(JT58="","",((VLOOKUP(Compositions!AE123,'HHV-LHV-MW'!$A$3:$F$40,6,FALSE))*(JT58/100)))</f>
        <v/>
      </c>
      <c r="JZ58" s="25" t="str">
        <f>IF(Compositions!AH123="","",(Compositions!AH123*(VLOOKUP(Compositions!AE123,'HHV-LHV-MW'!$A$3:$F$40,6,FALSE))))</f>
        <v/>
      </c>
      <c r="KA58" s="298" t="str">
        <f>IF(Compositions!AH123="","",IF(OR(Compositions!$AH$118="wt%",Compositions!$AH$118=""),Compositions!AH123,(IF(JZ58="","",((JZ58/$JZ$78)*100)))))</f>
        <v/>
      </c>
      <c r="KB58" s="185" t="str">
        <f>IF(KA58="","",(IF(OR(Compositions!AE123="Hydrogen",Compositions!AE123="Helium",Compositions!AE123="Water",Compositions!AE123="Carbon Monoxide",Compositions!AE123="Nitrogen",Compositions!AE123="Oxygen",Compositions!AE123="Hydrogen Sulfide",Compositions!AE123="Argon",Compositions!AE123="Carbon Dioxide",Compositions!AE123="Carbon Disulfide"),0,KA58)))</f>
        <v/>
      </c>
      <c r="KC58" s="187" t="str">
        <f>IF(Compositions!AH123="","",((JT58/100)*((VLOOKUP(Compositions!AE123,'HHV-LHV-MW'!$A$3:$G$40,7,FALSE)))))</f>
        <v/>
      </c>
      <c r="KD58" s="187" t="str">
        <f>IF(JT58="","",(IF(OR(Compositions!AE123="Hydrogen",Compositions!AE123="Carbon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Dioxide",Compositions!AE123="Methane",Compositions!AE123="Ethane"),0,(JT58/100))))</f>
        <v/>
      </c>
      <c r="KE58" s="205" t="str">
        <f>IF(JT58="","",(IF(OR($KD$78=0,$KD$78=""),0,      ((VLOOKUP(Compositions!AE123,'HHV-LHV-MW'!$A$3:$F$40,6,FALSE))*(KD58/$KD$78)))))</f>
        <v/>
      </c>
      <c r="KF58" s="28" t="str">
        <f>IF(Compositions!AI123="","",IF(Compositions!$AI$118="mol%",Compositions!AI123,KG58))</f>
        <v/>
      </c>
      <c r="KG58" s="28" t="str">
        <f t="shared" si="48"/>
        <v/>
      </c>
      <c r="KH58" s="28" t="str">
        <f>IF(Compositions!AI123="","",(Compositions!AI123/(VLOOKUP(Compositions!AE123,'HHV-LHV-MW'!$A$3:$F$40,6,FALSE))))</f>
        <v/>
      </c>
      <c r="KI58" s="26" t="str">
        <f>IF(KF58="","",((VLOOKUP(Compositions!AE123,'HHV-LHV-MW'!$A$3:$F$40,4,FALSE))*(KF58/100)))</f>
        <v/>
      </c>
      <c r="KJ58" s="26" t="str">
        <f>IF(KF58="","",((VLOOKUP(Compositions!AE123,'HHV-LHV-MW'!$A$3:$F$40,5,FALSE))*(KF58/100)))</f>
        <v/>
      </c>
      <c r="KK58" s="26" t="str">
        <f>IF(KF58="","",((VLOOKUP(Compositions!AE123,'HHV-LHV-MW'!$A$3:$F$40,6,FALSE))*(KF58/100)))</f>
        <v/>
      </c>
      <c r="KL58" s="26" t="str">
        <f>IF(Compositions!AI123="","",(Compositions!AI123*(VLOOKUP(Compositions!AE123,'HHV-LHV-MW'!$A$3:$F$40,6,FALSE))))</f>
        <v/>
      </c>
      <c r="KM58" s="297" t="str">
        <f>IF(Compositions!AI123="","",IF(OR(Compositions!$AI$118="wt%",Compositions!$AI$118=""),Compositions!AI123,(IF(KL58="","",((KL58/$KL$78)*100)))))</f>
        <v/>
      </c>
      <c r="KN58" s="39" t="str">
        <f>IF(KM58="","",(IF(OR(Compositions!AE123="Hydrogen",Compositions!AE123="Helium",Compositions!AE123="Water",Compositions!AE123="Carbon Monoxide",Compositions!AE123="Nitrogen",Compositions!AE123="Oxygen",Compositions!AE123="Hydrogen Sulfide",Compositions!AE123="Argon",Compositions!AE123="Carbon Dioxide",Compositions!AE123="Carbon Disulfide"),0,KM58)))</f>
        <v/>
      </c>
      <c r="KO58" s="186" t="str">
        <f>IF(Compositions!AI123="","",((KF58/100)*((VLOOKUP(Compositions!AE123,'HHV-LHV-MW'!$A$3:$G$40,7,FALSE)))))</f>
        <v/>
      </c>
      <c r="KP58" s="186" t="str">
        <f>IF(KF58="","",(IF(OR(Compositions!AE123="Hydrogen",Compositions!AE123="Carbon Disulfide",Compositions!AE123="Helium",Compositions!AE123="Water",Compositions!AE123="Carbon Monoxide",Compositions!AE123="Nitrogen",Compositions!AE123="Oxygen",Compositions!AE123="Hydrogen Sulfide",Compositions!AE123="Argon",Compositions!AE123="Carbon Dioxide",Compositions!AE123="Methane",Compositions!AE123="Ethane"),0,(KF58/100))))</f>
        <v/>
      </c>
      <c r="KQ58" s="39" t="str">
        <f>IF(KF58="","",(IF(OR($KP$78=0,$KP$78=""),0,      ((VLOOKUP(Compositions!AE123,'HHV-LHV-MW'!$A$3:$F$40,6,FALSE))*(KP58/$KP$78)))))</f>
        <v/>
      </c>
      <c r="KS58" s="27" t="str">
        <f>IF(Compositions!AL123="","",IF(Compositions!$AL$118="mol%",Compositions!AL123,KT58))</f>
        <v/>
      </c>
      <c r="KT58" s="27" t="str">
        <f t="shared" si="49"/>
        <v/>
      </c>
      <c r="KU58" s="27" t="str">
        <f>IF(Compositions!AL123="","",(Compositions!AL123/(VLOOKUP(Compositions!AK123,'HHV-LHV-MW'!$A$3:$F$40,6,FALSE))))</f>
        <v/>
      </c>
      <c r="KV58" s="185" t="str">
        <f>IF(KS58="","",((VLOOKUP(Compositions!AK123,'HHV-LHV-MW'!$A$3:$F$40,4,FALSE))*(KS58/100)))</f>
        <v/>
      </c>
      <c r="KW58" s="185" t="str">
        <f>IF(KS58="","",((VLOOKUP(Compositions!AK123,'HHV-LHV-MW'!$A$3:$F$40,5,FALSE))*(KS58/100)))</f>
        <v/>
      </c>
      <c r="KX58" s="185" t="str">
        <f>IF(KS58="","",((VLOOKUP(Compositions!AK123,'HHV-LHV-MW'!$A$3:$F$40,6,FALSE))*(KS58/100)))</f>
        <v/>
      </c>
      <c r="KY58" s="185" t="str">
        <f>IF(Compositions!AL123="","",(Compositions!AL123*(VLOOKUP(Compositions!AK123,'HHV-LHV-MW'!$A$3:$F$40,6,FALSE))))</f>
        <v/>
      </c>
      <c r="KZ58" s="298" t="str">
        <f>IF(Compositions!AL123="","",IF(OR(Compositions!$AL$118="wt%",Compositions!$AL$118=""),Compositions!AL123,(IF(KY58="","",((KY58/$KY$78)*100)))))</f>
        <v/>
      </c>
      <c r="LA58" s="185" t="str">
        <f>IF(KZ58="","",(IF(OR(Compositions!AK123="Hydrogen",Compositions!AK123="Helium",Compositions!AK123="Water",Compositions!AK123="Carbon Monoxide",Compositions!AK123="Nitrogen",Compositions!AK123="Oxygen",Compositions!AK123="Hydrogen Sulfide",Compositions!AK123="Argon",Compositions!AK123="Carbon Dioxide",Compositions!AK123="Carbon Disulfide"),0,KZ58)))</f>
        <v/>
      </c>
      <c r="LB58" s="187" t="str">
        <f>IF(Compositions!AL123="","",((KS58/100)*((VLOOKUP(Compositions!AK123,'HHV-LHV-MW'!$A$3:$G$40,7,FALSE)))))</f>
        <v/>
      </c>
      <c r="LC58" s="187" t="str">
        <f>IF(KS58="","",(IF(OR(Compositions!AK123="Hydrogen",Compositions!AK123="Carbon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Dioxide",Compositions!AK123="Methane",Compositions!AK123="Ethane"),0,(KS58/100))))</f>
        <v/>
      </c>
      <c r="LD58" s="205" t="str">
        <f>IF(KS58="","",(IF(OR($LC$78=0,$LC$78=""),0,      ((VLOOKUP(Compositions!AK123,'HHV-LHV-MW'!$A$3:$F$40,6,FALSE))*(LC58/$LC$78)))))</f>
        <v/>
      </c>
      <c r="LE58" s="28" t="str">
        <f>IF(Compositions!AM123="","",IF(Compositions!$AM$118="mol%",Compositions!AM123,LF58))</f>
        <v/>
      </c>
      <c r="LF58" s="28" t="str">
        <f t="shared" si="50"/>
        <v/>
      </c>
      <c r="LG58" s="28" t="str">
        <f>IF(Compositions!AM123="","",(Compositions!AM123/(VLOOKUP(Compositions!AK123,'HHV-LHV-MW'!$A$3:$F$40,6,FALSE))))</f>
        <v/>
      </c>
      <c r="LH58" s="184" t="str">
        <f>IF(LE58="","",((VLOOKUP(Compositions!AK123,'HHV-LHV-MW'!$A$3:$F$40,4,FALSE))*(LE58/100)))</f>
        <v/>
      </c>
      <c r="LI58" s="184" t="str">
        <f>IF(LE58="","",((VLOOKUP(Compositions!AK123,'HHV-LHV-MW'!$A$3:$F$40,5,FALSE))*(LE58/100)))</f>
        <v/>
      </c>
      <c r="LJ58" s="184" t="str">
        <f>IF(LE58="","",((VLOOKUP(Compositions!AK123,'HHV-LHV-MW'!$A$3:$F$40,6,FALSE))*(LE58/100)))</f>
        <v/>
      </c>
      <c r="LK58" s="184" t="str">
        <f>IF(Compositions!AM123="","",(Compositions!AM123*(VLOOKUP(Compositions!AK123,'HHV-LHV-MW'!$A$3:$F$40,6,FALSE))))</f>
        <v/>
      </c>
      <c r="LL58" s="297" t="str">
        <f>IF(Compositions!AM123="","",IF(OR(Compositions!$AM$118="wt%",Compositions!$AM$118=""),Compositions!AM123,(IF(LK58="","",((LK58/$LK$78)*100)))))</f>
        <v/>
      </c>
      <c r="LM58" s="39" t="str">
        <f>IF(LL58="","",(IF(OR(Compositions!AK123="Hydrogen",Compositions!AK123="Helium",Compositions!AK123="Water",Compositions!AK123="Carbon Monoxide",Compositions!AK123="Nitrogen",Compositions!AK123="Oxygen",Compositions!AK123="Hydrogen Sulfide",Compositions!AK123="Argon",Compositions!AK123="Carbon Dioxide",Compositions!AK123="Carbon Disulfide"),0,LL58)))</f>
        <v/>
      </c>
      <c r="LN58" s="186" t="str">
        <f>IF(Compositions!AM123="","",((LE58/100)*((VLOOKUP(Compositions!AK123,'HHV-LHV-MW'!$A$3:$G$40,7,FALSE)))))</f>
        <v/>
      </c>
      <c r="LO58" s="186" t="str">
        <f>IF(LE58="","",(IF(OR(Compositions!AK123="Hydrogen",Compositions!AK123="Carbon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Dioxide",Compositions!AK123="Methane",Compositions!AK123="Ethane"),0,(LE58/100))))</f>
        <v/>
      </c>
      <c r="LP58" s="39" t="str">
        <f>IF(LE58="","",(IF(OR($LO$78=0,$LO$78=""),0,     ((VLOOKUP(Compositions!AK123,'HHV-LHV-MW'!$A$3:$F$40,6,FALSE))*(LO58/$LO$78)))))</f>
        <v/>
      </c>
      <c r="LQ58" s="27" t="str">
        <f>IF(Compositions!AN123="","",IF(Compositions!$AN$118="mol%",Compositions!AN123,LR58))</f>
        <v/>
      </c>
      <c r="LR58" s="27" t="str">
        <f t="shared" si="51"/>
        <v/>
      </c>
      <c r="LS58" s="27" t="str">
        <f>IF(Compositions!AN123="","",(Compositions!AN123/(VLOOKUP(Compositions!AK123,'HHV-LHV-MW'!$A$3:$F$40,6,FALSE))))</f>
        <v/>
      </c>
      <c r="LT58" s="185" t="str">
        <f>IF(LQ58="","",((VLOOKUP(Compositions!AK123,'HHV-LHV-MW'!$A$3:$F$40,4,FALSE))*(LQ58/100)))</f>
        <v/>
      </c>
      <c r="LU58" s="185" t="str">
        <f>IF(LQ58="","",((VLOOKUP(Compositions!AK123,'HHV-LHV-MW'!$A$3:$F$40,5,FALSE))*(LQ58/100)))</f>
        <v/>
      </c>
      <c r="LV58" s="185" t="str">
        <f>IF(LQ58="","",((VLOOKUP(Compositions!AK123,'HHV-LHV-MW'!$A$3:$F$40,6,FALSE))*(LQ58/100)))</f>
        <v/>
      </c>
      <c r="LW58" s="185" t="str">
        <f>IF(Compositions!AN123="","",(Compositions!AN123*(VLOOKUP(Compositions!AK123,'HHV-LHV-MW'!$A$3:$F$40,6,FALSE))))</f>
        <v/>
      </c>
      <c r="LX58" s="298" t="str">
        <f>IF(Compositions!AN123="","",IF(OR(Compositions!$AN$118="wt%",Compositions!$AN$118=""),Compositions!AN123,(IF(LW58="","",((LW58/$LW$78)*100)))))</f>
        <v/>
      </c>
      <c r="LY58" s="185" t="str">
        <f>IF(LX58="","",(IF(OR(Compositions!AK123="Hydrogen",Compositions!AK123="Helium",Compositions!AK123="Water",Compositions!AK123="Carbon Monoxide",Compositions!AK123="Nitrogen",Compositions!AK123="Oxygen",Compositions!AK123="Hydrogen Sulfide",Compositions!AK123="Argon",Compositions!AK123="Carbon Dioxide",Compositions!AK123="Carbon Disulfide"),0,LX58)))</f>
        <v/>
      </c>
      <c r="LZ58" s="187" t="str">
        <f>IF(Compositions!AN123="","",((LQ58/100)*((VLOOKUP(Compositions!AK123,'HHV-LHV-MW'!$A$3:$G$40,7,FALSE)))))</f>
        <v/>
      </c>
      <c r="MA58" s="187" t="str">
        <f>IF(LQ58="","",(IF(OR(Compositions!AK123="Hydrogen",Compositions!AK123="Carbon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Dioxide",Compositions!AK123="Methane",Compositions!AK123="Ethane"),0,(LQ58/100))))</f>
        <v/>
      </c>
      <c r="MB58" s="205" t="str">
        <f>IF(LQ58="","",(IF(OR($MA$78=0,$MA$78=""),0,     ((VLOOKUP(Compositions!AK123,'HHV-LHV-MW'!$A$3:$F$40,6,FALSE))*(MA58/$MA$78)))))</f>
        <v/>
      </c>
      <c r="MC58" s="28" t="str">
        <f>IF(Compositions!AO123="","",IF(Compositions!$AO$118="mol%",Compositions!AO123,MD58))</f>
        <v/>
      </c>
      <c r="MD58" s="28" t="str">
        <f t="shared" si="52"/>
        <v/>
      </c>
      <c r="ME58" s="28" t="str">
        <f>IF(Compositions!AO123="","",(Compositions!AO123/(VLOOKUP(Compositions!AK123,'HHV-LHV-MW'!$A$3:$F$40,6,FALSE))))</f>
        <v/>
      </c>
      <c r="MF58" s="184" t="str">
        <f>IF(MC58="","",((VLOOKUP(Compositions!AK123,'HHV-LHV-MW'!$A$3:$F$40,4,FALSE))*(MC58/100)))</f>
        <v/>
      </c>
      <c r="MG58" s="184" t="str">
        <f>IF(MC58="","",((VLOOKUP(Compositions!AK123,'HHV-LHV-MW'!$A$3:$F$40,5,FALSE))*(MC58/100)))</f>
        <v/>
      </c>
      <c r="MH58" s="184" t="str">
        <f>IF(MC58="","",((VLOOKUP(Compositions!AK123,'HHV-LHV-MW'!$A$3:$F$40,6,FALSE))*(MC58/100)))</f>
        <v/>
      </c>
      <c r="MI58" s="184" t="str">
        <f>IF(Compositions!AO123="","",(Compositions!AO123*(VLOOKUP(Compositions!AK123,'HHV-LHV-MW'!$A$3:$F$40,6,FALSE))))</f>
        <v/>
      </c>
      <c r="MJ58" s="297" t="str">
        <f>IF(Compositions!AO123="","",IF(OR(Compositions!$AO$118="wt%",Compositions!$AO$118=""),Compositions!AO123,(IF(MI58="","",((MI58/$MI$78)*100)))))</f>
        <v/>
      </c>
      <c r="MK58" s="39" t="str">
        <f>IF(MJ58="","",(IF(OR(Compositions!AK123="Hydrogen",Compositions!AK123="Helium",Compositions!AK123="Water",Compositions!AK123="Carbon Monoxide",Compositions!AK123="Nitrogen",Compositions!AK123="Oxygen",Compositions!AK123="Hydrogen Sulfide",Compositions!AK123="Argon",Compositions!AK123="Carbon Dioxide",Compositions!AK123="Carbon Disulfide"),0,MJ58)))</f>
        <v/>
      </c>
      <c r="ML58" s="186" t="str">
        <f>IF(Compositions!AO123="","",((MC58/100)*((VLOOKUP(Compositions!AK123,'HHV-LHV-MW'!$A$3:$G$40,7,FALSE)))))</f>
        <v/>
      </c>
      <c r="MM58" s="186" t="str">
        <f>IF(MC58="","",(IF(OR(Compositions!AK123="Hydrogen",Compositions!AK123="Carbon Disulfide",Compositions!AK123="Helium",Compositions!AK123="Water",Compositions!AK123="Carbon Monoxide",Compositions!AK123="Nitrogen",Compositions!AK123="Oxygen",Compositions!AK123="Hydrogen Sulfide",Compositions!AK123="Argon",Compositions!AK123="Carbon Dioxide",Compositions!AK123="Methane",Compositions!AK123="Ethane"),0,(MC58/100))))</f>
        <v/>
      </c>
      <c r="MN58" s="39" t="str">
        <f>IF(MC58="","",(IF(OR($MM$78=0,$MM$78=""),0,     ((VLOOKUP(Compositions!AK123,'HHV-LHV-MW'!$A$3:$F$40,6,FALSE))*(MM58/$MM$78)))))</f>
        <v/>
      </c>
      <c r="MP58" s="27" t="str">
        <f>IF(Compositions!AR123="","",IF(Compositions!$AR$118="mol%",Compositions!AR123,MQ58))</f>
        <v/>
      </c>
      <c r="MQ58" s="27" t="str">
        <f t="shared" si="53"/>
        <v/>
      </c>
      <c r="MR58" s="27" t="str">
        <f>IF(Compositions!AR123="","",(Compositions!AR123/(VLOOKUP(Compositions!AQ123,'HHV-LHV-MW'!$A$3:$F$40,6,FALSE))))</f>
        <v/>
      </c>
      <c r="MS58" s="185" t="str">
        <f>IF(MP58="","",((VLOOKUP(Compositions!AQ123,'HHV-LHV-MW'!$A$3:$F$40,4,FALSE))*(MP58/100)))</f>
        <v/>
      </c>
      <c r="MT58" s="185" t="str">
        <f>IF(MP58="","",((VLOOKUP(Compositions!AQ123,'HHV-LHV-MW'!$A$3:$F$40,5,FALSE))*(MP58/100)))</f>
        <v/>
      </c>
      <c r="MU58" s="185" t="str">
        <f>IF(MP58="","",((VLOOKUP(Compositions!AQ123,'HHV-LHV-MW'!$A$3:$F$40,6,FALSE))*(MP58/100)))</f>
        <v/>
      </c>
      <c r="MV58" s="185" t="str">
        <f>IF(Compositions!AR123="","",(Compositions!AR123*(VLOOKUP(Compositions!AQ123,'HHV-LHV-MW'!$A$3:$F$40,6,FALSE))))</f>
        <v/>
      </c>
      <c r="MW58" s="298" t="str">
        <f>IF(Compositions!AR123="","",IF(OR(Compositions!$AR$118="wt%",Compositions!$AR$118=""),Compositions!AR123,(IF(MV58="","",((MV58/$MV$78)*100)))))</f>
        <v/>
      </c>
      <c r="MX58" s="185" t="str">
        <f>IF(MW58="","",(IF(OR(Compositions!AQ123="Hydrogen",Compositions!AQ123="Helium",Compositions!AQ123="Water",Compositions!AQ123="Carbon Monoxide",Compositions!AQ123="Nitrogen",Compositions!AQ123="Oxygen",Compositions!AQ123="Hydrogen Sulfide",Compositions!AQ123="Argon",Compositions!AQ123="Carbon Dioxide",Compositions!AQ123="Carbon Disulfide"),0,MW58)))</f>
        <v/>
      </c>
      <c r="MY58" s="187" t="str">
        <f>IF(Compositions!AR123="","",((MP58/100)*((VLOOKUP(Compositions!AQ123,'HHV-LHV-MW'!$A$3:$G$40,7,FALSE)))))</f>
        <v/>
      </c>
      <c r="MZ58" s="187" t="str">
        <f>IF(MP58="","",(IF(OR(Compositions!AQ123="Hydrogen",Compositions!AQ123="Carbon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Dioxide",Compositions!AQ123="Methane",Compositions!AQ123="Ethane"),0,(MP58/100))))</f>
        <v/>
      </c>
      <c r="NA58" s="205" t="str">
        <f>IF(MP58="","",(IF(OR($MZ$78=0,$MZ$78=""),0,     ((VLOOKUP(Compositions!AQ123,'HHV-LHV-MW'!$A$3:$F$40,6,FALSE))*(MZ58/$MZ$78)))))</f>
        <v/>
      </c>
      <c r="NB58" s="28" t="str">
        <f>IF(Compositions!AS123="","",IF(Compositions!$AS$118="mol%",Compositions!AS123,NC58))</f>
        <v/>
      </c>
      <c r="NC58" s="28" t="str">
        <f t="shared" si="54"/>
        <v/>
      </c>
      <c r="ND58" s="28" t="str">
        <f>IF(Compositions!AS123="","",(Compositions!AS123/(VLOOKUP(Compositions!AQ123,'HHV-LHV-MW'!$A$3:$F$40,6,FALSE))))</f>
        <v/>
      </c>
      <c r="NE58" s="184" t="str">
        <f>IF(NB58="","",((VLOOKUP(Compositions!AQ123,'HHV-LHV-MW'!$A$3:$F$40,4,FALSE))*(NB58/100)))</f>
        <v/>
      </c>
      <c r="NF58" s="184" t="str">
        <f>IF(NB58="","",((VLOOKUP(Compositions!AQ123,'HHV-LHV-MW'!$A$3:$F$40,5,FALSE))*(NB58/100)))</f>
        <v/>
      </c>
      <c r="NG58" s="184" t="str">
        <f>IF(NB58="","",((VLOOKUP(Compositions!AQ123,'HHV-LHV-MW'!$A$3:$F$40,6,FALSE))*(NB58/100)))</f>
        <v/>
      </c>
      <c r="NH58" s="184" t="str">
        <f>IF(Compositions!AS123="","",(Compositions!AS123*(VLOOKUP(Compositions!AQ123,'HHV-LHV-MW'!$A$3:$F$40,6,FALSE))))</f>
        <v/>
      </c>
      <c r="NI58" s="297" t="str">
        <f>IF(Compositions!AS123="","",IF(OR(Compositions!$AS$118="wt%",Compositions!$AS$118=""),Compositions!AS123,(IF(NH58="","",((NH58/$NH$78)*100)))))</f>
        <v/>
      </c>
      <c r="NJ58" s="39" t="str">
        <f>IF(NI58="","",(IF(OR(Compositions!AQ123="Hydrogen",Compositions!AQ123="Helium",Compositions!AQ123="Water",Compositions!AQ123="Carbon Monoxide",Compositions!AQ123="Nitrogen",Compositions!AQ123="Oxygen",Compositions!AQ123="Hydrogen Sulfide",Compositions!AQ123="Argon",Compositions!AQ123="Carbon Dioxide",Compositions!AQ123="Carbon Disulfide"),0,NI58)))</f>
        <v/>
      </c>
      <c r="NK58" s="186" t="str">
        <f>IF(Compositions!AS123="","",((NB58/100)*((VLOOKUP(Compositions!AQ123,'HHV-LHV-MW'!$A$3:$G$40,7,FALSE)))))</f>
        <v/>
      </c>
      <c r="NL58" s="186" t="str">
        <f>IF(NB58="","",(IF(OR(Compositions!AQ123="Hydrogen",Compositions!AQ123="Carbon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Dioxide",Compositions!AQ123="Methane",Compositions!AQ123="Ethane"),0,(NB58/100))))</f>
        <v/>
      </c>
      <c r="NM58" s="39" t="str">
        <f>IF(NB58="","",(IF(OR($NL$78=0,$NL$78=""),0,     ((VLOOKUP(Compositions!AQ123,'HHV-LHV-MW'!$A$3:$F$40,6,FALSE))*(NL58/$NL$78)))))</f>
        <v/>
      </c>
      <c r="NN58" s="27" t="str">
        <f>IF(Compositions!AT123="","",IF(Compositions!$AT$118="mol%",Compositions!AT123,NO58))</f>
        <v/>
      </c>
      <c r="NO58" s="27" t="str">
        <f t="shared" si="55"/>
        <v/>
      </c>
      <c r="NP58" s="27" t="str">
        <f>IF(Compositions!AT123="","",(Compositions!AT123/(VLOOKUP(Compositions!AQ123,'HHV-LHV-MW'!$A$3:$F$40,6,FALSE))))</f>
        <v/>
      </c>
      <c r="NQ58" s="185" t="str">
        <f>IF(NN58="","",((VLOOKUP(Compositions!AQ123,'HHV-LHV-MW'!$A$3:$F$40,4,FALSE))*(NN58/100)))</f>
        <v/>
      </c>
      <c r="NR58" s="185" t="str">
        <f>IF(NN58="","",((VLOOKUP(Compositions!AQ123,'HHV-LHV-MW'!$A$3:$F$40,5,FALSE))*(NN58/100)))</f>
        <v/>
      </c>
      <c r="NS58" s="185" t="str">
        <f>IF(NN58="","",((VLOOKUP(Compositions!AQ123,'HHV-LHV-MW'!$A$3:$F$40,6,FALSE))*(NN58/100)))</f>
        <v/>
      </c>
      <c r="NT58" s="185" t="str">
        <f>IF(Compositions!AT123="","",(Compositions!AT123*(VLOOKUP(Compositions!AQ123,'HHV-LHV-MW'!$A$3:$F$40,6,FALSE))))</f>
        <v/>
      </c>
      <c r="NU58" s="298" t="str">
        <f>IF(Compositions!AT123="","",IF(OR(Compositions!$AT$118="wt%",Compositions!$AT$118=""),Compositions!AT123,(IF(NT58="","",((NT58/$NT$78)*100)))))</f>
        <v/>
      </c>
      <c r="NV58" s="185" t="str">
        <f>IF(NU58="","",(IF(OR(Compositions!AQ123="Hydrogen",Compositions!AQ123="Helium",Compositions!AQ123="Water",Compositions!AQ123="Carbon Monoxide",Compositions!AQ123="Nitrogen",Compositions!AQ123="Oxygen",Compositions!AQ123="Hydrogen Sulfide",Compositions!AQ123="Argon",Compositions!AQ123="Carbon Dioxide",Compositions!AQ123="Carbon Disulfide"),0,NU58)))</f>
        <v/>
      </c>
      <c r="NW58" s="187" t="str">
        <f>IF(Compositions!AT123="","",((NN58/100)*((VLOOKUP(Compositions!AQ123,'HHV-LHV-MW'!$A$3:$G$40,7,FALSE)))))</f>
        <v/>
      </c>
      <c r="NX58" s="187" t="str">
        <f>IF(NN58="","",(IF(OR(Compositions!AQ123="Hydrogen",Compositions!AQ123="Carbon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Dioxide",Compositions!AQ123="Methane",Compositions!AQ123="Ethane"),0,(NN58/100))))</f>
        <v/>
      </c>
      <c r="NY58" s="205" t="str">
        <f>IF(NN58="","",(IF(OR($NX$78=0,$NX$78=""),0,     ((VLOOKUP(Compositions!AQ123,'HHV-LHV-MW'!$A$3:$F$40,6,FALSE))*(NX58/$NX$78)))))</f>
        <v/>
      </c>
      <c r="NZ58" s="28" t="str">
        <f>IF(Compositions!AU123="","",IF(Compositions!$AU$118="mol%",Compositions!AU123,OA58))</f>
        <v/>
      </c>
      <c r="OA58" s="28" t="str">
        <f t="shared" si="56"/>
        <v/>
      </c>
      <c r="OB58" s="28" t="str">
        <f>IF(Compositions!AU123="","",(Compositions!AU123/(VLOOKUP(Compositions!AQ123,'HHV-LHV-MW'!$A$3:$F$40,6,FALSE))))</f>
        <v/>
      </c>
      <c r="OC58" s="184" t="str">
        <f>IF(NZ58="","",((VLOOKUP(Compositions!AQ123,'HHV-LHV-MW'!$A$3:$F$40,4,FALSE))*(NZ58/100)))</f>
        <v/>
      </c>
      <c r="OD58" s="184" t="str">
        <f>IF(NZ58="","",((VLOOKUP(Compositions!AQ123,'HHV-LHV-MW'!$A$3:$F$40,5,FALSE))*(NZ58/100)))</f>
        <v/>
      </c>
      <c r="OE58" s="184" t="str">
        <f>IF(NZ58="","",((VLOOKUP(Compositions!AQ123,'HHV-LHV-MW'!$A$3:$F$40,6,FALSE))*(NZ58/100)))</f>
        <v/>
      </c>
      <c r="OF58" s="184" t="str">
        <f>IF(Compositions!AU123="","",(Compositions!AU123*(VLOOKUP(Compositions!AQ123,'HHV-LHV-MW'!$A$3:$F$40,6,FALSE))))</f>
        <v/>
      </c>
      <c r="OG58" s="297" t="str">
        <f>IF(Compositions!AU123="","",IF(OR(Compositions!$AU$118="wt%",Compositions!$AU$118=""),Compositions!AU123,(IF(OF58="","",((OF58/$OF$78)*100)))))</f>
        <v/>
      </c>
      <c r="OH58" s="39" t="str">
        <f>IF(OG58="","",(IF(OR(Compositions!AQ123="Hydrogen",Compositions!AQ123="Helium",Compositions!AQ123="Water",Compositions!AQ123="Carbon Monoxide",Compositions!AQ123="Nitrogen",Compositions!AQ123="Oxygen",Compositions!AQ123="Hydrogen Sulfide",Compositions!AQ123="Argon",Compositions!AQ123="Carbon Dioxide",Compositions!AQ123="Carbon Disulfide"),0,OG58)))</f>
        <v/>
      </c>
      <c r="OI58" s="186" t="str">
        <f>IF(Compositions!AU123="","",((NZ58/100)*((VLOOKUP(Compositions!AQ123,'HHV-LHV-MW'!$A$3:$G$40,7,FALSE)))))</f>
        <v/>
      </c>
      <c r="OJ58" s="186" t="str">
        <f>IF(NZ58="","",(IF(OR(Compositions!AQ123="Hydrogen",Compositions!AQ123="Carbon Disulfide",Compositions!AQ123="Helium",Compositions!AQ123="Water",Compositions!AQ123="Carbon Monoxide",Compositions!AQ123="Nitrogen",Compositions!AQ123="Oxygen",Compositions!AQ123="Hydrogen Sulfide",Compositions!AQ123="Argon",Compositions!AQ123="Carbon Dioxide",Compositions!AQ123="Methane",Compositions!AQ123="Ethane"),0,(NZ58/100))))</f>
        <v/>
      </c>
      <c r="OK58" s="39" t="str">
        <f>IF(NZ58="","",(IF(OR($OJ$78=0,$OJ$78=""),0,     ((VLOOKUP(Compositions!AQ123,'HHV-LHV-MW'!$A$3:$F$40,6,FALSE))*(OJ58/$OJ$78)))))</f>
        <v/>
      </c>
      <c r="ON58" s="27" t="str">
        <f>IF(Compositions!AX123="","",IF(Compositions!$AX$118="mol%",Compositions!AX123,OO58))</f>
        <v/>
      </c>
      <c r="OO58" s="27" t="str">
        <f t="shared" si="57"/>
        <v/>
      </c>
      <c r="OP58" s="27" t="str">
        <f>IF(Compositions!AX123="","",(Compositions!AX123/(VLOOKUP(Compositions!AW123,'HHV-LHV-MW'!$A$3:$F$40,6,FALSE))))</f>
        <v/>
      </c>
      <c r="OQ58" s="185" t="str">
        <f>IF(ON58="","",((VLOOKUP(Compositions!AW123,'HHV-LHV-MW'!$A$3:$F$40,4,FALSE))*(ON58/100)))</f>
        <v/>
      </c>
      <c r="OR58" s="185" t="str">
        <f>IF(ON58="","",((VLOOKUP(Compositions!AW123,'HHV-LHV-MW'!$A$3:$F$40,5,FALSE))*(ON58/100)))</f>
        <v/>
      </c>
      <c r="OS58" s="185" t="str">
        <f>IF(ON58="","",((VLOOKUP(Compositions!AW123,'HHV-LHV-MW'!$A$3:$F$40,6,FALSE))*(ON58/100)))</f>
        <v/>
      </c>
      <c r="OT58" s="185" t="str">
        <f>IF(Compositions!AX123="","",(Compositions!AX123*(VLOOKUP(Compositions!AW123,'HHV-LHV-MW'!$A$3:$F$40,6,FALSE))))</f>
        <v/>
      </c>
      <c r="OU58" s="298" t="str">
        <f>IF(Compositions!AX123="","",IF(OR(Compositions!$AX$118="wt%",Compositions!$AX$118=""),Compositions!AX123,(IF(OT58="","",((OT58/$OT$78)*100)))))</f>
        <v/>
      </c>
      <c r="OV58" s="185" t="str">
        <f>IF(OU58="","",(IF(OR(Compositions!AW123="Hydrogen",Compositions!AW123="Helium",Compositions!AW123="Water",Compositions!AW123="Carbon Monoxide",Compositions!AW123="Nitrogen",Compositions!AW123="Oxygen",Compositions!AW123="Hydrogen Sulfide",Compositions!AW123="Argon",Compositions!AW123="Carbon Dioxide",Compositions!AW123="Carbon Disulfide"),0,OU58)))</f>
        <v/>
      </c>
      <c r="OW58" s="187" t="str">
        <f>IF(Compositions!AX123="","",((ON58/100)*((VLOOKUP(Compositions!AW123,'HHV-LHV-MW'!$A$3:$G$40,7,FALSE)))))</f>
        <v/>
      </c>
      <c r="OX58" s="187" t="str">
        <f>IF(ON58="","",(IF(OR(Compositions!AW123="Hydrogen",Compositions!AW123="Carbon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Dioxide",Compositions!AW123="Methane",Compositions!AW123="Ethane"),0,(ON58/100))))</f>
        <v/>
      </c>
      <c r="OY58" s="205" t="str">
        <f>IF(ON58="","",(IF(OR($OX$78=0,$OX$78=""),0,     ((VLOOKUP(Compositions!AW123,'HHV-LHV-MW'!$A$3:$F$40,6,FALSE))*(OX58/$OX$78)))))</f>
        <v/>
      </c>
      <c r="OZ58" s="28" t="str">
        <f>IF(Compositions!AY123="","",IF(Compositions!$AY$118="mol%",Compositions!AY123,PA58))</f>
        <v/>
      </c>
      <c r="PA58" s="28" t="str">
        <f t="shared" si="64"/>
        <v/>
      </c>
      <c r="PB58" s="28" t="str">
        <f>IF(Compositions!AY123="","",(Compositions!AY123/(VLOOKUP(Compositions!AW123,'HHV-LHV-MW'!$A$3:$F$40,6,FALSE))))</f>
        <v/>
      </c>
      <c r="PC58" s="184" t="str">
        <f>IF(OZ58="","",((VLOOKUP(Compositions!AW123,'HHV-LHV-MW'!$A$3:$F$40,4,FALSE))*(OZ58/100)))</f>
        <v/>
      </c>
      <c r="PD58" s="184" t="str">
        <f>IF(OZ58="","",((VLOOKUP(Compositions!AW123,'HHV-LHV-MW'!$A$3:$F$40,5,FALSE))*(OZ58/100)))</f>
        <v/>
      </c>
      <c r="PE58" s="184" t="str">
        <f>IF(OZ58="","",((VLOOKUP(Compositions!AW123,'HHV-LHV-MW'!$A$3:$F$40,6,FALSE))*(OZ58/100)))</f>
        <v/>
      </c>
      <c r="PF58" s="184" t="str">
        <f>IF(Compositions!AY123="","",(Compositions!AY123*(VLOOKUP(Compositions!AW123,'HHV-LHV-MW'!$A$3:$F$40,6,FALSE))))</f>
        <v/>
      </c>
      <c r="PG58" s="297" t="str">
        <f>IF(Compositions!AY123="","",IF(OR(Compositions!$AY$118="wt%",Compositions!$AY$118=""),Compositions!AY123,(IF(PF58="","",((PF58/$PF$78)*100)))))</f>
        <v/>
      </c>
      <c r="PH58" s="39" t="str">
        <f>IF(PG58="","",(IF(OR(Compositions!AW123="Hydrogen",Compositions!AW123="Helium",Compositions!AW123="Water",Compositions!AW123="Carbon Monoxide",Compositions!AW123="Nitrogen",Compositions!AW123="Oxygen",Compositions!AW123="Hydrogen Sulfide",Compositions!AW123="Argon",Compositions!AW123="Carbon Dioxide",Compositions!AW123="Carbon Disulfide"),0,PG58)))</f>
        <v/>
      </c>
      <c r="PI58" s="186" t="str">
        <f>IF(Compositions!AY123="","",((OZ58/100)*((VLOOKUP(Compositions!AW123,'HHV-LHV-MW'!$A$3:$G$40,7,FALSE)))))</f>
        <v/>
      </c>
      <c r="PJ58" s="186" t="str">
        <f>IF(OZ58="","",(IF(OR(Compositions!AW123="Hydrogen",Compositions!AW123="Carbon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Dioxide",Compositions!AW123="Methane",Compositions!AW123="Ethane"),0,(OZ58/100))))</f>
        <v/>
      </c>
      <c r="PK58" s="39" t="str">
        <f>IF(OZ58="","",(IF(OR($PJ$78=0,$PJ$78=""),0,     ((VLOOKUP(Compositions!AW123,'HHV-LHV-MW'!$A$3:$F$40,6,FALSE))*(PJ58/$PJ$78)))))</f>
        <v/>
      </c>
      <c r="PL58" s="27" t="str">
        <f>IF(Compositions!AZ123="","",IF(Compositions!$AZ$118="mol%",Compositions!AZ123,PM58))</f>
        <v/>
      </c>
      <c r="PM58" s="27" t="str">
        <f t="shared" si="58"/>
        <v/>
      </c>
      <c r="PN58" s="27" t="str">
        <f>IF(Compositions!AZ123="","",(Compositions!AZ123/(VLOOKUP(Compositions!AW123,'HHV-LHV-MW'!$A$3:$F$40,6,FALSE))))</f>
        <v/>
      </c>
      <c r="PO58" s="185" t="str">
        <f>IF(PL58="","",((VLOOKUP(Compositions!AW123,'HHV-LHV-MW'!$A$3:$F$40,4,FALSE))*(PL58/100)))</f>
        <v/>
      </c>
      <c r="PP58" s="185" t="str">
        <f>IF(PL58="","",((VLOOKUP(Compositions!AW123,'HHV-LHV-MW'!$A$3:$F$40,5,FALSE))*(PL58/100)))</f>
        <v/>
      </c>
      <c r="PQ58" s="185" t="str">
        <f>IF(PL58="","",((VLOOKUP(Compositions!AW123,'HHV-LHV-MW'!$A$3:$F$40,6,FALSE))*(PL58/100)))</f>
        <v/>
      </c>
      <c r="PR58" s="185" t="str">
        <f>IF(Compositions!AZ123="","",(Compositions!AZ123*(VLOOKUP(Compositions!AW123,'HHV-LHV-MW'!$A$3:$F$40,6,FALSE))))</f>
        <v/>
      </c>
      <c r="PS58" s="298" t="str">
        <f>IF(Compositions!AZ123="","",IF(OR(Compositions!$AZ$118="wt%",Compositions!$AZ$118=""),Compositions!AZ123,(IF(PR58="","",((PR58/$PR$78)*100)))))</f>
        <v/>
      </c>
      <c r="PT58" s="185" t="str">
        <f>IF(PS58="","",(IF(OR(Compositions!AW123="Hydrogen",Compositions!AW123="Helium",Compositions!AW123="Water",Compositions!AW123="Carbon Monoxide",Compositions!AW123="Nitrogen",Compositions!AW123="Oxygen",Compositions!AW123="Hydrogen Sulfide",Compositions!AW123="Argon",Compositions!AW123="Carbon Dioxide",Compositions!AW123="Carbon Disulfide"),0,PS58)))</f>
        <v/>
      </c>
      <c r="PU58" s="187" t="str">
        <f>IF(Compositions!AZ123="","",((PL58/100)*((VLOOKUP(Compositions!AW123,'HHV-LHV-MW'!$A$3:$G$40,7,FALSE)))))</f>
        <v/>
      </c>
      <c r="PV58" s="187" t="str">
        <f>IF(PL58="","",(IF(OR(Compositions!AW123="Hydrogen",Compositions!AW123="Carbon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Dioxide",Compositions!AW123="Methane",Compositions!AW123="Ethane"),0,(PL58/100))))</f>
        <v/>
      </c>
      <c r="PW58" s="205" t="str">
        <f>IF(PL58="","",(IF(OR($PV$78=0,$PV$78=""),0,     ((VLOOKUP(Compositions!AW123,'HHV-LHV-MW'!$A$3:$F$40,6,FALSE))*(PV58/$PV$78)))))</f>
        <v/>
      </c>
      <c r="PX58" s="28" t="str">
        <f>IF(Compositions!BA123="","",IF(Compositions!$BA$118="mol%",Compositions!BA123,PY58))</f>
        <v/>
      </c>
      <c r="PY58" s="28" t="str">
        <f t="shared" si="59"/>
        <v/>
      </c>
      <c r="PZ58" s="28" t="str">
        <f>IF(Compositions!BA123="","",(Compositions!BA123/(VLOOKUP(Compositions!AW123,'HHV-LHV-MW'!$A$3:$F$40,6,FALSE))))</f>
        <v/>
      </c>
      <c r="QA58" s="184" t="str">
        <f>IF(PX58="","",((VLOOKUP(Compositions!AW123,'HHV-LHV-MW'!$A$3:$F$40,4,FALSE))*(PX58/100)))</f>
        <v/>
      </c>
      <c r="QB58" s="184" t="str">
        <f>IF(PX58="","",((VLOOKUP(Compositions!AW123,'HHV-LHV-MW'!$A$3:$F$40,5,FALSE))*(PX58/100)))</f>
        <v/>
      </c>
      <c r="QC58" s="184" t="str">
        <f>IF(PX58="","",((VLOOKUP(Compositions!AW123,'HHV-LHV-MW'!$A$3:$F$40,6,FALSE))*(PX58/100)))</f>
        <v/>
      </c>
      <c r="QD58" s="189" t="str">
        <f>IF(Compositions!BA123="","",(Compositions!BA123*(VLOOKUP(Compositions!AW123,'HHV-LHV-MW'!$A$3:$F$40,6,FALSE))))</f>
        <v/>
      </c>
      <c r="QE58" s="297" t="str">
        <f>IF(Compositions!BA123="","",IF(OR(Compositions!$BA$118="wt%",Compositions!$BA$118=""),Compositions!BA123,(IF(QD58="","",((QD58/$QD$78)*100)))))</f>
        <v/>
      </c>
      <c r="QF58" s="39" t="str">
        <f>IF(QE58="","",(IF(OR(Compositions!AW123="Hydrogen",Compositions!AW123="Helium",Compositions!AW123="Water",Compositions!AW123="Carbon Monoxide",Compositions!AW123="Nitrogen",Compositions!AW123="Oxygen",Compositions!AW123="Hydrogen Sulfide",Compositions!AW123="Argon",Compositions!AW123="Carbon Dioxide",Compositions!AW123="Carbon Disulfide"),0,QE58)))</f>
        <v/>
      </c>
      <c r="QG58" s="186" t="str">
        <f>IF(Compositions!BA123="","",((PX58/100)*((VLOOKUP(Compositions!AW123,'HHV-LHV-MW'!$A$3:$G$40,7,FALSE)))))</f>
        <v/>
      </c>
      <c r="QH58" s="186" t="str">
        <f>IF(PX58="","",(IF(OR(Compositions!AW123="Hydrogen",Compositions!AW123="Carbon Disulfide",Compositions!AW123="Helium",Compositions!AW123="Water",Compositions!AW123="Carbon Monoxide",Compositions!AW123="Nitrogen",Compositions!AW123="Oxygen",Compositions!AW123="Hydrogen Sulfide",Compositions!AW123="Argon",Compositions!AW123="Carbon Dioxide",Compositions!AW123="Methane",Compositions!AW123="Ethane"),0,(PX58/100))))</f>
        <v/>
      </c>
      <c r="QI58" s="39" t="str">
        <f>IF(PX58="","",(IF(OR($QH$78=0,$QH$78=""),0,     ((VLOOKUP(Compositions!AW123,'HHV-LHV-MW'!$A$3:$F$40,6,FALSE))*(QH58/$QH$78)))))</f>
        <v/>
      </c>
      <c r="QK58" s="27" t="str">
        <f>IF(Compositions!BD123="","",IF(Compositions!$BD$118="mol%",Compositions!BD123,QL58))</f>
        <v/>
      </c>
      <c r="QL58" s="27" t="str">
        <f t="shared" si="60"/>
        <v/>
      </c>
      <c r="QM58" s="27" t="str">
        <f>IF(Compositions!BD123="","",(Compositions!BD123/(VLOOKUP(Compositions!BC123,'HHV-LHV-MW'!$A$3:$F$40,6,FALSE))))</f>
        <v/>
      </c>
      <c r="QN58" s="185" t="str">
        <f>IF(QK58="","",((VLOOKUP(Compositions!BC123,'HHV-LHV-MW'!$A$3:$F$40,4,FALSE))*(QK58/100)))</f>
        <v/>
      </c>
      <c r="QO58" s="185" t="str">
        <f>IF(QK58="","",((VLOOKUP(Compositions!BC123,'HHV-LHV-MW'!$A$3:$F$40,5,FALSE))*(QK58/100)))</f>
        <v/>
      </c>
      <c r="QP58" s="185" t="str">
        <f>IF(QK58="","",((VLOOKUP(Compositions!BC123,'HHV-LHV-MW'!$A$3:$F$40,6,FALSE))*(QK58/100)))</f>
        <v/>
      </c>
      <c r="QQ58" s="185" t="str">
        <f>IF(Compositions!BD123="","",(Compositions!BD123*(VLOOKUP(Compositions!BC123,'HHV-LHV-MW'!$A$3:$F$40,6,FALSE))))</f>
        <v/>
      </c>
      <c r="QR58" s="298" t="str">
        <f>IF(Compositions!BD123="","",IF(OR(Compositions!$BD$118="wt%",Compositions!$BD$118=""),Compositions!BD123,(IF(QQ58="","",((QQ58/$QQ$78)*100)))))</f>
        <v/>
      </c>
      <c r="QS58" s="185" t="str">
        <f>IF(QR58="","",(IF(OR(Compositions!BC123="Hydrogen",Compositions!BC123="Helium",Compositions!BC123="Water",Compositions!BC123="Carbon Monoxide",Compositions!BC123="Nitrogen",Compositions!BC123="Oxygen",Compositions!BC123="Hydrogen Sulfide",Compositions!BC123="Argon",Compositions!BC123="Carbon Dioxide",Compositions!BC123="Carbon Disulfide"),0,QR58)))</f>
        <v/>
      </c>
      <c r="QT58" s="187" t="str">
        <f>IF(Compositions!BD123="","",((QK58/100)*((VLOOKUP(Compositions!BC123,'HHV-LHV-MW'!$A$3:$G$40,7,FALSE)))))</f>
        <v/>
      </c>
      <c r="QU58" s="187" t="str">
        <f>IF(QK58="","",(IF(OR(Compositions!BC123="Hydrogen",Compositions!BC123="Carbon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Dioxide",Compositions!BC123="Methane",Compositions!BC123="Ethane"),0,(QK58/100))))</f>
        <v/>
      </c>
      <c r="QV58" s="205" t="str">
        <f>IF(QK58="","",(IF(OR($QU$78=0,$QU$78=""),0,     ((VLOOKUP(Compositions!BC123,'HHV-LHV-MW'!$A$3:$F$40,6,FALSE))*(QU58/$QU$78)))))</f>
        <v/>
      </c>
      <c r="QW58" s="28" t="str">
        <f>IF(Compositions!BE123="","",IF(Compositions!$BE$118="mol%",Compositions!BE123,QX58))</f>
        <v/>
      </c>
      <c r="QX58" s="28" t="str">
        <f t="shared" si="61"/>
        <v/>
      </c>
      <c r="QY58" s="28" t="str">
        <f>IF(Compositions!BE123="","",(Compositions!BE123/(VLOOKUP(Compositions!BC123,'HHV-LHV-MW'!$A$3:$F$40,6,FALSE))))</f>
        <v/>
      </c>
      <c r="QZ58" s="184" t="str">
        <f>IF(QW58="","",((VLOOKUP(Compositions!BC123,'HHV-LHV-MW'!$A$3:$F$40,4,FALSE))*(QW58/100)))</f>
        <v/>
      </c>
      <c r="RA58" s="184" t="str">
        <f>IF(QW58="","",((VLOOKUP(Compositions!BC123,'HHV-LHV-MW'!$A$3:$F$40,5,FALSE))*(QW58/100)))</f>
        <v/>
      </c>
      <c r="RB58" s="184" t="str">
        <f>IF(QW58="","",((VLOOKUP(Compositions!BC123,'HHV-LHV-MW'!$A$3:$F$40,6,FALSE))*(QW58/100)))</f>
        <v/>
      </c>
      <c r="RC58" s="184" t="str">
        <f>IF(Compositions!BE123="","",(Compositions!BE123*(VLOOKUP(Compositions!BC123,'HHV-LHV-MW'!$A$3:$F$40,6,FALSE))))</f>
        <v/>
      </c>
      <c r="RD58" s="297" t="str">
        <f>IF(Compositions!BE123="","",IF(OR(Compositions!$BE$118="wt%",Compositions!$BE$118=""),Compositions!BE123,(IF(RC58="","",((RC58/$RC$78)*100)))))</f>
        <v/>
      </c>
      <c r="RE58" s="39" t="str">
        <f>IF(RD58="","",(IF(OR(Compositions!BC123="Hydrogen",Compositions!BC123="Helium",Compositions!BC123="Water",Compositions!BC123="Carbon Monoxide",Compositions!BC123="Nitrogen",Compositions!BC123="Oxygen",Compositions!BC123="Hydrogen Sulfide",Compositions!BC123="Argon",Compositions!BC123="Carbon Dioxide",Compositions!BC123="Carbon Disulfide"),0,RD58)))</f>
        <v/>
      </c>
      <c r="RF58" s="186" t="str">
        <f>IF(Compositions!BE123="","",((QW58/100)*((VLOOKUP(Compositions!BC123,'HHV-LHV-MW'!$A$3:$G$40,7,FALSE)))))</f>
        <v/>
      </c>
      <c r="RG58" s="186" t="str">
        <f>IF(QW58="","",(IF(OR(Compositions!BC123="Hydrogen",Compositions!BC123="Carbon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Dioxide",Compositions!BC123="Methane",Compositions!BC123="Ethane"),0,(QW58/100))))</f>
        <v/>
      </c>
      <c r="RH58" s="39" t="str">
        <f>IF(QW58="","",(IF(OR($RG$78=0,$RG$78=""),0,     ((VLOOKUP(Compositions!BC123,'HHV-LHV-MW'!$A$3:$F$40,6,FALSE))*(RG58/$RG$78)))))</f>
        <v/>
      </c>
      <c r="RI58" s="27" t="str">
        <f>IF(Compositions!BF123="","",IF(Compositions!$BF$118="mol%",Compositions!BF123,RJ58))</f>
        <v/>
      </c>
      <c r="RJ58" s="27" t="str">
        <f t="shared" si="62"/>
        <v/>
      </c>
      <c r="RK58" s="27" t="str">
        <f>IF(Compositions!BF123="","",(Compositions!BF123/(VLOOKUP(Compositions!BC123,'HHV-LHV-MW'!$A$3:$F$40,6,FALSE))))</f>
        <v/>
      </c>
      <c r="RL58" s="185" t="str">
        <f>IF(RI58="","",((VLOOKUP(Compositions!BC123,'HHV-LHV-MW'!$A$3:$F$40,4,FALSE))*(RI58/100)))</f>
        <v/>
      </c>
      <c r="RM58" s="185" t="str">
        <f>IF(RI58="","",((VLOOKUP(Compositions!BC123,'HHV-LHV-MW'!$A$3:$F$40,5,FALSE))*(RI58/100)))</f>
        <v/>
      </c>
      <c r="RN58" s="185" t="str">
        <f>IF(RI58="","",((VLOOKUP(Compositions!BC123,'HHV-LHV-MW'!$A$3:$F$40,6,FALSE))*(RI58/100)))</f>
        <v/>
      </c>
      <c r="RO58" s="185" t="str">
        <f>IF(Compositions!BF123="","",(Compositions!BF123*(VLOOKUP(Compositions!BC123,'HHV-LHV-MW'!$A$3:$F$40,6,FALSE))))</f>
        <v/>
      </c>
      <c r="RP58" s="298" t="str">
        <f>IF(Compositions!BF123="","",IF(OR(Compositions!$BF$118="wt%",Compositions!$BF$118=""),Compositions!BF123,(IF(RO58="","",((RO58/$RO$78)*100)))))</f>
        <v/>
      </c>
      <c r="RQ58" s="185" t="str">
        <f>IF(RP58="","",(IF(OR(Compositions!BC123="Hydrogen",Compositions!BC123="Helium",Compositions!BC123="Water",Compositions!BC123="Carbon Monoxide",Compositions!BC123="Nitrogen",Compositions!BC123="Oxygen",Compositions!BC123="Hydrogen Sulfide",Compositions!BC123="Argon",Compositions!BC123="Carbon Dioxide",Compositions!BC123="Carbon Disulfide"),0,RP58)))</f>
        <v/>
      </c>
      <c r="RR58" s="187" t="str">
        <f>IF(Compositions!BF123="","",((RI58/100)*((VLOOKUP(Compositions!BC123,'HHV-LHV-MW'!$A$3:$G$40,7,FALSE)))))</f>
        <v/>
      </c>
      <c r="RS58" s="187" t="str">
        <f>IF(RI58="","",(IF(OR(Compositions!BC123="Hydrogen",Compositions!BC123="Carbon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Dioxide",Compositions!BC123="Methane",Compositions!BC123="Ethane"),0,(RI58/100))))</f>
        <v/>
      </c>
      <c r="RT58" s="205" t="str">
        <f>IF(RI58="","",(IF(OR($RS$78=0,$RS$78=""),0,     ((VLOOKUP(Compositions!BC123,'HHV-LHV-MW'!$A$3:$F$40,6,FALSE))*(RS58/$RS$78)))))</f>
        <v/>
      </c>
      <c r="RU58" s="28" t="str">
        <f>IF(Compositions!BG123="","",IF(Compositions!$BG$118="mol%",Compositions!BG123,RV58))</f>
        <v/>
      </c>
      <c r="RV58" s="28" t="str">
        <f t="shared" si="63"/>
        <v/>
      </c>
      <c r="RW58" s="28" t="str">
        <f>IF(Compositions!BG123="","",(Compositions!BG123/(VLOOKUP(Compositions!BC123,'HHV-LHV-MW'!$A$3:$F$40,6,FALSE))))</f>
        <v/>
      </c>
      <c r="RX58" s="184" t="str">
        <f>IF(RU58="","",((VLOOKUP(Compositions!BC123,'HHV-LHV-MW'!$A$3:$F$40,4,FALSE))*(RU58/100)))</f>
        <v/>
      </c>
      <c r="RY58" s="184" t="str">
        <f>IF(RU58="","",((VLOOKUP(Compositions!BC123,'HHV-LHV-MW'!$A$3:$F$40,5,FALSE))*(RU58/100)))</f>
        <v/>
      </c>
      <c r="RZ58" s="184" t="str">
        <f>IF(RU58="","",((VLOOKUP(Compositions!BC123,'HHV-LHV-MW'!$A$3:$F$40,6,FALSE))*(RU58/100)))</f>
        <v/>
      </c>
      <c r="SA58" s="184" t="str">
        <f>IF(Compositions!BG123="","",(Compositions!BG123*(VLOOKUP(Compositions!BC123,'HHV-LHV-MW'!$A$3:$F$40,6,FALSE))))</f>
        <v/>
      </c>
      <c r="SB58" s="297" t="str">
        <f>IF(Compositions!BG123="","",IF(OR(Compositions!$BG$118="wt%",Compositions!$BG$118=""),Compositions!BG123,(IF(SA58="","",((SA58/$SA$78)*100)))))</f>
        <v/>
      </c>
      <c r="SC58" s="39" t="str">
        <f>IF(SB58="","",(IF(OR(Compositions!BC123="Hydrogen",Compositions!BC123="Helium",Compositions!BC123="Water",Compositions!BC123="Carbon Monoxide",Compositions!BC123="Nitrogen",Compositions!BC123="Oxygen",Compositions!BC123="Hydrogen Sulfide",Compositions!BC123="Argon",Compositions!BC123="Carbon Dioxide",Compositions!BC123="Carbon Disulfide"),0,SB58)))</f>
        <v/>
      </c>
      <c r="SD58" s="186" t="str">
        <f>IF(Compositions!BG123="","",((RU58/100)*((VLOOKUP(Compositions!BC123,'HHV-LHV-MW'!$A$3:$G$40,7,FALSE)))))</f>
        <v/>
      </c>
      <c r="SE58" s="186" t="str">
        <f>IF(RU58="","",(IF(OR(Compositions!BC123="Hydrogen",Compositions!BC123="Carbon Disulfide",Compositions!BC123="Helium",Compositions!BC123="Water",Compositions!BC123="Carbon Monoxide",Compositions!BC123="Nitrogen",Compositions!BC123="Oxygen",Compositions!BC123="Hydrogen Sulfide",Compositions!BC123="Argon",Compositions!BC123="Carbon Dioxide",Compositions!BC123="Methane",Compositions!BC123="Ethane"),0,(RU58/100))))</f>
        <v/>
      </c>
      <c r="SF58" s="39" t="str">
        <f>IF(RU58="","",(IF(OR($SE$78=0,$SE$78=""),0,     ((VLOOKUP(Compositions!BC123,'HHV-LHV-MW'!$A$3:$F$40,6,FALSE))*(SE58/$SE$78)))))</f>
        <v/>
      </c>
    </row>
    <row r="59" spans="1:500" ht="15.6">
      <c r="A59" s="173" t="s">
        <v>185</v>
      </c>
      <c r="B59" s="19" t="s">
        <v>184</v>
      </c>
      <c r="C59" s="20">
        <v>3</v>
      </c>
      <c r="D59" s="20">
        <v>2.2223999999999999</v>
      </c>
      <c r="E59" s="20">
        <v>2.0432999999999999</v>
      </c>
      <c r="F59" s="20">
        <v>44.096519999999998</v>
      </c>
      <c r="G59" s="20">
        <v>0</v>
      </c>
      <c r="H59" s="170"/>
      <c r="I59" s="170"/>
      <c r="K59" s="27" t="str">
        <f>IF(Compositions!B124="","",IF(Compositions!$B$118="mol%",Compositions!B124,L59))</f>
        <v/>
      </c>
      <c r="L59" s="27" t="str">
        <f t="shared" si="25"/>
        <v/>
      </c>
      <c r="M59" s="27" t="str">
        <f>IF(Compositions!B124="","",(Compositions!B124/(VLOOKUP(Compositions!A124,'HHV-LHV-MW'!$A$3:$F$40,6,FALSE))))</f>
        <v/>
      </c>
      <c r="N59" s="25" t="str">
        <f>IF(K59="","",((VLOOKUP(Compositions!A124,'HHV-LHV-MW'!$A$3:$F$40,4,FALSE))*(K59/100)))</f>
        <v/>
      </c>
      <c r="O59" s="25" t="str">
        <f>IF(K59="","",((VLOOKUP(Compositions!A124,'HHV-LHV-MW'!$A$3:$F$40,5,FALSE))*(K59/100)))</f>
        <v/>
      </c>
      <c r="P59" s="25" t="str">
        <f>IF(K59="","",((VLOOKUP(Compositions!A124,'HHV-LHV-MW'!$A$3:$F$40,6,FALSE))*(K59/100)))</f>
        <v/>
      </c>
      <c r="Q59" s="25" t="str">
        <f>IF(Compositions!B124="","",(Compositions!B124*(VLOOKUP(Compositions!A124,'HHV-LHV-MW'!$A$3:$F$40,6,FALSE))))</f>
        <v/>
      </c>
      <c r="R59" s="188" t="str">
        <f>IF(Compositions!B124="","",IF(OR(Compositions!$B$118="wt%",Compositions!$B$118=""),Compositions!B124,(IF(Q59="","",((Q59/$Q$78)*100)))))</f>
        <v/>
      </c>
      <c r="S59" s="185" t="str">
        <f>IF(R59="","",(IF(OR(Compositions!A124="Hydrogen",Compositions!A124="Helium",Compositions!A124="Water",Compositions!A124="Carbon Monoxide",Compositions!A124="Nitrogen",Compositions!A124="Oxygen",Compositions!A124="Hydrogen Sulfide",Compositions!A124="Argon",Compositions!A124="Carbon Dioxide",Compositions!A124="Carbon Disulfide"),0,R59)))</f>
        <v/>
      </c>
      <c r="T59" s="169" t="str">
        <f>IF(Compositions!B124="","",((K59/100)*((VLOOKUP(Compositions!A124,'HHV-LHV-MW'!$A$3:$G$40,7,FALSE)))))</f>
        <v/>
      </c>
      <c r="U59" s="187" t="str">
        <f>IF(K59="","",(IF(OR(Compositions!A124="Hydrogen",Compositions!A124="Carbon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Dioxide",Compositions!A124="Methane",Compositions!A124="Ethane"),0,(K59/100))))</f>
        <v/>
      </c>
      <c r="V59" s="188" t="str">
        <f>IF(K59="","", (IF(OR($U$78=0,$U$78=""),0,((VLOOKUP(Compositions!A124,'HHV-LHV-MW'!$A$3:$F$40,6,FALSE))*(U59/$U$78))   ))   )</f>
        <v/>
      </c>
      <c r="W59" s="28" t="str">
        <f>IF(Compositions!C124="","",IF(Compositions!$C$118="mol%",Compositions!C124,X59))</f>
        <v/>
      </c>
      <c r="X59" s="28" t="str">
        <f t="shared" si="26"/>
        <v/>
      </c>
      <c r="Y59" s="28" t="str">
        <f>IF(Compositions!C124="","",(Compositions!C124/(VLOOKUP(Compositions!A124,'HHV-LHV-MW'!$A$3:$F$40,6,FALSE))))</f>
        <v/>
      </c>
      <c r="Z59" s="26" t="str">
        <f>IF(W59="","",((VLOOKUP(Compositions!A124,'HHV-LHV-MW'!$A$3:$F$40,4,FALSE))*(W59/100)))</f>
        <v/>
      </c>
      <c r="AA59" s="26" t="str">
        <f>IF(W59="","",((VLOOKUP(Compositions!A124,'HHV-LHV-MW'!$A$3:$F$40,5,FALSE))*(W59/100)))</f>
        <v/>
      </c>
      <c r="AB59" s="26" t="str">
        <f>IF(W59="","",((VLOOKUP(Compositions!A124,'HHV-LHV-MW'!$A$3:$F$40,6,FALSE))*(W59/100)))</f>
        <v/>
      </c>
      <c r="AC59" s="26" t="str">
        <f>IF(Compositions!C124="","",(Compositions!C124*(VLOOKUP(Compositions!A124,'HHV-LHV-MW'!$A$3:$F$40,6,FALSE))))</f>
        <v/>
      </c>
      <c r="AD59" s="296" t="str">
        <f>IF(Compositions!C124="","",IF(OR(Compositions!$C$118="wt%",Compositions!$C$118=""),Compositions!C124,(IF(AC59="","",((AC59/$AC$78)*100)))))</f>
        <v/>
      </c>
      <c r="AE59" s="39" t="str">
        <f>IF(AD59="","",(IF(OR(Compositions!A124="Hydrogen",Compositions!A124="Helium",Compositions!A124="Water",Compositions!A124="Carbon Monoxide",Compositions!A124="Nitrogen",Compositions!A124="Oxygen",Compositions!A124="Hydrogen Sulfide",Compositions!A124="Argon",Compositions!A124="Carbon Dioxide",Compositions!A124="Carbon Disulfide"),0,AD59)))</f>
        <v/>
      </c>
      <c r="AF59" s="186" t="str">
        <f>IF(Compositions!C124="","",((W59/100)*((VLOOKUP(Compositions!A124,'HHV-LHV-MW'!$A$3:$G$40,7,FALSE)))))</f>
        <v/>
      </c>
      <c r="AG59" s="186" t="str">
        <f>IF(W59="","",(IF(OR(Compositions!A124="Hydrogen",Compositions!A124="Carbon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Dioxide",Compositions!A124="Methane",Compositions!A124="Ethane"),0,(W59/100))))</f>
        <v/>
      </c>
      <c r="AH59" s="39" t="str">
        <f>IF(W59="","", (IF(OR($AG$78=0,$AG$78=""),0,   ((VLOOKUP(Compositions!A124,'HHV-LHV-MW'!$A$3:$F$40,6,FALSE))*(AG59/$AG$78)))))</f>
        <v/>
      </c>
      <c r="AI59" s="27" t="str">
        <f>IF(Compositions!D124="","",IF(Compositions!$D$118="mol%",Compositions!D124,AJ59))</f>
        <v/>
      </c>
      <c r="AJ59" s="27" t="str">
        <f t="shared" si="27"/>
        <v/>
      </c>
      <c r="AK59" s="27" t="str">
        <f>IF(Compositions!D124="","",(Compositions!D124/(VLOOKUP(Compositions!A124,'HHV-LHV-MW'!$A$3:$F$40,6,FALSE))))</f>
        <v/>
      </c>
      <c r="AL59" s="25" t="str">
        <f>IF(AI59="","",((VLOOKUP(Compositions!A124,'HHV-LHV-MW'!$A$3:$F$40,4,FALSE))*(AI59/100)))</f>
        <v/>
      </c>
      <c r="AM59" s="25" t="str">
        <f>IF(AI59="","",((VLOOKUP(Compositions!A124,'HHV-LHV-MW'!$A$3:$F$40,5,FALSE))*(AI59/100)))</f>
        <v/>
      </c>
      <c r="AN59" s="25" t="str">
        <f>IF(AI59="","",((VLOOKUP(Compositions!A124,'HHV-LHV-MW'!$A$3:$F$40,6,FALSE))*(AI59/100)))</f>
        <v/>
      </c>
      <c r="AO59" s="25" t="str">
        <f>IF(Compositions!D124="","",(Compositions!D124*(VLOOKUP(Compositions!A124,'HHV-LHV-MW'!$A$3:$F$40,6,FALSE))))</f>
        <v/>
      </c>
      <c r="AP59" s="295" t="str">
        <f>IF(Compositions!D124="","",IF(OR(Compositions!$D$118="wt%",Compositions!$D$118=""),Compositions!D124,(IF(AO59="","",((AO59/$AO$78)*100)))))</f>
        <v/>
      </c>
      <c r="AQ59" s="185" t="str">
        <f>IF(AP59="","",(IF(OR(Compositions!A124="Hydrogen",Compositions!A124="Helium",Compositions!A124="Water",Compositions!A124="Carbon Monoxide",Compositions!A124="Nitrogen",Compositions!A124="Oxygen",Compositions!A124="Hydrogen Sulfide",Compositions!A124="Argon",Compositions!A124="Carbon Dioxide",Compositions!A124="Carbon Disulfide"),0,AP59)))</f>
        <v/>
      </c>
      <c r="AR59" s="187" t="str">
        <f>IF(Compositions!D124="","",((AI59/100)*((VLOOKUP(Compositions!A124,'HHV-LHV-MW'!$A$3:$G$40,7,FALSE)))))</f>
        <v/>
      </c>
      <c r="AS59" s="187" t="str">
        <f>IF(AI59="","",(IF(OR(Compositions!A124="Hydrogen",Compositions!A124="Carbon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Dioxide",Compositions!A124="Methane",Compositions!A124="Ethane"),0,(AI59/100))))</f>
        <v/>
      </c>
      <c r="AT59" s="205" t="str">
        <f>IF(AI59="","",(IF(OR($AS$78=0,$AS$78=""),0,      ((VLOOKUP(Compositions!A124,'HHV-LHV-MW'!$A$3:$F$40,6,FALSE))*(AS59/$AS$78)))))</f>
        <v/>
      </c>
      <c r="AU59" s="28" t="str">
        <f>IF(Compositions!E124="","",IF(Compositions!$E$118="mol%",Compositions!E124,AV59))</f>
        <v/>
      </c>
      <c r="AV59" s="28" t="str">
        <f t="shared" si="28"/>
        <v/>
      </c>
      <c r="AW59" s="28" t="str">
        <f>IF(Compositions!E124="","",(Compositions!E124/(VLOOKUP(Compositions!A124,'HHV-LHV-MW'!$A$3:$F$40,6,FALSE))))</f>
        <v/>
      </c>
      <c r="AX59" s="26" t="str">
        <f>IF(AU59="","",((VLOOKUP(Compositions!A124,'HHV-LHV-MW'!$A$3:$F$40,4,FALSE))*(AU59/100)))</f>
        <v/>
      </c>
      <c r="AY59" s="26" t="str">
        <f>IF(AU59="","",((VLOOKUP(Compositions!A124,'HHV-LHV-MW'!$A$3:$F$40,5,FALSE))*(AU59/100)))</f>
        <v/>
      </c>
      <c r="AZ59" s="26" t="str">
        <f>IF(AU59="","",((VLOOKUP(Compositions!A124,'HHV-LHV-MW'!$A$3:$F$40,6,FALSE))*(AU59/100)))</f>
        <v/>
      </c>
      <c r="BA59" s="26" t="str">
        <f>IF(Compositions!E124="","",(Compositions!E124*(VLOOKUP(Compositions!A124,'HHV-LHV-MW'!$A$3:$F$40,6,FALSE))))</f>
        <v/>
      </c>
      <c r="BB59" s="296" t="str">
        <f>IF(Compositions!E124="","",IF(OR(Compositions!$E$118="wt%",Compositions!$E$118=""),Compositions!E124,(IF(BA59="","",((BA59/$BA$78)*100)))))</f>
        <v/>
      </c>
      <c r="BC59" s="39" t="str">
        <f>IF(BB59="","",(IF(OR(Compositions!A124="Hydrogen",Compositions!A124="Helium",Compositions!A124="Water",Compositions!A124="Carbon Monoxide",Compositions!A124="Nitrogen",Compositions!A124="Oxygen",Compositions!A124="Hydrogen Sulfide",Compositions!A124="Argon",Compositions!A124="Carbon Dioxide",Compositions!A124="Carbon Disulfide"),0,BB59)))</f>
        <v/>
      </c>
      <c r="BD59" s="186" t="str">
        <f>IF(Compositions!E124="","",((AU59/100)*((VLOOKUP(Compositions!A124,'HHV-LHV-MW'!$A$3:$G$40,7,FALSE)))))</f>
        <v/>
      </c>
      <c r="BE59" s="186" t="str">
        <f>IF(AU59="","",(IF(OR(Compositions!A124="Hydrogen",Compositions!A124="Carbon Disulfide",Compositions!A124="Helium",Compositions!A124="Water",Compositions!A124="Carbon Monoxide",Compositions!A124="Nitrogen",Compositions!A124="Oxygen",Compositions!A124="Hydrogen Sulfide",Compositions!A124="Argon",Compositions!A124="Carbon Dioxide",Compositions!A124="Methane",Compositions!A124="Ethane"),0,(AU59/100))))</f>
        <v/>
      </c>
      <c r="BF59" s="39" t="str">
        <f>IF(AU59="","",(IF(OR($BE$78=0,$BE$78=""),0,     ((VLOOKUP(Compositions!A124,'HHV-LHV-MW'!$A$3:$F$40,6,FALSE))*(BE59/$BE$78)))))</f>
        <v/>
      </c>
      <c r="BH59" s="27" t="str">
        <f>IF(Compositions!H124="","",IF(Compositions!$H$118="mol%",Compositions!H124,BI59))</f>
        <v/>
      </c>
      <c r="BI59" s="27" t="str">
        <f t="shared" si="29"/>
        <v/>
      </c>
      <c r="BJ59" s="27" t="str">
        <f>IF(Compositions!H124="","",(Compositions!H124/(VLOOKUP(Compositions!G124,'HHV-LHV-MW'!$A$3:$F$40,6,FALSE))))</f>
        <v/>
      </c>
      <c r="BK59" s="25" t="str">
        <f>IF(BH59="","",((VLOOKUP(Compositions!G124,'HHV-LHV-MW'!$A$3:$F$40,4,FALSE))*(BH59/100)))</f>
        <v/>
      </c>
      <c r="BL59" s="25" t="str">
        <f>IF(BH59="","",((VLOOKUP(Compositions!G124,'HHV-LHV-MW'!$A$3:$F$40,5,FALSE))*(BH59/100)))</f>
        <v/>
      </c>
      <c r="BM59" s="25" t="str">
        <f>IF(BH59="","",((VLOOKUP(Compositions!G124,'HHV-LHV-MW'!$A$3:$F$40,6,FALSE))*(BH59/100)))</f>
        <v/>
      </c>
      <c r="BN59" s="25" t="str">
        <f>IF(Compositions!H124="","",(Compositions!H124*(VLOOKUP(Compositions!G124,'HHV-LHV-MW'!$A$3:$F$40,6,FALSE))))</f>
        <v/>
      </c>
      <c r="BO59" s="295" t="str">
        <f>IF(Compositions!H124="","",IF(OR(Compositions!$H$118="wt%",Compositions!$H$118=""),Compositions!H124,(IF(BN59="","",((BN59/$BN$78)*100)))))</f>
        <v/>
      </c>
      <c r="BP59" s="185" t="str">
        <f>IF(BO59="","",(IF(OR(Compositions!G124="Hydrogen",Compositions!G124="Helium",Compositions!G124="Water",Compositions!G124="Carbon Monoxide",Compositions!G124="Nitrogen",Compositions!G124="Oxygen",Compositions!G124="Hydrogen Sulfide",Compositions!G124="Argon",Compositions!G124="Carbon Dioxide",Compositions!G124="Carbon Disulfide"),0,BO59)))</f>
        <v/>
      </c>
      <c r="BQ59" s="187" t="str">
        <f>IF(Compositions!H124="","",((BH59/100)*((VLOOKUP(Compositions!G124,'HHV-LHV-MW'!$A$3:$G$40,7,FALSE)))))</f>
        <v/>
      </c>
      <c r="BR59" s="187" t="str">
        <f>IF(BH59="","",(IF(OR(Compositions!G124="Hydrogen",Compositions!G124="Carbon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Dioxide",Compositions!G124="Methane",Compositions!G124="Ethane"),0,(BH59/100))))</f>
        <v/>
      </c>
      <c r="BS59" s="205" t="str">
        <f>IF(BH59="","",(IF(OR($BR$78=0,$BR$78=""),0,    ((VLOOKUP(Compositions!G124,'HHV-LHV-MW'!$A$3:$F$40,6,FALSE))*(BR59/$BR$78)))))</f>
        <v/>
      </c>
      <c r="BT59" s="28" t="str">
        <f>IF(Compositions!I124="","",IF(Compositions!$I$118="mol%",Compositions!I124,BU59))</f>
        <v/>
      </c>
      <c r="BU59" s="28" t="str">
        <f t="shared" si="30"/>
        <v/>
      </c>
      <c r="BV59" s="28" t="str">
        <f>IF(Compositions!I124="","",(Compositions!I124/(VLOOKUP(Compositions!G124,'HHV-LHV-MW'!$A$3:$F$40,6,FALSE))))</f>
        <v/>
      </c>
      <c r="BW59" s="26" t="str">
        <f>IF(BT59="","",((VLOOKUP(Compositions!G124,'HHV-LHV-MW'!$A$3:$F$40,4,FALSE))*(BT59/100)))</f>
        <v/>
      </c>
      <c r="BX59" s="26" t="str">
        <f>IF(BT59="","",((VLOOKUP(Compositions!G124,'HHV-LHV-MW'!$A$3:$F$40,5,FALSE))*(BT59/100)))</f>
        <v/>
      </c>
      <c r="BY59" s="26" t="str">
        <f>IF(BT59="","",((VLOOKUP(Compositions!G124,'HHV-LHV-MW'!$A$3:$F$40,6,FALSE))*(BT59/100)))</f>
        <v/>
      </c>
      <c r="BZ59" s="26" t="str">
        <f>IF(Compositions!I124="","",(Compositions!I124*(VLOOKUP(Compositions!G124,'HHV-LHV-MW'!$A$3:$F$40,6,FALSE))))</f>
        <v/>
      </c>
      <c r="CA59" s="296" t="str">
        <f>IF(Compositions!I124="","",IF(OR(Compositions!$I$118="wt%",Compositions!$I$118=""),Compositions!I124,(IF(BZ59="","",((BZ59/$BZ$78)*100)))))</f>
        <v/>
      </c>
      <c r="CB59" s="39" t="str">
        <f>IF(CA59="","",(IF(OR(Compositions!G124="Hydrogen",Compositions!G124="Helium",Compositions!G124="Water",Compositions!G124="Carbon Monoxide",Compositions!G124="Nitrogen",Compositions!G124="Oxygen",Compositions!G124="Hydrogen Sulfide",Compositions!G124="Argon",Compositions!G124="Carbon Dioxide",Compositions!G124="Carbon Disulfide"),0,CA59)))</f>
        <v/>
      </c>
      <c r="CC59" s="186" t="str">
        <f>IF(Compositions!I124="","",((BT59/100)*((VLOOKUP(Compositions!G124,'HHV-LHV-MW'!$A$3:$G$40,7,FALSE)))))</f>
        <v/>
      </c>
      <c r="CD59" s="186" t="str">
        <f>IF(BT59="","",(IF(OR(Compositions!G124="Hydrogen",Compositions!G124="Carbon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Dioxide",Compositions!G124="Methane",Compositions!G124="Ethane"),0,(BT59/100))))</f>
        <v/>
      </c>
      <c r="CE59" s="39" t="str">
        <f>IF(BT59="","",(IF(OR($CD$78=0,$CD$78=""),0,       ((VLOOKUP(Compositions!G124,'HHV-LHV-MW'!$A$3:$F$40,6,FALSE))*(CD59/$CD$78)))))</f>
        <v/>
      </c>
      <c r="CF59" s="27" t="str">
        <f>IF(Compositions!J124="","",IF(Compositions!$J$118="mol%",Compositions!J124,CG59))</f>
        <v/>
      </c>
      <c r="CG59" s="27" t="str">
        <f t="shared" si="31"/>
        <v/>
      </c>
      <c r="CH59" s="27" t="str">
        <f>IF(Compositions!J124="","",(Compositions!J124/(VLOOKUP(Compositions!G124,'HHV-LHV-MW'!$A$3:$F$40,6,FALSE))))</f>
        <v/>
      </c>
      <c r="CI59" s="25" t="str">
        <f>IF(CF59="","",((VLOOKUP(Compositions!G124,'HHV-LHV-MW'!$A$3:$F$40,4,FALSE))*(CF59/100)))</f>
        <v/>
      </c>
      <c r="CJ59" s="25" t="str">
        <f>IF(CF59="","",((VLOOKUP(Compositions!G124,'HHV-LHV-MW'!$A$3:$F$40,5,FALSE))*(CF59/100)))</f>
        <v/>
      </c>
      <c r="CK59" s="25" t="str">
        <f>IF(CF59="","",((VLOOKUP(Compositions!G124,'HHV-LHV-MW'!$A$3:$F$40,6,FALSE))*(CF59/100)))</f>
        <v/>
      </c>
      <c r="CL59" s="25" t="str">
        <f>IF(Compositions!J124="","",(Compositions!J124*(VLOOKUP(Compositions!G124,'HHV-LHV-MW'!$A$3:$F$40,6,FALSE))))</f>
        <v/>
      </c>
      <c r="CM59" s="295" t="str">
        <f>IF(Compositions!J124="","",IF(OR(Compositions!$J$118="wt%",Compositions!$J$118=""),Compositions!J124,(IF(CL59="","",((CL59/$CL$78)*100)))))</f>
        <v/>
      </c>
      <c r="CN59" s="185" t="str">
        <f>IF(CM59="","",(IF(OR(Compositions!G124="Hydrogen",Compositions!G124="Helium",Compositions!G124="Water",Compositions!G124="Carbon Monoxide",Compositions!G124="Nitrogen",Compositions!G124="Oxygen",Compositions!G124="Hydrogen Sulfide",Compositions!G124="Argon",Compositions!G124="Carbon Dioxide",Compositions!G124="Carbon Disulfide"),0,CM59)))</f>
        <v/>
      </c>
      <c r="CO59" s="187" t="str">
        <f>IF(Compositions!J124="","",((CF59/100)*((VLOOKUP(Compositions!G124,'HHV-LHV-MW'!$A$3:$G$40,7,FALSE)))))</f>
        <v/>
      </c>
      <c r="CP59" s="187" t="str">
        <f>IF(CF59="","",(IF(OR(Compositions!G124="Hydrogen",Compositions!G124="Carbon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Dioxide",Compositions!G124="Methane",Compositions!G124="Ethane"),0,(CF59/100))))</f>
        <v/>
      </c>
      <c r="CQ59" s="205" t="str">
        <f>IF(CF59="","",(IF(OR($CP$78=0,$CP$78=""),0,       ((VLOOKUP(Compositions!G124,'HHV-LHV-MW'!$A$3:$F$40,6,FALSE))*(CP59/$CP$78)))))</f>
        <v/>
      </c>
      <c r="CR59" s="28" t="str">
        <f>IF(Compositions!K124="","",IF(Compositions!$K$118="mol%",Compositions!K124,CS59))</f>
        <v/>
      </c>
      <c r="CS59" s="28" t="str">
        <f t="shared" si="32"/>
        <v/>
      </c>
      <c r="CT59" s="28" t="str">
        <f>IF(Compositions!K124="","",(Compositions!K124/(VLOOKUP(Compositions!G124,'HHV-LHV-MW'!$A$3:$F$40,6,FALSE))))</f>
        <v/>
      </c>
      <c r="CU59" s="26" t="str">
        <f>IF(CR59="","",((VLOOKUP(Compositions!G124,'HHV-LHV-MW'!$A$3:$F$40,4,FALSE))*(CR59/100)))</f>
        <v/>
      </c>
      <c r="CV59" s="26" t="str">
        <f>IF(CR59="","",((VLOOKUP(Compositions!G124,'HHV-LHV-MW'!$A$3:$F$40,5,FALSE))*(CR59/100)))</f>
        <v/>
      </c>
      <c r="CW59" s="26" t="str">
        <f>IF(CR59="","",((VLOOKUP(Compositions!G124,'HHV-LHV-MW'!$A$3:$F$40,6,FALSE))*(CR59/100)))</f>
        <v/>
      </c>
      <c r="CX59" s="26" t="str">
        <f>IF(Compositions!K124="","",(Compositions!K124*(VLOOKUP(Compositions!G124,'HHV-LHV-MW'!$A$3:$F$40,6,FALSE))))</f>
        <v/>
      </c>
      <c r="CY59" s="296" t="str">
        <f>IF(Compositions!K124="","",IF(OR(Compositions!$K$118="wt%",Compositions!$K$118=""),Compositions!K124,(IF(CX59="","",((CX59/$CX$78)*100)))))</f>
        <v/>
      </c>
      <c r="CZ59" s="39" t="str">
        <f>IF(CY59="","",(IF(OR(Compositions!G124="Hydrogen",Compositions!G124="Helium",Compositions!G124="Water",Compositions!G124="Carbon Monoxide",Compositions!G124="Nitrogen",Compositions!G124="Oxygen",Compositions!G124="Hydrogen Sulfide",Compositions!G124="Argon",Compositions!G124="Carbon Dioxide",Compositions!G124="Carbon Disulfide"),0,CY59)))</f>
        <v/>
      </c>
      <c r="DA59" s="186" t="str">
        <f>IF(Compositions!K124="","",((CR59/100)*((VLOOKUP(Compositions!G124,'HHV-LHV-MW'!$A$3:$G$40,7,FALSE)))))</f>
        <v/>
      </c>
      <c r="DB59" s="186" t="str">
        <f>IF(CR59="","",(IF(OR(Compositions!G124="Hydrogen",Compositions!G124="Carbon Disulfide",Compositions!G124="Helium",Compositions!G124="Water",Compositions!G124="Carbon Monoxide",Compositions!G124="Nitrogen",Compositions!G124="Oxygen",Compositions!G124="Hydrogen Sulfide",Compositions!G124="Argon",Compositions!G124="Carbon Dioxide",Compositions!G124="Methane",Compositions!G124="Ethane"),0,(CR59/100))))</f>
        <v/>
      </c>
      <c r="DC59" s="39" t="str">
        <f>IF(CR59="","",(IF(OR($DB$78=0,$DB$78=""),0,       ((VLOOKUP(Compositions!G124,'HHV-LHV-MW'!$A$3:$F$40,6,FALSE))*(DB59/$DB$78)))))</f>
        <v/>
      </c>
      <c r="DE59" s="27" t="str">
        <f>IF(Compositions!N124="","",IF(Compositions!$N$118="mol%",Compositions!N124,DF59))</f>
        <v/>
      </c>
      <c r="DF59" s="27" t="str">
        <f t="shared" si="33"/>
        <v/>
      </c>
      <c r="DG59" s="27" t="str">
        <f>IF(Compositions!N124="","",(Compositions!N124/(VLOOKUP(Compositions!M124,'HHV-LHV-MW'!$A$3:$F$40,6,FALSE))))</f>
        <v/>
      </c>
      <c r="DH59" s="25" t="str">
        <f>IF(DE59="","",((VLOOKUP(Compositions!M124,'HHV-LHV-MW'!$A$3:$F$40,4,FALSE))*(DE59/100)))</f>
        <v/>
      </c>
      <c r="DI59" s="25" t="str">
        <f>IF(DE59="","",((VLOOKUP(Compositions!M124,'HHV-LHV-MW'!$A$3:$F$40,5,FALSE))*(DE59/100)))</f>
        <v/>
      </c>
      <c r="DJ59" s="25" t="str">
        <f>IF(DE59="","",((VLOOKUP(Compositions!M124,'HHV-LHV-MW'!$A$3:$F$40,6,FALSE))*(DE59/100)))</f>
        <v/>
      </c>
      <c r="DK59" s="25" t="str">
        <f>IF(Compositions!N124="","",(Compositions!N124*(VLOOKUP(Compositions!M124,'HHV-LHV-MW'!$A$3:$F$40,6,FALSE))))</f>
        <v/>
      </c>
      <c r="DL59" s="295" t="str">
        <f>IF(Compositions!N124="","",IF(OR(Compositions!$N$118="wt%",Compositions!$N$118=""),Compositions!N124,(IF(DK59="","",((DK59/$DK$78)*100)))))</f>
        <v/>
      </c>
      <c r="DM59" s="185" t="str">
        <f>IF(DL59="","",(IF(OR(Compositions!M124="Hydrogen",Compositions!M124="Helium",Compositions!M124="Water",Compositions!M124="Carbon Monoxide",Compositions!M124="Nitrogen",Compositions!M124="Oxygen",Compositions!M124="Hydrogen Sulfide",Compositions!M124="Argon",Compositions!M124="Carbon Dioxide",Compositions!M124="Carbon Disulfide"),0,DL59)))</f>
        <v/>
      </c>
      <c r="DN59" s="187" t="str">
        <f>IF(Compositions!N124="","",((DE59/100)*((VLOOKUP(Compositions!M124,'HHV-LHV-MW'!$A$3:$G$40,7,FALSE)))))</f>
        <v/>
      </c>
      <c r="DO59" s="187" t="str">
        <f>IF(DE59="","",(IF(OR(Compositions!M124="Hydrogen",Compositions!M124="Carbon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Dioxide",Compositions!M124="Methane",Compositions!M124="Ethane"),0,(DE59/100))))</f>
        <v/>
      </c>
      <c r="DP59" s="205" t="str">
        <f>IF(DE59="","",(IF(OR($DO$78=0,$DO$78=""),0,       ((VLOOKUP(Compositions!M124,'HHV-LHV-MW'!$A$3:$F$40,6,FALSE))*(DO59/$DO$78)))))</f>
        <v/>
      </c>
      <c r="DQ59" s="28" t="str">
        <f>IF(Compositions!O124="","",IF(Compositions!$O$118="mol%",Compositions!O124,DR59))</f>
        <v/>
      </c>
      <c r="DR59" s="28" t="str">
        <f t="shared" si="34"/>
        <v/>
      </c>
      <c r="DS59" s="28" t="str">
        <f>IF(Compositions!O124="","",(Compositions!O124/(VLOOKUP(Compositions!M124,'HHV-LHV-MW'!$A$3:$F$40,6,FALSE))))</f>
        <v/>
      </c>
      <c r="DT59" s="26" t="str">
        <f>IF(DQ59="","",((VLOOKUP(Compositions!M124,'HHV-LHV-MW'!$A$3:$F$40,4,FALSE))*(DQ59/100)))</f>
        <v/>
      </c>
      <c r="DU59" s="26" t="str">
        <f>IF(DQ59="","",((VLOOKUP(Compositions!M124,'HHV-LHV-MW'!$A$3:$F$40,5,FALSE))*(DQ59/100)))</f>
        <v/>
      </c>
      <c r="DV59" s="26" t="str">
        <f>IF(DQ59="","",((VLOOKUP(Compositions!M124,'HHV-LHV-MW'!$A$3:$F$40,6,FALSE))*(DQ59/100)))</f>
        <v/>
      </c>
      <c r="DW59" s="26" t="str">
        <f>IF(Compositions!O124="","",(Compositions!O124*(VLOOKUP(Compositions!M124,'HHV-LHV-MW'!$A$3:$F$40,6,FALSE))))</f>
        <v/>
      </c>
      <c r="DX59" s="296" t="str">
        <f>IF(Compositions!O124="","",IF(OR(Compositions!$O$118="wt%",Compositions!$O$118=""),Compositions!O124,(IF(DW59="","",((DW59/$DW$78)*100)))))</f>
        <v/>
      </c>
      <c r="DY59" s="39" t="str">
        <f>IF(DX59="","",(IF(OR(Compositions!M124="Hydrogen",Compositions!M124="Helium",Compositions!M124="Water",Compositions!M124="Carbon Monoxide",Compositions!M124="Nitrogen",Compositions!M124="Oxygen",Compositions!M124="Hydrogen Sulfide",Compositions!M124="Argon",Compositions!M124="Carbon Dioxide",Compositions!M124="Carbon Disulfide"),0,DX59)))</f>
        <v/>
      </c>
      <c r="DZ59" s="186" t="str">
        <f>IF(Compositions!O124="","",((DQ59/100)*((VLOOKUP(Compositions!M124,'HHV-LHV-MW'!$A$3:$G$40,7,FALSE)))))</f>
        <v/>
      </c>
      <c r="EA59" s="186" t="str">
        <f>IF(DQ59="","",(IF(OR(Compositions!M124="Hydrogen",Compositions!M124="Carbon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Dioxide",Compositions!M124="Methane",Compositions!M124="Ethane"),0,(DQ59/100))))</f>
        <v/>
      </c>
      <c r="EB59" s="39" t="str">
        <f>IF(DQ59="","",(IF(OR($EA$78=0,$EA$78=""),0,       ((VLOOKUP(Compositions!M124,'HHV-LHV-MW'!$A$3:$F$40,6,FALSE))*(EA59/$EA$78)))))</f>
        <v/>
      </c>
      <c r="EC59" s="27" t="str">
        <f>IF(Compositions!P124="","",IF(Compositions!$P$118="mol%",Compositions!P124,ED59))</f>
        <v/>
      </c>
      <c r="ED59" s="27" t="str">
        <f t="shared" si="35"/>
        <v/>
      </c>
      <c r="EE59" s="27" t="str">
        <f>IF(Compositions!P124="","",(Compositions!P124/(VLOOKUP(Compositions!M124,'HHV-LHV-MW'!$A$3:$F$40,6,FALSE))))</f>
        <v/>
      </c>
      <c r="EF59" s="25" t="str">
        <f>IF(EC59="","",((VLOOKUP(Compositions!M124,'HHV-LHV-MW'!$A$3:$F$40,4,FALSE))*(EC59/100)))</f>
        <v/>
      </c>
      <c r="EG59" s="25" t="str">
        <f>IF(EC59="","",((VLOOKUP(Compositions!M124,'HHV-LHV-MW'!$A$3:$F$40,5,FALSE))*(EC59/100)))</f>
        <v/>
      </c>
      <c r="EH59" s="25" t="str">
        <f>IF(EC59="","",((VLOOKUP(Compositions!M124,'HHV-LHV-MW'!$A$3:$F$40,6,FALSE))*(EC59/100)))</f>
        <v/>
      </c>
      <c r="EI59" s="25" t="str">
        <f>IF(Compositions!P124="","",(Compositions!P124*(VLOOKUP(Compositions!M124,'HHV-LHV-MW'!$A$3:$F$40,6,FALSE))))</f>
        <v/>
      </c>
      <c r="EJ59" s="295" t="str">
        <f>IF(Compositions!P124="","",IF(OR(Compositions!$P$118="wt%",Compositions!$P$118=""),Compositions!P124,(IF(EI59="","",((EI59/$EI$78)*100)))))</f>
        <v/>
      </c>
      <c r="EK59" s="185" t="str">
        <f>IF(EJ59="","",(IF(OR(Compositions!M124="Hydrogen",Compositions!M124="Helium",Compositions!M124="Water",Compositions!M124="Carbon Monoxide",Compositions!M124="Nitrogen",Compositions!M124="Oxygen",Compositions!M124="Hydrogen Sulfide",Compositions!M124="Argon",Compositions!M124="Carbon Dioxide",Compositions!M124="Carbon Disulfide"),0,EJ59)))</f>
        <v/>
      </c>
      <c r="EL59" s="187" t="str">
        <f>IF(Compositions!P124="","",((EC59/100)*((VLOOKUP(Compositions!M124,'HHV-LHV-MW'!$A$3:$G$40,7,FALSE)))))</f>
        <v/>
      </c>
      <c r="EM59" s="187" t="str">
        <f>IF(EC59="","",(IF(OR(Compositions!M124="Hydrogen",Compositions!M124="Carbon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Dioxide",Compositions!M124="Methane",Compositions!M124="Ethane"),0,(EC59/100))))</f>
        <v/>
      </c>
      <c r="EN59" s="205" t="str">
        <f>IF(EC59="","",(IF(OR($EM$78=0,$EM$78=""),0,       ((VLOOKUP(Compositions!M124,'HHV-LHV-MW'!$A$3:$F$40,6,FALSE))*(EM59/$EM$78)))))</f>
        <v/>
      </c>
      <c r="EO59" s="28" t="str">
        <f>IF(Compositions!Q124="","",IF(Compositions!$Q$118="mol%",Compositions!Q124,EP59))</f>
        <v/>
      </c>
      <c r="EP59" s="28" t="str">
        <f t="shared" si="36"/>
        <v/>
      </c>
      <c r="EQ59" s="28" t="str">
        <f>IF(Compositions!Q124="","",(Compositions!Q124/(VLOOKUP(Compositions!M124,'HHV-LHV-MW'!$A$3:$F$40,6,FALSE))))</f>
        <v/>
      </c>
      <c r="ER59" s="26" t="str">
        <f>IF(EO59="","",((VLOOKUP(Compositions!M124,'HHV-LHV-MW'!$A$3:$F$40,4,FALSE))*(EO59/100)))</f>
        <v/>
      </c>
      <c r="ES59" s="26" t="str">
        <f>IF(EO59="","",((VLOOKUP(Compositions!M124,'HHV-LHV-MW'!$A$3:$F$40,5,FALSE))*(EO59/100)))</f>
        <v/>
      </c>
      <c r="ET59" s="26" t="str">
        <f>IF(EO59="","",((VLOOKUP(Compositions!M124,'HHV-LHV-MW'!$A$3:$F$40,6,FALSE))*(EO59/100)))</f>
        <v/>
      </c>
      <c r="EU59" s="26" t="str">
        <f>IF(Compositions!Q124="","",(Compositions!Q124*(VLOOKUP(Compositions!M124,'HHV-LHV-MW'!$A$3:$F$40,6,FALSE))))</f>
        <v/>
      </c>
      <c r="EV59" s="296" t="str">
        <f>IF(Compositions!Q124="","",IF(OR(Compositions!$Q$118="wt%",Compositions!$Q$118=""),Compositions!Q124,(IF(EU59="","",((EU59/$EU$78)*100)))))</f>
        <v/>
      </c>
      <c r="EW59" s="39" t="str">
        <f>IF(EV59="","",(IF(OR(Compositions!M124="Hydrogen",Compositions!M124="Helium",Compositions!M124="Water",Compositions!M124="Carbon Monoxide",Compositions!M124="Nitrogen",Compositions!M124="Oxygen",Compositions!M124="Hydrogen Sulfide",Compositions!M124="Argon",Compositions!M124="Carbon Dioxide",Compositions!M124="Carbon Disulfide"),0,EV59)))</f>
        <v/>
      </c>
      <c r="EX59" s="186" t="str">
        <f>IF(Compositions!Q124="","",((EO59/100)*((VLOOKUP(Compositions!M124,'HHV-LHV-MW'!$A$3:$G$40,7,FALSE)))))</f>
        <v/>
      </c>
      <c r="EY59" s="186" t="str">
        <f>IF(EO59="","",(IF(OR(Compositions!M124="Hydrogen",Compositions!M124="Carbon Disulfide",Compositions!M124="Helium",Compositions!M124="Water",Compositions!M124="Carbon Monoxide",Compositions!M124="Nitrogen",Compositions!M124="Oxygen",Compositions!M124="Hydrogen Sulfide",Compositions!M124="Argon",Compositions!M124="Carbon Dioxide",Compositions!M124="Methane",Compositions!M124="Ethane"),0,(EO59/100))))</f>
        <v/>
      </c>
      <c r="EZ59" s="39" t="str">
        <f>IF(EO59="","",(IF(OR($EY$78=0,$EY$78=""),0,       ((VLOOKUP(Compositions!M124,'HHV-LHV-MW'!$A$3:$F$40,6,FALSE))*(EY59/$EY$78)))))</f>
        <v/>
      </c>
      <c r="FB59" s="27" t="str">
        <f>IF(Compositions!T124="","",IF(Compositions!$T$118="mol%",Compositions!T124,FC59))</f>
        <v/>
      </c>
      <c r="FC59" s="27" t="str">
        <f t="shared" si="37"/>
        <v/>
      </c>
      <c r="FD59" s="27" t="str">
        <f>IF(Compositions!T124="","",(Compositions!T124/(VLOOKUP(Compositions!S124,'HHV-LHV-MW'!$A$3:$F$40,6,FALSE))))</f>
        <v/>
      </c>
      <c r="FE59" s="25" t="str">
        <f>IF(FB59="","",((VLOOKUP(Compositions!S124,'HHV-LHV-MW'!$A$3:$F$40,4,FALSE))*(FB59/100)))</f>
        <v/>
      </c>
      <c r="FF59" s="25" t="str">
        <f>IF(FB59="","",((VLOOKUP(Compositions!S124,'HHV-LHV-MW'!$A$3:$F$40,5,FALSE))*(FB59/100)))</f>
        <v/>
      </c>
      <c r="FG59" s="25" t="str">
        <f>IF(FB59="","",((VLOOKUP(Compositions!S124,'HHV-LHV-MW'!$A$3:$F$40,6,FALSE))*(FB59/100)))</f>
        <v/>
      </c>
      <c r="FH59" s="25" t="str">
        <f>IF(Compositions!T124="","",(Compositions!T124*(VLOOKUP(Compositions!S124,'HHV-LHV-MW'!$A$3:$F$40,6,FALSE))))</f>
        <v/>
      </c>
      <c r="FI59" s="295" t="str">
        <f>IF(Compositions!T124="","",IF(OR(Compositions!$T$118="wt%",Compositions!$T$118=""),Compositions!T124,(IF(FH59="","",((FH59/$FH$78)*100)))))</f>
        <v/>
      </c>
      <c r="FJ59" s="185" t="str">
        <f>IF(FI59="","",(IF(OR(Compositions!S124="Hydrogen",Compositions!S124="Helium",Compositions!S124="Water",Compositions!S124="Carbon Monoxide",Compositions!S124="Nitrogen",Compositions!S124="Oxygen",Compositions!S124="Hydrogen Sulfide",Compositions!S124="Argon",Compositions!S124="Carbon Dioxide",Compositions!S124="Carbon Disulfide"),0,FI59)))</f>
        <v/>
      </c>
      <c r="FK59" s="187" t="str">
        <f>IF(Compositions!T124="","",((FB59/100)*((VLOOKUP(Compositions!S124,'HHV-LHV-MW'!$A$3:$G$40,7,FALSE)))))</f>
        <v/>
      </c>
      <c r="FL59" s="187" t="str">
        <f>IF(FB59="","",(IF(OR(Compositions!S124="Hydrogen",Compositions!S124="Carbon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Dioxide",Compositions!S124="Methane",Compositions!S124="Ethane"),0,(FB59/100))))</f>
        <v/>
      </c>
      <c r="FM59" s="205" t="str">
        <f>IF(FB59="","",(IF(OR($FL$78=0,$FL$78=""),0,       ((VLOOKUP(Compositions!S124,'HHV-LHV-MW'!$A$3:$F$40,6,FALSE))*(FL59/$FL$78)))))</f>
        <v/>
      </c>
      <c r="FN59" s="28" t="str">
        <f>IF(Compositions!U124="","",IF(Compositions!$U$118="mol%",Compositions!U124,FO59))</f>
        <v/>
      </c>
      <c r="FO59" s="28" t="str">
        <f t="shared" si="38"/>
        <v/>
      </c>
      <c r="FP59" s="28" t="str">
        <f>IF(Compositions!U124="","",(Compositions!U124/(VLOOKUP(Compositions!S124,'HHV-LHV-MW'!$A$3:$F$40,6,FALSE))))</f>
        <v/>
      </c>
      <c r="FQ59" s="26" t="str">
        <f>IF(FN59="","",((VLOOKUP(Compositions!S124,'HHV-LHV-MW'!$A$3:$F$40,4,FALSE))*(FN59/100)))</f>
        <v/>
      </c>
      <c r="FR59" s="26" t="str">
        <f>IF(FN59="","",((VLOOKUP(Compositions!S124,'HHV-LHV-MW'!$A$3:$F$40,5,FALSE))*(FN59/100)))</f>
        <v/>
      </c>
      <c r="FS59" s="26" t="str">
        <f>IF(FN59="","",((VLOOKUP(Compositions!S124,'HHV-LHV-MW'!$A$3:$F$40,6,FALSE))*(FN59/100)))</f>
        <v/>
      </c>
      <c r="FT59" s="26" t="str">
        <f>IF(Compositions!U124="","",(Compositions!U124*(VLOOKUP(Compositions!S124,'HHV-LHV-MW'!$A$3:$F$40,6,FALSE))))</f>
        <v/>
      </c>
      <c r="FU59" s="296" t="str">
        <f>IF(Compositions!U124="","",IF(OR(Compositions!$U$118="wt%",Compositions!$U$118=""),Compositions!U124,(IF(FT59="","",((FT59/$FT$78)*100)))))</f>
        <v/>
      </c>
      <c r="FV59" s="39" t="str">
        <f>IF(FU59="","",(IF(OR(Compositions!S124="Hydrogen",Compositions!S124="Helium",Compositions!S124="Water",Compositions!S124="Carbon Monoxide",Compositions!S124="Nitrogen",Compositions!S124="Oxygen",Compositions!S124="Hydrogen Sulfide",Compositions!S124="Argon",Compositions!S124="Carbon Dioxide",Compositions!S124="Carbon Disulfide"),0,FU59)))</f>
        <v/>
      </c>
      <c r="FW59" s="186" t="str">
        <f>IF(Compositions!U124="","",((FN59/100)*((VLOOKUP(Compositions!S124,'HHV-LHV-MW'!$A$3:$G$40,7,FALSE)))))</f>
        <v/>
      </c>
      <c r="FX59" s="186" t="str">
        <f>IF(FN59="","",(IF(OR(Compositions!S124="Hydrogen",Compositions!S124="Carbon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Dioxide",Compositions!S124="Methane",Compositions!S124="Ethane"),0,(FN59/100))))</f>
        <v/>
      </c>
      <c r="FY59" s="39" t="str">
        <f>IF(FN59="","",(IF(OR($FX$78=0,$FX$78=""),0,       ((VLOOKUP(Compositions!S124,'HHV-LHV-MW'!$A$3:$F$40,6,FALSE))*(FX59/$FX$78)))))</f>
        <v/>
      </c>
      <c r="FZ59" s="27" t="str">
        <f>IF(Compositions!V124="","",IF(Compositions!$V$118="mol%",Compositions!V124,GA59))</f>
        <v/>
      </c>
      <c r="GA59" s="27" t="str">
        <f t="shared" si="39"/>
        <v/>
      </c>
      <c r="GB59" s="27" t="str">
        <f>IF(Compositions!V124="","",(Compositions!V124/(VLOOKUP(Compositions!S124,'HHV-LHV-MW'!$A$3:$F$40,6,FALSE))))</f>
        <v/>
      </c>
      <c r="GC59" s="25" t="str">
        <f>IF(FZ59="","",((VLOOKUP(Compositions!S124,'HHV-LHV-MW'!$A$3:$F$40,4,FALSE))*(FZ59/100)))</f>
        <v/>
      </c>
      <c r="GD59" s="25" t="str">
        <f>IF(FZ59="","",((VLOOKUP(Compositions!S124,'HHV-LHV-MW'!$A$3:$F$40,5,FALSE))*(FZ59/100)))</f>
        <v/>
      </c>
      <c r="GE59" s="25" t="str">
        <f>IF(FZ59="","",((VLOOKUP(Compositions!S124,'HHV-LHV-MW'!$A$3:$F$40,6,FALSE))*(FZ59/100)))</f>
        <v/>
      </c>
      <c r="GF59" s="25" t="str">
        <f>IF(Compositions!V124="","",(Compositions!V124*(VLOOKUP(Compositions!S124,'HHV-LHV-MW'!$A$3:$F$40,6,FALSE))))</f>
        <v/>
      </c>
      <c r="GG59" s="295" t="str">
        <f>IF(Compositions!V124="","",IF(OR(Compositions!$V$118="wt%",Compositions!$V$118=""),Compositions!V124,(IF(GF59="","",((GF59/$GF$78)*100)))))</f>
        <v/>
      </c>
      <c r="GH59" s="185" t="str">
        <f>IF(GG59="","",(IF(OR(Compositions!S124="Hydrogen",Compositions!S124="Helium",Compositions!S124="Water",Compositions!S124="Carbon Monoxide",Compositions!S124="Nitrogen",Compositions!S124="Oxygen",Compositions!S124="Hydrogen Sulfide",Compositions!S124="Argon",Compositions!S124="Carbon Dioxide",Compositions!S124="Carbon Disulfide"),0,GG59)))</f>
        <v/>
      </c>
      <c r="GI59" s="187" t="str">
        <f>IF(Compositions!V124="","",((FZ59/100)*((VLOOKUP(Compositions!S124,'HHV-LHV-MW'!$A$3:$G$40,7,FALSE)))))</f>
        <v/>
      </c>
      <c r="GJ59" s="187" t="str">
        <f>IF(FZ59="","",(IF(OR(Compositions!S124="Hydrogen",Compositions!S124="Carbon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Dioxide",Compositions!S124="Methane",Compositions!S124="Ethane"),0,(FZ59/100))))</f>
        <v/>
      </c>
      <c r="GK59" s="205" t="str">
        <f>IF(FZ59="","",(IF(OR($GJ$78=0,$GJ$78=""),0,       ((VLOOKUP(Compositions!S124,'HHV-LHV-MW'!$A$3:$F$40,6,FALSE))*(GJ59/$GJ$78)))))</f>
        <v/>
      </c>
      <c r="GL59" s="28" t="str">
        <f>IF(Compositions!W124="","",IF(Compositions!$W$118="mol%",Compositions!W124,GM59))</f>
        <v/>
      </c>
      <c r="GM59" s="28" t="str">
        <f t="shared" si="40"/>
        <v/>
      </c>
      <c r="GN59" s="28" t="str">
        <f>IF(Compositions!W124="","",(Compositions!W124/(VLOOKUP(Compositions!S124,'HHV-LHV-MW'!$A$3:$F$40,6,FALSE))))</f>
        <v/>
      </c>
      <c r="GO59" s="26" t="str">
        <f>IF(GL59="","",((VLOOKUP(Compositions!S124,'HHV-LHV-MW'!$A$3:$F$40,4,FALSE))*(GL59/100)))</f>
        <v/>
      </c>
      <c r="GP59" s="26" t="str">
        <f>IF(GL59="","",((VLOOKUP(Compositions!S124,'HHV-LHV-MW'!$A$3:$F$40,5,FALSE))*(GL59/100)))</f>
        <v/>
      </c>
      <c r="GQ59" s="26" t="str">
        <f>IF(GL59="","",((VLOOKUP(Compositions!S124,'HHV-LHV-MW'!$A$3:$F$40,6,FALSE))*(GL59/100)))</f>
        <v/>
      </c>
      <c r="GR59" s="26" t="str">
        <f>IF(Compositions!W124="","",(Compositions!W124*(VLOOKUP(Compositions!S124,'HHV-LHV-MW'!$A$3:$F$40,6,FALSE))))</f>
        <v/>
      </c>
      <c r="GS59" s="296" t="str">
        <f>IF(Compositions!W124="","",IF(OR(Compositions!$W$118="wt%",Compositions!$W$118=""),Compositions!W124,(IF(GR59="","",((GR59/$GR$78)*100)))))</f>
        <v/>
      </c>
      <c r="GT59" s="39" t="str">
        <f>IF(GS59="","",(IF(OR(Compositions!S124="Hydrogen",Compositions!S124="Helium",Compositions!S124="Water",Compositions!S124="Carbon Monoxide",Compositions!S124="Nitrogen",Compositions!S124="Oxygen",Compositions!S124="Hydrogen Sulfide",Compositions!S124="Argon",Compositions!S124="Carbon Dioxide",Compositions!S124="Carbon Disulfide"),0,GS59)))</f>
        <v/>
      </c>
      <c r="GU59" s="186" t="str">
        <f>IF(Compositions!W124="","",((GL59/100)*((VLOOKUP(Compositions!S124,'HHV-LHV-MW'!$A$3:$G$40,7,FALSE)))))</f>
        <v/>
      </c>
      <c r="GV59" s="186" t="str">
        <f>IF(GL59="","",(IF(OR(Compositions!S124="Hydrogen",Compositions!S124="Carbon Disulfide",Compositions!S124="Helium",Compositions!S124="Water",Compositions!S124="Carbon Monoxide",Compositions!S124="Nitrogen",Compositions!S124="Oxygen",Compositions!S124="Hydrogen Sulfide",Compositions!S124="Argon",Compositions!S124="Carbon Dioxide",Compositions!S124="Methane",Compositions!S124="Ethane"),0,(GL59/100))))</f>
        <v/>
      </c>
      <c r="GW59" s="39" t="str">
        <f>IF(GL59="","",(IF(OR($GV$78=0,$GV$78=""),0,       ((VLOOKUP(Compositions!S124,'HHV-LHV-MW'!$A$3:$F$40,6,FALSE))*(GV59/$GV$78)))))</f>
        <v/>
      </c>
      <c r="GY59" s="27" t="str">
        <f>IF(Compositions!Z124="","",IF(Compositions!$Z$118="mol%",Compositions!Z124,GZ59))</f>
        <v/>
      </c>
      <c r="GZ59" s="27" t="str">
        <f t="shared" si="41"/>
        <v/>
      </c>
      <c r="HA59" s="27" t="str">
        <f>IF(Compositions!Z124="","",(Compositions!Z124/(VLOOKUP(Compositions!Y124,'HHV-LHV-MW'!$A$3:$F$40,6,FALSE))))</f>
        <v/>
      </c>
      <c r="HB59" s="25" t="str">
        <f>IF(GY59="","",((VLOOKUP(Compositions!Y124,'HHV-LHV-MW'!$A$3:$F$40,4,FALSE))*(GY59/100)))</f>
        <v/>
      </c>
      <c r="HC59" s="25" t="str">
        <f>IF(GY59="","",((VLOOKUP(Compositions!Y124,'HHV-LHV-MW'!$A$3:$F$40,5,FALSE))*(GY59/100)))</f>
        <v/>
      </c>
      <c r="HD59" s="25" t="str">
        <f>IF(GY59="","",((VLOOKUP(Compositions!Y124,'HHV-LHV-MW'!$A$3:$F$40,6,FALSE))*(GY59/100)))</f>
        <v/>
      </c>
      <c r="HE59" s="25" t="str">
        <f>IF(Compositions!Z124="","",(Compositions!Z124*(VLOOKUP(Compositions!Y124,'HHV-LHV-MW'!$A$3:$F$40,6,FALSE))))</f>
        <v/>
      </c>
      <c r="HF59" s="295" t="str">
        <f>IF(Compositions!Z124="","",IF(OR(Compositions!$Z$118="wt%",Compositions!$Z$118=""),Compositions!Z124,(IF(HE59="","",((HE59/$HE$78)*100)))))</f>
        <v/>
      </c>
      <c r="HG59" s="185" t="str">
        <f>IF(HF59="","",(IF(OR(Compositions!Y124="Hydrogen",Compositions!Y124="Helium",Compositions!Y124="Water",Compositions!Y124="Carbon Monoxide",Compositions!Y124="Nitrogen",Compositions!Y124="Oxygen",Compositions!Y124="Hydrogen Sulfide",Compositions!Y124="Argon",Compositions!Y124="Carbon Dioxide",Compositions!Y124="Carbon Disulfide"),0,HF59)))</f>
        <v/>
      </c>
      <c r="HH59" s="187" t="str">
        <f>IF(Compositions!Z124="","",((GY59/100)*((VLOOKUP(Compositions!Y124,'HHV-LHV-MW'!$A$3:$G$40,7,FALSE)))))</f>
        <v/>
      </c>
      <c r="HI59" s="187" t="str">
        <f>IF(GY59="","",(IF(OR(Compositions!Y124="Hydrogen",Compositions!Y124="Carbon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Dioxide",Compositions!Y124="Methane",Compositions!Y124="Ethane"),0,(GY59/100))))</f>
        <v/>
      </c>
      <c r="HJ59" s="205" t="str">
        <f>IF(GY59="","",(IF(OR($HI$78=0,$HI$78=""),0,       ((VLOOKUP(Compositions!Y124,'HHV-LHV-MW'!$A$3:$F$40,6,FALSE))*(HI59/$HI$78)))))</f>
        <v/>
      </c>
      <c r="HK59" s="28" t="str">
        <f>IF(Compositions!AA124="","",IF(Compositions!$AA$118="mol%",Compositions!AA124,HL59))</f>
        <v/>
      </c>
      <c r="HL59" s="28" t="str">
        <f t="shared" si="42"/>
        <v/>
      </c>
      <c r="HM59" s="28" t="str">
        <f>IF(Compositions!AA124="","",(Compositions!AA124/(VLOOKUP(Compositions!Y124,'HHV-LHV-MW'!$A$3:$F$40,6,FALSE))))</f>
        <v/>
      </c>
      <c r="HN59" s="26" t="str">
        <f>IF(HK59="","",((VLOOKUP(Compositions!Y124,'HHV-LHV-MW'!$A$3:$F$40,4,FALSE))*(HK59/100)))</f>
        <v/>
      </c>
      <c r="HO59" s="26" t="str">
        <f>IF(HK59="","",((VLOOKUP(Compositions!Y124,'HHV-LHV-MW'!$A$3:$F$40,5,FALSE))*(HK59/100)))</f>
        <v/>
      </c>
      <c r="HP59" s="26" t="str">
        <f>IF(HK59="","",((VLOOKUP(Compositions!Y124,'HHV-LHV-MW'!$A$3:$F$40,6,FALSE))*(HK59/100)))</f>
        <v/>
      </c>
      <c r="HQ59" s="26" t="str">
        <f>IF(Compositions!AA124="","",(Compositions!AA124*(VLOOKUP(Compositions!Y124,'HHV-LHV-MW'!$A$3:$F$40,6,FALSE))))</f>
        <v/>
      </c>
      <c r="HR59" s="296" t="str">
        <f>IF(Compositions!AA124="","",IF(OR(Compositions!$AA$118="wt%",Compositions!$AA$118=""),Compositions!AA124,(IF(HQ59="","",((HQ59/$HQ$78)*100)))))</f>
        <v/>
      </c>
      <c r="HS59" s="39" t="str">
        <f>IF(HR59="","",(IF(OR(Compositions!Y124="Hydrogen",Compositions!Y124="Helium",Compositions!Y124="Water",Compositions!Y124="Carbon Monoxide",Compositions!Y124="Nitrogen",Compositions!Y124="Oxygen",Compositions!Y124="Hydrogen Sulfide",Compositions!Y124="Argon",Compositions!Y124="Carbon Dioxide",Compositions!Y124="Carbon Disulfide"),0,HR59)))</f>
        <v/>
      </c>
      <c r="HT59" s="186" t="str">
        <f>IF(Compositions!AA124="","",((HK59/100)*((VLOOKUP(Compositions!Y124,'HHV-LHV-MW'!$A$3:$G$40,7,FALSE)))))</f>
        <v/>
      </c>
      <c r="HU59" s="186" t="str">
        <f>IF(HK59="","",(IF(OR(Compositions!Y124="Hydrogen",Compositions!Y124="Carbon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Dioxide",Compositions!Y124="Methane",Compositions!Y124="Ethane"),0,(HK59/100))))</f>
        <v/>
      </c>
      <c r="HV59" s="39" t="str">
        <f>IF(HK59="","",(IF(OR($HU$78=0,$HU$78=""),0,       ((VLOOKUP(Compositions!Y124,'HHV-LHV-MW'!$A$3:$F$40,6,FALSE))*(HU59/$HU$78)))))</f>
        <v/>
      </c>
      <c r="HW59" s="27" t="str">
        <f>IF(Compositions!AB124="","",IF(Compositions!$AB$118="mol%",Compositions!AB124,HX59))</f>
        <v/>
      </c>
      <c r="HX59" s="27" t="str">
        <f t="shared" si="43"/>
        <v/>
      </c>
      <c r="HY59" s="27" t="str">
        <f>IF(Compositions!AB124="","",(Compositions!AB124/(VLOOKUP(Compositions!Y124,'HHV-LHV-MW'!$A$3:$F$40,6,FALSE))))</f>
        <v/>
      </c>
      <c r="HZ59" s="25" t="str">
        <f>IF(HW59="","",((VLOOKUP(Compositions!Y124,'HHV-LHV-MW'!$A$3:$F$40,4,FALSE))*(HW59/100)))</f>
        <v/>
      </c>
      <c r="IA59" s="25" t="str">
        <f>IF(HW59="","",((VLOOKUP(Compositions!Y124,'HHV-LHV-MW'!$A$3:$F$40,5,FALSE))*(HW59/100)))</f>
        <v/>
      </c>
      <c r="IB59" s="25" t="str">
        <f>IF(HW59="","",((VLOOKUP(Compositions!Y124,'HHV-LHV-MW'!$A$3:$F$40,6,FALSE))*(HW59/100)))</f>
        <v/>
      </c>
      <c r="IC59" s="25" t="str">
        <f>IF(Compositions!AB124="","",(Compositions!AB124*(VLOOKUP(Compositions!Y124,'HHV-LHV-MW'!$A$3:$F$40,6,FALSE))))</f>
        <v/>
      </c>
      <c r="ID59" s="295" t="str">
        <f>IF(Compositions!AB124="","",IF(OR(Compositions!$AB$118="wt%",Compositions!$AB$118=""),Compositions!AB124,(IF(IC59="","",((IC59/$IC$78)*100)))))</f>
        <v/>
      </c>
      <c r="IE59" s="185" t="str">
        <f>IF(ID59="","",(IF(OR(Compositions!Y124="Hydrogen",Compositions!Y124="Helium",Compositions!Y124="Water",Compositions!Y124="Carbon Monoxide",Compositions!Y124="Nitrogen",Compositions!Y124="Oxygen",Compositions!Y124="Hydrogen Sulfide",Compositions!Y124="Argon",Compositions!Y124="Carbon Dioxide",Compositions!Y124="Carbon Disulfide"),0,ID59)))</f>
        <v/>
      </c>
      <c r="IF59" s="187" t="str">
        <f>IF(Compositions!AB124="","",((HW59/100)*((VLOOKUP(Compositions!Y124,'HHV-LHV-MW'!$A$3:$G$40,7,FALSE)))))</f>
        <v/>
      </c>
      <c r="IG59" s="187" t="str">
        <f>IF(HW59="","",(IF(OR(Compositions!Y124="Hydrogen",Compositions!Y124="Carbon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Dioxide",Compositions!Y124="Methane",Compositions!Y124="Ethane"),0,(HW59/100))))</f>
        <v/>
      </c>
      <c r="IH59" s="205" t="str">
        <f>IF(HW59="","",(IF(OR($IG$78=0,$IG$78=""),0,       ((VLOOKUP(Compositions!Y124,'HHV-LHV-MW'!$A$3:$F$40,6,FALSE))*(IG59/$IG$78)))))</f>
        <v/>
      </c>
      <c r="II59" s="28" t="str">
        <f>IF(Compositions!AC124="","",IF(Compositions!$AC$118="mol%",Compositions!AC124,IJ59))</f>
        <v/>
      </c>
      <c r="IJ59" s="28" t="str">
        <f t="shared" si="44"/>
        <v/>
      </c>
      <c r="IK59" s="28" t="str">
        <f>IF(Compositions!AC124="","",(Compositions!AC124/(VLOOKUP(Compositions!Y124,'HHV-LHV-MW'!$A$3:$F$40,6,FALSE))))</f>
        <v/>
      </c>
      <c r="IL59" s="26" t="str">
        <f>IF(II59="","",((VLOOKUP(Compositions!Y124,'HHV-LHV-MW'!$A$3:$F$40,4,FALSE))*(II59/100)))</f>
        <v/>
      </c>
      <c r="IM59" s="26" t="str">
        <f>IF(II59="","",((VLOOKUP(Compositions!Y124,'HHV-LHV-MW'!$A$3:$F$40,5,FALSE))*(II59/100)))</f>
        <v/>
      </c>
      <c r="IN59" s="26" t="str">
        <f>IF(II59="","",((VLOOKUP(Compositions!Y124,'HHV-LHV-MW'!$A$3:$F$40,6,FALSE))*(II59/100)))</f>
        <v/>
      </c>
      <c r="IO59" s="26" t="str">
        <f>IF(Compositions!AC124="","",(Compositions!AC124*(VLOOKUP(Compositions!Y124,'HHV-LHV-MW'!$A$3:$F$40,6,FALSE))))</f>
        <v/>
      </c>
      <c r="IP59" s="296" t="str">
        <f>IF(Compositions!AC124="","",IF(OR(Compositions!$AC$118="wt%",Compositions!$AC$118=""),Compositions!AC124,(IF(IO59="","",((IO59/$IO$78)*100)))))</f>
        <v/>
      </c>
      <c r="IQ59" s="39" t="str">
        <f>IF(IP59="","",(IF(OR(Compositions!Y124="Hydrogen",Compositions!Y124="Helium",Compositions!Y124="Water",Compositions!Y124="Carbon Monoxide",Compositions!Y124="Nitrogen",Compositions!Y124="Oxygen",Compositions!Y124="Hydrogen Sulfide",Compositions!Y124="Argon",Compositions!Y124="Carbon Dioxide",Compositions!Y124="Carbon Disulfide"),0,IP59)))</f>
        <v/>
      </c>
      <c r="IR59" s="186" t="str">
        <f>IF(Compositions!AC124="","",((II59/100)*((VLOOKUP(Compositions!Y124,'HHV-LHV-MW'!$A$3:$G$40,7,FALSE)))))</f>
        <v/>
      </c>
      <c r="IS59" s="186" t="str">
        <f>IF(II59="","",(IF(OR(Compositions!Y124="Hydrogen",Compositions!Y124="Carbon Disulfide",Compositions!Y124="Helium",Compositions!Y124="Water",Compositions!Y124="Carbon Monoxide",Compositions!Y124="Nitrogen",Compositions!Y124="Oxygen",Compositions!Y124="Hydrogen Sulfide",Compositions!Y124="Argon",Compositions!Y124="Carbon Dioxide",Compositions!Y124="Methane",Compositions!Y124="Ethane"),0,(II59/100))))</f>
        <v/>
      </c>
      <c r="IT59" s="39" t="str">
        <f>IF(II59="","",(IF(OR($IS$78=0,$IS$78=""),0,      ((VLOOKUP(Compositions!Y124,'HHV-LHV-MW'!$A$3:$F$40,6,FALSE))*(IS59/$IS$78)))))</f>
        <v/>
      </c>
      <c r="IV59" s="27" t="str">
        <f>IF(Compositions!AF124="","",IF(Compositions!$AF$118="mol%",Compositions!AF124,IW59))</f>
        <v/>
      </c>
      <c r="IW59" s="27" t="str">
        <f t="shared" si="45"/>
        <v/>
      </c>
      <c r="IX59" s="27" t="str">
        <f>IF(Compositions!AF124="","",(Compositions!AF124/(VLOOKUP(Compositions!AE124,'HHV-LHV-MW'!$A$3:$F$40,6,FALSE))))</f>
        <v/>
      </c>
      <c r="IY59" s="25" t="str">
        <f>IF(IV59="","",((VLOOKUP(Compositions!AE124,'HHV-LHV-MW'!$A$3:$F$40,4,FALSE))*(IV59/100)))</f>
        <v/>
      </c>
      <c r="IZ59" s="25" t="str">
        <f>IF(IV59="","",((VLOOKUP(Compositions!AE124,'HHV-LHV-MW'!$A$3:$F$40,5,FALSE))*(IV59/100)))</f>
        <v/>
      </c>
      <c r="JA59" s="25" t="str">
        <f>IF(IV59="","",((VLOOKUP(Compositions!AE124,'HHV-LHV-MW'!$A$3:$F$40,6,FALSE))*(IV59/100)))</f>
        <v/>
      </c>
      <c r="JB59" s="25" t="str">
        <f>IF(Compositions!AF124="","",(Compositions!AF124*(VLOOKUP(Compositions!AE124,'HHV-LHV-MW'!$A$3:$F$40,6,FALSE))))</f>
        <v/>
      </c>
      <c r="JC59" s="298" t="str">
        <f>IF(Compositions!AF124="","",IF(OR(Compositions!$AF$118="wt%",Compositions!$AF$118=""),Compositions!AF124,(IF(JB59="","",((JB59/$JB$78)*100)))))</f>
        <v/>
      </c>
      <c r="JD59" s="185" t="str">
        <f>IF(JC59="","",(IF(OR(Compositions!AE124="Hydrogen",Compositions!AE124="Helium",Compositions!AE124="Water",Compositions!AE124="Carbon Monoxide",Compositions!AE124="Nitrogen",Compositions!AE124="Oxygen",Compositions!AE124="Hydrogen Sulfide",Compositions!AE124="Argon",Compositions!AE124="Carbon Dioxide",Compositions!AE124="Carbon Disulfide"),0,JC59)))</f>
        <v/>
      </c>
      <c r="JE59" s="187" t="str">
        <f>IF(Compositions!AF124="","",((IV59/100)*((VLOOKUP(Compositions!AE124,'HHV-LHV-MW'!$A$3:$G$40,7,FALSE)))))</f>
        <v/>
      </c>
      <c r="JF59" s="187" t="str">
        <f>IF(IV59="","",(IF(OR(Compositions!AE124="Hydrogen",Compositions!AE124="Carbon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Dioxide",Compositions!AE124="Methane",Compositions!AE124="Ethane"),0,(IV59/100))))</f>
        <v/>
      </c>
      <c r="JG59" s="205" t="str">
        <f>IF(IV59="","",(IF(OR($JF$78=0,$JF$78=""),0,      ((VLOOKUP(Compositions!AE124,'HHV-LHV-MW'!$A$3:$F$40,6,FALSE))*(JF59/$JF$78)))))</f>
        <v/>
      </c>
      <c r="JH59" s="28" t="str">
        <f>IF(Compositions!AG124="","",IF(Compositions!$AG$118="mol%",Compositions!AG124,JI59))</f>
        <v/>
      </c>
      <c r="JI59" s="28" t="str">
        <f t="shared" si="46"/>
        <v/>
      </c>
      <c r="JJ59" s="28" t="str">
        <f>IF(Compositions!AG124="","",(Compositions!AG124/(VLOOKUP(Compositions!AE124,'HHV-LHV-MW'!$A$3:$F$40,6,FALSE))))</f>
        <v/>
      </c>
      <c r="JK59" s="26" t="str">
        <f>IF(JH59="","",((VLOOKUP(Compositions!AE124,'HHV-LHV-MW'!$A$3:$F$40,4,FALSE))*(JH59/100)))</f>
        <v/>
      </c>
      <c r="JL59" s="26" t="str">
        <f>IF(JH59="","",((VLOOKUP(Compositions!AE124,'HHV-LHV-MW'!$A$3:$F$40,5,FALSE))*(JH59/100)))</f>
        <v/>
      </c>
      <c r="JM59" s="26" t="str">
        <f>IF(JH59="","",((VLOOKUP(Compositions!AE124,'HHV-LHV-MW'!$A$3:$F$40,6,FALSE))*(JH59/100)))</f>
        <v/>
      </c>
      <c r="JN59" s="26" t="str">
        <f>IF(Compositions!AG124="","",(Compositions!AG124*(VLOOKUP(Compositions!AE124,'HHV-LHV-MW'!$A$3:$F$40,6,FALSE))))</f>
        <v/>
      </c>
      <c r="JO59" s="297" t="str">
        <f>IF(Compositions!AG124="","",IF(OR(Compositions!$AG$118="wt%",Compositions!$AG$118=""),Compositions!AG124,(IF(JN59="","",((JN59/$JN$78)*100)))))</f>
        <v/>
      </c>
      <c r="JP59" s="39" t="str">
        <f>IF(JO59="","",(IF(OR(Compositions!AE124="Hydrogen",Compositions!AE124="Helium",Compositions!AE124="Water",Compositions!AE124="Carbon Monoxide",Compositions!AE124="Nitrogen",Compositions!AE124="Oxygen",Compositions!AE124="Hydrogen Sulfide",Compositions!AE124="Argon",Compositions!AE124="Carbon Dioxide",Compositions!AE124="Carbon Disulfide"),0,JO59)))</f>
        <v/>
      </c>
      <c r="JQ59" s="186" t="str">
        <f>IF(Compositions!AG124="","",((JH59/100)*((VLOOKUP(Compositions!AE124,'HHV-LHV-MW'!$A$3:$G$40,7,FALSE)))))</f>
        <v/>
      </c>
      <c r="JR59" s="186" t="str">
        <f>IF(JH59="","",(IF(OR(Compositions!AE124="Hydrogen",Compositions!AE124="Carbon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Dioxide",Compositions!AE124="Methane",Compositions!AE124="Ethane"),0,(JH59/100))))</f>
        <v/>
      </c>
      <c r="JS59" s="39" t="str">
        <f>IF(JH59="","",(IF(OR($JR$78=0,$JR$78=""),0,      ((VLOOKUP(Compositions!AE124,'HHV-LHV-MW'!$A$3:$F$40,6,FALSE))*(JR59/$JR$78)))))</f>
        <v/>
      </c>
      <c r="JT59" s="27" t="str">
        <f>IF(Compositions!AH124="","",IF(Compositions!$AH$118="mol%",Compositions!AH124,JU59))</f>
        <v/>
      </c>
      <c r="JU59" s="27" t="str">
        <f t="shared" si="47"/>
        <v/>
      </c>
      <c r="JV59" s="27" t="str">
        <f>IF(Compositions!AH124="","",(Compositions!AH124/(VLOOKUP(Compositions!AE124,'HHV-LHV-MW'!$A$3:$F$40,6,FALSE))))</f>
        <v/>
      </c>
      <c r="JW59" s="25" t="str">
        <f>IF(JT59="","",((VLOOKUP(Compositions!AE124,'HHV-LHV-MW'!$A$3:$F$40,4,FALSE))*(JT59/100)))</f>
        <v/>
      </c>
      <c r="JX59" s="25" t="str">
        <f>IF(JT59="","",((VLOOKUP(Compositions!AE124,'HHV-LHV-MW'!$A$3:$F$40,5,FALSE))*(JT59/100)))</f>
        <v/>
      </c>
      <c r="JY59" s="25" t="str">
        <f>IF(JT59="","",((VLOOKUP(Compositions!AE124,'HHV-LHV-MW'!$A$3:$F$40,6,FALSE))*(JT59/100)))</f>
        <v/>
      </c>
      <c r="JZ59" s="25" t="str">
        <f>IF(Compositions!AH124="","",(Compositions!AH124*(VLOOKUP(Compositions!AE124,'HHV-LHV-MW'!$A$3:$F$40,6,FALSE))))</f>
        <v/>
      </c>
      <c r="KA59" s="298" t="str">
        <f>IF(Compositions!AH124="","",IF(OR(Compositions!$AH$118="wt%",Compositions!$AH$118=""),Compositions!AH124,(IF(JZ59="","",((JZ59/$JZ$78)*100)))))</f>
        <v/>
      </c>
      <c r="KB59" s="185" t="str">
        <f>IF(KA59="","",(IF(OR(Compositions!AE124="Hydrogen",Compositions!AE124="Helium",Compositions!AE124="Water",Compositions!AE124="Carbon Monoxide",Compositions!AE124="Nitrogen",Compositions!AE124="Oxygen",Compositions!AE124="Hydrogen Sulfide",Compositions!AE124="Argon",Compositions!AE124="Carbon Dioxide",Compositions!AE124="Carbon Disulfide"),0,KA59)))</f>
        <v/>
      </c>
      <c r="KC59" s="187" t="str">
        <f>IF(Compositions!AH124="","",((JT59/100)*((VLOOKUP(Compositions!AE124,'HHV-LHV-MW'!$A$3:$G$40,7,FALSE)))))</f>
        <v/>
      </c>
      <c r="KD59" s="187" t="str">
        <f>IF(JT59="","",(IF(OR(Compositions!AE124="Hydrogen",Compositions!AE124="Carbon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Dioxide",Compositions!AE124="Methane",Compositions!AE124="Ethane"),0,(JT59/100))))</f>
        <v/>
      </c>
      <c r="KE59" s="205" t="str">
        <f>IF(JT59="","",(IF(OR($KD$78=0,$KD$78=""),0,      ((VLOOKUP(Compositions!AE124,'HHV-LHV-MW'!$A$3:$F$40,6,FALSE))*(KD59/$KD$78)))))</f>
        <v/>
      </c>
      <c r="KF59" s="28" t="str">
        <f>IF(Compositions!AI124="","",IF(Compositions!$AI$118="mol%",Compositions!AI124,KG59))</f>
        <v/>
      </c>
      <c r="KG59" s="28" t="str">
        <f t="shared" si="48"/>
        <v/>
      </c>
      <c r="KH59" s="28" t="str">
        <f>IF(Compositions!AI124="","",(Compositions!AI124/(VLOOKUP(Compositions!AE124,'HHV-LHV-MW'!$A$3:$F$40,6,FALSE))))</f>
        <v/>
      </c>
      <c r="KI59" s="26" t="str">
        <f>IF(KF59="","",((VLOOKUP(Compositions!AE124,'HHV-LHV-MW'!$A$3:$F$40,4,FALSE))*(KF59/100)))</f>
        <v/>
      </c>
      <c r="KJ59" s="26" t="str">
        <f>IF(KF59="","",((VLOOKUP(Compositions!AE124,'HHV-LHV-MW'!$A$3:$F$40,5,FALSE))*(KF59/100)))</f>
        <v/>
      </c>
      <c r="KK59" s="26" t="str">
        <f>IF(KF59="","",((VLOOKUP(Compositions!AE124,'HHV-LHV-MW'!$A$3:$F$40,6,FALSE))*(KF59/100)))</f>
        <v/>
      </c>
      <c r="KL59" s="26" t="str">
        <f>IF(Compositions!AI124="","",(Compositions!AI124*(VLOOKUP(Compositions!AE124,'HHV-LHV-MW'!$A$3:$F$40,6,FALSE))))</f>
        <v/>
      </c>
      <c r="KM59" s="297" t="str">
        <f>IF(Compositions!AI124="","",IF(OR(Compositions!$AI$118="wt%",Compositions!$AI$118=""),Compositions!AI124,(IF(KL59="","",((KL59/$KL$78)*100)))))</f>
        <v/>
      </c>
      <c r="KN59" s="39" t="str">
        <f>IF(KM59="","",(IF(OR(Compositions!AE124="Hydrogen",Compositions!AE124="Helium",Compositions!AE124="Water",Compositions!AE124="Carbon Monoxide",Compositions!AE124="Nitrogen",Compositions!AE124="Oxygen",Compositions!AE124="Hydrogen Sulfide",Compositions!AE124="Argon",Compositions!AE124="Carbon Dioxide",Compositions!AE124="Carbon Disulfide"),0,KM59)))</f>
        <v/>
      </c>
      <c r="KO59" s="186" t="str">
        <f>IF(Compositions!AI124="","",((KF59/100)*((VLOOKUP(Compositions!AE124,'HHV-LHV-MW'!$A$3:$G$40,7,FALSE)))))</f>
        <v/>
      </c>
      <c r="KP59" s="186" t="str">
        <f>IF(KF59="","",(IF(OR(Compositions!AE124="Hydrogen",Compositions!AE124="Carbon Disulfide",Compositions!AE124="Helium",Compositions!AE124="Water",Compositions!AE124="Carbon Monoxide",Compositions!AE124="Nitrogen",Compositions!AE124="Oxygen",Compositions!AE124="Hydrogen Sulfide",Compositions!AE124="Argon",Compositions!AE124="Carbon Dioxide",Compositions!AE124="Methane",Compositions!AE124="Ethane"),0,(KF59/100))))</f>
        <v/>
      </c>
      <c r="KQ59" s="39" t="str">
        <f>IF(KF59="","",(IF(OR($KP$78=0,$KP$78=""),0,      ((VLOOKUP(Compositions!AE124,'HHV-LHV-MW'!$A$3:$F$40,6,FALSE))*(KP59/$KP$78)))))</f>
        <v/>
      </c>
      <c r="KS59" s="27" t="str">
        <f>IF(Compositions!AL124="","",IF(Compositions!$AL$118="mol%",Compositions!AL124,KT59))</f>
        <v/>
      </c>
      <c r="KT59" s="27" t="str">
        <f t="shared" si="49"/>
        <v/>
      </c>
      <c r="KU59" s="27" t="str">
        <f>IF(Compositions!AL124="","",(Compositions!AL124/(VLOOKUP(Compositions!AK124,'HHV-LHV-MW'!$A$3:$F$40,6,FALSE))))</f>
        <v/>
      </c>
      <c r="KV59" s="185" t="str">
        <f>IF(KS59="","",((VLOOKUP(Compositions!AK124,'HHV-LHV-MW'!$A$3:$F$40,4,FALSE))*(KS59/100)))</f>
        <v/>
      </c>
      <c r="KW59" s="185" t="str">
        <f>IF(KS59="","",((VLOOKUP(Compositions!AK124,'HHV-LHV-MW'!$A$3:$F$40,5,FALSE))*(KS59/100)))</f>
        <v/>
      </c>
      <c r="KX59" s="185" t="str">
        <f>IF(KS59="","",((VLOOKUP(Compositions!AK124,'HHV-LHV-MW'!$A$3:$F$40,6,FALSE))*(KS59/100)))</f>
        <v/>
      </c>
      <c r="KY59" s="185" t="str">
        <f>IF(Compositions!AL124="","",(Compositions!AL124*(VLOOKUP(Compositions!AK124,'HHV-LHV-MW'!$A$3:$F$40,6,FALSE))))</f>
        <v/>
      </c>
      <c r="KZ59" s="298" t="str">
        <f>IF(Compositions!AL124="","",IF(OR(Compositions!$AL$118="wt%",Compositions!$AL$118=""),Compositions!AL124,(IF(KY59="","",((KY59/$KY$78)*100)))))</f>
        <v/>
      </c>
      <c r="LA59" s="185" t="str">
        <f>IF(KZ59="","",(IF(OR(Compositions!AK124="Hydrogen",Compositions!AK124="Helium",Compositions!AK124="Water",Compositions!AK124="Carbon Monoxide",Compositions!AK124="Nitrogen",Compositions!AK124="Oxygen",Compositions!AK124="Hydrogen Sulfide",Compositions!AK124="Argon",Compositions!AK124="Carbon Dioxide",Compositions!AK124="Carbon Disulfide"),0,KZ59)))</f>
        <v/>
      </c>
      <c r="LB59" s="187" t="str">
        <f>IF(Compositions!AL124="","",((KS59/100)*((VLOOKUP(Compositions!AK124,'HHV-LHV-MW'!$A$3:$G$40,7,FALSE)))))</f>
        <v/>
      </c>
      <c r="LC59" s="187" t="str">
        <f>IF(KS59="","",(IF(OR(Compositions!AK124="Hydrogen",Compositions!AK124="Carbon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Dioxide",Compositions!AK124="Methane",Compositions!AK124="Ethane"),0,(KS59/100))))</f>
        <v/>
      </c>
      <c r="LD59" s="205" t="str">
        <f>IF(KS59="","",(IF(OR($LC$78=0,$LC$78=""),0,      ((VLOOKUP(Compositions!AK124,'HHV-LHV-MW'!$A$3:$F$40,6,FALSE))*(LC59/$LC$78)))))</f>
        <v/>
      </c>
      <c r="LE59" s="28" t="str">
        <f>IF(Compositions!AM124="","",IF(Compositions!$AM$118="mol%",Compositions!AM124,LF59))</f>
        <v/>
      </c>
      <c r="LF59" s="28" t="str">
        <f t="shared" si="50"/>
        <v/>
      </c>
      <c r="LG59" s="28" t="str">
        <f>IF(Compositions!AM124="","",(Compositions!AM124/(VLOOKUP(Compositions!AK124,'HHV-LHV-MW'!$A$3:$F$40,6,FALSE))))</f>
        <v/>
      </c>
      <c r="LH59" s="184" t="str">
        <f>IF(LE59="","",((VLOOKUP(Compositions!AK124,'HHV-LHV-MW'!$A$3:$F$40,4,FALSE))*(LE59/100)))</f>
        <v/>
      </c>
      <c r="LI59" s="184" t="str">
        <f>IF(LE59="","",((VLOOKUP(Compositions!AK124,'HHV-LHV-MW'!$A$3:$F$40,5,FALSE))*(LE59/100)))</f>
        <v/>
      </c>
      <c r="LJ59" s="184" t="str">
        <f>IF(LE59="","",((VLOOKUP(Compositions!AK124,'HHV-LHV-MW'!$A$3:$F$40,6,FALSE))*(LE59/100)))</f>
        <v/>
      </c>
      <c r="LK59" s="184" t="str">
        <f>IF(Compositions!AM124="","",(Compositions!AM124*(VLOOKUP(Compositions!AK124,'HHV-LHV-MW'!$A$3:$F$40,6,FALSE))))</f>
        <v/>
      </c>
      <c r="LL59" s="297" t="str">
        <f>IF(Compositions!AM124="","",IF(OR(Compositions!$AM$118="wt%",Compositions!$AM$118=""),Compositions!AM124,(IF(LK59="","",((LK59/$LK$78)*100)))))</f>
        <v/>
      </c>
      <c r="LM59" s="39" t="str">
        <f>IF(LL59="","",(IF(OR(Compositions!AK124="Hydrogen",Compositions!AK124="Helium",Compositions!AK124="Water",Compositions!AK124="Carbon Monoxide",Compositions!AK124="Nitrogen",Compositions!AK124="Oxygen",Compositions!AK124="Hydrogen Sulfide",Compositions!AK124="Argon",Compositions!AK124="Carbon Dioxide",Compositions!AK124="Carbon Disulfide"),0,LL59)))</f>
        <v/>
      </c>
      <c r="LN59" s="186" t="str">
        <f>IF(Compositions!AM124="","",((LE59/100)*((VLOOKUP(Compositions!AK124,'HHV-LHV-MW'!$A$3:$G$40,7,FALSE)))))</f>
        <v/>
      </c>
      <c r="LO59" s="186" t="str">
        <f>IF(LE59="","",(IF(OR(Compositions!AK124="Hydrogen",Compositions!AK124="Carbon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Dioxide",Compositions!AK124="Methane",Compositions!AK124="Ethane"),0,(LE59/100))))</f>
        <v/>
      </c>
      <c r="LP59" s="39" t="str">
        <f>IF(LE59="","",(IF(OR($LO$78=0,$LO$78=""),0,     ((VLOOKUP(Compositions!AK124,'HHV-LHV-MW'!$A$3:$F$40,6,FALSE))*(LO59/$LO$78)))))</f>
        <v/>
      </c>
      <c r="LQ59" s="27" t="str">
        <f>IF(Compositions!AN124="","",IF(Compositions!$AN$118="mol%",Compositions!AN124,LR59))</f>
        <v/>
      </c>
      <c r="LR59" s="27" t="str">
        <f t="shared" si="51"/>
        <v/>
      </c>
      <c r="LS59" s="27" t="str">
        <f>IF(Compositions!AN124="","",(Compositions!AN124/(VLOOKUP(Compositions!AK124,'HHV-LHV-MW'!$A$3:$F$40,6,FALSE))))</f>
        <v/>
      </c>
      <c r="LT59" s="185" t="str">
        <f>IF(LQ59="","",((VLOOKUP(Compositions!AK124,'HHV-LHV-MW'!$A$3:$F$40,4,FALSE))*(LQ59/100)))</f>
        <v/>
      </c>
      <c r="LU59" s="185" t="str">
        <f>IF(LQ59="","",((VLOOKUP(Compositions!AK124,'HHV-LHV-MW'!$A$3:$F$40,5,FALSE))*(LQ59/100)))</f>
        <v/>
      </c>
      <c r="LV59" s="185" t="str">
        <f>IF(LQ59="","",((VLOOKUP(Compositions!AK124,'HHV-LHV-MW'!$A$3:$F$40,6,FALSE))*(LQ59/100)))</f>
        <v/>
      </c>
      <c r="LW59" s="185" t="str">
        <f>IF(Compositions!AN124="","",(Compositions!AN124*(VLOOKUP(Compositions!AK124,'HHV-LHV-MW'!$A$3:$F$40,6,FALSE))))</f>
        <v/>
      </c>
      <c r="LX59" s="298" t="str">
        <f>IF(Compositions!AN124="","",IF(OR(Compositions!$AN$118="wt%",Compositions!$AN$118=""),Compositions!AN124,(IF(LW59="","",((LW59/$LW$78)*100)))))</f>
        <v/>
      </c>
      <c r="LY59" s="185" t="str">
        <f>IF(LX59="","",(IF(OR(Compositions!AK124="Hydrogen",Compositions!AK124="Helium",Compositions!AK124="Water",Compositions!AK124="Carbon Monoxide",Compositions!AK124="Nitrogen",Compositions!AK124="Oxygen",Compositions!AK124="Hydrogen Sulfide",Compositions!AK124="Argon",Compositions!AK124="Carbon Dioxide",Compositions!AK124="Carbon Disulfide"),0,LX59)))</f>
        <v/>
      </c>
      <c r="LZ59" s="187" t="str">
        <f>IF(Compositions!AN124="","",((LQ59/100)*((VLOOKUP(Compositions!AK124,'HHV-LHV-MW'!$A$3:$G$40,7,FALSE)))))</f>
        <v/>
      </c>
      <c r="MA59" s="187" t="str">
        <f>IF(LQ59="","",(IF(OR(Compositions!AK124="Hydrogen",Compositions!AK124="Carbon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Dioxide",Compositions!AK124="Methane",Compositions!AK124="Ethane"),0,(LQ59/100))))</f>
        <v/>
      </c>
      <c r="MB59" s="205" t="str">
        <f>IF(LQ59="","",(IF(OR($MA$78=0,$MA$78=""),0,     ((VLOOKUP(Compositions!AK124,'HHV-LHV-MW'!$A$3:$F$40,6,FALSE))*(MA59/$MA$78)))))</f>
        <v/>
      </c>
      <c r="MC59" s="28" t="str">
        <f>IF(Compositions!AO124="","",IF(Compositions!$AO$118="mol%",Compositions!AO124,MD59))</f>
        <v/>
      </c>
      <c r="MD59" s="28" t="str">
        <f t="shared" si="52"/>
        <v/>
      </c>
      <c r="ME59" s="28" t="str">
        <f>IF(Compositions!AO124="","",(Compositions!AO124/(VLOOKUP(Compositions!AK124,'HHV-LHV-MW'!$A$3:$F$40,6,FALSE))))</f>
        <v/>
      </c>
      <c r="MF59" s="184" t="str">
        <f>IF(MC59="","",((VLOOKUP(Compositions!AK124,'HHV-LHV-MW'!$A$3:$F$40,4,FALSE))*(MC59/100)))</f>
        <v/>
      </c>
      <c r="MG59" s="184" t="str">
        <f>IF(MC59="","",((VLOOKUP(Compositions!AK124,'HHV-LHV-MW'!$A$3:$F$40,5,FALSE))*(MC59/100)))</f>
        <v/>
      </c>
      <c r="MH59" s="184" t="str">
        <f>IF(MC59="","",((VLOOKUP(Compositions!AK124,'HHV-LHV-MW'!$A$3:$F$40,6,FALSE))*(MC59/100)))</f>
        <v/>
      </c>
      <c r="MI59" s="184" t="str">
        <f>IF(Compositions!AO124="","",(Compositions!AO124*(VLOOKUP(Compositions!AK124,'HHV-LHV-MW'!$A$3:$F$40,6,FALSE))))</f>
        <v/>
      </c>
      <c r="MJ59" s="297" t="str">
        <f>IF(Compositions!AO124="","",IF(OR(Compositions!$AO$118="wt%",Compositions!$AO$118=""),Compositions!AO124,(IF(MI59="","",((MI59/$MI$78)*100)))))</f>
        <v/>
      </c>
      <c r="MK59" s="39" t="str">
        <f>IF(MJ59="","",(IF(OR(Compositions!AK124="Hydrogen",Compositions!AK124="Helium",Compositions!AK124="Water",Compositions!AK124="Carbon Monoxide",Compositions!AK124="Nitrogen",Compositions!AK124="Oxygen",Compositions!AK124="Hydrogen Sulfide",Compositions!AK124="Argon",Compositions!AK124="Carbon Dioxide",Compositions!AK124="Carbon Disulfide"),0,MJ59)))</f>
        <v/>
      </c>
      <c r="ML59" s="186" t="str">
        <f>IF(Compositions!AO124="","",((MC59/100)*((VLOOKUP(Compositions!AK124,'HHV-LHV-MW'!$A$3:$G$40,7,FALSE)))))</f>
        <v/>
      </c>
      <c r="MM59" s="186" t="str">
        <f>IF(MC59="","",(IF(OR(Compositions!AK124="Hydrogen",Compositions!AK124="Carbon Disulfide",Compositions!AK124="Helium",Compositions!AK124="Water",Compositions!AK124="Carbon Monoxide",Compositions!AK124="Nitrogen",Compositions!AK124="Oxygen",Compositions!AK124="Hydrogen Sulfide",Compositions!AK124="Argon",Compositions!AK124="Carbon Dioxide",Compositions!AK124="Methane",Compositions!AK124="Ethane"),0,(MC59/100))))</f>
        <v/>
      </c>
      <c r="MN59" s="39" t="str">
        <f>IF(MC59="","",(IF(OR($MM$78=0,$MM$78=""),0,     ((VLOOKUP(Compositions!AK124,'HHV-LHV-MW'!$A$3:$F$40,6,FALSE))*(MM59/$MM$78)))))</f>
        <v/>
      </c>
      <c r="MP59" s="27" t="str">
        <f>IF(Compositions!AR124="","",IF(Compositions!$AR$118="mol%",Compositions!AR124,MQ59))</f>
        <v/>
      </c>
      <c r="MQ59" s="27" t="str">
        <f t="shared" si="53"/>
        <v/>
      </c>
      <c r="MR59" s="27" t="str">
        <f>IF(Compositions!AR124="","",(Compositions!AR124/(VLOOKUP(Compositions!AQ124,'HHV-LHV-MW'!$A$3:$F$40,6,FALSE))))</f>
        <v/>
      </c>
      <c r="MS59" s="185" t="str">
        <f>IF(MP59="","",((VLOOKUP(Compositions!AQ124,'HHV-LHV-MW'!$A$3:$F$40,4,FALSE))*(MP59/100)))</f>
        <v/>
      </c>
      <c r="MT59" s="185" t="str">
        <f>IF(MP59="","",((VLOOKUP(Compositions!AQ124,'HHV-LHV-MW'!$A$3:$F$40,5,FALSE))*(MP59/100)))</f>
        <v/>
      </c>
      <c r="MU59" s="185" t="str">
        <f>IF(MP59="","",((VLOOKUP(Compositions!AQ124,'HHV-LHV-MW'!$A$3:$F$40,6,FALSE))*(MP59/100)))</f>
        <v/>
      </c>
      <c r="MV59" s="185" t="str">
        <f>IF(Compositions!AR124="","",(Compositions!AR124*(VLOOKUP(Compositions!AQ124,'HHV-LHV-MW'!$A$3:$F$40,6,FALSE))))</f>
        <v/>
      </c>
      <c r="MW59" s="298" t="str">
        <f>IF(Compositions!AR124="","",IF(OR(Compositions!$AR$118="wt%",Compositions!$AR$118=""),Compositions!AR124,(IF(MV59="","",((MV59/$MV$78)*100)))))</f>
        <v/>
      </c>
      <c r="MX59" s="185" t="str">
        <f>IF(MW59="","",(IF(OR(Compositions!AQ124="Hydrogen",Compositions!AQ124="Helium",Compositions!AQ124="Water",Compositions!AQ124="Carbon Monoxide",Compositions!AQ124="Nitrogen",Compositions!AQ124="Oxygen",Compositions!AQ124="Hydrogen Sulfide",Compositions!AQ124="Argon",Compositions!AQ124="Carbon Dioxide",Compositions!AQ124="Carbon Disulfide"),0,MW59)))</f>
        <v/>
      </c>
      <c r="MY59" s="187" t="str">
        <f>IF(Compositions!AR124="","",((MP59/100)*((VLOOKUP(Compositions!AQ124,'HHV-LHV-MW'!$A$3:$G$40,7,FALSE)))))</f>
        <v/>
      </c>
      <c r="MZ59" s="187" t="str">
        <f>IF(MP59="","",(IF(OR(Compositions!AQ124="Hydrogen",Compositions!AQ124="Carbon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Dioxide",Compositions!AQ124="Methane",Compositions!AQ124="Ethane"),0,(MP59/100))))</f>
        <v/>
      </c>
      <c r="NA59" s="205" t="str">
        <f>IF(MP59="","",(IF(OR($MZ$78=0,$MZ$78=""),0,     ((VLOOKUP(Compositions!AQ124,'HHV-LHV-MW'!$A$3:$F$40,6,FALSE))*(MZ59/$MZ$78)))))</f>
        <v/>
      </c>
      <c r="NB59" s="28" t="str">
        <f>IF(Compositions!AS124="","",IF(Compositions!$AS$118="mol%",Compositions!AS124,NC59))</f>
        <v/>
      </c>
      <c r="NC59" s="28" t="str">
        <f t="shared" si="54"/>
        <v/>
      </c>
      <c r="ND59" s="28" t="str">
        <f>IF(Compositions!AS124="","",(Compositions!AS124/(VLOOKUP(Compositions!AQ124,'HHV-LHV-MW'!$A$3:$F$40,6,FALSE))))</f>
        <v/>
      </c>
      <c r="NE59" s="184" t="str">
        <f>IF(NB59="","",((VLOOKUP(Compositions!AQ124,'HHV-LHV-MW'!$A$3:$F$40,4,FALSE))*(NB59/100)))</f>
        <v/>
      </c>
      <c r="NF59" s="184" t="str">
        <f>IF(NB59="","",((VLOOKUP(Compositions!AQ124,'HHV-LHV-MW'!$A$3:$F$40,5,FALSE))*(NB59/100)))</f>
        <v/>
      </c>
      <c r="NG59" s="184" t="str">
        <f>IF(NB59="","",((VLOOKUP(Compositions!AQ124,'HHV-LHV-MW'!$A$3:$F$40,6,FALSE))*(NB59/100)))</f>
        <v/>
      </c>
      <c r="NH59" s="184" t="str">
        <f>IF(Compositions!AS124="","",(Compositions!AS124*(VLOOKUP(Compositions!AQ124,'HHV-LHV-MW'!$A$3:$F$40,6,FALSE))))</f>
        <v/>
      </c>
      <c r="NI59" s="297" t="str">
        <f>IF(Compositions!AS124="","",IF(OR(Compositions!$AS$118="wt%",Compositions!$AS$118=""),Compositions!AS124,(IF(NH59="","",((NH59/$NH$78)*100)))))</f>
        <v/>
      </c>
      <c r="NJ59" s="39" t="str">
        <f>IF(NI59="","",(IF(OR(Compositions!AQ124="Hydrogen",Compositions!AQ124="Helium",Compositions!AQ124="Water",Compositions!AQ124="Carbon Monoxide",Compositions!AQ124="Nitrogen",Compositions!AQ124="Oxygen",Compositions!AQ124="Hydrogen Sulfide",Compositions!AQ124="Argon",Compositions!AQ124="Carbon Dioxide",Compositions!AQ124="Carbon Disulfide"),0,NI59)))</f>
        <v/>
      </c>
      <c r="NK59" s="186" t="str">
        <f>IF(Compositions!AS124="","",((NB59/100)*((VLOOKUP(Compositions!AQ124,'HHV-LHV-MW'!$A$3:$G$40,7,FALSE)))))</f>
        <v/>
      </c>
      <c r="NL59" s="186" t="str">
        <f>IF(NB59="","",(IF(OR(Compositions!AQ124="Hydrogen",Compositions!AQ124="Carbon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Dioxide",Compositions!AQ124="Methane",Compositions!AQ124="Ethane"),0,(NB59/100))))</f>
        <v/>
      </c>
      <c r="NM59" s="39" t="str">
        <f>IF(NB59="","",(IF(OR($NL$78=0,$NL$78=""),0,     ((VLOOKUP(Compositions!AQ124,'HHV-LHV-MW'!$A$3:$F$40,6,FALSE))*(NL59/$NL$78)))))</f>
        <v/>
      </c>
      <c r="NN59" s="27" t="str">
        <f>IF(Compositions!AT124="","",IF(Compositions!$AT$118="mol%",Compositions!AT124,NO59))</f>
        <v/>
      </c>
      <c r="NO59" s="27" t="str">
        <f t="shared" si="55"/>
        <v/>
      </c>
      <c r="NP59" s="27" t="str">
        <f>IF(Compositions!AT124="","",(Compositions!AT124/(VLOOKUP(Compositions!AQ124,'HHV-LHV-MW'!$A$3:$F$40,6,FALSE))))</f>
        <v/>
      </c>
      <c r="NQ59" s="185" t="str">
        <f>IF(NN59="","",((VLOOKUP(Compositions!AQ124,'HHV-LHV-MW'!$A$3:$F$40,4,FALSE))*(NN59/100)))</f>
        <v/>
      </c>
      <c r="NR59" s="185" t="str">
        <f>IF(NN59="","",((VLOOKUP(Compositions!AQ124,'HHV-LHV-MW'!$A$3:$F$40,5,FALSE))*(NN59/100)))</f>
        <v/>
      </c>
      <c r="NS59" s="185" t="str">
        <f>IF(NN59="","",((VLOOKUP(Compositions!AQ124,'HHV-LHV-MW'!$A$3:$F$40,6,FALSE))*(NN59/100)))</f>
        <v/>
      </c>
      <c r="NT59" s="185" t="str">
        <f>IF(Compositions!AT124="","",(Compositions!AT124*(VLOOKUP(Compositions!AQ124,'HHV-LHV-MW'!$A$3:$F$40,6,FALSE))))</f>
        <v/>
      </c>
      <c r="NU59" s="298" t="str">
        <f>IF(Compositions!AT124="","",IF(OR(Compositions!$AT$118="wt%",Compositions!$AT$118=""),Compositions!AT124,(IF(NT59="","",((NT59/$NT$78)*100)))))</f>
        <v/>
      </c>
      <c r="NV59" s="185" t="str">
        <f>IF(NU59="","",(IF(OR(Compositions!AQ124="Hydrogen",Compositions!AQ124="Helium",Compositions!AQ124="Water",Compositions!AQ124="Carbon Monoxide",Compositions!AQ124="Nitrogen",Compositions!AQ124="Oxygen",Compositions!AQ124="Hydrogen Sulfide",Compositions!AQ124="Argon",Compositions!AQ124="Carbon Dioxide",Compositions!AQ124="Carbon Disulfide"),0,NU59)))</f>
        <v/>
      </c>
      <c r="NW59" s="187" t="str">
        <f>IF(Compositions!AT124="","",((NN59/100)*((VLOOKUP(Compositions!AQ124,'HHV-LHV-MW'!$A$3:$G$40,7,FALSE)))))</f>
        <v/>
      </c>
      <c r="NX59" s="187" t="str">
        <f>IF(NN59="","",(IF(OR(Compositions!AQ124="Hydrogen",Compositions!AQ124="Carbon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Dioxide",Compositions!AQ124="Methane",Compositions!AQ124="Ethane"),0,(NN59/100))))</f>
        <v/>
      </c>
      <c r="NY59" s="205" t="str">
        <f>IF(NN59="","",(IF(OR($NX$78=0,$NX$78=""),0,     ((VLOOKUP(Compositions!AQ124,'HHV-LHV-MW'!$A$3:$F$40,6,FALSE))*(NX59/$NX$78)))))</f>
        <v/>
      </c>
      <c r="NZ59" s="28" t="str">
        <f>IF(Compositions!AU124="","",IF(Compositions!$AU$118="mol%",Compositions!AU124,OA59))</f>
        <v/>
      </c>
      <c r="OA59" s="28" t="str">
        <f t="shared" si="56"/>
        <v/>
      </c>
      <c r="OB59" s="28" t="str">
        <f>IF(Compositions!AU124="","",(Compositions!AU124/(VLOOKUP(Compositions!AQ124,'HHV-LHV-MW'!$A$3:$F$40,6,FALSE))))</f>
        <v/>
      </c>
      <c r="OC59" s="184" t="str">
        <f>IF(NZ59="","",((VLOOKUP(Compositions!AQ124,'HHV-LHV-MW'!$A$3:$F$40,4,FALSE))*(NZ59/100)))</f>
        <v/>
      </c>
      <c r="OD59" s="184" t="str">
        <f>IF(NZ59="","",((VLOOKUP(Compositions!AQ124,'HHV-LHV-MW'!$A$3:$F$40,5,FALSE))*(NZ59/100)))</f>
        <v/>
      </c>
      <c r="OE59" s="184" t="str">
        <f>IF(NZ59="","",((VLOOKUP(Compositions!AQ124,'HHV-LHV-MW'!$A$3:$F$40,6,FALSE))*(NZ59/100)))</f>
        <v/>
      </c>
      <c r="OF59" s="184" t="str">
        <f>IF(Compositions!AU124="","",(Compositions!AU124*(VLOOKUP(Compositions!AQ124,'HHV-LHV-MW'!$A$3:$F$40,6,FALSE))))</f>
        <v/>
      </c>
      <c r="OG59" s="297" t="str">
        <f>IF(Compositions!AU124="","",IF(OR(Compositions!$AU$118="wt%",Compositions!$AU$118=""),Compositions!AU124,(IF(OF59="","",((OF59/$OF$78)*100)))))</f>
        <v/>
      </c>
      <c r="OH59" s="39" t="str">
        <f>IF(OG59="","",(IF(OR(Compositions!AQ124="Hydrogen",Compositions!AQ124="Helium",Compositions!AQ124="Water",Compositions!AQ124="Carbon Monoxide",Compositions!AQ124="Nitrogen",Compositions!AQ124="Oxygen",Compositions!AQ124="Hydrogen Sulfide",Compositions!AQ124="Argon",Compositions!AQ124="Carbon Dioxide",Compositions!AQ124="Carbon Disulfide"),0,OG59)))</f>
        <v/>
      </c>
      <c r="OI59" s="186" t="str">
        <f>IF(Compositions!AU124="","",((NZ59/100)*((VLOOKUP(Compositions!AQ124,'HHV-LHV-MW'!$A$3:$G$40,7,FALSE)))))</f>
        <v/>
      </c>
      <c r="OJ59" s="186" t="str">
        <f>IF(NZ59="","",(IF(OR(Compositions!AQ124="Hydrogen",Compositions!AQ124="Carbon Disulfide",Compositions!AQ124="Helium",Compositions!AQ124="Water",Compositions!AQ124="Carbon Monoxide",Compositions!AQ124="Nitrogen",Compositions!AQ124="Oxygen",Compositions!AQ124="Hydrogen Sulfide",Compositions!AQ124="Argon",Compositions!AQ124="Carbon Dioxide",Compositions!AQ124="Methane",Compositions!AQ124="Ethane"),0,(NZ59/100))))</f>
        <v/>
      </c>
      <c r="OK59" s="39" t="str">
        <f>IF(NZ59="","",(IF(OR($OJ$78=0,$OJ$78=""),0,     ((VLOOKUP(Compositions!AQ124,'HHV-LHV-MW'!$A$3:$F$40,6,FALSE))*(OJ59/$OJ$78)))))</f>
        <v/>
      </c>
      <c r="ON59" s="27" t="str">
        <f>IF(Compositions!AX124="","",IF(Compositions!$AX$118="mol%",Compositions!AX124,OO59))</f>
        <v/>
      </c>
      <c r="OO59" s="27" t="str">
        <f t="shared" si="57"/>
        <v/>
      </c>
      <c r="OP59" s="27" t="str">
        <f>IF(Compositions!AX124="","",(Compositions!AX124/(VLOOKUP(Compositions!AW124,'HHV-LHV-MW'!$A$3:$F$40,6,FALSE))))</f>
        <v/>
      </c>
      <c r="OQ59" s="185" t="str">
        <f>IF(ON59="","",((VLOOKUP(Compositions!AW124,'HHV-LHV-MW'!$A$3:$F$40,4,FALSE))*(ON59/100)))</f>
        <v/>
      </c>
      <c r="OR59" s="185" t="str">
        <f>IF(ON59="","",((VLOOKUP(Compositions!AW124,'HHV-LHV-MW'!$A$3:$F$40,5,FALSE))*(ON59/100)))</f>
        <v/>
      </c>
      <c r="OS59" s="185" t="str">
        <f>IF(ON59="","",((VLOOKUP(Compositions!AW124,'HHV-LHV-MW'!$A$3:$F$40,6,FALSE))*(ON59/100)))</f>
        <v/>
      </c>
      <c r="OT59" s="185" t="str">
        <f>IF(Compositions!AX124="","",(Compositions!AX124*(VLOOKUP(Compositions!AW124,'HHV-LHV-MW'!$A$3:$F$40,6,FALSE))))</f>
        <v/>
      </c>
      <c r="OU59" s="298" t="str">
        <f>IF(Compositions!AX124="","",IF(OR(Compositions!$AX$118="wt%",Compositions!$AX$118=""),Compositions!AX124,(IF(OT59="","",((OT59/$OT$78)*100)))))</f>
        <v/>
      </c>
      <c r="OV59" s="185" t="str">
        <f>IF(OU59="","",(IF(OR(Compositions!AW124="Hydrogen",Compositions!AW124="Helium",Compositions!AW124="Water",Compositions!AW124="Carbon Monoxide",Compositions!AW124="Nitrogen",Compositions!AW124="Oxygen",Compositions!AW124="Hydrogen Sulfide",Compositions!AW124="Argon",Compositions!AW124="Carbon Dioxide",Compositions!AW124="Carbon Disulfide"),0,OU59)))</f>
        <v/>
      </c>
      <c r="OW59" s="187" t="str">
        <f>IF(Compositions!AX124="","",((ON59/100)*((VLOOKUP(Compositions!AW124,'HHV-LHV-MW'!$A$3:$G$40,7,FALSE)))))</f>
        <v/>
      </c>
      <c r="OX59" s="187" t="str">
        <f>IF(ON59="","",(IF(OR(Compositions!AW124="Hydrogen",Compositions!AW124="Carbon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Dioxide",Compositions!AW124="Methane",Compositions!AW124="Ethane"),0,(ON59/100))))</f>
        <v/>
      </c>
      <c r="OY59" s="205" t="str">
        <f>IF(ON59="","",(IF(OR($OX$78=0,$OX$78=""),0,     ((VLOOKUP(Compositions!AW124,'HHV-LHV-MW'!$A$3:$F$40,6,FALSE))*(OX59/$OX$78)))))</f>
        <v/>
      </c>
      <c r="OZ59" s="28" t="str">
        <f>IF(Compositions!AY124="","",IF(Compositions!$AY$118="mol%",Compositions!AY124,PA59))</f>
        <v/>
      </c>
      <c r="PA59" s="28" t="str">
        <f t="shared" si="64"/>
        <v/>
      </c>
      <c r="PB59" s="28" t="str">
        <f>IF(Compositions!AY124="","",(Compositions!AY124/(VLOOKUP(Compositions!AW124,'HHV-LHV-MW'!$A$3:$F$40,6,FALSE))))</f>
        <v/>
      </c>
      <c r="PC59" s="184" t="str">
        <f>IF(OZ59="","",((VLOOKUP(Compositions!AW124,'HHV-LHV-MW'!$A$3:$F$40,4,FALSE))*(OZ59/100)))</f>
        <v/>
      </c>
      <c r="PD59" s="184" t="str">
        <f>IF(OZ59="","",((VLOOKUP(Compositions!AW124,'HHV-LHV-MW'!$A$3:$F$40,5,FALSE))*(OZ59/100)))</f>
        <v/>
      </c>
      <c r="PE59" s="184" t="str">
        <f>IF(OZ59="","",((VLOOKUP(Compositions!AW124,'HHV-LHV-MW'!$A$3:$F$40,6,FALSE))*(OZ59/100)))</f>
        <v/>
      </c>
      <c r="PF59" s="184" t="str">
        <f>IF(Compositions!AY124="","",(Compositions!AY124*(VLOOKUP(Compositions!AW124,'HHV-LHV-MW'!$A$3:$F$40,6,FALSE))))</f>
        <v/>
      </c>
      <c r="PG59" s="297" t="str">
        <f>IF(Compositions!AY124="","",IF(OR(Compositions!$AY$118="wt%",Compositions!$AY$118=""),Compositions!AY124,(IF(PF59="","",((PF59/$PF$78)*100)))))</f>
        <v/>
      </c>
      <c r="PH59" s="39" t="str">
        <f>IF(PG59="","",(IF(OR(Compositions!AW124="Hydrogen",Compositions!AW124="Helium",Compositions!AW124="Water",Compositions!AW124="Carbon Monoxide",Compositions!AW124="Nitrogen",Compositions!AW124="Oxygen",Compositions!AW124="Hydrogen Sulfide",Compositions!AW124="Argon",Compositions!AW124="Carbon Dioxide",Compositions!AW124="Carbon Disulfide"),0,PG59)))</f>
        <v/>
      </c>
      <c r="PI59" s="186" t="str">
        <f>IF(Compositions!AY124="","",((OZ59/100)*((VLOOKUP(Compositions!AW124,'HHV-LHV-MW'!$A$3:$G$40,7,FALSE)))))</f>
        <v/>
      </c>
      <c r="PJ59" s="186" t="str">
        <f>IF(OZ59="","",(IF(OR(Compositions!AW124="Hydrogen",Compositions!AW124="Carbon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Dioxide",Compositions!AW124="Methane",Compositions!AW124="Ethane"),0,(OZ59/100))))</f>
        <v/>
      </c>
      <c r="PK59" s="39" t="str">
        <f>IF(OZ59="","",(IF(OR($PJ$78=0,$PJ$78=""),0,     ((VLOOKUP(Compositions!AW124,'HHV-LHV-MW'!$A$3:$F$40,6,FALSE))*(PJ59/$PJ$78)))))</f>
        <v/>
      </c>
      <c r="PL59" s="27" t="str">
        <f>IF(Compositions!AZ124="","",IF(Compositions!$AZ$118="mol%",Compositions!AZ124,PM59))</f>
        <v/>
      </c>
      <c r="PM59" s="27" t="str">
        <f t="shared" si="58"/>
        <v/>
      </c>
      <c r="PN59" s="27" t="str">
        <f>IF(Compositions!AZ124="","",(Compositions!AZ124/(VLOOKUP(Compositions!AW124,'HHV-LHV-MW'!$A$3:$F$40,6,FALSE))))</f>
        <v/>
      </c>
      <c r="PO59" s="185" t="str">
        <f>IF(PL59="","",((VLOOKUP(Compositions!AW124,'HHV-LHV-MW'!$A$3:$F$40,4,FALSE))*(PL59/100)))</f>
        <v/>
      </c>
      <c r="PP59" s="185" t="str">
        <f>IF(PL59="","",((VLOOKUP(Compositions!AW124,'HHV-LHV-MW'!$A$3:$F$40,5,FALSE))*(PL59/100)))</f>
        <v/>
      </c>
      <c r="PQ59" s="185" t="str">
        <f>IF(PL59="","",((VLOOKUP(Compositions!AW124,'HHV-LHV-MW'!$A$3:$F$40,6,FALSE))*(PL59/100)))</f>
        <v/>
      </c>
      <c r="PR59" s="185" t="str">
        <f>IF(Compositions!AZ124="","",(Compositions!AZ124*(VLOOKUP(Compositions!AW124,'HHV-LHV-MW'!$A$3:$F$40,6,FALSE))))</f>
        <v/>
      </c>
      <c r="PS59" s="298" t="str">
        <f>IF(Compositions!AZ124="","",IF(OR(Compositions!$AZ$118="wt%",Compositions!$AZ$118=""),Compositions!AZ124,(IF(PR59="","",((PR59/$PR$78)*100)))))</f>
        <v/>
      </c>
      <c r="PT59" s="185" t="str">
        <f>IF(PS59="","",(IF(OR(Compositions!AW124="Hydrogen",Compositions!AW124="Helium",Compositions!AW124="Water",Compositions!AW124="Carbon Monoxide",Compositions!AW124="Nitrogen",Compositions!AW124="Oxygen",Compositions!AW124="Hydrogen Sulfide",Compositions!AW124="Argon",Compositions!AW124="Carbon Dioxide",Compositions!AW124="Carbon Disulfide"),0,PS59)))</f>
        <v/>
      </c>
      <c r="PU59" s="187" t="str">
        <f>IF(Compositions!AZ124="","",((PL59/100)*((VLOOKUP(Compositions!AW124,'HHV-LHV-MW'!$A$3:$G$40,7,FALSE)))))</f>
        <v/>
      </c>
      <c r="PV59" s="187" t="str">
        <f>IF(PL59="","",(IF(OR(Compositions!AW124="Hydrogen",Compositions!AW124="Carbon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Dioxide",Compositions!AW124="Methane",Compositions!AW124="Ethane"),0,(PL59/100))))</f>
        <v/>
      </c>
      <c r="PW59" s="205" t="str">
        <f>IF(PL59="","",(IF(OR($PV$78=0,$PV$78=""),0,     ((VLOOKUP(Compositions!AW124,'HHV-LHV-MW'!$A$3:$F$40,6,FALSE))*(PV59/$PV$78)))))</f>
        <v/>
      </c>
      <c r="PX59" s="28" t="str">
        <f>IF(Compositions!BA124="","",IF(Compositions!$BA$118="mol%",Compositions!BA124,PY59))</f>
        <v/>
      </c>
      <c r="PY59" s="28" t="str">
        <f t="shared" si="59"/>
        <v/>
      </c>
      <c r="PZ59" s="28" t="str">
        <f>IF(Compositions!BA124="","",(Compositions!BA124/(VLOOKUP(Compositions!AW124,'HHV-LHV-MW'!$A$3:$F$40,6,FALSE))))</f>
        <v/>
      </c>
      <c r="QA59" s="184" t="str">
        <f>IF(PX59="","",((VLOOKUP(Compositions!AW124,'HHV-LHV-MW'!$A$3:$F$40,4,FALSE))*(PX59/100)))</f>
        <v/>
      </c>
      <c r="QB59" s="184" t="str">
        <f>IF(PX59="","",((VLOOKUP(Compositions!AW124,'HHV-LHV-MW'!$A$3:$F$40,5,FALSE))*(PX59/100)))</f>
        <v/>
      </c>
      <c r="QC59" s="184" t="str">
        <f>IF(PX59="","",((VLOOKUP(Compositions!AW124,'HHV-LHV-MW'!$A$3:$F$40,6,FALSE))*(PX59/100)))</f>
        <v/>
      </c>
      <c r="QD59" s="189" t="str">
        <f>IF(Compositions!BA124="","",(Compositions!BA124*(VLOOKUP(Compositions!AW124,'HHV-LHV-MW'!$A$3:$F$40,6,FALSE))))</f>
        <v/>
      </c>
      <c r="QE59" s="297" t="str">
        <f>IF(Compositions!BA124="","",IF(OR(Compositions!$BA$118="wt%",Compositions!$BA$118=""),Compositions!BA124,(IF(QD59="","",((QD59/$QD$78)*100)))))</f>
        <v/>
      </c>
      <c r="QF59" s="39" t="str">
        <f>IF(QE59="","",(IF(OR(Compositions!AW124="Hydrogen",Compositions!AW124="Helium",Compositions!AW124="Water",Compositions!AW124="Carbon Monoxide",Compositions!AW124="Nitrogen",Compositions!AW124="Oxygen",Compositions!AW124="Hydrogen Sulfide",Compositions!AW124="Argon",Compositions!AW124="Carbon Dioxide",Compositions!AW124="Carbon Disulfide"),0,QE59)))</f>
        <v/>
      </c>
      <c r="QG59" s="186" t="str">
        <f>IF(Compositions!BA124="","",((PX59/100)*((VLOOKUP(Compositions!AW124,'HHV-LHV-MW'!$A$3:$G$40,7,FALSE)))))</f>
        <v/>
      </c>
      <c r="QH59" s="186" t="str">
        <f>IF(PX59="","",(IF(OR(Compositions!AW124="Hydrogen",Compositions!AW124="Carbon Disulfide",Compositions!AW124="Helium",Compositions!AW124="Water",Compositions!AW124="Carbon Monoxide",Compositions!AW124="Nitrogen",Compositions!AW124="Oxygen",Compositions!AW124="Hydrogen Sulfide",Compositions!AW124="Argon",Compositions!AW124="Carbon Dioxide",Compositions!AW124="Methane",Compositions!AW124="Ethane"),0,(PX59/100))))</f>
        <v/>
      </c>
      <c r="QI59" s="39" t="str">
        <f>IF(PX59="","",(IF(OR($QH$78=0,$QH$78=""),0,     ((VLOOKUP(Compositions!AW124,'HHV-LHV-MW'!$A$3:$F$40,6,FALSE))*(QH59/$QH$78)))))</f>
        <v/>
      </c>
      <c r="QK59" s="27" t="str">
        <f>IF(Compositions!BD124="","",IF(Compositions!$BD$118="mol%",Compositions!BD124,QL59))</f>
        <v/>
      </c>
      <c r="QL59" s="27" t="str">
        <f t="shared" si="60"/>
        <v/>
      </c>
      <c r="QM59" s="27" t="str">
        <f>IF(Compositions!BD124="","",(Compositions!BD124/(VLOOKUP(Compositions!BC124,'HHV-LHV-MW'!$A$3:$F$40,6,FALSE))))</f>
        <v/>
      </c>
      <c r="QN59" s="185" t="str">
        <f>IF(QK59="","",((VLOOKUP(Compositions!BC124,'HHV-LHV-MW'!$A$3:$F$40,4,FALSE))*(QK59/100)))</f>
        <v/>
      </c>
      <c r="QO59" s="185" t="str">
        <f>IF(QK59="","",((VLOOKUP(Compositions!BC124,'HHV-LHV-MW'!$A$3:$F$40,5,FALSE))*(QK59/100)))</f>
        <v/>
      </c>
      <c r="QP59" s="185" t="str">
        <f>IF(QK59="","",((VLOOKUP(Compositions!BC124,'HHV-LHV-MW'!$A$3:$F$40,6,FALSE))*(QK59/100)))</f>
        <v/>
      </c>
      <c r="QQ59" s="185" t="str">
        <f>IF(Compositions!BD124="","",(Compositions!BD124*(VLOOKUP(Compositions!BC124,'HHV-LHV-MW'!$A$3:$F$40,6,FALSE))))</f>
        <v/>
      </c>
      <c r="QR59" s="298" t="str">
        <f>IF(Compositions!BD124="","",IF(OR(Compositions!$BD$118="wt%",Compositions!$BD$118=""),Compositions!BD124,(IF(QQ59="","",((QQ59/$QQ$78)*100)))))</f>
        <v/>
      </c>
      <c r="QS59" s="185" t="str">
        <f>IF(QR59="","",(IF(OR(Compositions!BC124="Hydrogen",Compositions!BC124="Helium",Compositions!BC124="Water",Compositions!BC124="Carbon Monoxide",Compositions!BC124="Nitrogen",Compositions!BC124="Oxygen",Compositions!BC124="Hydrogen Sulfide",Compositions!BC124="Argon",Compositions!BC124="Carbon Dioxide",Compositions!BC124="Carbon Disulfide"),0,QR59)))</f>
        <v/>
      </c>
      <c r="QT59" s="187" t="str">
        <f>IF(Compositions!BD124="","",((QK59/100)*((VLOOKUP(Compositions!BC124,'HHV-LHV-MW'!$A$3:$G$40,7,FALSE)))))</f>
        <v/>
      </c>
      <c r="QU59" s="187" t="str">
        <f>IF(QK59="","",(IF(OR(Compositions!BC124="Hydrogen",Compositions!BC124="Carbon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Dioxide",Compositions!BC124="Methane",Compositions!BC124="Ethane"),0,(QK59/100))))</f>
        <v/>
      </c>
      <c r="QV59" s="205" t="str">
        <f>IF(QK59="","",(IF(OR($QU$78=0,$QU$78=""),0,     ((VLOOKUP(Compositions!BC124,'HHV-LHV-MW'!$A$3:$F$40,6,FALSE))*(QU59/$QU$78)))))</f>
        <v/>
      </c>
      <c r="QW59" s="28" t="str">
        <f>IF(Compositions!BE124="","",IF(Compositions!$BE$118="mol%",Compositions!BE124,QX59))</f>
        <v/>
      </c>
      <c r="QX59" s="28" t="str">
        <f t="shared" si="61"/>
        <v/>
      </c>
      <c r="QY59" s="28" t="str">
        <f>IF(Compositions!BE124="","",(Compositions!BE124/(VLOOKUP(Compositions!BC124,'HHV-LHV-MW'!$A$3:$F$40,6,FALSE))))</f>
        <v/>
      </c>
      <c r="QZ59" s="184" t="str">
        <f>IF(QW59="","",((VLOOKUP(Compositions!BC124,'HHV-LHV-MW'!$A$3:$F$40,4,FALSE))*(QW59/100)))</f>
        <v/>
      </c>
      <c r="RA59" s="184" t="str">
        <f>IF(QW59="","",((VLOOKUP(Compositions!BC124,'HHV-LHV-MW'!$A$3:$F$40,5,FALSE))*(QW59/100)))</f>
        <v/>
      </c>
      <c r="RB59" s="184" t="str">
        <f>IF(QW59="","",((VLOOKUP(Compositions!BC124,'HHV-LHV-MW'!$A$3:$F$40,6,FALSE))*(QW59/100)))</f>
        <v/>
      </c>
      <c r="RC59" s="184" t="str">
        <f>IF(Compositions!BE124="","",(Compositions!BE124*(VLOOKUP(Compositions!BC124,'HHV-LHV-MW'!$A$3:$F$40,6,FALSE))))</f>
        <v/>
      </c>
      <c r="RD59" s="297" t="str">
        <f>IF(Compositions!BE124="","",IF(OR(Compositions!$BE$118="wt%",Compositions!$BE$118=""),Compositions!BE124,(IF(RC59="","",((RC59/$RC$78)*100)))))</f>
        <v/>
      </c>
      <c r="RE59" s="39" t="str">
        <f>IF(RD59="","",(IF(OR(Compositions!BC124="Hydrogen",Compositions!BC124="Helium",Compositions!BC124="Water",Compositions!BC124="Carbon Monoxide",Compositions!BC124="Nitrogen",Compositions!BC124="Oxygen",Compositions!BC124="Hydrogen Sulfide",Compositions!BC124="Argon",Compositions!BC124="Carbon Dioxide",Compositions!BC124="Carbon Disulfide"),0,RD59)))</f>
        <v/>
      </c>
      <c r="RF59" s="186" t="str">
        <f>IF(Compositions!BE124="","",((QW59/100)*((VLOOKUP(Compositions!BC124,'HHV-LHV-MW'!$A$3:$G$40,7,FALSE)))))</f>
        <v/>
      </c>
      <c r="RG59" s="186" t="str">
        <f>IF(QW59="","",(IF(OR(Compositions!BC124="Hydrogen",Compositions!BC124="Carbon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Dioxide",Compositions!BC124="Methane",Compositions!BC124="Ethane"),0,(QW59/100))))</f>
        <v/>
      </c>
      <c r="RH59" s="39" t="str">
        <f>IF(QW59="","",(IF(OR($RG$78=0,$RG$78=""),0,     ((VLOOKUP(Compositions!BC124,'HHV-LHV-MW'!$A$3:$F$40,6,FALSE))*(RG59/$RG$78)))))</f>
        <v/>
      </c>
      <c r="RI59" s="27" t="str">
        <f>IF(Compositions!BF124="","",IF(Compositions!$BF$118="mol%",Compositions!BF124,RJ59))</f>
        <v/>
      </c>
      <c r="RJ59" s="27" t="str">
        <f t="shared" si="62"/>
        <v/>
      </c>
      <c r="RK59" s="27" t="str">
        <f>IF(Compositions!BF124="","",(Compositions!BF124/(VLOOKUP(Compositions!BC124,'HHV-LHV-MW'!$A$3:$F$40,6,FALSE))))</f>
        <v/>
      </c>
      <c r="RL59" s="185" t="str">
        <f>IF(RI59="","",((VLOOKUP(Compositions!BC124,'HHV-LHV-MW'!$A$3:$F$40,4,FALSE))*(RI59/100)))</f>
        <v/>
      </c>
      <c r="RM59" s="185" t="str">
        <f>IF(RI59="","",((VLOOKUP(Compositions!BC124,'HHV-LHV-MW'!$A$3:$F$40,5,FALSE))*(RI59/100)))</f>
        <v/>
      </c>
      <c r="RN59" s="185" t="str">
        <f>IF(RI59="","",((VLOOKUP(Compositions!BC124,'HHV-LHV-MW'!$A$3:$F$40,6,FALSE))*(RI59/100)))</f>
        <v/>
      </c>
      <c r="RO59" s="185" t="str">
        <f>IF(Compositions!BF124="","",(Compositions!BF124*(VLOOKUP(Compositions!BC124,'HHV-LHV-MW'!$A$3:$F$40,6,FALSE))))</f>
        <v/>
      </c>
      <c r="RP59" s="298" t="str">
        <f>IF(Compositions!BF124="","",IF(OR(Compositions!$BF$118="wt%",Compositions!$BF$118=""),Compositions!BF124,(IF(RO59="","",((RO59/$RO$78)*100)))))</f>
        <v/>
      </c>
      <c r="RQ59" s="185" t="str">
        <f>IF(RP59="","",(IF(OR(Compositions!BC124="Hydrogen",Compositions!BC124="Helium",Compositions!BC124="Water",Compositions!BC124="Carbon Monoxide",Compositions!BC124="Nitrogen",Compositions!BC124="Oxygen",Compositions!BC124="Hydrogen Sulfide",Compositions!BC124="Argon",Compositions!BC124="Carbon Dioxide",Compositions!BC124="Carbon Disulfide"),0,RP59)))</f>
        <v/>
      </c>
      <c r="RR59" s="187" t="str">
        <f>IF(Compositions!BF124="","",((RI59/100)*((VLOOKUP(Compositions!BC124,'HHV-LHV-MW'!$A$3:$G$40,7,FALSE)))))</f>
        <v/>
      </c>
      <c r="RS59" s="187" t="str">
        <f>IF(RI59="","",(IF(OR(Compositions!BC124="Hydrogen",Compositions!BC124="Carbon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Dioxide",Compositions!BC124="Methane",Compositions!BC124="Ethane"),0,(RI59/100))))</f>
        <v/>
      </c>
      <c r="RT59" s="205" t="str">
        <f>IF(RI59="","",(IF(OR($RS$78=0,$RS$78=""),0,     ((VLOOKUP(Compositions!BC124,'HHV-LHV-MW'!$A$3:$F$40,6,FALSE))*(RS59/$RS$78)))))</f>
        <v/>
      </c>
      <c r="RU59" s="28" t="str">
        <f>IF(Compositions!BG124="","",IF(Compositions!$BG$118="mol%",Compositions!BG124,RV59))</f>
        <v/>
      </c>
      <c r="RV59" s="28" t="str">
        <f t="shared" si="63"/>
        <v/>
      </c>
      <c r="RW59" s="28" t="str">
        <f>IF(Compositions!BG124="","",(Compositions!BG124/(VLOOKUP(Compositions!BC124,'HHV-LHV-MW'!$A$3:$F$40,6,FALSE))))</f>
        <v/>
      </c>
      <c r="RX59" s="184" t="str">
        <f>IF(RU59="","",((VLOOKUP(Compositions!BC124,'HHV-LHV-MW'!$A$3:$F$40,4,FALSE))*(RU59/100)))</f>
        <v/>
      </c>
      <c r="RY59" s="184" t="str">
        <f>IF(RU59="","",((VLOOKUP(Compositions!BC124,'HHV-LHV-MW'!$A$3:$F$40,5,FALSE))*(RU59/100)))</f>
        <v/>
      </c>
      <c r="RZ59" s="184" t="str">
        <f>IF(RU59="","",((VLOOKUP(Compositions!BC124,'HHV-LHV-MW'!$A$3:$F$40,6,FALSE))*(RU59/100)))</f>
        <v/>
      </c>
      <c r="SA59" s="184" t="str">
        <f>IF(Compositions!BG124="","",(Compositions!BG124*(VLOOKUP(Compositions!BC124,'HHV-LHV-MW'!$A$3:$F$40,6,FALSE))))</f>
        <v/>
      </c>
      <c r="SB59" s="297" t="str">
        <f>IF(Compositions!BG124="","",IF(OR(Compositions!$BG$118="wt%",Compositions!$BG$118=""),Compositions!BG124,(IF(SA59="","",((SA59/$SA$78)*100)))))</f>
        <v/>
      </c>
      <c r="SC59" s="39" t="str">
        <f>IF(SB59="","",(IF(OR(Compositions!BC124="Hydrogen",Compositions!BC124="Helium",Compositions!BC124="Water",Compositions!BC124="Carbon Monoxide",Compositions!BC124="Nitrogen",Compositions!BC124="Oxygen",Compositions!BC124="Hydrogen Sulfide",Compositions!BC124="Argon",Compositions!BC124="Carbon Dioxide",Compositions!BC124="Carbon Disulfide"),0,SB59)))</f>
        <v/>
      </c>
      <c r="SD59" s="186" t="str">
        <f>IF(Compositions!BG124="","",((RU59/100)*((VLOOKUP(Compositions!BC124,'HHV-LHV-MW'!$A$3:$G$40,7,FALSE)))))</f>
        <v/>
      </c>
      <c r="SE59" s="186" t="str">
        <f>IF(RU59="","",(IF(OR(Compositions!BC124="Hydrogen",Compositions!BC124="Carbon Disulfide",Compositions!BC124="Helium",Compositions!BC124="Water",Compositions!BC124="Carbon Monoxide",Compositions!BC124="Nitrogen",Compositions!BC124="Oxygen",Compositions!BC124="Hydrogen Sulfide",Compositions!BC124="Argon",Compositions!BC124="Carbon Dioxide",Compositions!BC124="Methane",Compositions!BC124="Ethane"),0,(RU59/100))))</f>
        <v/>
      </c>
      <c r="SF59" s="39" t="str">
        <f>IF(RU59="","",(IF(OR($SE$78=0,$SE$78=""),0,     ((VLOOKUP(Compositions!BC124,'HHV-LHV-MW'!$A$3:$F$40,6,FALSE))*(SE59/$SE$78)))))</f>
        <v/>
      </c>
    </row>
    <row r="60" spans="1:500" ht="15.6">
      <c r="A60" s="173" t="s">
        <v>187</v>
      </c>
      <c r="B60" s="19" t="s">
        <v>186</v>
      </c>
      <c r="C60" s="20">
        <v>4</v>
      </c>
      <c r="D60" s="20">
        <v>2.8713000000000002</v>
      </c>
      <c r="E60" s="20">
        <v>2.6484000000000001</v>
      </c>
      <c r="F60" s="20">
        <v>58.123399999999997</v>
      </c>
      <c r="G60" s="20">
        <v>0</v>
      </c>
      <c r="H60" s="170"/>
      <c r="I60" s="170"/>
      <c r="K60" s="27" t="str">
        <f>IF(Compositions!B125="","",IF(Compositions!$B$118="mol%",Compositions!B125,L60))</f>
        <v/>
      </c>
      <c r="L60" s="27" t="str">
        <f t="shared" si="25"/>
        <v/>
      </c>
      <c r="M60" s="27" t="str">
        <f>IF(Compositions!B125="","",(Compositions!B125/(VLOOKUP(Compositions!A125,'HHV-LHV-MW'!$A$3:$F$40,6,FALSE))))</f>
        <v/>
      </c>
      <c r="N60" s="25" t="str">
        <f>IF(K60="","",((VLOOKUP(Compositions!A125,'HHV-LHV-MW'!$A$3:$F$40,4,FALSE))*(K60/100)))</f>
        <v/>
      </c>
      <c r="O60" s="25" t="str">
        <f>IF(K60="","",((VLOOKUP(Compositions!A125,'HHV-LHV-MW'!$A$3:$F$40,5,FALSE))*(K60/100)))</f>
        <v/>
      </c>
      <c r="P60" s="25" t="str">
        <f>IF(K60="","",((VLOOKUP(Compositions!A125,'HHV-LHV-MW'!$A$3:$F$40,6,FALSE))*(K60/100)))</f>
        <v/>
      </c>
      <c r="Q60" s="25" t="str">
        <f>IF(Compositions!B125="","",(Compositions!B125*(VLOOKUP(Compositions!A125,'HHV-LHV-MW'!$A$3:$F$40,6,FALSE))))</f>
        <v/>
      </c>
      <c r="R60" s="188" t="str">
        <f>IF(Compositions!B125="","",IF(OR(Compositions!$B$118="wt%",Compositions!$B$118=""),Compositions!B125,(IF(Q60="","",((Q60/$Q$78)*100)))))</f>
        <v/>
      </c>
      <c r="S60" s="185" t="str">
        <f>IF(R60="","",(IF(OR(Compositions!A125="Hydrogen",Compositions!A125="Helium",Compositions!A125="Water",Compositions!A125="Carbon Monoxide",Compositions!A125="Nitrogen",Compositions!A125="Oxygen",Compositions!A125="Hydrogen Sulfide",Compositions!A125="Argon",Compositions!A125="Carbon Dioxide",Compositions!A125="Carbon Disulfide"),0,R60)))</f>
        <v/>
      </c>
      <c r="T60" s="169" t="str">
        <f>IF(Compositions!B125="","",((K60/100)*((VLOOKUP(Compositions!A125,'HHV-LHV-MW'!$A$3:$G$40,7,FALSE)))))</f>
        <v/>
      </c>
      <c r="U60" s="187" t="str">
        <f>IF(K60="","",(IF(OR(Compositions!A125="Hydrogen",Compositions!A125="Carbon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Dioxide",Compositions!A125="Methane",Compositions!A125="Ethane"),0,(K60/100))))</f>
        <v/>
      </c>
      <c r="V60" s="188" t="str">
        <f>IF(K60="","", (IF(OR($U$78=0,$U$78=""),0,((VLOOKUP(Compositions!A125,'HHV-LHV-MW'!$A$3:$F$40,6,FALSE))*(U60/$U$78))   ))   )</f>
        <v/>
      </c>
      <c r="W60" s="28" t="str">
        <f>IF(Compositions!C125="","",IF(Compositions!$C$118="mol%",Compositions!C125,X60))</f>
        <v/>
      </c>
      <c r="X60" s="28" t="str">
        <f t="shared" si="26"/>
        <v/>
      </c>
      <c r="Y60" s="28" t="str">
        <f>IF(Compositions!C125="","",(Compositions!C125/(VLOOKUP(Compositions!A125,'HHV-LHV-MW'!$A$3:$F$40,6,FALSE))))</f>
        <v/>
      </c>
      <c r="Z60" s="26" t="str">
        <f>IF(W60="","",((VLOOKUP(Compositions!A125,'HHV-LHV-MW'!$A$3:$F$40,4,FALSE))*(W60/100)))</f>
        <v/>
      </c>
      <c r="AA60" s="26" t="str">
        <f>IF(W60="","",((VLOOKUP(Compositions!A125,'HHV-LHV-MW'!$A$3:$F$40,5,FALSE))*(W60/100)))</f>
        <v/>
      </c>
      <c r="AB60" s="26" t="str">
        <f>IF(W60="","",((VLOOKUP(Compositions!A125,'HHV-LHV-MW'!$A$3:$F$40,6,FALSE))*(W60/100)))</f>
        <v/>
      </c>
      <c r="AC60" s="26" t="str">
        <f>IF(Compositions!C125="","",(Compositions!C125*(VLOOKUP(Compositions!A125,'HHV-LHV-MW'!$A$3:$F$40,6,FALSE))))</f>
        <v/>
      </c>
      <c r="AD60" s="296" t="str">
        <f>IF(Compositions!C125="","",IF(OR(Compositions!$C$118="wt%",Compositions!$C$118=""),Compositions!C125,(IF(AC60="","",((AC60/$AC$78)*100)))))</f>
        <v/>
      </c>
      <c r="AE60" s="39" t="str">
        <f>IF(AD60="","",(IF(OR(Compositions!A125="Hydrogen",Compositions!A125="Helium",Compositions!A125="Water",Compositions!A125="Carbon Monoxide",Compositions!A125="Nitrogen",Compositions!A125="Oxygen",Compositions!A125="Hydrogen Sulfide",Compositions!A125="Argon",Compositions!A125="Carbon Dioxide",Compositions!A125="Carbon Disulfide"),0,AD60)))</f>
        <v/>
      </c>
      <c r="AF60" s="186" t="str">
        <f>IF(Compositions!C125="","",((W60/100)*((VLOOKUP(Compositions!A125,'HHV-LHV-MW'!$A$3:$G$40,7,FALSE)))))</f>
        <v/>
      </c>
      <c r="AG60" s="186" t="str">
        <f>IF(W60="","",(IF(OR(Compositions!A125="Hydrogen",Compositions!A125="Carbon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Dioxide",Compositions!A125="Methane",Compositions!A125="Ethane"),0,(W60/100))))</f>
        <v/>
      </c>
      <c r="AH60" s="39" t="str">
        <f>IF(W60="","", (IF(OR($AG$78=0,$AG$78=""),0,   ((VLOOKUP(Compositions!A125,'HHV-LHV-MW'!$A$3:$F$40,6,FALSE))*(AG60/$AG$78)))))</f>
        <v/>
      </c>
      <c r="AI60" s="27" t="str">
        <f>IF(Compositions!D125="","",IF(Compositions!$D$118="mol%",Compositions!D125,AJ60))</f>
        <v/>
      </c>
      <c r="AJ60" s="27" t="str">
        <f t="shared" si="27"/>
        <v/>
      </c>
      <c r="AK60" s="27" t="str">
        <f>IF(Compositions!D125="","",(Compositions!D125/(VLOOKUP(Compositions!A125,'HHV-LHV-MW'!$A$3:$F$40,6,FALSE))))</f>
        <v/>
      </c>
      <c r="AL60" s="25" t="str">
        <f>IF(AI60="","",((VLOOKUP(Compositions!A125,'HHV-LHV-MW'!$A$3:$F$40,4,FALSE))*(AI60/100)))</f>
        <v/>
      </c>
      <c r="AM60" s="25" t="str">
        <f>IF(AI60="","",((VLOOKUP(Compositions!A125,'HHV-LHV-MW'!$A$3:$F$40,5,FALSE))*(AI60/100)))</f>
        <v/>
      </c>
      <c r="AN60" s="25" t="str">
        <f>IF(AI60="","",((VLOOKUP(Compositions!A125,'HHV-LHV-MW'!$A$3:$F$40,6,FALSE))*(AI60/100)))</f>
        <v/>
      </c>
      <c r="AO60" s="25" t="str">
        <f>IF(Compositions!D125="","",(Compositions!D125*(VLOOKUP(Compositions!A125,'HHV-LHV-MW'!$A$3:$F$40,6,FALSE))))</f>
        <v/>
      </c>
      <c r="AP60" s="295" t="str">
        <f>IF(Compositions!D125="","",IF(OR(Compositions!$D$118="wt%",Compositions!$D$118=""),Compositions!D125,(IF(AO60="","",((AO60/$AO$78)*100)))))</f>
        <v/>
      </c>
      <c r="AQ60" s="185" t="str">
        <f>IF(AP60="","",(IF(OR(Compositions!A125="Hydrogen",Compositions!A125="Helium",Compositions!A125="Water",Compositions!A125="Carbon Monoxide",Compositions!A125="Nitrogen",Compositions!A125="Oxygen",Compositions!A125="Hydrogen Sulfide",Compositions!A125="Argon",Compositions!A125="Carbon Dioxide",Compositions!A125="Carbon Disulfide"),0,AP60)))</f>
        <v/>
      </c>
      <c r="AR60" s="187" t="str">
        <f>IF(Compositions!D125="","",((AI60/100)*((VLOOKUP(Compositions!A125,'HHV-LHV-MW'!$A$3:$G$40,7,FALSE)))))</f>
        <v/>
      </c>
      <c r="AS60" s="187" t="str">
        <f>IF(AI60="","",(IF(OR(Compositions!A125="Hydrogen",Compositions!A125="Carbon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Dioxide",Compositions!A125="Methane",Compositions!A125="Ethane"),0,(AI60/100))))</f>
        <v/>
      </c>
      <c r="AT60" s="205" t="str">
        <f>IF(AI60="","",(IF(OR($AS$78=0,$AS$78=""),0,      ((VLOOKUP(Compositions!A125,'HHV-LHV-MW'!$A$3:$F$40,6,FALSE))*(AS60/$AS$78)))))</f>
        <v/>
      </c>
      <c r="AU60" s="28" t="str">
        <f>IF(Compositions!E125="","",IF(Compositions!$E$118="mol%",Compositions!E125,AV60))</f>
        <v/>
      </c>
      <c r="AV60" s="28" t="str">
        <f t="shared" si="28"/>
        <v/>
      </c>
      <c r="AW60" s="28" t="str">
        <f>IF(Compositions!E125="","",(Compositions!E125/(VLOOKUP(Compositions!A125,'HHV-LHV-MW'!$A$3:$F$40,6,FALSE))))</f>
        <v/>
      </c>
      <c r="AX60" s="26" t="str">
        <f>IF(AU60="","",((VLOOKUP(Compositions!A125,'HHV-LHV-MW'!$A$3:$F$40,4,FALSE))*(AU60/100)))</f>
        <v/>
      </c>
      <c r="AY60" s="26" t="str">
        <f>IF(AU60="","",((VLOOKUP(Compositions!A125,'HHV-LHV-MW'!$A$3:$F$40,5,FALSE))*(AU60/100)))</f>
        <v/>
      </c>
      <c r="AZ60" s="26" t="str">
        <f>IF(AU60="","",((VLOOKUP(Compositions!A125,'HHV-LHV-MW'!$A$3:$F$40,6,FALSE))*(AU60/100)))</f>
        <v/>
      </c>
      <c r="BA60" s="26" t="str">
        <f>IF(Compositions!E125="","",(Compositions!E125*(VLOOKUP(Compositions!A125,'HHV-LHV-MW'!$A$3:$F$40,6,FALSE))))</f>
        <v/>
      </c>
      <c r="BB60" s="296" t="str">
        <f>IF(Compositions!E125="","",IF(OR(Compositions!$E$118="wt%",Compositions!$E$118=""),Compositions!E125,(IF(BA60="","",((BA60/$BA$78)*100)))))</f>
        <v/>
      </c>
      <c r="BC60" s="39" t="str">
        <f>IF(BB60="","",(IF(OR(Compositions!A125="Hydrogen",Compositions!A125="Helium",Compositions!A125="Water",Compositions!A125="Carbon Monoxide",Compositions!A125="Nitrogen",Compositions!A125="Oxygen",Compositions!A125="Hydrogen Sulfide",Compositions!A125="Argon",Compositions!A125="Carbon Dioxide",Compositions!A125="Carbon Disulfide"),0,BB60)))</f>
        <v/>
      </c>
      <c r="BD60" s="186" t="str">
        <f>IF(Compositions!E125="","",((AU60/100)*((VLOOKUP(Compositions!A125,'HHV-LHV-MW'!$A$3:$G$40,7,FALSE)))))</f>
        <v/>
      </c>
      <c r="BE60" s="186" t="str">
        <f>IF(AU60="","",(IF(OR(Compositions!A125="Hydrogen",Compositions!A125="Carbon Disulfide",Compositions!A125="Helium",Compositions!A125="Water",Compositions!A125="Carbon Monoxide",Compositions!A125="Nitrogen",Compositions!A125="Oxygen",Compositions!A125="Hydrogen Sulfide",Compositions!A125="Argon",Compositions!A125="Carbon Dioxide",Compositions!A125="Methane",Compositions!A125="Ethane"),0,(AU60/100))))</f>
        <v/>
      </c>
      <c r="BF60" s="39" t="str">
        <f>IF(AU60="","",(IF(OR($BE$78=0,$BE$78=""),0,     ((VLOOKUP(Compositions!A125,'HHV-LHV-MW'!$A$3:$F$40,6,FALSE))*(BE60/$BE$78)))))</f>
        <v/>
      </c>
      <c r="BH60" s="27" t="str">
        <f>IF(Compositions!H125="","",IF(Compositions!$H$118="mol%",Compositions!H125,BI60))</f>
        <v/>
      </c>
      <c r="BI60" s="27" t="str">
        <f t="shared" si="29"/>
        <v/>
      </c>
      <c r="BJ60" s="27" t="str">
        <f>IF(Compositions!H125="","",(Compositions!H125/(VLOOKUP(Compositions!G125,'HHV-LHV-MW'!$A$3:$F$40,6,FALSE))))</f>
        <v/>
      </c>
      <c r="BK60" s="25" t="str">
        <f>IF(BH60="","",((VLOOKUP(Compositions!G125,'HHV-LHV-MW'!$A$3:$F$40,4,FALSE))*(BH60/100)))</f>
        <v/>
      </c>
      <c r="BL60" s="25" t="str">
        <f>IF(BH60="","",((VLOOKUP(Compositions!G125,'HHV-LHV-MW'!$A$3:$F$40,5,FALSE))*(BH60/100)))</f>
        <v/>
      </c>
      <c r="BM60" s="25" t="str">
        <f>IF(BH60="","",((VLOOKUP(Compositions!G125,'HHV-LHV-MW'!$A$3:$F$40,6,FALSE))*(BH60/100)))</f>
        <v/>
      </c>
      <c r="BN60" s="25" t="str">
        <f>IF(Compositions!H125="","",(Compositions!H125*(VLOOKUP(Compositions!G125,'HHV-LHV-MW'!$A$3:$F$40,6,FALSE))))</f>
        <v/>
      </c>
      <c r="BO60" s="295" t="str">
        <f>IF(Compositions!H125="","",IF(OR(Compositions!$H$118="wt%",Compositions!$H$118=""),Compositions!H125,(IF(BN60="","",((BN60/$BN$78)*100)))))</f>
        <v/>
      </c>
      <c r="BP60" s="185" t="str">
        <f>IF(BO60="","",(IF(OR(Compositions!G125="Hydrogen",Compositions!G125="Helium",Compositions!G125="Water",Compositions!G125="Carbon Monoxide",Compositions!G125="Nitrogen",Compositions!G125="Oxygen",Compositions!G125="Hydrogen Sulfide",Compositions!G125="Argon",Compositions!G125="Carbon Dioxide",Compositions!G125="Carbon Disulfide"),0,BO60)))</f>
        <v/>
      </c>
      <c r="BQ60" s="187" t="str">
        <f>IF(Compositions!H125="","",((BH60/100)*((VLOOKUP(Compositions!G125,'HHV-LHV-MW'!$A$3:$G$40,7,FALSE)))))</f>
        <v/>
      </c>
      <c r="BR60" s="187" t="str">
        <f>IF(BH60="","",(IF(OR(Compositions!G125="Hydrogen",Compositions!G125="Carbon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Dioxide",Compositions!G125="Methane",Compositions!G125="Ethane"),0,(BH60/100))))</f>
        <v/>
      </c>
      <c r="BS60" s="205" t="str">
        <f>IF(BH60="","",(IF(OR($BR$78=0,$BR$78=""),0,    ((VLOOKUP(Compositions!G125,'HHV-LHV-MW'!$A$3:$F$40,6,FALSE))*(BR60/$BR$78)))))</f>
        <v/>
      </c>
      <c r="BT60" s="28" t="str">
        <f>IF(Compositions!I125="","",IF(Compositions!$I$118="mol%",Compositions!I125,BU60))</f>
        <v/>
      </c>
      <c r="BU60" s="28" t="str">
        <f t="shared" si="30"/>
        <v/>
      </c>
      <c r="BV60" s="28" t="str">
        <f>IF(Compositions!I125="","",(Compositions!I125/(VLOOKUP(Compositions!G125,'HHV-LHV-MW'!$A$3:$F$40,6,FALSE))))</f>
        <v/>
      </c>
      <c r="BW60" s="26" t="str">
        <f>IF(BT60="","",((VLOOKUP(Compositions!G125,'HHV-LHV-MW'!$A$3:$F$40,4,FALSE))*(BT60/100)))</f>
        <v/>
      </c>
      <c r="BX60" s="26" t="str">
        <f>IF(BT60="","",((VLOOKUP(Compositions!G125,'HHV-LHV-MW'!$A$3:$F$40,5,FALSE))*(BT60/100)))</f>
        <v/>
      </c>
      <c r="BY60" s="26" t="str">
        <f>IF(BT60="","",((VLOOKUP(Compositions!G125,'HHV-LHV-MW'!$A$3:$F$40,6,FALSE))*(BT60/100)))</f>
        <v/>
      </c>
      <c r="BZ60" s="26" t="str">
        <f>IF(Compositions!I125="","",(Compositions!I125*(VLOOKUP(Compositions!G125,'HHV-LHV-MW'!$A$3:$F$40,6,FALSE))))</f>
        <v/>
      </c>
      <c r="CA60" s="296" t="str">
        <f>IF(Compositions!I125="","",IF(OR(Compositions!$I$118="wt%",Compositions!$I$118=""),Compositions!I125,(IF(BZ60="","",((BZ60/$BZ$78)*100)))))</f>
        <v/>
      </c>
      <c r="CB60" s="39" t="str">
        <f>IF(CA60="","",(IF(OR(Compositions!G125="Hydrogen",Compositions!G125="Helium",Compositions!G125="Water",Compositions!G125="Carbon Monoxide",Compositions!G125="Nitrogen",Compositions!G125="Oxygen",Compositions!G125="Hydrogen Sulfide",Compositions!G125="Argon",Compositions!G125="Carbon Dioxide",Compositions!G125="Carbon Disulfide"),0,CA60)))</f>
        <v/>
      </c>
      <c r="CC60" s="186" t="str">
        <f>IF(Compositions!I125="","",((BT60/100)*((VLOOKUP(Compositions!G125,'HHV-LHV-MW'!$A$3:$G$40,7,FALSE)))))</f>
        <v/>
      </c>
      <c r="CD60" s="186" t="str">
        <f>IF(BT60="","",(IF(OR(Compositions!G125="Hydrogen",Compositions!G125="Carbon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Dioxide",Compositions!G125="Methane",Compositions!G125="Ethane"),0,(BT60/100))))</f>
        <v/>
      </c>
      <c r="CE60" s="39" t="str">
        <f>IF(BT60="","",(IF(OR($CD$78=0,$CD$78=""),0,       ((VLOOKUP(Compositions!G125,'HHV-LHV-MW'!$A$3:$F$40,6,FALSE))*(CD60/$CD$78)))))</f>
        <v/>
      </c>
      <c r="CF60" s="27" t="str">
        <f>IF(Compositions!J125="","",IF(Compositions!$J$118="mol%",Compositions!J125,CG60))</f>
        <v/>
      </c>
      <c r="CG60" s="27" t="str">
        <f t="shared" si="31"/>
        <v/>
      </c>
      <c r="CH60" s="27" t="str">
        <f>IF(Compositions!J125="","",(Compositions!J125/(VLOOKUP(Compositions!G125,'HHV-LHV-MW'!$A$3:$F$40,6,FALSE))))</f>
        <v/>
      </c>
      <c r="CI60" s="25" t="str">
        <f>IF(CF60="","",((VLOOKUP(Compositions!G125,'HHV-LHV-MW'!$A$3:$F$40,4,FALSE))*(CF60/100)))</f>
        <v/>
      </c>
      <c r="CJ60" s="25" t="str">
        <f>IF(CF60="","",((VLOOKUP(Compositions!G125,'HHV-LHV-MW'!$A$3:$F$40,5,FALSE))*(CF60/100)))</f>
        <v/>
      </c>
      <c r="CK60" s="25" t="str">
        <f>IF(CF60="","",((VLOOKUP(Compositions!G125,'HHV-LHV-MW'!$A$3:$F$40,6,FALSE))*(CF60/100)))</f>
        <v/>
      </c>
      <c r="CL60" s="25" t="str">
        <f>IF(Compositions!J125="","",(Compositions!J125*(VLOOKUP(Compositions!G125,'HHV-LHV-MW'!$A$3:$F$40,6,FALSE))))</f>
        <v/>
      </c>
      <c r="CM60" s="295" t="str">
        <f>IF(Compositions!J125="","",IF(OR(Compositions!$J$118="wt%",Compositions!$J$118=""),Compositions!J125,(IF(CL60="","",((CL60/$CL$78)*100)))))</f>
        <v/>
      </c>
      <c r="CN60" s="185" t="str">
        <f>IF(CM60="","",(IF(OR(Compositions!G125="Hydrogen",Compositions!G125="Helium",Compositions!G125="Water",Compositions!G125="Carbon Monoxide",Compositions!G125="Nitrogen",Compositions!G125="Oxygen",Compositions!G125="Hydrogen Sulfide",Compositions!G125="Argon",Compositions!G125="Carbon Dioxide",Compositions!G125="Carbon Disulfide"),0,CM60)))</f>
        <v/>
      </c>
      <c r="CO60" s="187" t="str">
        <f>IF(Compositions!J125="","",((CF60/100)*((VLOOKUP(Compositions!G125,'HHV-LHV-MW'!$A$3:$G$40,7,FALSE)))))</f>
        <v/>
      </c>
      <c r="CP60" s="187" t="str">
        <f>IF(CF60="","",(IF(OR(Compositions!G125="Hydrogen",Compositions!G125="Carbon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Dioxide",Compositions!G125="Methane",Compositions!G125="Ethane"),0,(CF60/100))))</f>
        <v/>
      </c>
      <c r="CQ60" s="205" t="str">
        <f>IF(CF60="","",(IF(OR($CP$78=0,$CP$78=""),0,       ((VLOOKUP(Compositions!G125,'HHV-LHV-MW'!$A$3:$F$40,6,FALSE))*(CP60/$CP$78)))))</f>
        <v/>
      </c>
      <c r="CR60" s="28" t="str">
        <f>IF(Compositions!K125="","",IF(Compositions!$K$118="mol%",Compositions!K125,CS60))</f>
        <v/>
      </c>
      <c r="CS60" s="28" t="str">
        <f t="shared" si="32"/>
        <v/>
      </c>
      <c r="CT60" s="28" t="str">
        <f>IF(Compositions!K125="","",(Compositions!K125/(VLOOKUP(Compositions!G125,'HHV-LHV-MW'!$A$3:$F$40,6,FALSE))))</f>
        <v/>
      </c>
      <c r="CU60" s="26" t="str">
        <f>IF(CR60="","",((VLOOKUP(Compositions!G125,'HHV-LHV-MW'!$A$3:$F$40,4,FALSE))*(CR60/100)))</f>
        <v/>
      </c>
      <c r="CV60" s="26" t="str">
        <f>IF(CR60="","",((VLOOKUP(Compositions!G125,'HHV-LHV-MW'!$A$3:$F$40,5,FALSE))*(CR60/100)))</f>
        <v/>
      </c>
      <c r="CW60" s="26" t="str">
        <f>IF(CR60="","",((VLOOKUP(Compositions!G125,'HHV-LHV-MW'!$A$3:$F$40,6,FALSE))*(CR60/100)))</f>
        <v/>
      </c>
      <c r="CX60" s="26" t="str">
        <f>IF(Compositions!K125="","",(Compositions!K125*(VLOOKUP(Compositions!G125,'HHV-LHV-MW'!$A$3:$F$40,6,FALSE))))</f>
        <v/>
      </c>
      <c r="CY60" s="296" t="str">
        <f>IF(Compositions!K125="","",IF(OR(Compositions!$K$118="wt%",Compositions!$K$118=""),Compositions!K125,(IF(CX60="","",((CX60/$CX$78)*100)))))</f>
        <v/>
      </c>
      <c r="CZ60" s="39" t="str">
        <f>IF(CY60="","",(IF(OR(Compositions!G125="Hydrogen",Compositions!G125="Helium",Compositions!G125="Water",Compositions!G125="Carbon Monoxide",Compositions!G125="Nitrogen",Compositions!G125="Oxygen",Compositions!G125="Hydrogen Sulfide",Compositions!G125="Argon",Compositions!G125="Carbon Dioxide",Compositions!G125="Carbon Disulfide"),0,CY60)))</f>
        <v/>
      </c>
      <c r="DA60" s="186" t="str">
        <f>IF(Compositions!K125="","",((CR60/100)*((VLOOKUP(Compositions!G125,'HHV-LHV-MW'!$A$3:$G$40,7,FALSE)))))</f>
        <v/>
      </c>
      <c r="DB60" s="186" t="str">
        <f>IF(CR60="","",(IF(OR(Compositions!G125="Hydrogen",Compositions!G125="Carbon Disulfide",Compositions!G125="Helium",Compositions!G125="Water",Compositions!G125="Carbon Monoxide",Compositions!G125="Nitrogen",Compositions!G125="Oxygen",Compositions!G125="Hydrogen Sulfide",Compositions!G125="Argon",Compositions!G125="Carbon Dioxide",Compositions!G125="Methane",Compositions!G125="Ethane"),0,(CR60/100))))</f>
        <v/>
      </c>
      <c r="DC60" s="39" t="str">
        <f>IF(CR60="","",(IF(OR($DB$78=0,$DB$78=""),0,       ((VLOOKUP(Compositions!G125,'HHV-LHV-MW'!$A$3:$F$40,6,FALSE))*(DB60/$DB$78)))))</f>
        <v/>
      </c>
      <c r="DE60" s="27" t="str">
        <f>IF(Compositions!N125="","",IF(Compositions!$N$118="mol%",Compositions!N125,DF60))</f>
        <v/>
      </c>
      <c r="DF60" s="27" t="str">
        <f t="shared" si="33"/>
        <v/>
      </c>
      <c r="DG60" s="27" t="str">
        <f>IF(Compositions!N125="","",(Compositions!N125/(VLOOKUP(Compositions!M125,'HHV-LHV-MW'!$A$3:$F$40,6,FALSE))))</f>
        <v/>
      </c>
      <c r="DH60" s="25" t="str">
        <f>IF(DE60="","",((VLOOKUP(Compositions!M125,'HHV-LHV-MW'!$A$3:$F$40,4,FALSE))*(DE60/100)))</f>
        <v/>
      </c>
      <c r="DI60" s="25" t="str">
        <f>IF(DE60="","",((VLOOKUP(Compositions!M125,'HHV-LHV-MW'!$A$3:$F$40,5,FALSE))*(DE60/100)))</f>
        <v/>
      </c>
      <c r="DJ60" s="25" t="str">
        <f>IF(DE60="","",((VLOOKUP(Compositions!M125,'HHV-LHV-MW'!$A$3:$F$40,6,FALSE))*(DE60/100)))</f>
        <v/>
      </c>
      <c r="DK60" s="25" t="str">
        <f>IF(Compositions!N125="","",(Compositions!N125*(VLOOKUP(Compositions!M125,'HHV-LHV-MW'!$A$3:$F$40,6,FALSE))))</f>
        <v/>
      </c>
      <c r="DL60" s="295" t="str">
        <f>IF(Compositions!N125="","",IF(OR(Compositions!$N$118="wt%",Compositions!$N$118=""),Compositions!N125,(IF(DK60="","",((DK60/$DK$78)*100)))))</f>
        <v/>
      </c>
      <c r="DM60" s="185" t="str">
        <f>IF(DL60="","",(IF(OR(Compositions!M125="Hydrogen",Compositions!M125="Helium",Compositions!M125="Water",Compositions!M125="Carbon Monoxide",Compositions!M125="Nitrogen",Compositions!M125="Oxygen",Compositions!M125="Hydrogen Sulfide",Compositions!M125="Argon",Compositions!M125="Carbon Dioxide",Compositions!M125="Carbon Disulfide"),0,DL60)))</f>
        <v/>
      </c>
      <c r="DN60" s="187" t="str">
        <f>IF(Compositions!N125="","",((DE60/100)*((VLOOKUP(Compositions!M125,'HHV-LHV-MW'!$A$3:$G$40,7,FALSE)))))</f>
        <v/>
      </c>
      <c r="DO60" s="187" t="str">
        <f>IF(DE60="","",(IF(OR(Compositions!M125="Hydrogen",Compositions!M125="Carbon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Dioxide",Compositions!M125="Methane",Compositions!M125="Ethane"),0,(DE60/100))))</f>
        <v/>
      </c>
      <c r="DP60" s="205" t="str">
        <f>IF(DE60="","",(IF(OR($DO$78=0,$DO$78=""),0,       ((VLOOKUP(Compositions!M125,'HHV-LHV-MW'!$A$3:$F$40,6,FALSE))*(DO60/$DO$78)))))</f>
        <v/>
      </c>
      <c r="DQ60" s="28" t="str">
        <f>IF(Compositions!O125="","",IF(Compositions!$O$118="mol%",Compositions!O125,DR60))</f>
        <v/>
      </c>
      <c r="DR60" s="28" t="str">
        <f t="shared" si="34"/>
        <v/>
      </c>
      <c r="DS60" s="28" t="str">
        <f>IF(Compositions!O125="","",(Compositions!O125/(VLOOKUP(Compositions!M125,'HHV-LHV-MW'!$A$3:$F$40,6,FALSE))))</f>
        <v/>
      </c>
      <c r="DT60" s="26" t="str">
        <f>IF(DQ60="","",((VLOOKUP(Compositions!M125,'HHV-LHV-MW'!$A$3:$F$40,4,FALSE))*(DQ60/100)))</f>
        <v/>
      </c>
      <c r="DU60" s="26" t="str">
        <f>IF(DQ60="","",((VLOOKUP(Compositions!M125,'HHV-LHV-MW'!$A$3:$F$40,5,FALSE))*(DQ60/100)))</f>
        <v/>
      </c>
      <c r="DV60" s="26" t="str">
        <f>IF(DQ60="","",((VLOOKUP(Compositions!M125,'HHV-LHV-MW'!$A$3:$F$40,6,FALSE))*(DQ60/100)))</f>
        <v/>
      </c>
      <c r="DW60" s="26" t="str">
        <f>IF(Compositions!O125="","",(Compositions!O125*(VLOOKUP(Compositions!M125,'HHV-LHV-MW'!$A$3:$F$40,6,FALSE))))</f>
        <v/>
      </c>
      <c r="DX60" s="296" t="str">
        <f>IF(Compositions!O125="","",IF(OR(Compositions!$O$118="wt%",Compositions!$O$118=""),Compositions!O125,(IF(DW60="","",((DW60/$DW$78)*100)))))</f>
        <v/>
      </c>
      <c r="DY60" s="39" t="str">
        <f>IF(DX60="","",(IF(OR(Compositions!M125="Hydrogen",Compositions!M125="Helium",Compositions!M125="Water",Compositions!M125="Carbon Monoxide",Compositions!M125="Nitrogen",Compositions!M125="Oxygen",Compositions!M125="Hydrogen Sulfide",Compositions!M125="Argon",Compositions!M125="Carbon Dioxide",Compositions!M125="Carbon Disulfide"),0,DX60)))</f>
        <v/>
      </c>
      <c r="DZ60" s="186" t="str">
        <f>IF(Compositions!O125="","",((DQ60/100)*((VLOOKUP(Compositions!M125,'HHV-LHV-MW'!$A$3:$G$40,7,FALSE)))))</f>
        <v/>
      </c>
      <c r="EA60" s="186" t="str">
        <f>IF(DQ60="","",(IF(OR(Compositions!M125="Hydrogen",Compositions!M125="Carbon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Dioxide",Compositions!M125="Methane",Compositions!M125="Ethane"),0,(DQ60/100))))</f>
        <v/>
      </c>
      <c r="EB60" s="39" t="str">
        <f>IF(DQ60="","",(IF(OR($EA$78=0,$EA$78=""),0,       ((VLOOKUP(Compositions!M125,'HHV-LHV-MW'!$A$3:$F$40,6,FALSE))*(EA60/$EA$78)))))</f>
        <v/>
      </c>
      <c r="EC60" s="27" t="str">
        <f>IF(Compositions!P125="","",IF(Compositions!$P$118="mol%",Compositions!P125,ED60))</f>
        <v/>
      </c>
      <c r="ED60" s="27" t="str">
        <f t="shared" si="35"/>
        <v/>
      </c>
      <c r="EE60" s="27" t="str">
        <f>IF(Compositions!P125="","",(Compositions!P125/(VLOOKUP(Compositions!M125,'HHV-LHV-MW'!$A$3:$F$40,6,FALSE))))</f>
        <v/>
      </c>
      <c r="EF60" s="25" t="str">
        <f>IF(EC60="","",((VLOOKUP(Compositions!M125,'HHV-LHV-MW'!$A$3:$F$40,4,FALSE))*(EC60/100)))</f>
        <v/>
      </c>
      <c r="EG60" s="25" t="str">
        <f>IF(EC60="","",((VLOOKUP(Compositions!M125,'HHV-LHV-MW'!$A$3:$F$40,5,FALSE))*(EC60/100)))</f>
        <v/>
      </c>
      <c r="EH60" s="25" t="str">
        <f>IF(EC60="","",((VLOOKUP(Compositions!M125,'HHV-LHV-MW'!$A$3:$F$40,6,FALSE))*(EC60/100)))</f>
        <v/>
      </c>
      <c r="EI60" s="25" t="str">
        <f>IF(Compositions!P125="","",(Compositions!P125*(VLOOKUP(Compositions!M125,'HHV-LHV-MW'!$A$3:$F$40,6,FALSE))))</f>
        <v/>
      </c>
      <c r="EJ60" s="295" t="str">
        <f>IF(Compositions!P125="","",IF(OR(Compositions!$P$118="wt%",Compositions!$P$118=""),Compositions!P125,(IF(EI60="","",((EI60/$EI$78)*100)))))</f>
        <v/>
      </c>
      <c r="EK60" s="185" t="str">
        <f>IF(EJ60="","",(IF(OR(Compositions!M125="Hydrogen",Compositions!M125="Helium",Compositions!M125="Water",Compositions!M125="Carbon Monoxide",Compositions!M125="Nitrogen",Compositions!M125="Oxygen",Compositions!M125="Hydrogen Sulfide",Compositions!M125="Argon",Compositions!M125="Carbon Dioxide",Compositions!M125="Carbon Disulfide"),0,EJ60)))</f>
        <v/>
      </c>
      <c r="EL60" s="187" t="str">
        <f>IF(Compositions!P125="","",((EC60/100)*((VLOOKUP(Compositions!M125,'HHV-LHV-MW'!$A$3:$G$40,7,FALSE)))))</f>
        <v/>
      </c>
      <c r="EM60" s="187" t="str">
        <f>IF(EC60="","",(IF(OR(Compositions!M125="Hydrogen",Compositions!M125="Carbon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Dioxide",Compositions!M125="Methane",Compositions!M125="Ethane"),0,(EC60/100))))</f>
        <v/>
      </c>
      <c r="EN60" s="205" t="str">
        <f>IF(EC60="","",(IF(OR($EM$78=0,$EM$78=""),0,       ((VLOOKUP(Compositions!M125,'HHV-LHV-MW'!$A$3:$F$40,6,FALSE))*(EM60/$EM$78)))))</f>
        <v/>
      </c>
      <c r="EO60" s="28" t="str">
        <f>IF(Compositions!Q125="","",IF(Compositions!$Q$118="mol%",Compositions!Q125,EP60))</f>
        <v/>
      </c>
      <c r="EP60" s="28" t="str">
        <f t="shared" si="36"/>
        <v/>
      </c>
      <c r="EQ60" s="28" t="str">
        <f>IF(Compositions!Q125="","",(Compositions!Q125/(VLOOKUP(Compositions!M125,'HHV-LHV-MW'!$A$3:$F$40,6,FALSE))))</f>
        <v/>
      </c>
      <c r="ER60" s="26" t="str">
        <f>IF(EO60="","",((VLOOKUP(Compositions!M125,'HHV-LHV-MW'!$A$3:$F$40,4,FALSE))*(EO60/100)))</f>
        <v/>
      </c>
      <c r="ES60" s="26" t="str">
        <f>IF(EO60="","",((VLOOKUP(Compositions!M125,'HHV-LHV-MW'!$A$3:$F$40,5,FALSE))*(EO60/100)))</f>
        <v/>
      </c>
      <c r="ET60" s="26" t="str">
        <f>IF(EO60="","",((VLOOKUP(Compositions!M125,'HHV-LHV-MW'!$A$3:$F$40,6,FALSE))*(EO60/100)))</f>
        <v/>
      </c>
      <c r="EU60" s="26" t="str">
        <f>IF(Compositions!Q125="","",(Compositions!Q125*(VLOOKUP(Compositions!M125,'HHV-LHV-MW'!$A$3:$F$40,6,FALSE))))</f>
        <v/>
      </c>
      <c r="EV60" s="296" t="str">
        <f>IF(Compositions!Q125="","",IF(OR(Compositions!$Q$118="wt%",Compositions!$Q$118=""),Compositions!Q125,(IF(EU60="","",((EU60/$EU$78)*100)))))</f>
        <v/>
      </c>
      <c r="EW60" s="39" t="str">
        <f>IF(EV60="","",(IF(OR(Compositions!M125="Hydrogen",Compositions!M125="Helium",Compositions!M125="Water",Compositions!M125="Carbon Monoxide",Compositions!M125="Nitrogen",Compositions!M125="Oxygen",Compositions!M125="Hydrogen Sulfide",Compositions!M125="Argon",Compositions!M125="Carbon Dioxide",Compositions!M125="Carbon Disulfide"),0,EV60)))</f>
        <v/>
      </c>
      <c r="EX60" s="186" t="str">
        <f>IF(Compositions!Q125="","",((EO60/100)*((VLOOKUP(Compositions!M125,'HHV-LHV-MW'!$A$3:$G$40,7,FALSE)))))</f>
        <v/>
      </c>
      <c r="EY60" s="186" t="str">
        <f>IF(EO60="","",(IF(OR(Compositions!M125="Hydrogen",Compositions!M125="Carbon Disulfide",Compositions!M125="Helium",Compositions!M125="Water",Compositions!M125="Carbon Monoxide",Compositions!M125="Nitrogen",Compositions!M125="Oxygen",Compositions!M125="Hydrogen Sulfide",Compositions!M125="Argon",Compositions!M125="Carbon Dioxide",Compositions!M125="Methane",Compositions!M125="Ethane"),0,(EO60/100))))</f>
        <v/>
      </c>
      <c r="EZ60" s="39" t="str">
        <f>IF(EO60="","",(IF(OR($EY$78=0,$EY$78=""),0,       ((VLOOKUP(Compositions!M125,'HHV-LHV-MW'!$A$3:$F$40,6,FALSE))*(EY60/$EY$78)))))</f>
        <v/>
      </c>
      <c r="FB60" s="27" t="str">
        <f>IF(Compositions!T125="","",IF(Compositions!$T$118="mol%",Compositions!T125,FC60))</f>
        <v/>
      </c>
      <c r="FC60" s="27" t="str">
        <f t="shared" si="37"/>
        <v/>
      </c>
      <c r="FD60" s="27" t="str">
        <f>IF(Compositions!T125="","",(Compositions!T125/(VLOOKUP(Compositions!S125,'HHV-LHV-MW'!$A$3:$F$40,6,FALSE))))</f>
        <v/>
      </c>
      <c r="FE60" s="25" t="str">
        <f>IF(FB60="","",((VLOOKUP(Compositions!S125,'HHV-LHV-MW'!$A$3:$F$40,4,FALSE))*(FB60/100)))</f>
        <v/>
      </c>
      <c r="FF60" s="25" t="str">
        <f>IF(FB60="","",((VLOOKUP(Compositions!S125,'HHV-LHV-MW'!$A$3:$F$40,5,FALSE))*(FB60/100)))</f>
        <v/>
      </c>
      <c r="FG60" s="25" t="str">
        <f>IF(FB60="","",((VLOOKUP(Compositions!S125,'HHV-LHV-MW'!$A$3:$F$40,6,FALSE))*(FB60/100)))</f>
        <v/>
      </c>
      <c r="FH60" s="25" t="str">
        <f>IF(Compositions!T125="","",(Compositions!T125*(VLOOKUP(Compositions!S125,'HHV-LHV-MW'!$A$3:$F$40,6,FALSE))))</f>
        <v/>
      </c>
      <c r="FI60" s="295" t="str">
        <f>IF(Compositions!T125="","",IF(OR(Compositions!$T$118="wt%",Compositions!$T$118=""),Compositions!T125,(IF(FH60="","",((FH60/$FH$78)*100)))))</f>
        <v/>
      </c>
      <c r="FJ60" s="185" t="str">
        <f>IF(FI60="","",(IF(OR(Compositions!S125="Hydrogen",Compositions!S125="Helium",Compositions!S125="Water",Compositions!S125="Carbon Monoxide",Compositions!S125="Nitrogen",Compositions!S125="Oxygen",Compositions!S125="Hydrogen Sulfide",Compositions!S125="Argon",Compositions!S125="Carbon Dioxide",Compositions!S125="Carbon Disulfide"),0,FI60)))</f>
        <v/>
      </c>
      <c r="FK60" s="187" t="str">
        <f>IF(Compositions!T125="","",((FB60/100)*((VLOOKUP(Compositions!S125,'HHV-LHV-MW'!$A$3:$G$40,7,FALSE)))))</f>
        <v/>
      </c>
      <c r="FL60" s="187" t="str">
        <f>IF(FB60="","",(IF(OR(Compositions!S125="Hydrogen",Compositions!S125="Carbon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Dioxide",Compositions!S125="Methane",Compositions!S125="Ethane"),0,(FB60/100))))</f>
        <v/>
      </c>
      <c r="FM60" s="205" t="str">
        <f>IF(FB60="","",(IF(OR($FL$78=0,$FL$78=""),0,       ((VLOOKUP(Compositions!S125,'HHV-LHV-MW'!$A$3:$F$40,6,FALSE))*(FL60/$FL$78)))))</f>
        <v/>
      </c>
      <c r="FN60" s="28" t="str">
        <f>IF(Compositions!U125="","",IF(Compositions!$U$118="mol%",Compositions!U125,FO60))</f>
        <v/>
      </c>
      <c r="FO60" s="28" t="str">
        <f t="shared" si="38"/>
        <v/>
      </c>
      <c r="FP60" s="28" t="str">
        <f>IF(Compositions!U125="","",(Compositions!U125/(VLOOKUP(Compositions!S125,'HHV-LHV-MW'!$A$3:$F$40,6,FALSE))))</f>
        <v/>
      </c>
      <c r="FQ60" s="26" t="str">
        <f>IF(FN60="","",((VLOOKUP(Compositions!S125,'HHV-LHV-MW'!$A$3:$F$40,4,FALSE))*(FN60/100)))</f>
        <v/>
      </c>
      <c r="FR60" s="26" t="str">
        <f>IF(FN60="","",((VLOOKUP(Compositions!S125,'HHV-LHV-MW'!$A$3:$F$40,5,FALSE))*(FN60/100)))</f>
        <v/>
      </c>
      <c r="FS60" s="26" t="str">
        <f>IF(FN60="","",((VLOOKUP(Compositions!S125,'HHV-LHV-MW'!$A$3:$F$40,6,FALSE))*(FN60/100)))</f>
        <v/>
      </c>
      <c r="FT60" s="26" t="str">
        <f>IF(Compositions!U125="","",(Compositions!U125*(VLOOKUP(Compositions!S125,'HHV-LHV-MW'!$A$3:$F$40,6,FALSE))))</f>
        <v/>
      </c>
      <c r="FU60" s="296" t="str">
        <f>IF(Compositions!U125="","",IF(OR(Compositions!$U$118="wt%",Compositions!$U$118=""),Compositions!U125,(IF(FT60="","",((FT60/$FT$78)*100)))))</f>
        <v/>
      </c>
      <c r="FV60" s="39" t="str">
        <f>IF(FU60="","",(IF(OR(Compositions!S125="Hydrogen",Compositions!S125="Helium",Compositions!S125="Water",Compositions!S125="Carbon Monoxide",Compositions!S125="Nitrogen",Compositions!S125="Oxygen",Compositions!S125="Hydrogen Sulfide",Compositions!S125="Argon",Compositions!S125="Carbon Dioxide",Compositions!S125="Carbon Disulfide"),0,FU60)))</f>
        <v/>
      </c>
      <c r="FW60" s="186" t="str">
        <f>IF(Compositions!U125="","",((FN60/100)*((VLOOKUP(Compositions!S125,'HHV-LHV-MW'!$A$3:$G$40,7,FALSE)))))</f>
        <v/>
      </c>
      <c r="FX60" s="186" t="str">
        <f>IF(FN60="","",(IF(OR(Compositions!S125="Hydrogen",Compositions!S125="Carbon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Dioxide",Compositions!S125="Methane",Compositions!S125="Ethane"),0,(FN60/100))))</f>
        <v/>
      </c>
      <c r="FY60" s="39" t="str">
        <f>IF(FN60="","",(IF(OR($FX$78=0,$FX$78=""),0,       ((VLOOKUP(Compositions!S125,'HHV-LHV-MW'!$A$3:$F$40,6,FALSE))*(FX60/$FX$78)))))</f>
        <v/>
      </c>
      <c r="FZ60" s="27" t="str">
        <f>IF(Compositions!V125="","",IF(Compositions!$V$118="mol%",Compositions!V125,GA60))</f>
        <v/>
      </c>
      <c r="GA60" s="27" t="str">
        <f t="shared" si="39"/>
        <v/>
      </c>
      <c r="GB60" s="27" t="str">
        <f>IF(Compositions!V125="","",(Compositions!V125/(VLOOKUP(Compositions!S125,'HHV-LHV-MW'!$A$3:$F$40,6,FALSE))))</f>
        <v/>
      </c>
      <c r="GC60" s="25" t="str">
        <f>IF(FZ60="","",((VLOOKUP(Compositions!S125,'HHV-LHV-MW'!$A$3:$F$40,4,FALSE))*(FZ60/100)))</f>
        <v/>
      </c>
      <c r="GD60" s="25" t="str">
        <f>IF(FZ60="","",((VLOOKUP(Compositions!S125,'HHV-LHV-MW'!$A$3:$F$40,5,FALSE))*(FZ60/100)))</f>
        <v/>
      </c>
      <c r="GE60" s="25" t="str">
        <f>IF(FZ60="","",((VLOOKUP(Compositions!S125,'HHV-LHV-MW'!$A$3:$F$40,6,FALSE))*(FZ60/100)))</f>
        <v/>
      </c>
      <c r="GF60" s="25" t="str">
        <f>IF(Compositions!V125="","",(Compositions!V125*(VLOOKUP(Compositions!S125,'HHV-LHV-MW'!$A$3:$F$40,6,FALSE))))</f>
        <v/>
      </c>
      <c r="GG60" s="295" t="str">
        <f>IF(Compositions!V125="","",IF(OR(Compositions!$V$118="wt%",Compositions!$V$118=""),Compositions!V125,(IF(GF60="","",((GF60/$GF$78)*100)))))</f>
        <v/>
      </c>
      <c r="GH60" s="185" t="str">
        <f>IF(GG60="","",(IF(OR(Compositions!S125="Hydrogen",Compositions!S125="Helium",Compositions!S125="Water",Compositions!S125="Carbon Monoxide",Compositions!S125="Nitrogen",Compositions!S125="Oxygen",Compositions!S125="Hydrogen Sulfide",Compositions!S125="Argon",Compositions!S125="Carbon Dioxide",Compositions!S125="Carbon Disulfide"),0,GG60)))</f>
        <v/>
      </c>
      <c r="GI60" s="187" t="str">
        <f>IF(Compositions!V125="","",((FZ60/100)*((VLOOKUP(Compositions!S125,'HHV-LHV-MW'!$A$3:$G$40,7,FALSE)))))</f>
        <v/>
      </c>
      <c r="GJ60" s="187" t="str">
        <f>IF(FZ60="","",(IF(OR(Compositions!S125="Hydrogen",Compositions!S125="Carbon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Dioxide",Compositions!S125="Methane",Compositions!S125="Ethane"),0,(FZ60/100))))</f>
        <v/>
      </c>
      <c r="GK60" s="205" t="str">
        <f>IF(FZ60="","",(IF(OR($GJ$78=0,$GJ$78=""),0,       ((VLOOKUP(Compositions!S125,'HHV-LHV-MW'!$A$3:$F$40,6,FALSE))*(GJ60/$GJ$78)))))</f>
        <v/>
      </c>
      <c r="GL60" s="28" t="str">
        <f>IF(Compositions!W125="","",IF(Compositions!$W$118="mol%",Compositions!W125,GM60))</f>
        <v/>
      </c>
      <c r="GM60" s="28" t="str">
        <f t="shared" si="40"/>
        <v/>
      </c>
      <c r="GN60" s="28" t="str">
        <f>IF(Compositions!W125="","",(Compositions!W125/(VLOOKUP(Compositions!S125,'HHV-LHV-MW'!$A$3:$F$40,6,FALSE))))</f>
        <v/>
      </c>
      <c r="GO60" s="26" t="str">
        <f>IF(GL60="","",((VLOOKUP(Compositions!S125,'HHV-LHV-MW'!$A$3:$F$40,4,FALSE))*(GL60/100)))</f>
        <v/>
      </c>
      <c r="GP60" s="26" t="str">
        <f>IF(GL60="","",((VLOOKUP(Compositions!S125,'HHV-LHV-MW'!$A$3:$F$40,5,FALSE))*(GL60/100)))</f>
        <v/>
      </c>
      <c r="GQ60" s="26" t="str">
        <f>IF(GL60="","",((VLOOKUP(Compositions!S125,'HHV-LHV-MW'!$A$3:$F$40,6,FALSE))*(GL60/100)))</f>
        <v/>
      </c>
      <c r="GR60" s="26" t="str">
        <f>IF(Compositions!W125="","",(Compositions!W125*(VLOOKUP(Compositions!S125,'HHV-LHV-MW'!$A$3:$F$40,6,FALSE))))</f>
        <v/>
      </c>
      <c r="GS60" s="296" t="str">
        <f>IF(Compositions!W125="","",IF(OR(Compositions!$W$118="wt%",Compositions!$W$118=""),Compositions!W125,(IF(GR60="","",((GR60/$GR$78)*100)))))</f>
        <v/>
      </c>
      <c r="GT60" s="39" t="str">
        <f>IF(GS60="","",(IF(OR(Compositions!S125="Hydrogen",Compositions!S125="Helium",Compositions!S125="Water",Compositions!S125="Carbon Monoxide",Compositions!S125="Nitrogen",Compositions!S125="Oxygen",Compositions!S125="Hydrogen Sulfide",Compositions!S125="Argon",Compositions!S125="Carbon Dioxide",Compositions!S125="Carbon Disulfide"),0,GS60)))</f>
        <v/>
      </c>
      <c r="GU60" s="186" t="str">
        <f>IF(Compositions!W125="","",((GL60/100)*((VLOOKUP(Compositions!S125,'HHV-LHV-MW'!$A$3:$G$40,7,FALSE)))))</f>
        <v/>
      </c>
      <c r="GV60" s="186" t="str">
        <f>IF(GL60="","",(IF(OR(Compositions!S125="Hydrogen",Compositions!S125="Carbon Disulfide",Compositions!S125="Helium",Compositions!S125="Water",Compositions!S125="Carbon Monoxide",Compositions!S125="Nitrogen",Compositions!S125="Oxygen",Compositions!S125="Hydrogen Sulfide",Compositions!S125="Argon",Compositions!S125="Carbon Dioxide",Compositions!S125="Methane",Compositions!S125="Ethane"),0,(GL60/100))))</f>
        <v/>
      </c>
      <c r="GW60" s="39" t="str">
        <f>IF(GL60="","",(IF(OR($GV$78=0,$GV$78=""),0,       ((VLOOKUP(Compositions!S125,'HHV-LHV-MW'!$A$3:$F$40,6,FALSE))*(GV60/$GV$78)))))</f>
        <v/>
      </c>
      <c r="GY60" s="27" t="str">
        <f>IF(Compositions!Z125="","",IF(Compositions!$Z$118="mol%",Compositions!Z125,GZ60))</f>
        <v/>
      </c>
      <c r="GZ60" s="27" t="str">
        <f t="shared" si="41"/>
        <v/>
      </c>
      <c r="HA60" s="27" t="str">
        <f>IF(Compositions!Z125="","",(Compositions!Z125/(VLOOKUP(Compositions!Y125,'HHV-LHV-MW'!$A$3:$F$40,6,FALSE))))</f>
        <v/>
      </c>
      <c r="HB60" s="25" t="str">
        <f>IF(GY60="","",((VLOOKUP(Compositions!Y125,'HHV-LHV-MW'!$A$3:$F$40,4,FALSE))*(GY60/100)))</f>
        <v/>
      </c>
      <c r="HC60" s="25" t="str">
        <f>IF(GY60="","",((VLOOKUP(Compositions!Y125,'HHV-LHV-MW'!$A$3:$F$40,5,FALSE))*(GY60/100)))</f>
        <v/>
      </c>
      <c r="HD60" s="25" t="str">
        <f>IF(GY60="","",((VLOOKUP(Compositions!Y125,'HHV-LHV-MW'!$A$3:$F$40,6,FALSE))*(GY60/100)))</f>
        <v/>
      </c>
      <c r="HE60" s="25" t="str">
        <f>IF(Compositions!Z125="","",(Compositions!Z125*(VLOOKUP(Compositions!Y125,'HHV-LHV-MW'!$A$3:$F$40,6,FALSE))))</f>
        <v/>
      </c>
      <c r="HF60" s="295" t="str">
        <f>IF(Compositions!Z125="","",IF(OR(Compositions!$Z$118="wt%",Compositions!$Z$118=""),Compositions!Z125,(IF(HE60="","",((HE60/$HE$78)*100)))))</f>
        <v/>
      </c>
      <c r="HG60" s="185" t="str">
        <f>IF(HF60="","",(IF(OR(Compositions!Y125="Hydrogen",Compositions!Y125="Helium",Compositions!Y125="Water",Compositions!Y125="Carbon Monoxide",Compositions!Y125="Nitrogen",Compositions!Y125="Oxygen",Compositions!Y125="Hydrogen Sulfide",Compositions!Y125="Argon",Compositions!Y125="Carbon Dioxide",Compositions!Y125="Carbon Disulfide"),0,HF60)))</f>
        <v/>
      </c>
      <c r="HH60" s="187" t="str">
        <f>IF(Compositions!Z125="","",((GY60/100)*((VLOOKUP(Compositions!Y125,'HHV-LHV-MW'!$A$3:$G$40,7,FALSE)))))</f>
        <v/>
      </c>
      <c r="HI60" s="187" t="str">
        <f>IF(GY60="","",(IF(OR(Compositions!Y125="Hydrogen",Compositions!Y125="Carbon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Dioxide",Compositions!Y125="Methane",Compositions!Y125="Ethane"),0,(GY60/100))))</f>
        <v/>
      </c>
      <c r="HJ60" s="205" t="str">
        <f>IF(GY60="","",(IF(OR($HI$78=0,$HI$78=""),0,       ((VLOOKUP(Compositions!Y125,'HHV-LHV-MW'!$A$3:$F$40,6,FALSE))*(HI60/$HI$78)))))</f>
        <v/>
      </c>
      <c r="HK60" s="28" t="str">
        <f>IF(Compositions!AA125="","",IF(Compositions!$AA$118="mol%",Compositions!AA125,HL60))</f>
        <v/>
      </c>
      <c r="HL60" s="28" t="str">
        <f t="shared" si="42"/>
        <v/>
      </c>
      <c r="HM60" s="28" t="str">
        <f>IF(Compositions!AA125="","",(Compositions!AA125/(VLOOKUP(Compositions!Y125,'HHV-LHV-MW'!$A$3:$F$40,6,FALSE))))</f>
        <v/>
      </c>
      <c r="HN60" s="26" t="str">
        <f>IF(HK60="","",((VLOOKUP(Compositions!Y125,'HHV-LHV-MW'!$A$3:$F$40,4,FALSE))*(HK60/100)))</f>
        <v/>
      </c>
      <c r="HO60" s="26" t="str">
        <f>IF(HK60="","",((VLOOKUP(Compositions!Y125,'HHV-LHV-MW'!$A$3:$F$40,5,FALSE))*(HK60/100)))</f>
        <v/>
      </c>
      <c r="HP60" s="26" t="str">
        <f>IF(HK60="","",((VLOOKUP(Compositions!Y125,'HHV-LHV-MW'!$A$3:$F$40,6,FALSE))*(HK60/100)))</f>
        <v/>
      </c>
      <c r="HQ60" s="26" t="str">
        <f>IF(Compositions!AA125="","",(Compositions!AA125*(VLOOKUP(Compositions!Y125,'HHV-LHV-MW'!$A$3:$F$40,6,FALSE))))</f>
        <v/>
      </c>
      <c r="HR60" s="296" t="str">
        <f>IF(Compositions!AA125="","",IF(OR(Compositions!$AA$118="wt%",Compositions!$AA$118=""),Compositions!AA125,(IF(HQ60="","",((HQ60/$HQ$78)*100)))))</f>
        <v/>
      </c>
      <c r="HS60" s="39" t="str">
        <f>IF(HR60="","",(IF(OR(Compositions!Y125="Hydrogen",Compositions!Y125="Helium",Compositions!Y125="Water",Compositions!Y125="Carbon Monoxide",Compositions!Y125="Nitrogen",Compositions!Y125="Oxygen",Compositions!Y125="Hydrogen Sulfide",Compositions!Y125="Argon",Compositions!Y125="Carbon Dioxide",Compositions!Y125="Carbon Disulfide"),0,HR60)))</f>
        <v/>
      </c>
      <c r="HT60" s="186" t="str">
        <f>IF(Compositions!AA125="","",((HK60/100)*((VLOOKUP(Compositions!Y125,'HHV-LHV-MW'!$A$3:$G$40,7,FALSE)))))</f>
        <v/>
      </c>
      <c r="HU60" s="186" t="str">
        <f>IF(HK60="","",(IF(OR(Compositions!Y125="Hydrogen",Compositions!Y125="Carbon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Dioxide",Compositions!Y125="Methane",Compositions!Y125="Ethane"),0,(HK60/100))))</f>
        <v/>
      </c>
      <c r="HV60" s="39" t="str">
        <f>IF(HK60="","",(IF(OR($HU$78=0,$HU$78=""),0,       ((VLOOKUP(Compositions!Y125,'HHV-LHV-MW'!$A$3:$F$40,6,FALSE))*(HU60/$HU$78)))))</f>
        <v/>
      </c>
      <c r="HW60" s="27" t="str">
        <f>IF(Compositions!AB125="","",IF(Compositions!$AB$118="mol%",Compositions!AB125,HX60))</f>
        <v/>
      </c>
      <c r="HX60" s="27" t="str">
        <f t="shared" si="43"/>
        <v/>
      </c>
      <c r="HY60" s="27" t="str">
        <f>IF(Compositions!AB125="","",(Compositions!AB125/(VLOOKUP(Compositions!Y125,'HHV-LHV-MW'!$A$3:$F$40,6,FALSE))))</f>
        <v/>
      </c>
      <c r="HZ60" s="25" t="str">
        <f>IF(HW60="","",((VLOOKUP(Compositions!Y125,'HHV-LHV-MW'!$A$3:$F$40,4,FALSE))*(HW60/100)))</f>
        <v/>
      </c>
      <c r="IA60" s="25" t="str">
        <f>IF(HW60="","",((VLOOKUP(Compositions!Y125,'HHV-LHV-MW'!$A$3:$F$40,5,FALSE))*(HW60/100)))</f>
        <v/>
      </c>
      <c r="IB60" s="25" t="str">
        <f>IF(HW60="","",((VLOOKUP(Compositions!Y125,'HHV-LHV-MW'!$A$3:$F$40,6,FALSE))*(HW60/100)))</f>
        <v/>
      </c>
      <c r="IC60" s="25" t="str">
        <f>IF(Compositions!AB125="","",(Compositions!AB125*(VLOOKUP(Compositions!Y125,'HHV-LHV-MW'!$A$3:$F$40,6,FALSE))))</f>
        <v/>
      </c>
      <c r="ID60" s="295" t="str">
        <f>IF(Compositions!AB125="","",IF(OR(Compositions!$AB$118="wt%",Compositions!$AB$118=""),Compositions!AB125,(IF(IC60="","",((IC60/$IC$78)*100)))))</f>
        <v/>
      </c>
      <c r="IE60" s="185" t="str">
        <f>IF(ID60="","",(IF(OR(Compositions!Y125="Hydrogen",Compositions!Y125="Helium",Compositions!Y125="Water",Compositions!Y125="Carbon Monoxide",Compositions!Y125="Nitrogen",Compositions!Y125="Oxygen",Compositions!Y125="Hydrogen Sulfide",Compositions!Y125="Argon",Compositions!Y125="Carbon Dioxide",Compositions!Y125="Carbon Disulfide"),0,ID60)))</f>
        <v/>
      </c>
      <c r="IF60" s="187" t="str">
        <f>IF(Compositions!AB125="","",((HW60/100)*((VLOOKUP(Compositions!Y125,'HHV-LHV-MW'!$A$3:$G$40,7,FALSE)))))</f>
        <v/>
      </c>
      <c r="IG60" s="187" t="str">
        <f>IF(HW60="","",(IF(OR(Compositions!Y125="Hydrogen",Compositions!Y125="Carbon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Dioxide",Compositions!Y125="Methane",Compositions!Y125="Ethane"),0,(HW60/100))))</f>
        <v/>
      </c>
      <c r="IH60" s="205" t="str">
        <f>IF(HW60="","",(IF(OR($IG$78=0,$IG$78=""),0,       ((VLOOKUP(Compositions!Y125,'HHV-LHV-MW'!$A$3:$F$40,6,FALSE))*(IG60/$IG$78)))))</f>
        <v/>
      </c>
      <c r="II60" s="28" t="str">
        <f>IF(Compositions!AC125="","",IF(Compositions!$AC$118="mol%",Compositions!AC125,IJ60))</f>
        <v/>
      </c>
      <c r="IJ60" s="28" t="str">
        <f t="shared" si="44"/>
        <v/>
      </c>
      <c r="IK60" s="28" t="str">
        <f>IF(Compositions!AC125="","",(Compositions!AC125/(VLOOKUP(Compositions!Y125,'HHV-LHV-MW'!$A$3:$F$40,6,FALSE))))</f>
        <v/>
      </c>
      <c r="IL60" s="26" t="str">
        <f>IF(II60="","",((VLOOKUP(Compositions!Y125,'HHV-LHV-MW'!$A$3:$F$40,4,FALSE))*(II60/100)))</f>
        <v/>
      </c>
      <c r="IM60" s="26" t="str">
        <f>IF(II60="","",((VLOOKUP(Compositions!Y125,'HHV-LHV-MW'!$A$3:$F$40,5,FALSE))*(II60/100)))</f>
        <v/>
      </c>
      <c r="IN60" s="26" t="str">
        <f>IF(II60="","",((VLOOKUP(Compositions!Y125,'HHV-LHV-MW'!$A$3:$F$40,6,FALSE))*(II60/100)))</f>
        <v/>
      </c>
      <c r="IO60" s="26" t="str">
        <f>IF(Compositions!AC125="","",(Compositions!AC125*(VLOOKUP(Compositions!Y125,'HHV-LHV-MW'!$A$3:$F$40,6,FALSE))))</f>
        <v/>
      </c>
      <c r="IP60" s="296" t="str">
        <f>IF(Compositions!AC125="","",IF(OR(Compositions!$AC$118="wt%",Compositions!$AC$118=""),Compositions!AC125,(IF(IO60="","",((IO60/$IO$78)*100)))))</f>
        <v/>
      </c>
      <c r="IQ60" s="39" t="str">
        <f>IF(IP60="","",(IF(OR(Compositions!Y125="Hydrogen",Compositions!Y125="Helium",Compositions!Y125="Water",Compositions!Y125="Carbon Monoxide",Compositions!Y125="Nitrogen",Compositions!Y125="Oxygen",Compositions!Y125="Hydrogen Sulfide",Compositions!Y125="Argon",Compositions!Y125="Carbon Dioxide",Compositions!Y125="Carbon Disulfide"),0,IP60)))</f>
        <v/>
      </c>
      <c r="IR60" s="186" t="str">
        <f>IF(Compositions!AC125="","",((II60/100)*((VLOOKUP(Compositions!Y125,'HHV-LHV-MW'!$A$3:$G$40,7,FALSE)))))</f>
        <v/>
      </c>
      <c r="IS60" s="186" t="str">
        <f>IF(II60="","",(IF(OR(Compositions!Y125="Hydrogen",Compositions!Y125="Carbon Disulfide",Compositions!Y125="Helium",Compositions!Y125="Water",Compositions!Y125="Carbon Monoxide",Compositions!Y125="Nitrogen",Compositions!Y125="Oxygen",Compositions!Y125="Hydrogen Sulfide",Compositions!Y125="Argon",Compositions!Y125="Carbon Dioxide",Compositions!Y125="Methane",Compositions!Y125="Ethane"),0,(II60/100))))</f>
        <v/>
      </c>
      <c r="IT60" s="39" t="str">
        <f>IF(II60="","",(IF(OR($IS$78=0,$IS$78=""),0,      ((VLOOKUP(Compositions!Y125,'HHV-LHV-MW'!$A$3:$F$40,6,FALSE))*(IS60/$IS$78)))))</f>
        <v/>
      </c>
      <c r="IV60" s="27" t="str">
        <f>IF(Compositions!AF125="","",IF(Compositions!$AF$118="mol%",Compositions!AF125,IW60))</f>
        <v/>
      </c>
      <c r="IW60" s="27" t="str">
        <f t="shared" si="45"/>
        <v/>
      </c>
      <c r="IX60" s="27" t="str">
        <f>IF(Compositions!AF125="","",(Compositions!AF125/(VLOOKUP(Compositions!AE125,'HHV-LHV-MW'!$A$3:$F$40,6,FALSE))))</f>
        <v/>
      </c>
      <c r="IY60" s="25" t="str">
        <f>IF(IV60="","",((VLOOKUP(Compositions!AE125,'HHV-LHV-MW'!$A$3:$F$40,4,FALSE))*(IV60/100)))</f>
        <v/>
      </c>
      <c r="IZ60" s="25" t="str">
        <f>IF(IV60="","",((VLOOKUP(Compositions!AE125,'HHV-LHV-MW'!$A$3:$F$40,5,FALSE))*(IV60/100)))</f>
        <v/>
      </c>
      <c r="JA60" s="25" t="str">
        <f>IF(IV60="","",((VLOOKUP(Compositions!AE125,'HHV-LHV-MW'!$A$3:$F$40,6,FALSE))*(IV60/100)))</f>
        <v/>
      </c>
      <c r="JB60" s="25" t="str">
        <f>IF(Compositions!AF125="","",(Compositions!AF125*(VLOOKUP(Compositions!AE125,'HHV-LHV-MW'!$A$3:$F$40,6,FALSE))))</f>
        <v/>
      </c>
      <c r="JC60" s="298" t="str">
        <f>IF(Compositions!AF125="","",IF(OR(Compositions!$AF$118="wt%",Compositions!$AF$118=""),Compositions!AF125,(IF(JB60="","",((JB60/$JB$78)*100)))))</f>
        <v/>
      </c>
      <c r="JD60" s="185" t="str">
        <f>IF(JC60="","",(IF(OR(Compositions!AE125="Hydrogen",Compositions!AE125="Helium",Compositions!AE125="Water",Compositions!AE125="Carbon Monoxide",Compositions!AE125="Nitrogen",Compositions!AE125="Oxygen",Compositions!AE125="Hydrogen Sulfide",Compositions!AE125="Argon",Compositions!AE125="Carbon Dioxide",Compositions!AE125="Carbon Disulfide"),0,JC60)))</f>
        <v/>
      </c>
      <c r="JE60" s="187" t="str">
        <f>IF(Compositions!AF125="","",((IV60/100)*((VLOOKUP(Compositions!AE125,'HHV-LHV-MW'!$A$3:$G$40,7,FALSE)))))</f>
        <v/>
      </c>
      <c r="JF60" s="187" t="str">
        <f>IF(IV60="","",(IF(OR(Compositions!AE125="Hydrogen",Compositions!AE125="Carbon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Dioxide",Compositions!AE125="Methane",Compositions!AE125="Ethane"),0,(IV60/100))))</f>
        <v/>
      </c>
      <c r="JG60" s="205" t="str">
        <f>IF(IV60="","",(IF(OR($JF$78=0,$JF$78=""),0,      ((VLOOKUP(Compositions!AE125,'HHV-LHV-MW'!$A$3:$F$40,6,FALSE))*(JF60/$JF$78)))))</f>
        <v/>
      </c>
      <c r="JH60" s="28" t="str">
        <f>IF(Compositions!AG125="","",IF(Compositions!$AG$118="mol%",Compositions!AG125,JI60))</f>
        <v/>
      </c>
      <c r="JI60" s="28" t="str">
        <f t="shared" si="46"/>
        <v/>
      </c>
      <c r="JJ60" s="28" t="str">
        <f>IF(Compositions!AG125="","",(Compositions!AG125/(VLOOKUP(Compositions!AE125,'HHV-LHV-MW'!$A$3:$F$40,6,FALSE))))</f>
        <v/>
      </c>
      <c r="JK60" s="26" t="str">
        <f>IF(JH60="","",((VLOOKUP(Compositions!AE125,'HHV-LHV-MW'!$A$3:$F$40,4,FALSE))*(JH60/100)))</f>
        <v/>
      </c>
      <c r="JL60" s="26" t="str">
        <f>IF(JH60="","",((VLOOKUP(Compositions!AE125,'HHV-LHV-MW'!$A$3:$F$40,5,FALSE))*(JH60/100)))</f>
        <v/>
      </c>
      <c r="JM60" s="26" t="str">
        <f>IF(JH60="","",((VLOOKUP(Compositions!AE125,'HHV-LHV-MW'!$A$3:$F$40,6,FALSE))*(JH60/100)))</f>
        <v/>
      </c>
      <c r="JN60" s="26" t="str">
        <f>IF(Compositions!AG125="","",(Compositions!AG125*(VLOOKUP(Compositions!AE125,'HHV-LHV-MW'!$A$3:$F$40,6,FALSE))))</f>
        <v/>
      </c>
      <c r="JO60" s="297" t="str">
        <f>IF(Compositions!AG125="","",IF(OR(Compositions!$AG$118="wt%",Compositions!$AG$118=""),Compositions!AG125,(IF(JN60="","",((JN60/$JN$78)*100)))))</f>
        <v/>
      </c>
      <c r="JP60" s="39" t="str">
        <f>IF(JO60="","",(IF(OR(Compositions!AE125="Hydrogen",Compositions!AE125="Helium",Compositions!AE125="Water",Compositions!AE125="Carbon Monoxide",Compositions!AE125="Nitrogen",Compositions!AE125="Oxygen",Compositions!AE125="Hydrogen Sulfide",Compositions!AE125="Argon",Compositions!AE125="Carbon Dioxide",Compositions!AE125="Carbon Disulfide"),0,JO60)))</f>
        <v/>
      </c>
      <c r="JQ60" s="186" t="str">
        <f>IF(Compositions!AG125="","",((JH60/100)*((VLOOKUP(Compositions!AE125,'HHV-LHV-MW'!$A$3:$G$40,7,FALSE)))))</f>
        <v/>
      </c>
      <c r="JR60" s="186" t="str">
        <f>IF(JH60="","",(IF(OR(Compositions!AE125="Hydrogen",Compositions!AE125="Carbon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Dioxide",Compositions!AE125="Methane",Compositions!AE125="Ethane"),0,(JH60/100))))</f>
        <v/>
      </c>
      <c r="JS60" s="39" t="str">
        <f>IF(JH60="","",(IF(OR($JR$78=0,$JR$78=""),0,      ((VLOOKUP(Compositions!AE125,'HHV-LHV-MW'!$A$3:$F$40,6,FALSE))*(JR60/$JR$78)))))</f>
        <v/>
      </c>
      <c r="JT60" s="27" t="str">
        <f>IF(Compositions!AH125="","",IF(Compositions!$AH$118="mol%",Compositions!AH125,JU60))</f>
        <v/>
      </c>
      <c r="JU60" s="27" t="str">
        <f t="shared" si="47"/>
        <v/>
      </c>
      <c r="JV60" s="27" t="str">
        <f>IF(Compositions!AH125="","",(Compositions!AH125/(VLOOKUP(Compositions!AE125,'HHV-LHV-MW'!$A$3:$F$40,6,FALSE))))</f>
        <v/>
      </c>
      <c r="JW60" s="25" t="str">
        <f>IF(JT60="","",((VLOOKUP(Compositions!AE125,'HHV-LHV-MW'!$A$3:$F$40,4,FALSE))*(JT60/100)))</f>
        <v/>
      </c>
      <c r="JX60" s="25" t="str">
        <f>IF(JT60="","",((VLOOKUP(Compositions!AE125,'HHV-LHV-MW'!$A$3:$F$40,5,FALSE))*(JT60/100)))</f>
        <v/>
      </c>
      <c r="JY60" s="25" t="str">
        <f>IF(JT60="","",((VLOOKUP(Compositions!AE125,'HHV-LHV-MW'!$A$3:$F$40,6,FALSE))*(JT60/100)))</f>
        <v/>
      </c>
      <c r="JZ60" s="25" t="str">
        <f>IF(Compositions!AH125="","",(Compositions!AH125*(VLOOKUP(Compositions!AE125,'HHV-LHV-MW'!$A$3:$F$40,6,FALSE))))</f>
        <v/>
      </c>
      <c r="KA60" s="298" t="str">
        <f>IF(Compositions!AH125="","",IF(OR(Compositions!$AH$118="wt%",Compositions!$AH$118=""),Compositions!AH125,(IF(JZ60="","",((JZ60/$JZ$78)*100)))))</f>
        <v/>
      </c>
      <c r="KB60" s="185" t="str">
        <f>IF(KA60="","",(IF(OR(Compositions!AE125="Hydrogen",Compositions!AE125="Helium",Compositions!AE125="Water",Compositions!AE125="Carbon Monoxide",Compositions!AE125="Nitrogen",Compositions!AE125="Oxygen",Compositions!AE125="Hydrogen Sulfide",Compositions!AE125="Argon",Compositions!AE125="Carbon Dioxide",Compositions!AE125="Carbon Disulfide"),0,KA60)))</f>
        <v/>
      </c>
      <c r="KC60" s="187" t="str">
        <f>IF(Compositions!AH125="","",((JT60/100)*((VLOOKUP(Compositions!AE125,'HHV-LHV-MW'!$A$3:$G$40,7,FALSE)))))</f>
        <v/>
      </c>
      <c r="KD60" s="187" t="str">
        <f>IF(JT60="","",(IF(OR(Compositions!AE125="Hydrogen",Compositions!AE125="Carbon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Dioxide",Compositions!AE125="Methane",Compositions!AE125="Ethane"),0,(JT60/100))))</f>
        <v/>
      </c>
      <c r="KE60" s="205" t="str">
        <f>IF(JT60="","",(IF(OR($KD$78=0,$KD$78=""),0,      ((VLOOKUP(Compositions!AE125,'HHV-LHV-MW'!$A$3:$F$40,6,FALSE))*(KD60/$KD$78)))))</f>
        <v/>
      </c>
      <c r="KF60" s="28" t="str">
        <f>IF(Compositions!AI125="","",IF(Compositions!$AI$118="mol%",Compositions!AI125,KG60))</f>
        <v/>
      </c>
      <c r="KG60" s="28" t="str">
        <f t="shared" si="48"/>
        <v/>
      </c>
      <c r="KH60" s="28" t="str">
        <f>IF(Compositions!AI125="","",(Compositions!AI125/(VLOOKUP(Compositions!AE125,'HHV-LHV-MW'!$A$3:$F$40,6,FALSE))))</f>
        <v/>
      </c>
      <c r="KI60" s="26" t="str">
        <f>IF(KF60="","",((VLOOKUP(Compositions!AE125,'HHV-LHV-MW'!$A$3:$F$40,4,FALSE))*(KF60/100)))</f>
        <v/>
      </c>
      <c r="KJ60" s="26" t="str">
        <f>IF(KF60="","",((VLOOKUP(Compositions!AE125,'HHV-LHV-MW'!$A$3:$F$40,5,FALSE))*(KF60/100)))</f>
        <v/>
      </c>
      <c r="KK60" s="26" t="str">
        <f>IF(KF60="","",((VLOOKUP(Compositions!AE125,'HHV-LHV-MW'!$A$3:$F$40,6,FALSE))*(KF60/100)))</f>
        <v/>
      </c>
      <c r="KL60" s="26" t="str">
        <f>IF(Compositions!AI125="","",(Compositions!AI125*(VLOOKUP(Compositions!AE125,'HHV-LHV-MW'!$A$3:$F$40,6,FALSE))))</f>
        <v/>
      </c>
      <c r="KM60" s="297" t="str">
        <f>IF(Compositions!AI125="","",IF(OR(Compositions!$AI$118="wt%",Compositions!$AI$118=""),Compositions!AI125,(IF(KL60="","",((KL60/$KL$78)*100)))))</f>
        <v/>
      </c>
      <c r="KN60" s="39" t="str">
        <f>IF(KM60="","",(IF(OR(Compositions!AE125="Hydrogen",Compositions!AE125="Helium",Compositions!AE125="Water",Compositions!AE125="Carbon Monoxide",Compositions!AE125="Nitrogen",Compositions!AE125="Oxygen",Compositions!AE125="Hydrogen Sulfide",Compositions!AE125="Argon",Compositions!AE125="Carbon Dioxide",Compositions!AE125="Carbon Disulfide"),0,KM60)))</f>
        <v/>
      </c>
      <c r="KO60" s="186" t="str">
        <f>IF(Compositions!AI125="","",((KF60/100)*((VLOOKUP(Compositions!AE125,'HHV-LHV-MW'!$A$3:$G$40,7,FALSE)))))</f>
        <v/>
      </c>
      <c r="KP60" s="186" t="str">
        <f>IF(KF60="","",(IF(OR(Compositions!AE125="Hydrogen",Compositions!AE125="Carbon Disulfide",Compositions!AE125="Helium",Compositions!AE125="Water",Compositions!AE125="Carbon Monoxide",Compositions!AE125="Nitrogen",Compositions!AE125="Oxygen",Compositions!AE125="Hydrogen Sulfide",Compositions!AE125="Argon",Compositions!AE125="Carbon Dioxide",Compositions!AE125="Methane",Compositions!AE125="Ethane"),0,(KF60/100))))</f>
        <v/>
      </c>
      <c r="KQ60" s="39" t="str">
        <f>IF(KF60="","",(IF(OR($KP$78=0,$KP$78=""),0,      ((VLOOKUP(Compositions!AE125,'HHV-LHV-MW'!$A$3:$F$40,6,FALSE))*(KP60/$KP$78)))))</f>
        <v/>
      </c>
      <c r="KS60" s="27" t="str">
        <f>IF(Compositions!AL125="","",IF(Compositions!$AL$118="mol%",Compositions!AL125,KT60))</f>
        <v/>
      </c>
      <c r="KT60" s="27" t="str">
        <f t="shared" si="49"/>
        <v/>
      </c>
      <c r="KU60" s="27" t="str">
        <f>IF(Compositions!AL125="","",(Compositions!AL125/(VLOOKUP(Compositions!AK125,'HHV-LHV-MW'!$A$3:$F$40,6,FALSE))))</f>
        <v/>
      </c>
      <c r="KV60" s="185" t="str">
        <f>IF(KS60="","",((VLOOKUP(Compositions!AK125,'HHV-LHV-MW'!$A$3:$F$40,4,FALSE))*(KS60/100)))</f>
        <v/>
      </c>
      <c r="KW60" s="185" t="str">
        <f>IF(KS60="","",((VLOOKUP(Compositions!AK125,'HHV-LHV-MW'!$A$3:$F$40,5,FALSE))*(KS60/100)))</f>
        <v/>
      </c>
      <c r="KX60" s="185" t="str">
        <f>IF(KS60="","",((VLOOKUP(Compositions!AK125,'HHV-LHV-MW'!$A$3:$F$40,6,FALSE))*(KS60/100)))</f>
        <v/>
      </c>
      <c r="KY60" s="185" t="str">
        <f>IF(Compositions!AL125="","",(Compositions!AL125*(VLOOKUP(Compositions!AK125,'HHV-LHV-MW'!$A$3:$F$40,6,FALSE))))</f>
        <v/>
      </c>
      <c r="KZ60" s="298" t="str">
        <f>IF(Compositions!AL125="","",IF(OR(Compositions!$AL$118="wt%",Compositions!$AL$118=""),Compositions!AL125,(IF(KY60="","",((KY60/$KY$78)*100)))))</f>
        <v/>
      </c>
      <c r="LA60" s="185" t="str">
        <f>IF(KZ60="","",(IF(OR(Compositions!AK125="Hydrogen",Compositions!AK125="Helium",Compositions!AK125="Water",Compositions!AK125="Carbon Monoxide",Compositions!AK125="Nitrogen",Compositions!AK125="Oxygen",Compositions!AK125="Hydrogen Sulfide",Compositions!AK125="Argon",Compositions!AK125="Carbon Dioxide",Compositions!AK125="Carbon Disulfide"),0,KZ60)))</f>
        <v/>
      </c>
      <c r="LB60" s="187" t="str">
        <f>IF(Compositions!AL125="","",((KS60/100)*((VLOOKUP(Compositions!AK125,'HHV-LHV-MW'!$A$3:$G$40,7,FALSE)))))</f>
        <v/>
      </c>
      <c r="LC60" s="187" t="str">
        <f>IF(KS60="","",(IF(OR(Compositions!AK125="Hydrogen",Compositions!AK125="Carbon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Dioxide",Compositions!AK125="Methane",Compositions!AK125="Ethane"),0,(KS60/100))))</f>
        <v/>
      </c>
      <c r="LD60" s="205" t="str">
        <f>IF(KS60="","",(IF(OR($LC$78=0,$LC$78=""),0,      ((VLOOKUP(Compositions!AK125,'HHV-LHV-MW'!$A$3:$F$40,6,FALSE))*(LC60/$LC$78)))))</f>
        <v/>
      </c>
      <c r="LE60" s="28" t="str">
        <f>IF(Compositions!AM125="","",IF(Compositions!$AM$118="mol%",Compositions!AM125,LF60))</f>
        <v/>
      </c>
      <c r="LF60" s="28" t="str">
        <f t="shared" si="50"/>
        <v/>
      </c>
      <c r="LG60" s="28" t="str">
        <f>IF(Compositions!AM125="","",(Compositions!AM125/(VLOOKUP(Compositions!AK125,'HHV-LHV-MW'!$A$3:$F$40,6,FALSE))))</f>
        <v/>
      </c>
      <c r="LH60" s="184" t="str">
        <f>IF(LE60="","",((VLOOKUP(Compositions!AK125,'HHV-LHV-MW'!$A$3:$F$40,4,FALSE))*(LE60/100)))</f>
        <v/>
      </c>
      <c r="LI60" s="184" t="str">
        <f>IF(LE60="","",((VLOOKUP(Compositions!AK125,'HHV-LHV-MW'!$A$3:$F$40,5,FALSE))*(LE60/100)))</f>
        <v/>
      </c>
      <c r="LJ60" s="184" t="str">
        <f>IF(LE60="","",((VLOOKUP(Compositions!AK125,'HHV-LHV-MW'!$A$3:$F$40,6,FALSE))*(LE60/100)))</f>
        <v/>
      </c>
      <c r="LK60" s="184" t="str">
        <f>IF(Compositions!AM125="","",(Compositions!AM125*(VLOOKUP(Compositions!AK125,'HHV-LHV-MW'!$A$3:$F$40,6,FALSE))))</f>
        <v/>
      </c>
      <c r="LL60" s="297" t="str">
        <f>IF(Compositions!AM125="","",IF(OR(Compositions!$AM$118="wt%",Compositions!$AM$118=""),Compositions!AM125,(IF(LK60="","",((LK60/$LK$78)*100)))))</f>
        <v/>
      </c>
      <c r="LM60" s="39" t="str">
        <f>IF(LL60="","",(IF(OR(Compositions!AK125="Hydrogen",Compositions!AK125="Helium",Compositions!AK125="Water",Compositions!AK125="Carbon Monoxide",Compositions!AK125="Nitrogen",Compositions!AK125="Oxygen",Compositions!AK125="Hydrogen Sulfide",Compositions!AK125="Argon",Compositions!AK125="Carbon Dioxide",Compositions!AK125="Carbon Disulfide"),0,LL60)))</f>
        <v/>
      </c>
      <c r="LN60" s="186" t="str">
        <f>IF(Compositions!AM125="","",((LE60/100)*((VLOOKUP(Compositions!AK125,'HHV-LHV-MW'!$A$3:$G$40,7,FALSE)))))</f>
        <v/>
      </c>
      <c r="LO60" s="186" t="str">
        <f>IF(LE60="","",(IF(OR(Compositions!AK125="Hydrogen",Compositions!AK125="Carbon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Dioxide",Compositions!AK125="Methane",Compositions!AK125="Ethane"),0,(LE60/100))))</f>
        <v/>
      </c>
      <c r="LP60" s="39" t="str">
        <f>IF(LE60="","",(IF(OR($LO$78=0,$LO$78=""),0,     ((VLOOKUP(Compositions!AK125,'HHV-LHV-MW'!$A$3:$F$40,6,FALSE))*(LO60/$LO$78)))))</f>
        <v/>
      </c>
      <c r="LQ60" s="27" t="str">
        <f>IF(Compositions!AN125="","",IF(Compositions!$AN$118="mol%",Compositions!AN125,LR60))</f>
        <v/>
      </c>
      <c r="LR60" s="27" t="str">
        <f t="shared" si="51"/>
        <v/>
      </c>
      <c r="LS60" s="27" t="str">
        <f>IF(Compositions!AN125="","",(Compositions!AN125/(VLOOKUP(Compositions!AK125,'HHV-LHV-MW'!$A$3:$F$40,6,FALSE))))</f>
        <v/>
      </c>
      <c r="LT60" s="185" t="str">
        <f>IF(LQ60="","",((VLOOKUP(Compositions!AK125,'HHV-LHV-MW'!$A$3:$F$40,4,FALSE))*(LQ60/100)))</f>
        <v/>
      </c>
      <c r="LU60" s="185" t="str">
        <f>IF(LQ60="","",((VLOOKUP(Compositions!AK125,'HHV-LHV-MW'!$A$3:$F$40,5,FALSE))*(LQ60/100)))</f>
        <v/>
      </c>
      <c r="LV60" s="185" t="str">
        <f>IF(LQ60="","",((VLOOKUP(Compositions!AK125,'HHV-LHV-MW'!$A$3:$F$40,6,FALSE))*(LQ60/100)))</f>
        <v/>
      </c>
      <c r="LW60" s="185" t="str">
        <f>IF(Compositions!AN125="","",(Compositions!AN125*(VLOOKUP(Compositions!AK125,'HHV-LHV-MW'!$A$3:$F$40,6,FALSE))))</f>
        <v/>
      </c>
      <c r="LX60" s="298" t="str">
        <f>IF(Compositions!AN125="","",IF(OR(Compositions!$AN$118="wt%",Compositions!$AN$118=""),Compositions!AN125,(IF(LW60="","",((LW60/$LW$78)*100)))))</f>
        <v/>
      </c>
      <c r="LY60" s="185" t="str">
        <f>IF(LX60="","",(IF(OR(Compositions!AK125="Hydrogen",Compositions!AK125="Helium",Compositions!AK125="Water",Compositions!AK125="Carbon Monoxide",Compositions!AK125="Nitrogen",Compositions!AK125="Oxygen",Compositions!AK125="Hydrogen Sulfide",Compositions!AK125="Argon",Compositions!AK125="Carbon Dioxide",Compositions!AK125="Carbon Disulfide"),0,LX60)))</f>
        <v/>
      </c>
      <c r="LZ60" s="187" t="str">
        <f>IF(Compositions!AN125="","",((LQ60/100)*((VLOOKUP(Compositions!AK125,'HHV-LHV-MW'!$A$3:$G$40,7,FALSE)))))</f>
        <v/>
      </c>
      <c r="MA60" s="187" t="str">
        <f>IF(LQ60="","",(IF(OR(Compositions!AK125="Hydrogen",Compositions!AK125="Carbon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Dioxide",Compositions!AK125="Methane",Compositions!AK125="Ethane"),0,(LQ60/100))))</f>
        <v/>
      </c>
      <c r="MB60" s="205" t="str">
        <f>IF(LQ60="","",(IF(OR($MA$78=0,$MA$78=""),0,     ((VLOOKUP(Compositions!AK125,'HHV-LHV-MW'!$A$3:$F$40,6,FALSE))*(MA60/$MA$78)))))</f>
        <v/>
      </c>
      <c r="MC60" s="28" t="str">
        <f>IF(Compositions!AO125="","",IF(Compositions!$AO$118="mol%",Compositions!AO125,MD60))</f>
        <v/>
      </c>
      <c r="MD60" s="28" t="str">
        <f t="shared" si="52"/>
        <v/>
      </c>
      <c r="ME60" s="28" t="str">
        <f>IF(Compositions!AO125="","",(Compositions!AO125/(VLOOKUP(Compositions!AK125,'HHV-LHV-MW'!$A$3:$F$40,6,FALSE))))</f>
        <v/>
      </c>
      <c r="MF60" s="184" t="str">
        <f>IF(MC60="","",((VLOOKUP(Compositions!AK125,'HHV-LHV-MW'!$A$3:$F$40,4,FALSE))*(MC60/100)))</f>
        <v/>
      </c>
      <c r="MG60" s="184" t="str">
        <f>IF(MC60="","",((VLOOKUP(Compositions!AK125,'HHV-LHV-MW'!$A$3:$F$40,5,FALSE))*(MC60/100)))</f>
        <v/>
      </c>
      <c r="MH60" s="184" t="str">
        <f>IF(MC60="","",((VLOOKUP(Compositions!AK125,'HHV-LHV-MW'!$A$3:$F$40,6,FALSE))*(MC60/100)))</f>
        <v/>
      </c>
      <c r="MI60" s="184" t="str">
        <f>IF(Compositions!AO125="","",(Compositions!AO125*(VLOOKUP(Compositions!AK125,'HHV-LHV-MW'!$A$3:$F$40,6,FALSE))))</f>
        <v/>
      </c>
      <c r="MJ60" s="297" t="str">
        <f>IF(Compositions!AO125="","",IF(OR(Compositions!$AO$118="wt%",Compositions!$AO$118=""),Compositions!AO125,(IF(MI60="","",((MI60/$MI$78)*100)))))</f>
        <v/>
      </c>
      <c r="MK60" s="39" t="str">
        <f>IF(MJ60="","",(IF(OR(Compositions!AK125="Hydrogen",Compositions!AK125="Helium",Compositions!AK125="Water",Compositions!AK125="Carbon Monoxide",Compositions!AK125="Nitrogen",Compositions!AK125="Oxygen",Compositions!AK125="Hydrogen Sulfide",Compositions!AK125="Argon",Compositions!AK125="Carbon Dioxide",Compositions!AK125="Carbon Disulfide"),0,MJ60)))</f>
        <v/>
      </c>
      <c r="ML60" s="186" t="str">
        <f>IF(Compositions!AO125="","",((MC60/100)*((VLOOKUP(Compositions!AK125,'HHV-LHV-MW'!$A$3:$G$40,7,FALSE)))))</f>
        <v/>
      </c>
      <c r="MM60" s="186" t="str">
        <f>IF(MC60="","",(IF(OR(Compositions!AK125="Hydrogen",Compositions!AK125="Carbon Disulfide",Compositions!AK125="Helium",Compositions!AK125="Water",Compositions!AK125="Carbon Monoxide",Compositions!AK125="Nitrogen",Compositions!AK125="Oxygen",Compositions!AK125="Hydrogen Sulfide",Compositions!AK125="Argon",Compositions!AK125="Carbon Dioxide",Compositions!AK125="Methane",Compositions!AK125="Ethane"),0,(MC60/100))))</f>
        <v/>
      </c>
      <c r="MN60" s="39" t="str">
        <f>IF(MC60="","",(IF(OR($MM$78=0,$MM$78=""),0,     ((VLOOKUP(Compositions!AK125,'HHV-LHV-MW'!$A$3:$F$40,6,FALSE))*(MM60/$MM$78)))))</f>
        <v/>
      </c>
      <c r="MP60" s="27" t="str">
        <f>IF(Compositions!AR125="","",IF(Compositions!$AR$118="mol%",Compositions!AR125,MQ60))</f>
        <v/>
      </c>
      <c r="MQ60" s="27" t="str">
        <f t="shared" si="53"/>
        <v/>
      </c>
      <c r="MR60" s="27" t="str">
        <f>IF(Compositions!AR125="","",(Compositions!AR125/(VLOOKUP(Compositions!AQ125,'HHV-LHV-MW'!$A$3:$F$40,6,FALSE))))</f>
        <v/>
      </c>
      <c r="MS60" s="185" t="str">
        <f>IF(MP60="","",((VLOOKUP(Compositions!AQ125,'HHV-LHV-MW'!$A$3:$F$40,4,FALSE))*(MP60/100)))</f>
        <v/>
      </c>
      <c r="MT60" s="185" t="str">
        <f>IF(MP60="","",((VLOOKUP(Compositions!AQ125,'HHV-LHV-MW'!$A$3:$F$40,5,FALSE))*(MP60/100)))</f>
        <v/>
      </c>
      <c r="MU60" s="185" t="str">
        <f>IF(MP60="","",((VLOOKUP(Compositions!AQ125,'HHV-LHV-MW'!$A$3:$F$40,6,FALSE))*(MP60/100)))</f>
        <v/>
      </c>
      <c r="MV60" s="185" t="str">
        <f>IF(Compositions!AR125="","",(Compositions!AR125*(VLOOKUP(Compositions!AQ125,'HHV-LHV-MW'!$A$3:$F$40,6,FALSE))))</f>
        <v/>
      </c>
      <c r="MW60" s="298" t="str">
        <f>IF(Compositions!AR125="","",IF(OR(Compositions!$AR$118="wt%",Compositions!$AR$118=""),Compositions!AR125,(IF(MV60="","",((MV60/$MV$78)*100)))))</f>
        <v/>
      </c>
      <c r="MX60" s="185" t="str">
        <f>IF(MW60="","",(IF(OR(Compositions!AQ125="Hydrogen",Compositions!AQ125="Helium",Compositions!AQ125="Water",Compositions!AQ125="Carbon Monoxide",Compositions!AQ125="Nitrogen",Compositions!AQ125="Oxygen",Compositions!AQ125="Hydrogen Sulfide",Compositions!AQ125="Argon",Compositions!AQ125="Carbon Dioxide",Compositions!AQ125="Carbon Disulfide"),0,MW60)))</f>
        <v/>
      </c>
      <c r="MY60" s="187" t="str">
        <f>IF(Compositions!AR125="","",((MP60/100)*((VLOOKUP(Compositions!AQ125,'HHV-LHV-MW'!$A$3:$G$40,7,FALSE)))))</f>
        <v/>
      </c>
      <c r="MZ60" s="187" t="str">
        <f>IF(MP60="","",(IF(OR(Compositions!AQ125="Hydrogen",Compositions!AQ125="Carbon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Dioxide",Compositions!AQ125="Methane",Compositions!AQ125="Ethane"),0,(MP60/100))))</f>
        <v/>
      </c>
      <c r="NA60" s="205" t="str">
        <f>IF(MP60="","",(IF(OR($MZ$78=0,$MZ$78=""),0,     ((VLOOKUP(Compositions!AQ125,'HHV-LHV-MW'!$A$3:$F$40,6,FALSE))*(MZ60/$MZ$78)))))</f>
        <v/>
      </c>
      <c r="NB60" s="28" t="str">
        <f>IF(Compositions!AS125="","",IF(Compositions!$AS$118="mol%",Compositions!AS125,NC60))</f>
        <v/>
      </c>
      <c r="NC60" s="28" t="str">
        <f t="shared" si="54"/>
        <v/>
      </c>
      <c r="ND60" s="28" t="str">
        <f>IF(Compositions!AS125="","",(Compositions!AS125/(VLOOKUP(Compositions!AQ125,'HHV-LHV-MW'!$A$3:$F$40,6,FALSE))))</f>
        <v/>
      </c>
      <c r="NE60" s="184" t="str">
        <f>IF(NB60="","",((VLOOKUP(Compositions!AQ125,'HHV-LHV-MW'!$A$3:$F$40,4,FALSE))*(NB60/100)))</f>
        <v/>
      </c>
      <c r="NF60" s="184" t="str">
        <f>IF(NB60="","",((VLOOKUP(Compositions!AQ125,'HHV-LHV-MW'!$A$3:$F$40,5,FALSE))*(NB60/100)))</f>
        <v/>
      </c>
      <c r="NG60" s="184" t="str">
        <f>IF(NB60="","",((VLOOKUP(Compositions!AQ125,'HHV-LHV-MW'!$A$3:$F$40,6,FALSE))*(NB60/100)))</f>
        <v/>
      </c>
      <c r="NH60" s="184" t="str">
        <f>IF(Compositions!AS125="","",(Compositions!AS125*(VLOOKUP(Compositions!AQ125,'HHV-LHV-MW'!$A$3:$F$40,6,FALSE))))</f>
        <v/>
      </c>
      <c r="NI60" s="297" t="str">
        <f>IF(Compositions!AS125="","",IF(OR(Compositions!$AS$118="wt%",Compositions!$AS$118=""),Compositions!AS125,(IF(NH60="","",((NH60/$NH$78)*100)))))</f>
        <v/>
      </c>
      <c r="NJ60" s="39" t="str">
        <f>IF(NI60="","",(IF(OR(Compositions!AQ125="Hydrogen",Compositions!AQ125="Helium",Compositions!AQ125="Water",Compositions!AQ125="Carbon Monoxide",Compositions!AQ125="Nitrogen",Compositions!AQ125="Oxygen",Compositions!AQ125="Hydrogen Sulfide",Compositions!AQ125="Argon",Compositions!AQ125="Carbon Dioxide",Compositions!AQ125="Carbon Disulfide"),0,NI60)))</f>
        <v/>
      </c>
      <c r="NK60" s="186" t="str">
        <f>IF(Compositions!AS125="","",((NB60/100)*((VLOOKUP(Compositions!AQ125,'HHV-LHV-MW'!$A$3:$G$40,7,FALSE)))))</f>
        <v/>
      </c>
      <c r="NL60" s="186" t="str">
        <f>IF(NB60="","",(IF(OR(Compositions!AQ125="Hydrogen",Compositions!AQ125="Carbon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Dioxide",Compositions!AQ125="Methane",Compositions!AQ125="Ethane"),0,(NB60/100))))</f>
        <v/>
      </c>
      <c r="NM60" s="39" t="str">
        <f>IF(NB60="","",(IF(OR($NL$78=0,$NL$78=""),0,     ((VLOOKUP(Compositions!AQ125,'HHV-LHV-MW'!$A$3:$F$40,6,FALSE))*(NL60/$NL$78)))))</f>
        <v/>
      </c>
      <c r="NN60" s="27" t="str">
        <f>IF(Compositions!AT125="","",IF(Compositions!$AT$118="mol%",Compositions!AT125,NO60))</f>
        <v/>
      </c>
      <c r="NO60" s="27" t="str">
        <f t="shared" si="55"/>
        <v/>
      </c>
      <c r="NP60" s="27" t="str">
        <f>IF(Compositions!AT125="","",(Compositions!AT125/(VLOOKUP(Compositions!AQ125,'HHV-LHV-MW'!$A$3:$F$40,6,FALSE))))</f>
        <v/>
      </c>
      <c r="NQ60" s="185" t="str">
        <f>IF(NN60="","",((VLOOKUP(Compositions!AQ125,'HHV-LHV-MW'!$A$3:$F$40,4,FALSE))*(NN60/100)))</f>
        <v/>
      </c>
      <c r="NR60" s="185" t="str">
        <f>IF(NN60="","",((VLOOKUP(Compositions!AQ125,'HHV-LHV-MW'!$A$3:$F$40,5,FALSE))*(NN60/100)))</f>
        <v/>
      </c>
      <c r="NS60" s="185" t="str">
        <f>IF(NN60="","",((VLOOKUP(Compositions!AQ125,'HHV-LHV-MW'!$A$3:$F$40,6,FALSE))*(NN60/100)))</f>
        <v/>
      </c>
      <c r="NT60" s="185" t="str">
        <f>IF(Compositions!AT125="","",(Compositions!AT125*(VLOOKUP(Compositions!AQ125,'HHV-LHV-MW'!$A$3:$F$40,6,FALSE))))</f>
        <v/>
      </c>
      <c r="NU60" s="298" t="str">
        <f>IF(Compositions!AT125="","",IF(OR(Compositions!$AT$118="wt%",Compositions!$AT$118=""),Compositions!AT125,(IF(NT60="","",((NT60/$NT$78)*100)))))</f>
        <v/>
      </c>
      <c r="NV60" s="185" t="str">
        <f>IF(NU60="","",(IF(OR(Compositions!AQ125="Hydrogen",Compositions!AQ125="Helium",Compositions!AQ125="Water",Compositions!AQ125="Carbon Monoxide",Compositions!AQ125="Nitrogen",Compositions!AQ125="Oxygen",Compositions!AQ125="Hydrogen Sulfide",Compositions!AQ125="Argon",Compositions!AQ125="Carbon Dioxide",Compositions!AQ125="Carbon Disulfide"),0,NU60)))</f>
        <v/>
      </c>
      <c r="NW60" s="187" t="str">
        <f>IF(Compositions!AT125="","",((NN60/100)*((VLOOKUP(Compositions!AQ125,'HHV-LHV-MW'!$A$3:$G$40,7,FALSE)))))</f>
        <v/>
      </c>
      <c r="NX60" s="187" t="str">
        <f>IF(NN60="","",(IF(OR(Compositions!AQ125="Hydrogen",Compositions!AQ125="Carbon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Dioxide",Compositions!AQ125="Methane",Compositions!AQ125="Ethane"),0,(NN60/100))))</f>
        <v/>
      </c>
      <c r="NY60" s="205" t="str">
        <f>IF(NN60="","",(IF(OR($NX$78=0,$NX$78=""),0,     ((VLOOKUP(Compositions!AQ125,'HHV-LHV-MW'!$A$3:$F$40,6,FALSE))*(NX60/$NX$78)))))</f>
        <v/>
      </c>
      <c r="NZ60" s="28" t="str">
        <f>IF(Compositions!AU125="","",IF(Compositions!$AU$118="mol%",Compositions!AU125,OA60))</f>
        <v/>
      </c>
      <c r="OA60" s="28" t="str">
        <f t="shared" si="56"/>
        <v/>
      </c>
      <c r="OB60" s="28" t="str">
        <f>IF(Compositions!AU125="","",(Compositions!AU125/(VLOOKUP(Compositions!AQ125,'HHV-LHV-MW'!$A$3:$F$40,6,FALSE))))</f>
        <v/>
      </c>
      <c r="OC60" s="184" t="str">
        <f>IF(NZ60="","",((VLOOKUP(Compositions!AQ125,'HHV-LHV-MW'!$A$3:$F$40,4,FALSE))*(NZ60/100)))</f>
        <v/>
      </c>
      <c r="OD60" s="184" t="str">
        <f>IF(NZ60="","",((VLOOKUP(Compositions!AQ125,'HHV-LHV-MW'!$A$3:$F$40,5,FALSE))*(NZ60/100)))</f>
        <v/>
      </c>
      <c r="OE60" s="184" t="str">
        <f>IF(NZ60="","",((VLOOKUP(Compositions!AQ125,'HHV-LHV-MW'!$A$3:$F$40,6,FALSE))*(NZ60/100)))</f>
        <v/>
      </c>
      <c r="OF60" s="184" t="str">
        <f>IF(Compositions!AU125="","",(Compositions!AU125*(VLOOKUP(Compositions!AQ125,'HHV-LHV-MW'!$A$3:$F$40,6,FALSE))))</f>
        <v/>
      </c>
      <c r="OG60" s="297" t="str">
        <f>IF(Compositions!AU125="","",IF(OR(Compositions!$AU$118="wt%",Compositions!$AU$118=""),Compositions!AU125,(IF(OF60="","",((OF60/$OF$78)*100)))))</f>
        <v/>
      </c>
      <c r="OH60" s="39" t="str">
        <f>IF(OG60="","",(IF(OR(Compositions!AQ125="Hydrogen",Compositions!AQ125="Helium",Compositions!AQ125="Water",Compositions!AQ125="Carbon Monoxide",Compositions!AQ125="Nitrogen",Compositions!AQ125="Oxygen",Compositions!AQ125="Hydrogen Sulfide",Compositions!AQ125="Argon",Compositions!AQ125="Carbon Dioxide",Compositions!AQ125="Carbon Disulfide"),0,OG60)))</f>
        <v/>
      </c>
      <c r="OI60" s="186" t="str">
        <f>IF(Compositions!AU125="","",((NZ60/100)*((VLOOKUP(Compositions!AQ125,'HHV-LHV-MW'!$A$3:$G$40,7,FALSE)))))</f>
        <v/>
      </c>
      <c r="OJ60" s="186" t="str">
        <f>IF(NZ60="","",(IF(OR(Compositions!AQ125="Hydrogen",Compositions!AQ125="Carbon Disulfide",Compositions!AQ125="Helium",Compositions!AQ125="Water",Compositions!AQ125="Carbon Monoxide",Compositions!AQ125="Nitrogen",Compositions!AQ125="Oxygen",Compositions!AQ125="Hydrogen Sulfide",Compositions!AQ125="Argon",Compositions!AQ125="Carbon Dioxide",Compositions!AQ125="Methane",Compositions!AQ125="Ethane"),0,(NZ60/100))))</f>
        <v/>
      </c>
      <c r="OK60" s="39" t="str">
        <f>IF(NZ60="","",(IF(OR($OJ$78=0,$OJ$78=""),0,     ((VLOOKUP(Compositions!AQ125,'HHV-LHV-MW'!$A$3:$F$40,6,FALSE))*(OJ60/$OJ$78)))))</f>
        <v/>
      </c>
      <c r="ON60" s="27" t="str">
        <f>IF(Compositions!AX125="","",IF(Compositions!$AX$118="mol%",Compositions!AX125,OO60))</f>
        <v/>
      </c>
      <c r="OO60" s="27" t="str">
        <f t="shared" si="57"/>
        <v/>
      </c>
      <c r="OP60" s="27" t="str">
        <f>IF(Compositions!AX125="","",(Compositions!AX125/(VLOOKUP(Compositions!AW125,'HHV-LHV-MW'!$A$3:$F$40,6,FALSE))))</f>
        <v/>
      </c>
      <c r="OQ60" s="185" t="str">
        <f>IF(ON60="","",((VLOOKUP(Compositions!AW125,'HHV-LHV-MW'!$A$3:$F$40,4,FALSE))*(ON60/100)))</f>
        <v/>
      </c>
      <c r="OR60" s="185" t="str">
        <f>IF(ON60="","",((VLOOKUP(Compositions!AW125,'HHV-LHV-MW'!$A$3:$F$40,5,FALSE))*(ON60/100)))</f>
        <v/>
      </c>
      <c r="OS60" s="185" t="str">
        <f>IF(ON60="","",((VLOOKUP(Compositions!AW125,'HHV-LHV-MW'!$A$3:$F$40,6,FALSE))*(ON60/100)))</f>
        <v/>
      </c>
      <c r="OT60" s="185" t="str">
        <f>IF(Compositions!AX125="","",(Compositions!AX125*(VLOOKUP(Compositions!AW125,'HHV-LHV-MW'!$A$3:$F$40,6,FALSE))))</f>
        <v/>
      </c>
      <c r="OU60" s="298" t="str">
        <f>IF(Compositions!AX125="","",IF(OR(Compositions!$AX$118="wt%",Compositions!$AX$118=""),Compositions!AX125,(IF(OT60="","",((OT60/$OT$78)*100)))))</f>
        <v/>
      </c>
      <c r="OV60" s="185" t="str">
        <f>IF(OU60="","",(IF(OR(Compositions!AW125="Hydrogen",Compositions!AW125="Helium",Compositions!AW125="Water",Compositions!AW125="Carbon Monoxide",Compositions!AW125="Nitrogen",Compositions!AW125="Oxygen",Compositions!AW125="Hydrogen Sulfide",Compositions!AW125="Argon",Compositions!AW125="Carbon Dioxide",Compositions!AW125="Carbon Disulfide"),0,OU60)))</f>
        <v/>
      </c>
      <c r="OW60" s="187" t="str">
        <f>IF(Compositions!AX125="","",((ON60/100)*((VLOOKUP(Compositions!AW125,'HHV-LHV-MW'!$A$3:$G$40,7,FALSE)))))</f>
        <v/>
      </c>
      <c r="OX60" s="187" t="str">
        <f>IF(ON60="","",(IF(OR(Compositions!AW125="Hydrogen",Compositions!AW125="Carbon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Dioxide",Compositions!AW125="Methane",Compositions!AW125="Ethane"),0,(ON60/100))))</f>
        <v/>
      </c>
      <c r="OY60" s="205" t="str">
        <f>IF(ON60="","",(IF(OR($OX$78=0,$OX$78=""),0,     ((VLOOKUP(Compositions!AW125,'HHV-LHV-MW'!$A$3:$F$40,6,FALSE))*(OX60/$OX$78)))))</f>
        <v/>
      </c>
      <c r="OZ60" s="28" t="str">
        <f>IF(Compositions!AY125="","",IF(Compositions!$AY$118="mol%",Compositions!AY125,PA60))</f>
        <v/>
      </c>
      <c r="PA60" s="28" t="str">
        <f t="shared" si="64"/>
        <v/>
      </c>
      <c r="PB60" s="28" t="str">
        <f>IF(Compositions!AY125="","",(Compositions!AY125/(VLOOKUP(Compositions!AW125,'HHV-LHV-MW'!$A$3:$F$40,6,FALSE))))</f>
        <v/>
      </c>
      <c r="PC60" s="184" t="str">
        <f>IF(OZ60="","",((VLOOKUP(Compositions!AW125,'HHV-LHV-MW'!$A$3:$F$40,4,FALSE))*(OZ60/100)))</f>
        <v/>
      </c>
      <c r="PD60" s="184" t="str">
        <f>IF(OZ60="","",((VLOOKUP(Compositions!AW125,'HHV-LHV-MW'!$A$3:$F$40,5,FALSE))*(OZ60/100)))</f>
        <v/>
      </c>
      <c r="PE60" s="184" t="str">
        <f>IF(OZ60="","",((VLOOKUP(Compositions!AW125,'HHV-LHV-MW'!$A$3:$F$40,6,FALSE))*(OZ60/100)))</f>
        <v/>
      </c>
      <c r="PF60" s="184" t="str">
        <f>IF(Compositions!AY125="","",(Compositions!AY125*(VLOOKUP(Compositions!AW125,'HHV-LHV-MW'!$A$3:$F$40,6,FALSE))))</f>
        <v/>
      </c>
      <c r="PG60" s="297" t="str">
        <f>IF(Compositions!AY125="","",IF(OR(Compositions!$AY$118="wt%",Compositions!$AY$118=""),Compositions!AY125,(IF(PF60="","",((PF60/$PF$78)*100)))))</f>
        <v/>
      </c>
      <c r="PH60" s="39" t="str">
        <f>IF(PG60="","",(IF(OR(Compositions!AW125="Hydrogen",Compositions!AW125="Helium",Compositions!AW125="Water",Compositions!AW125="Carbon Monoxide",Compositions!AW125="Nitrogen",Compositions!AW125="Oxygen",Compositions!AW125="Hydrogen Sulfide",Compositions!AW125="Argon",Compositions!AW125="Carbon Dioxide",Compositions!AW125="Carbon Disulfide"),0,PG60)))</f>
        <v/>
      </c>
      <c r="PI60" s="186" t="str">
        <f>IF(Compositions!AY125="","",((OZ60/100)*((VLOOKUP(Compositions!AW125,'HHV-LHV-MW'!$A$3:$G$40,7,FALSE)))))</f>
        <v/>
      </c>
      <c r="PJ60" s="186" t="str">
        <f>IF(OZ60="","",(IF(OR(Compositions!AW125="Hydrogen",Compositions!AW125="Carbon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Dioxide",Compositions!AW125="Methane",Compositions!AW125="Ethane"),0,(OZ60/100))))</f>
        <v/>
      </c>
      <c r="PK60" s="39" t="str">
        <f>IF(OZ60="","",(IF(OR($PJ$78=0,$PJ$78=""),0,     ((VLOOKUP(Compositions!AW125,'HHV-LHV-MW'!$A$3:$F$40,6,FALSE))*(PJ60/$PJ$78)))))</f>
        <v/>
      </c>
      <c r="PL60" s="27" t="str">
        <f>IF(Compositions!AZ125="","",IF(Compositions!$AZ$118="mol%",Compositions!AZ125,PM60))</f>
        <v/>
      </c>
      <c r="PM60" s="27" t="str">
        <f t="shared" si="58"/>
        <v/>
      </c>
      <c r="PN60" s="27" t="str">
        <f>IF(Compositions!AZ125="","",(Compositions!AZ125/(VLOOKUP(Compositions!AW125,'HHV-LHV-MW'!$A$3:$F$40,6,FALSE))))</f>
        <v/>
      </c>
      <c r="PO60" s="185" t="str">
        <f>IF(PL60="","",((VLOOKUP(Compositions!AW125,'HHV-LHV-MW'!$A$3:$F$40,4,FALSE))*(PL60/100)))</f>
        <v/>
      </c>
      <c r="PP60" s="185" t="str">
        <f>IF(PL60="","",((VLOOKUP(Compositions!AW125,'HHV-LHV-MW'!$A$3:$F$40,5,FALSE))*(PL60/100)))</f>
        <v/>
      </c>
      <c r="PQ60" s="185" t="str">
        <f>IF(PL60="","",((VLOOKUP(Compositions!AW125,'HHV-LHV-MW'!$A$3:$F$40,6,FALSE))*(PL60/100)))</f>
        <v/>
      </c>
      <c r="PR60" s="185" t="str">
        <f>IF(Compositions!AZ125="","",(Compositions!AZ125*(VLOOKUP(Compositions!AW125,'HHV-LHV-MW'!$A$3:$F$40,6,FALSE))))</f>
        <v/>
      </c>
      <c r="PS60" s="298" t="str">
        <f>IF(Compositions!AZ125="","",IF(OR(Compositions!$AZ$118="wt%",Compositions!$AZ$118=""),Compositions!AZ125,(IF(PR60="","",((PR60/$PR$78)*100)))))</f>
        <v/>
      </c>
      <c r="PT60" s="185" t="str">
        <f>IF(PS60="","",(IF(OR(Compositions!AW125="Hydrogen",Compositions!AW125="Helium",Compositions!AW125="Water",Compositions!AW125="Carbon Monoxide",Compositions!AW125="Nitrogen",Compositions!AW125="Oxygen",Compositions!AW125="Hydrogen Sulfide",Compositions!AW125="Argon",Compositions!AW125="Carbon Dioxide",Compositions!AW125="Carbon Disulfide"),0,PS60)))</f>
        <v/>
      </c>
      <c r="PU60" s="187" t="str">
        <f>IF(Compositions!AZ125="","",((PL60/100)*((VLOOKUP(Compositions!AW125,'HHV-LHV-MW'!$A$3:$G$40,7,FALSE)))))</f>
        <v/>
      </c>
      <c r="PV60" s="187" t="str">
        <f>IF(PL60="","",(IF(OR(Compositions!AW125="Hydrogen",Compositions!AW125="Carbon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Dioxide",Compositions!AW125="Methane",Compositions!AW125="Ethane"),0,(PL60/100))))</f>
        <v/>
      </c>
      <c r="PW60" s="205" t="str">
        <f>IF(PL60="","",(IF(OR($PV$78=0,$PV$78=""),0,     ((VLOOKUP(Compositions!AW125,'HHV-LHV-MW'!$A$3:$F$40,6,FALSE))*(PV60/$PV$78)))))</f>
        <v/>
      </c>
      <c r="PX60" s="28" t="str">
        <f>IF(Compositions!BA125="","",IF(Compositions!$BA$118="mol%",Compositions!BA125,PY60))</f>
        <v/>
      </c>
      <c r="PY60" s="28" t="str">
        <f t="shared" si="59"/>
        <v/>
      </c>
      <c r="PZ60" s="28" t="str">
        <f>IF(Compositions!BA125="","",(Compositions!BA125/(VLOOKUP(Compositions!AW125,'HHV-LHV-MW'!$A$3:$F$40,6,FALSE))))</f>
        <v/>
      </c>
      <c r="QA60" s="184" t="str">
        <f>IF(PX60="","",((VLOOKUP(Compositions!AW125,'HHV-LHV-MW'!$A$3:$F$40,4,FALSE))*(PX60/100)))</f>
        <v/>
      </c>
      <c r="QB60" s="184" t="str">
        <f>IF(PX60="","",((VLOOKUP(Compositions!AW125,'HHV-LHV-MW'!$A$3:$F$40,5,FALSE))*(PX60/100)))</f>
        <v/>
      </c>
      <c r="QC60" s="184" t="str">
        <f>IF(PX60="","",((VLOOKUP(Compositions!AW125,'HHV-LHV-MW'!$A$3:$F$40,6,FALSE))*(PX60/100)))</f>
        <v/>
      </c>
      <c r="QD60" s="184" t="str">
        <f>IF(Compositions!BA125="","",(Compositions!BA125*(VLOOKUP(Compositions!AW125,'HHV-LHV-MW'!$A$3:$F$40,6,FALSE))))</f>
        <v/>
      </c>
      <c r="QE60" s="297" t="str">
        <f>IF(Compositions!BA125="","",IF(OR(Compositions!$BA$118="wt%",Compositions!$BA$118=""),Compositions!BA125,(IF(QD60="","",((QD60/$QD$78)*100)))))</f>
        <v/>
      </c>
      <c r="QF60" s="39" t="str">
        <f>IF(QE60="","",(IF(OR(Compositions!AW125="Hydrogen",Compositions!AW125="Helium",Compositions!AW125="Water",Compositions!AW125="Carbon Monoxide",Compositions!AW125="Nitrogen",Compositions!AW125="Oxygen",Compositions!AW125="Hydrogen Sulfide",Compositions!AW125="Argon",Compositions!AW125="Carbon Dioxide",Compositions!AW125="Carbon Disulfide"),0,QE60)))</f>
        <v/>
      </c>
      <c r="QG60" s="186" t="str">
        <f>IF(Compositions!BA125="","",((PX60/100)*((VLOOKUP(Compositions!AW125,'HHV-LHV-MW'!$A$3:$G$40,7,FALSE)))))</f>
        <v/>
      </c>
      <c r="QH60" s="186" t="str">
        <f>IF(PX60="","",(IF(OR(Compositions!AW125="Hydrogen",Compositions!AW125="Carbon Disulfide",Compositions!AW125="Helium",Compositions!AW125="Water",Compositions!AW125="Carbon Monoxide",Compositions!AW125="Nitrogen",Compositions!AW125="Oxygen",Compositions!AW125="Hydrogen Sulfide",Compositions!AW125="Argon",Compositions!AW125="Carbon Dioxide",Compositions!AW125="Methane",Compositions!AW125="Ethane"),0,(PX60/100))))</f>
        <v/>
      </c>
      <c r="QI60" s="39" t="str">
        <f>IF(PX60="","",(IF(OR($QH$78=0,$QH$78=""),0,     ((VLOOKUP(Compositions!AW125,'HHV-LHV-MW'!$A$3:$F$40,6,FALSE))*(QH60/$QH$78)))))</f>
        <v/>
      </c>
      <c r="QK60" s="27" t="str">
        <f>IF(Compositions!BD125="","",IF(Compositions!$BD$118="mol%",Compositions!BD125,QL60))</f>
        <v/>
      </c>
      <c r="QL60" s="27" t="str">
        <f t="shared" si="60"/>
        <v/>
      </c>
      <c r="QM60" s="27" t="str">
        <f>IF(Compositions!BD125="","",(Compositions!BD125/(VLOOKUP(Compositions!BC125,'HHV-LHV-MW'!$A$3:$F$40,6,FALSE))))</f>
        <v/>
      </c>
      <c r="QN60" s="185" t="str">
        <f>IF(QK60="","",((VLOOKUP(Compositions!BC125,'HHV-LHV-MW'!$A$3:$F$40,4,FALSE))*(QK60/100)))</f>
        <v/>
      </c>
      <c r="QO60" s="185" t="str">
        <f>IF(QK60="","",((VLOOKUP(Compositions!BC125,'HHV-LHV-MW'!$A$3:$F$40,5,FALSE))*(QK60/100)))</f>
        <v/>
      </c>
      <c r="QP60" s="185" t="str">
        <f>IF(QK60="","",((VLOOKUP(Compositions!BC125,'HHV-LHV-MW'!$A$3:$F$40,6,FALSE))*(QK60/100)))</f>
        <v/>
      </c>
      <c r="QQ60" s="185" t="str">
        <f>IF(Compositions!BD125="","",(Compositions!BD125*(VLOOKUP(Compositions!BC125,'HHV-LHV-MW'!$A$3:$F$40,6,FALSE))))</f>
        <v/>
      </c>
      <c r="QR60" s="298" t="str">
        <f>IF(Compositions!BD125="","",IF(OR(Compositions!$BD$118="wt%",Compositions!$BD$118=""),Compositions!BD125,(IF(QQ60="","",((QQ60/$QQ$78)*100)))))</f>
        <v/>
      </c>
      <c r="QS60" s="185" t="str">
        <f>IF(QR60="","",(IF(OR(Compositions!BC125="Hydrogen",Compositions!BC125="Helium",Compositions!BC125="Water",Compositions!BC125="Carbon Monoxide",Compositions!BC125="Nitrogen",Compositions!BC125="Oxygen",Compositions!BC125="Hydrogen Sulfide",Compositions!BC125="Argon",Compositions!BC125="Carbon Dioxide",Compositions!BC125="Carbon Disulfide"),0,QR60)))</f>
        <v/>
      </c>
      <c r="QT60" s="187" t="str">
        <f>IF(Compositions!BD125="","",((QK60/100)*((VLOOKUP(Compositions!BC125,'HHV-LHV-MW'!$A$3:$G$40,7,FALSE)))))</f>
        <v/>
      </c>
      <c r="QU60" s="187" t="str">
        <f>IF(QK60="","",(IF(OR(Compositions!BC125="Hydrogen",Compositions!BC125="Carbon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Dioxide",Compositions!BC125="Methane",Compositions!BC125="Ethane"),0,(QK60/100))))</f>
        <v/>
      </c>
      <c r="QV60" s="205" t="str">
        <f>IF(QK60="","",(IF(OR($QU$78=0,$QU$78=""),0,     ((VLOOKUP(Compositions!BC125,'HHV-LHV-MW'!$A$3:$F$40,6,FALSE))*(QU60/$QU$78)))))</f>
        <v/>
      </c>
      <c r="QW60" s="28" t="str">
        <f>IF(Compositions!BE125="","",IF(Compositions!$BE$118="mol%",Compositions!BE125,QX60))</f>
        <v/>
      </c>
      <c r="QX60" s="28" t="str">
        <f t="shared" si="61"/>
        <v/>
      </c>
      <c r="QY60" s="28" t="str">
        <f>IF(Compositions!BE125="","",(Compositions!BE125/(VLOOKUP(Compositions!BC125,'HHV-LHV-MW'!$A$3:$F$40,6,FALSE))))</f>
        <v/>
      </c>
      <c r="QZ60" s="184" t="str">
        <f>IF(QW60="","",((VLOOKUP(Compositions!BC125,'HHV-LHV-MW'!$A$3:$F$40,4,FALSE))*(QW60/100)))</f>
        <v/>
      </c>
      <c r="RA60" s="184" t="str">
        <f>IF(QW60="","",((VLOOKUP(Compositions!BC125,'HHV-LHV-MW'!$A$3:$F$40,5,FALSE))*(QW60/100)))</f>
        <v/>
      </c>
      <c r="RB60" s="184" t="str">
        <f>IF(QW60="","",((VLOOKUP(Compositions!BC125,'HHV-LHV-MW'!$A$3:$F$40,6,FALSE))*(QW60/100)))</f>
        <v/>
      </c>
      <c r="RC60" s="184" t="str">
        <f>IF(Compositions!BE125="","",(Compositions!BE125*(VLOOKUP(Compositions!BC125,'HHV-LHV-MW'!$A$3:$F$40,6,FALSE))))</f>
        <v/>
      </c>
      <c r="RD60" s="297" t="str">
        <f>IF(Compositions!BE125="","",IF(OR(Compositions!$BE$118="wt%",Compositions!$BE$118=""),Compositions!BE125,(IF(RC60="","",((RC60/$RC$78)*100)))))</f>
        <v/>
      </c>
      <c r="RE60" s="39" t="str">
        <f>IF(RD60="","",(IF(OR(Compositions!BC125="Hydrogen",Compositions!BC125="Helium",Compositions!BC125="Water",Compositions!BC125="Carbon Monoxide",Compositions!BC125="Nitrogen",Compositions!BC125="Oxygen",Compositions!BC125="Hydrogen Sulfide",Compositions!BC125="Argon",Compositions!BC125="Carbon Dioxide",Compositions!BC125="Carbon Disulfide"),0,RD60)))</f>
        <v/>
      </c>
      <c r="RF60" s="186" t="str">
        <f>IF(Compositions!BE125="","",((QW60/100)*((VLOOKUP(Compositions!BC125,'HHV-LHV-MW'!$A$3:$G$40,7,FALSE)))))</f>
        <v/>
      </c>
      <c r="RG60" s="186" t="str">
        <f>IF(QW60="","",(IF(OR(Compositions!BC125="Hydrogen",Compositions!BC125="Carbon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Dioxide",Compositions!BC125="Methane",Compositions!BC125="Ethane"),0,(QW60/100))))</f>
        <v/>
      </c>
      <c r="RH60" s="39" t="str">
        <f>IF(QW60="","",(IF(OR($RG$78=0,$RG$78=""),0,     ((VLOOKUP(Compositions!BC125,'HHV-LHV-MW'!$A$3:$F$40,6,FALSE))*(RG60/$RG$78)))))</f>
        <v/>
      </c>
      <c r="RI60" s="27" t="str">
        <f>IF(Compositions!BF125="","",IF(Compositions!$BF$118="mol%",Compositions!BF125,RJ60))</f>
        <v/>
      </c>
      <c r="RJ60" s="27" t="str">
        <f t="shared" si="62"/>
        <v/>
      </c>
      <c r="RK60" s="27" t="str">
        <f>IF(Compositions!BF125="","",(Compositions!BF125/(VLOOKUP(Compositions!BC125,'HHV-LHV-MW'!$A$3:$F$40,6,FALSE))))</f>
        <v/>
      </c>
      <c r="RL60" s="185" t="str">
        <f>IF(RI60="","",((VLOOKUP(Compositions!BC125,'HHV-LHV-MW'!$A$3:$F$40,4,FALSE))*(RI60/100)))</f>
        <v/>
      </c>
      <c r="RM60" s="185" t="str">
        <f>IF(RI60="","",((VLOOKUP(Compositions!BC125,'HHV-LHV-MW'!$A$3:$F$40,5,FALSE))*(RI60/100)))</f>
        <v/>
      </c>
      <c r="RN60" s="185" t="str">
        <f>IF(RI60="","",((VLOOKUP(Compositions!BC125,'HHV-LHV-MW'!$A$3:$F$40,6,FALSE))*(RI60/100)))</f>
        <v/>
      </c>
      <c r="RO60" s="185" t="str">
        <f>IF(Compositions!BF125="","",(Compositions!BF125*(VLOOKUP(Compositions!BC125,'HHV-LHV-MW'!$A$3:$F$40,6,FALSE))))</f>
        <v/>
      </c>
      <c r="RP60" s="298" t="str">
        <f>IF(Compositions!BF125="","",IF(OR(Compositions!$BF$118="wt%",Compositions!$BF$118=""),Compositions!BF125,(IF(RO60="","",((RO60/$RO$78)*100)))))</f>
        <v/>
      </c>
      <c r="RQ60" s="185" t="str">
        <f>IF(RP60="","",(IF(OR(Compositions!BC125="Hydrogen",Compositions!BC125="Helium",Compositions!BC125="Water",Compositions!BC125="Carbon Monoxide",Compositions!BC125="Nitrogen",Compositions!BC125="Oxygen",Compositions!BC125="Hydrogen Sulfide",Compositions!BC125="Argon",Compositions!BC125="Carbon Dioxide",Compositions!BC125="Carbon Disulfide"),0,RP60)))</f>
        <v/>
      </c>
      <c r="RR60" s="187" t="str">
        <f>IF(Compositions!BF125="","",((RI60/100)*((VLOOKUP(Compositions!BC125,'HHV-LHV-MW'!$A$3:$G$40,7,FALSE)))))</f>
        <v/>
      </c>
      <c r="RS60" s="187" t="str">
        <f>IF(RI60="","",(IF(OR(Compositions!BC125="Hydrogen",Compositions!BC125="Carbon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Dioxide",Compositions!BC125="Methane",Compositions!BC125="Ethane"),0,(RI60/100))))</f>
        <v/>
      </c>
      <c r="RT60" s="205" t="str">
        <f>IF(RI60="","",(IF(OR($RS$78=0,$RS$78=""),0,     ((VLOOKUP(Compositions!BC125,'HHV-LHV-MW'!$A$3:$F$40,6,FALSE))*(RS60/$RS$78)))))</f>
        <v/>
      </c>
      <c r="RU60" s="28" t="str">
        <f>IF(Compositions!BG125="","",IF(Compositions!$BG$118="mol%",Compositions!BG125,RV60))</f>
        <v/>
      </c>
      <c r="RV60" s="28" t="str">
        <f t="shared" si="63"/>
        <v/>
      </c>
      <c r="RW60" s="28" t="str">
        <f>IF(Compositions!BG125="","",(Compositions!BG125/(VLOOKUP(Compositions!BC125,'HHV-LHV-MW'!$A$3:$F$40,6,FALSE))))</f>
        <v/>
      </c>
      <c r="RX60" s="184" t="str">
        <f>IF(RU60="","",((VLOOKUP(Compositions!BC125,'HHV-LHV-MW'!$A$3:$F$40,4,FALSE))*(RU60/100)))</f>
        <v/>
      </c>
      <c r="RY60" s="184" t="str">
        <f>IF(RU60="","",((VLOOKUP(Compositions!BC125,'HHV-LHV-MW'!$A$3:$F$40,5,FALSE))*(RU60/100)))</f>
        <v/>
      </c>
      <c r="RZ60" s="184" t="str">
        <f>IF(RU60="","",((VLOOKUP(Compositions!BC125,'HHV-LHV-MW'!$A$3:$F$40,6,FALSE))*(RU60/100)))</f>
        <v/>
      </c>
      <c r="SA60" s="184" t="str">
        <f>IF(Compositions!BG125="","",(Compositions!BG125*(VLOOKUP(Compositions!BC125,'HHV-LHV-MW'!$A$3:$F$40,6,FALSE))))</f>
        <v/>
      </c>
      <c r="SB60" s="297" t="str">
        <f>IF(Compositions!BG125="","",IF(OR(Compositions!$BG$118="wt%",Compositions!$BG$118=""),Compositions!BG125,(IF(SA60="","",((SA60/$SA$78)*100)))))</f>
        <v/>
      </c>
      <c r="SC60" s="39" t="str">
        <f>IF(SB60="","",(IF(OR(Compositions!BC125="Hydrogen",Compositions!BC125="Helium",Compositions!BC125="Water",Compositions!BC125="Carbon Monoxide",Compositions!BC125="Nitrogen",Compositions!BC125="Oxygen",Compositions!BC125="Hydrogen Sulfide",Compositions!BC125="Argon",Compositions!BC125="Carbon Dioxide",Compositions!BC125="Carbon Disulfide"),0,SB60)))</f>
        <v/>
      </c>
      <c r="SD60" s="186" t="str">
        <f>IF(Compositions!BG125="","",((RU60/100)*((VLOOKUP(Compositions!BC125,'HHV-LHV-MW'!$A$3:$G$40,7,FALSE)))))</f>
        <v/>
      </c>
      <c r="SE60" s="186" t="str">
        <f>IF(RU60="","",(IF(OR(Compositions!BC125="Hydrogen",Compositions!BC125="Carbon Disulfide",Compositions!BC125="Helium",Compositions!BC125="Water",Compositions!BC125="Carbon Monoxide",Compositions!BC125="Nitrogen",Compositions!BC125="Oxygen",Compositions!BC125="Hydrogen Sulfide",Compositions!BC125="Argon",Compositions!BC125="Carbon Dioxide",Compositions!BC125="Methane",Compositions!BC125="Ethane"),0,(RU60/100))))</f>
        <v/>
      </c>
      <c r="SF60" s="39" t="str">
        <f>IF(RU60="","",(IF(OR($SE$78=0,$SE$78=""),0,     ((VLOOKUP(Compositions!BC125,'HHV-LHV-MW'!$A$3:$F$40,6,FALSE))*(SE60/$SE$78)))))</f>
        <v/>
      </c>
    </row>
    <row r="61" spans="1:500" ht="15.6">
      <c r="A61" s="173" t="s">
        <v>188</v>
      </c>
      <c r="B61" s="19" t="s">
        <v>186</v>
      </c>
      <c r="C61" s="20">
        <v>4</v>
      </c>
      <c r="D61" s="20">
        <v>2.8771</v>
      </c>
      <c r="E61" s="20">
        <v>2.6576</v>
      </c>
      <c r="F61" s="20">
        <v>58.123399999999997</v>
      </c>
      <c r="G61" s="20">
        <v>0</v>
      </c>
      <c r="H61" s="170"/>
      <c r="I61" s="170"/>
      <c r="K61" s="27" t="str">
        <f>IF(Compositions!B126="","",IF(Compositions!$B$118="mol%",Compositions!B126,L61))</f>
        <v/>
      </c>
      <c r="L61" s="27" t="str">
        <f t="shared" si="25"/>
        <v/>
      </c>
      <c r="M61" s="27" t="str">
        <f>IF(Compositions!B126="","",(Compositions!B126/(VLOOKUP(Compositions!A126,'HHV-LHV-MW'!$A$3:$F$40,6,FALSE))))</f>
        <v/>
      </c>
      <c r="N61" s="25" t="str">
        <f>IF(K61="","",((VLOOKUP(Compositions!A126,'HHV-LHV-MW'!$A$3:$F$40,4,FALSE))*(K61/100)))</f>
        <v/>
      </c>
      <c r="O61" s="25" t="str">
        <f>IF(K61="","",((VLOOKUP(Compositions!A126,'HHV-LHV-MW'!$A$3:$F$40,5,FALSE))*(K61/100)))</f>
        <v/>
      </c>
      <c r="P61" s="25" t="str">
        <f>IF(K61="","",((VLOOKUP(Compositions!A126,'HHV-LHV-MW'!$A$3:$F$40,6,FALSE))*(K61/100)))</f>
        <v/>
      </c>
      <c r="Q61" s="25" t="str">
        <f>IF(Compositions!B126="","",(Compositions!B126*(VLOOKUP(Compositions!A126,'HHV-LHV-MW'!$A$3:$F$40,6,FALSE))))</f>
        <v/>
      </c>
      <c r="R61" s="188" t="str">
        <f>IF(Compositions!B126="","",IF(OR(Compositions!$B$118="wt%",Compositions!$B$118=""),Compositions!B126,(IF(Q61="","",((Q61/$Q$78)*100)))))</f>
        <v/>
      </c>
      <c r="S61" s="185" t="str">
        <f>IF(R61="","",(IF(OR(Compositions!A126="Hydrogen",Compositions!A126="Helium",Compositions!A126="Water",Compositions!A126="Carbon Monoxide",Compositions!A126="Nitrogen",Compositions!A126="Oxygen",Compositions!A126="Hydrogen Sulfide",Compositions!A126="Argon",Compositions!A126="Carbon Dioxide",Compositions!A126="Carbon Disulfide"),0,R61)))</f>
        <v/>
      </c>
      <c r="T61" s="169" t="str">
        <f>IF(Compositions!B126="","",((K61/100)*((VLOOKUP(Compositions!A126,'HHV-LHV-MW'!$A$3:$G$40,7,FALSE)))))</f>
        <v/>
      </c>
      <c r="U61" s="187" t="str">
        <f>IF(K61="","",(IF(OR(Compositions!A126="Hydrogen",Compositions!A126="Carbon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Dioxide",Compositions!A126="Methane",Compositions!A126="Ethane"),0,(K61/100))))</f>
        <v/>
      </c>
      <c r="V61" s="188" t="str">
        <f>IF(K61="","", (IF(OR($U$78=0,$U$78=""),0,((VLOOKUP(Compositions!A126,'HHV-LHV-MW'!$A$3:$F$40,6,FALSE))*(U61/$U$78))   ))   )</f>
        <v/>
      </c>
      <c r="W61" s="28" t="str">
        <f>IF(Compositions!C126="","",IF(Compositions!$C$118="mol%",Compositions!C126,X61))</f>
        <v/>
      </c>
      <c r="X61" s="28" t="str">
        <f t="shared" si="26"/>
        <v/>
      </c>
      <c r="Y61" s="28" t="str">
        <f>IF(Compositions!C126="","",(Compositions!C126/(VLOOKUP(Compositions!A126,'HHV-LHV-MW'!$A$3:$F$40,6,FALSE))))</f>
        <v/>
      </c>
      <c r="Z61" s="26" t="str">
        <f>IF(W61="","",((VLOOKUP(Compositions!A126,'HHV-LHV-MW'!$A$3:$F$40,4,FALSE))*(W61/100)))</f>
        <v/>
      </c>
      <c r="AA61" s="26" t="str">
        <f>IF(W61="","",((VLOOKUP(Compositions!A126,'HHV-LHV-MW'!$A$3:$F$40,5,FALSE))*(W61/100)))</f>
        <v/>
      </c>
      <c r="AB61" s="26" t="str">
        <f>IF(W61="","",((VLOOKUP(Compositions!A126,'HHV-LHV-MW'!$A$3:$F$40,6,FALSE))*(W61/100)))</f>
        <v/>
      </c>
      <c r="AC61" s="26" t="str">
        <f>IF(Compositions!C126="","",(Compositions!C126*(VLOOKUP(Compositions!A126,'HHV-LHV-MW'!$A$3:$F$40,6,FALSE))))</f>
        <v/>
      </c>
      <c r="AD61" s="296" t="str">
        <f>IF(Compositions!C126="","",IF(OR(Compositions!$C$118="wt%",Compositions!$C$118=""),Compositions!C126,(IF(AC61="","",((AC61/$AC$78)*100)))))</f>
        <v/>
      </c>
      <c r="AE61" s="39" t="str">
        <f>IF(AD61="","",(IF(OR(Compositions!A126="Hydrogen",Compositions!A126="Helium",Compositions!A126="Water",Compositions!A126="Carbon Monoxide",Compositions!A126="Nitrogen",Compositions!A126="Oxygen",Compositions!A126="Hydrogen Sulfide",Compositions!A126="Argon",Compositions!A126="Carbon Dioxide",Compositions!A126="Carbon Disulfide"),0,AD61)))</f>
        <v/>
      </c>
      <c r="AF61" s="186" t="str">
        <f>IF(Compositions!C126="","",((W61/100)*((VLOOKUP(Compositions!A126,'HHV-LHV-MW'!$A$3:$G$40,7,FALSE)))))</f>
        <v/>
      </c>
      <c r="AG61" s="186" t="str">
        <f>IF(W61="","",(IF(OR(Compositions!A126="Hydrogen",Compositions!A126="Carbon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Dioxide",Compositions!A126="Methane",Compositions!A126="Ethane"),0,(W61/100))))</f>
        <v/>
      </c>
      <c r="AH61" s="39" t="str">
        <f>IF(W61="","", (IF(OR($AG$78=0,$AG$78=""),0,   ((VLOOKUP(Compositions!A126,'HHV-LHV-MW'!$A$3:$F$40,6,FALSE))*(AG61/$AG$78)))))</f>
        <v/>
      </c>
      <c r="AI61" s="27" t="str">
        <f>IF(Compositions!D126="","",IF(Compositions!$D$118="mol%",Compositions!D126,AJ61))</f>
        <v/>
      </c>
      <c r="AJ61" s="27" t="str">
        <f t="shared" si="27"/>
        <v/>
      </c>
      <c r="AK61" s="27" t="str">
        <f>IF(Compositions!D126="","",(Compositions!D126/(VLOOKUP(Compositions!A126,'HHV-LHV-MW'!$A$3:$F$40,6,FALSE))))</f>
        <v/>
      </c>
      <c r="AL61" s="25" t="str">
        <f>IF(AI61="","",((VLOOKUP(Compositions!A126,'HHV-LHV-MW'!$A$3:$F$40,4,FALSE))*(AI61/100)))</f>
        <v/>
      </c>
      <c r="AM61" s="25" t="str">
        <f>IF(AI61="","",((VLOOKUP(Compositions!A126,'HHV-LHV-MW'!$A$3:$F$40,5,FALSE))*(AI61/100)))</f>
        <v/>
      </c>
      <c r="AN61" s="25" t="str">
        <f>IF(AI61="","",((VLOOKUP(Compositions!A126,'HHV-LHV-MW'!$A$3:$F$40,6,FALSE))*(AI61/100)))</f>
        <v/>
      </c>
      <c r="AO61" s="25" t="str">
        <f>IF(Compositions!D126="","",(Compositions!D126*(VLOOKUP(Compositions!A126,'HHV-LHV-MW'!$A$3:$F$40,6,FALSE))))</f>
        <v/>
      </c>
      <c r="AP61" s="295" t="str">
        <f>IF(Compositions!D126="","",IF(OR(Compositions!$D$118="wt%",Compositions!$D$118=""),Compositions!D126,(IF(AO61="","",((AO61/$AO$78)*100)))))</f>
        <v/>
      </c>
      <c r="AQ61" s="185" t="str">
        <f>IF(AP61="","",(IF(OR(Compositions!A126="Hydrogen",Compositions!A126="Helium",Compositions!A126="Water",Compositions!A126="Carbon Monoxide",Compositions!A126="Nitrogen",Compositions!A126="Oxygen",Compositions!A126="Hydrogen Sulfide",Compositions!A126="Argon",Compositions!A126="Carbon Dioxide",Compositions!A126="Carbon Disulfide"),0,AP61)))</f>
        <v/>
      </c>
      <c r="AR61" s="187" t="str">
        <f>IF(Compositions!D126="","",((AI61/100)*((VLOOKUP(Compositions!A126,'HHV-LHV-MW'!$A$3:$G$40,7,FALSE)))))</f>
        <v/>
      </c>
      <c r="AS61" s="187" t="str">
        <f>IF(AI61="","",(IF(OR(Compositions!A126="Hydrogen",Compositions!A126="Carbon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Dioxide",Compositions!A126="Methane",Compositions!A126="Ethane"),0,(AI61/100))))</f>
        <v/>
      </c>
      <c r="AT61" s="205" t="str">
        <f>IF(AI61="","",(IF(OR($AS$78=0,$AS$78=""),0,      ((VLOOKUP(Compositions!A126,'HHV-LHV-MW'!$A$3:$F$40,6,FALSE))*(AS61/$AS$78)))))</f>
        <v/>
      </c>
      <c r="AU61" s="28" t="str">
        <f>IF(Compositions!E126="","",IF(Compositions!$E$118="mol%",Compositions!E126,AV61))</f>
        <v/>
      </c>
      <c r="AV61" s="28" t="str">
        <f t="shared" si="28"/>
        <v/>
      </c>
      <c r="AW61" s="28" t="str">
        <f>IF(Compositions!E126="","",(Compositions!E126/(VLOOKUP(Compositions!A126,'HHV-LHV-MW'!$A$3:$F$40,6,FALSE))))</f>
        <v/>
      </c>
      <c r="AX61" s="26" t="str">
        <f>IF(AU61="","",((VLOOKUP(Compositions!A126,'HHV-LHV-MW'!$A$3:$F$40,4,FALSE))*(AU61/100)))</f>
        <v/>
      </c>
      <c r="AY61" s="26" t="str">
        <f>IF(AU61="","",((VLOOKUP(Compositions!A126,'HHV-LHV-MW'!$A$3:$F$40,5,FALSE))*(AU61/100)))</f>
        <v/>
      </c>
      <c r="AZ61" s="26" t="str">
        <f>IF(AU61="","",((VLOOKUP(Compositions!A126,'HHV-LHV-MW'!$A$3:$F$40,6,FALSE))*(AU61/100)))</f>
        <v/>
      </c>
      <c r="BA61" s="26" t="str">
        <f>IF(Compositions!E126="","",(Compositions!E126*(VLOOKUP(Compositions!A126,'HHV-LHV-MW'!$A$3:$F$40,6,FALSE))))</f>
        <v/>
      </c>
      <c r="BB61" s="296" t="str">
        <f>IF(Compositions!E126="","",IF(OR(Compositions!$E$118="wt%",Compositions!$E$118=""),Compositions!E126,(IF(BA61="","",((BA61/$BA$78)*100)))))</f>
        <v/>
      </c>
      <c r="BC61" s="39" t="str">
        <f>IF(BB61="","",(IF(OR(Compositions!A126="Hydrogen",Compositions!A126="Helium",Compositions!A126="Water",Compositions!A126="Carbon Monoxide",Compositions!A126="Nitrogen",Compositions!A126="Oxygen",Compositions!A126="Hydrogen Sulfide",Compositions!A126="Argon",Compositions!A126="Carbon Dioxide",Compositions!A126="Carbon Disulfide"),0,BB61)))</f>
        <v/>
      </c>
      <c r="BD61" s="186" t="str">
        <f>IF(Compositions!E126="","",((AU61/100)*((VLOOKUP(Compositions!A126,'HHV-LHV-MW'!$A$3:$G$40,7,FALSE)))))</f>
        <v/>
      </c>
      <c r="BE61" s="186" t="str">
        <f>IF(AU61="","",(IF(OR(Compositions!A126="Hydrogen",Compositions!A126="Carbon Disulfide",Compositions!A126="Helium",Compositions!A126="Water",Compositions!A126="Carbon Monoxide",Compositions!A126="Nitrogen",Compositions!A126="Oxygen",Compositions!A126="Hydrogen Sulfide",Compositions!A126="Argon",Compositions!A126="Carbon Dioxide",Compositions!A126="Methane",Compositions!A126="Ethane"),0,(AU61/100))))</f>
        <v/>
      </c>
      <c r="BF61" s="39" t="str">
        <f>IF(AU61="","",(IF(OR($BE$78=0,$BE$78=""),0,     ((VLOOKUP(Compositions!A126,'HHV-LHV-MW'!$A$3:$F$40,6,FALSE))*(BE61/$BE$78)))))</f>
        <v/>
      </c>
      <c r="BH61" s="27" t="str">
        <f>IF(Compositions!H126="","",IF(Compositions!$H$118="mol%",Compositions!H126,BI61))</f>
        <v/>
      </c>
      <c r="BI61" s="27" t="str">
        <f t="shared" si="29"/>
        <v/>
      </c>
      <c r="BJ61" s="27" t="str">
        <f>IF(Compositions!H126="","",(Compositions!H126/(VLOOKUP(Compositions!G126,'HHV-LHV-MW'!$A$3:$F$40,6,FALSE))))</f>
        <v/>
      </c>
      <c r="BK61" s="25" t="str">
        <f>IF(BH61="","",((VLOOKUP(Compositions!G126,'HHV-LHV-MW'!$A$3:$F$40,4,FALSE))*(BH61/100)))</f>
        <v/>
      </c>
      <c r="BL61" s="25" t="str">
        <f>IF(BH61="","",((VLOOKUP(Compositions!G126,'HHV-LHV-MW'!$A$3:$F$40,5,FALSE))*(BH61/100)))</f>
        <v/>
      </c>
      <c r="BM61" s="25" t="str">
        <f>IF(BH61="","",((VLOOKUP(Compositions!G126,'HHV-LHV-MW'!$A$3:$F$40,6,FALSE))*(BH61/100)))</f>
        <v/>
      </c>
      <c r="BN61" s="25" t="str">
        <f>IF(Compositions!H126="","",(Compositions!H126*(VLOOKUP(Compositions!G126,'HHV-LHV-MW'!$A$3:$F$40,6,FALSE))))</f>
        <v/>
      </c>
      <c r="BO61" s="295" t="str">
        <f>IF(Compositions!H126="","",IF(OR(Compositions!$H$118="wt%",Compositions!$H$118=""),Compositions!H126,(IF(BN61="","",((BN61/$BN$78)*100)))))</f>
        <v/>
      </c>
      <c r="BP61" s="185" t="str">
        <f>IF(BO61="","",(IF(OR(Compositions!G126="Hydrogen",Compositions!G126="Helium",Compositions!G126="Water",Compositions!G126="Carbon Monoxide",Compositions!G126="Nitrogen",Compositions!G126="Oxygen",Compositions!G126="Hydrogen Sulfide",Compositions!G126="Argon",Compositions!G126="Carbon Dioxide",Compositions!G126="Carbon Disulfide"),0,BO61)))</f>
        <v/>
      </c>
      <c r="BQ61" s="187" t="str">
        <f>IF(Compositions!H126="","",((BH61/100)*((VLOOKUP(Compositions!G126,'HHV-LHV-MW'!$A$3:$G$40,7,FALSE)))))</f>
        <v/>
      </c>
      <c r="BR61" s="187" t="str">
        <f>IF(BH61="","",(IF(OR(Compositions!G126="Hydrogen",Compositions!G126="Carbon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Dioxide",Compositions!G126="Methane",Compositions!G126="Ethane"),0,(BH61/100))))</f>
        <v/>
      </c>
      <c r="BS61" s="205" t="str">
        <f>IF(BH61="","",(IF(OR($BR$78=0,$BR$78=""),0,    ((VLOOKUP(Compositions!G126,'HHV-LHV-MW'!$A$3:$F$40,6,FALSE))*(BR61/$BR$78)))))</f>
        <v/>
      </c>
      <c r="BT61" s="28" t="str">
        <f>IF(Compositions!I126="","",IF(Compositions!$I$118="mol%",Compositions!I126,BU61))</f>
        <v/>
      </c>
      <c r="BU61" s="28" t="str">
        <f t="shared" si="30"/>
        <v/>
      </c>
      <c r="BV61" s="28" t="str">
        <f>IF(Compositions!I126="","",(Compositions!I126/(VLOOKUP(Compositions!G126,'HHV-LHV-MW'!$A$3:$F$40,6,FALSE))))</f>
        <v/>
      </c>
      <c r="BW61" s="26" t="str">
        <f>IF(BT61="","",((VLOOKUP(Compositions!G126,'HHV-LHV-MW'!$A$3:$F$40,4,FALSE))*(BT61/100)))</f>
        <v/>
      </c>
      <c r="BX61" s="26" t="str">
        <f>IF(BT61="","",((VLOOKUP(Compositions!G126,'HHV-LHV-MW'!$A$3:$F$40,5,FALSE))*(BT61/100)))</f>
        <v/>
      </c>
      <c r="BY61" s="26" t="str">
        <f>IF(BT61="","",((VLOOKUP(Compositions!G126,'HHV-LHV-MW'!$A$3:$F$40,6,FALSE))*(BT61/100)))</f>
        <v/>
      </c>
      <c r="BZ61" s="26" t="str">
        <f>IF(Compositions!I126="","",(Compositions!I126*(VLOOKUP(Compositions!G126,'HHV-LHV-MW'!$A$3:$F$40,6,FALSE))))</f>
        <v/>
      </c>
      <c r="CA61" s="296" t="str">
        <f>IF(Compositions!I126="","",IF(OR(Compositions!$I$118="wt%",Compositions!$I$118=""),Compositions!I126,(IF(BZ61="","",((BZ61/$BZ$78)*100)))))</f>
        <v/>
      </c>
      <c r="CB61" s="39" t="str">
        <f>IF(CA61="","",(IF(OR(Compositions!G126="Hydrogen",Compositions!G126="Helium",Compositions!G126="Water",Compositions!G126="Carbon Monoxide",Compositions!G126="Nitrogen",Compositions!G126="Oxygen",Compositions!G126="Hydrogen Sulfide",Compositions!G126="Argon",Compositions!G126="Carbon Dioxide",Compositions!G126="Carbon Disulfide"),0,CA61)))</f>
        <v/>
      </c>
      <c r="CC61" s="186" t="str">
        <f>IF(Compositions!I126="","",((BT61/100)*((VLOOKUP(Compositions!G126,'HHV-LHV-MW'!$A$3:$G$40,7,FALSE)))))</f>
        <v/>
      </c>
      <c r="CD61" s="186" t="str">
        <f>IF(BT61="","",(IF(OR(Compositions!G126="Hydrogen",Compositions!G126="Carbon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Dioxide",Compositions!G126="Methane",Compositions!G126="Ethane"),0,(BT61/100))))</f>
        <v/>
      </c>
      <c r="CE61" s="39" t="str">
        <f>IF(BT61="","",(IF(OR($CD$78=0,$CD$78=""),0,       ((VLOOKUP(Compositions!G126,'HHV-LHV-MW'!$A$3:$F$40,6,FALSE))*(CD61/$CD$78)))))</f>
        <v/>
      </c>
      <c r="CF61" s="27" t="str">
        <f>IF(Compositions!J126="","",IF(Compositions!$J$118="mol%",Compositions!J126,CG61))</f>
        <v/>
      </c>
      <c r="CG61" s="27" t="str">
        <f t="shared" si="31"/>
        <v/>
      </c>
      <c r="CH61" s="27" t="str">
        <f>IF(Compositions!J126="","",(Compositions!J126/(VLOOKUP(Compositions!G126,'HHV-LHV-MW'!$A$3:$F$40,6,FALSE))))</f>
        <v/>
      </c>
      <c r="CI61" s="25" t="str">
        <f>IF(CF61="","",((VLOOKUP(Compositions!G126,'HHV-LHV-MW'!$A$3:$F$40,4,FALSE))*(CF61/100)))</f>
        <v/>
      </c>
      <c r="CJ61" s="25" t="str">
        <f>IF(CF61="","",((VLOOKUP(Compositions!G126,'HHV-LHV-MW'!$A$3:$F$40,5,FALSE))*(CF61/100)))</f>
        <v/>
      </c>
      <c r="CK61" s="25" t="str">
        <f>IF(CF61="","",((VLOOKUP(Compositions!G126,'HHV-LHV-MW'!$A$3:$F$40,6,FALSE))*(CF61/100)))</f>
        <v/>
      </c>
      <c r="CL61" s="25" t="str">
        <f>IF(Compositions!J126="","",(Compositions!J126*(VLOOKUP(Compositions!G126,'HHV-LHV-MW'!$A$3:$F$40,6,FALSE))))</f>
        <v/>
      </c>
      <c r="CM61" s="295" t="str">
        <f>IF(Compositions!J126="","",IF(OR(Compositions!$J$118="wt%",Compositions!$J$118=""),Compositions!J126,(IF(CL61="","",((CL61/$CL$78)*100)))))</f>
        <v/>
      </c>
      <c r="CN61" s="185" t="str">
        <f>IF(CM61="","",(IF(OR(Compositions!G126="Hydrogen",Compositions!G126="Helium",Compositions!G126="Water",Compositions!G126="Carbon Monoxide",Compositions!G126="Nitrogen",Compositions!G126="Oxygen",Compositions!G126="Hydrogen Sulfide",Compositions!G126="Argon",Compositions!G126="Carbon Dioxide",Compositions!G126="Carbon Disulfide"),0,CM61)))</f>
        <v/>
      </c>
      <c r="CO61" s="187" t="str">
        <f>IF(Compositions!J126="","",((CF61/100)*((VLOOKUP(Compositions!G126,'HHV-LHV-MW'!$A$3:$G$40,7,FALSE)))))</f>
        <v/>
      </c>
      <c r="CP61" s="187" t="str">
        <f>IF(CF61="","",(IF(OR(Compositions!G126="Hydrogen",Compositions!G126="Carbon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Dioxide",Compositions!G126="Methane",Compositions!G126="Ethane"),0,(CF61/100))))</f>
        <v/>
      </c>
      <c r="CQ61" s="205" t="str">
        <f>IF(CF61="","",(IF(OR($CP$78=0,$CP$78=""),0,       ((VLOOKUP(Compositions!G126,'HHV-LHV-MW'!$A$3:$F$40,6,FALSE))*(CP61/$CP$78)))))</f>
        <v/>
      </c>
      <c r="CR61" s="28" t="str">
        <f>IF(Compositions!K126="","",IF(Compositions!$K$118="mol%",Compositions!K126,CS61))</f>
        <v/>
      </c>
      <c r="CS61" s="28" t="str">
        <f t="shared" si="32"/>
        <v/>
      </c>
      <c r="CT61" s="28" t="str">
        <f>IF(Compositions!K126="","",(Compositions!K126/(VLOOKUP(Compositions!G126,'HHV-LHV-MW'!$A$3:$F$40,6,FALSE))))</f>
        <v/>
      </c>
      <c r="CU61" s="26" t="str">
        <f>IF(CR61="","",((VLOOKUP(Compositions!G126,'HHV-LHV-MW'!$A$3:$F$40,4,FALSE))*(CR61/100)))</f>
        <v/>
      </c>
      <c r="CV61" s="26" t="str">
        <f>IF(CR61="","",((VLOOKUP(Compositions!G126,'HHV-LHV-MW'!$A$3:$F$40,5,FALSE))*(CR61/100)))</f>
        <v/>
      </c>
      <c r="CW61" s="26" t="str">
        <f>IF(CR61="","",((VLOOKUP(Compositions!G126,'HHV-LHV-MW'!$A$3:$F$40,6,FALSE))*(CR61/100)))</f>
        <v/>
      </c>
      <c r="CX61" s="26" t="str">
        <f>IF(Compositions!K126="","",(Compositions!K126*(VLOOKUP(Compositions!G126,'HHV-LHV-MW'!$A$3:$F$40,6,FALSE))))</f>
        <v/>
      </c>
      <c r="CY61" s="296" t="str">
        <f>IF(Compositions!K126="","",IF(OR(Compositions!$K$118="wt%",Compositions!$K$118=""),Compositions!K126,(IF(CX61="","",((CX61/$CX$78)*100)))))</f>
        <v/>
      </c>
      <c r="CZ61" s="39" t="str">
        <f>IF(CY61="","",(IF(OR(Compositions!G126="Hydrogen",Compositions!G126="Helium",Compositions!G126="Water",Compositions!G126="Carbon Monoxide",Compositions!G126="Nitrogen",Compositions!G126="Oxygen",Compositions!G126="Hydrogen Sulfide",Compositions!G126="Argon",Compositions!G126="Carbon Dioxide",Compositions!G126="Carbon Disulfide"),0,CY61)))</f>
        <v/>
      </c>
      <c r="DA61" s="186" t="str">
        <f>IF(Compositions!K126="","",((CR61/100)*((VLOOKUP(Compositions!G126,'HHV-LHV-MW'!$A$3:$G$40,7,FALSE)))))</f>
        <v/>
      </c>
      <c r="DB61" s="186" t="str">
        <f>IF(CR61="","",(IF(OR(Compositions!G126="Hydrogen",Compositions!G126="Carbon Disulfide",Compositions!G126="Helium",Compositions!G126="Water",Compositions!G126="Carbon Monoxide",Compositions!G126="Nitrogen",Compositions!G126="Oxygen",Compositions!G126="Hydrogen Sulfide",Compositions!G126="Argon",Compositions!G126="Carbon Dioxide",Compositions!G126="Methane",Compositions!G126="Ethane"),0,(CR61/100))))</f>
        <v/>
      </c>
      <c r="DC61" s="39" t="str">
        <f>IF(CR61="","",(IF(OR($DB$78=0,$DB$78=""),0,       ((VLOOKUP(Compositions!G126,'HHV-LHV-MW'!$A$3:$F$40,6,FALSE))*(DB61/$DB$78)))))</f>
        <v/>
      </c>
      <c r="DE61" s="27" t="str">
        <f>IF(Compositions!N126="","",IF(Compositions!$N$118="mol%",Compositions!N126,DF61))</f>
        <v/>
      </c>
      <c r="DF61" s="27" t="str">
        <f t="shared" si="33"/>
        <v/>
      </c>
      <c r="DG61" s="27" t="str">
        <f>IF(Compositions!N126="","",(Compositions!N126/(VLOOKUP(Compositions!M126,'HHV-LHV-MW'!$A$3:$F$40,6,FALSE))))</f>
        <v/>
      </c>
      <c r="DH61" s="25" t="str">
        <f>IF(DE61="","",((VLOOKUP(Compositions!M126,'HHV-LHV-MW'!$A$3:$F$40,4,FALSE))*(DE61/100)))</f>
        <v/>
      </c>
      <c r="DI61" s="25" t="str">
        <f>IF(DE61="","",((VLOOKUP(Compositions!M126,'HHV-LHV-MW'!$A$3:$F$40,5,FALSE))*(DE61/100)))</f>
        <v/>
      </c>
      <c r="DJ61" s="25" t="str">
        <f>IF(DE61="","",((VLOOKUP(Compositions!M126,'HHV-LHV-MW'!$A$3:$F$40,6,FALSE))*(DE61/100)))</f>
        <v/>
      </c>
      <c r="DK61" s="25" t="str">
        <f>IF(Compositions!N126="","",(Compositions!N126*(VLOOKUP(Compositions!M126,'HHV-LHV-MW'!$A$3:$F$40,6,FALSE))))</f>
        <v/>
      </c>
      <c r="DL61" s="295" t="str">
        <f>IF(Compositions!N126="","",IF(OR(Compositions!$N$118="wt%",Compositions!$N$118=""),Compositions!N126,(IF(DK61="","",((DK61/$DK$78)*100)))))</f>
        <v/>
      </c>
      <c r="DM61" s="185" t="str">
        <f>IF(DL61="","",(IF(OR(Compositions!M126="Hydrogen",Compositions!M126="Helium",Compositions!M126="Water",Compositions!M126="Carbon Monoxide",Compositions!M126="Nitrogen",Compositions!M126="Oxygen",Compositions!M126="Hydrogen Sulfide",Compositions!M126="Argon",Compositions!M126="Carbon Dioxide",Compositions!M126="Carbon Disulfide"),0,DL61)))</f>
        <v/>
      </c>
      <c r="DN61" s="187" t="str">
        <f>IF(Compositions!N126="","",((DE61/100)*((VLOOKUP(Compositions!M126,'HHV-LHV-MW'!$A$3:$G$40,7,FALSE)))))</f>
        <v/>
      </c>
      <c r="DO61" s="187" t="str">
        <f>IF(DE61="","",(IF(OR(Compositions!M126="Hydrogen",Compositions!M126="Carbon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Dioxide",Compositions!M126="Methane",Compositions!M126="Ethane"),0,(DE61/100))))</f>
        <v/>
      </c>
      <c r="DP61" s="205" t="str">
        <f>IF(DE61="","",(IF(OR($DO$78=0,$DO$78=""),0,       ((VLOOKUP(Compositions!M126,'HHV-LHV-MW'!$A$3:$F$40,6,FALSE))*(DO61/$DO$78)))))</f>
        <v/>
      </c>
      <c r="DQ61" s="28" t="str">
        <f>IF(Compositions!O126="","",IF(Compositions!$O$118="mol%",Compositions!O126,DR61))</f>
        <v/>
      </c>
      <c r="DR61" s="28" t="str">
        <f t="shared" si="34"/>
        <v/>
      </c>
      <c r="DS61" s="28" t="str">
        <f>IF(Compositions!O126="","",(Compositions!O126/(VLOOKUP(Compositions!M126,'HHV-LHV-MW'!$A$3:$F$40,6,FALSE))))</f>
        <v/>
      </c>
      <c r="DT61" s="26" t="str">
        <f>IF(DQ61="","",((VLOOKUP(Compositions!M126,'HHV-LHV-MW'!$A$3:$F$40,4,FALSE))*(DQ61/100)))</f>
        <v/>
      </c>
      <c r="DU61" s="26" t="str">
        <f>IF(DQ61="","",((VLOOKUP(Compositions!M126,'HHV-LHV-MW'!$A$3:$F$40,5,FALSE))*(DQ61/100)))</f>
        <v/>
      </c>
      <c r="DV61" s="26" t="str">
        <f>IF(DQ61="","",((VLOOKUP(Compositions!M126,'HHV-LHV-MW'!$A$3:$F$40,6,FALSE))*(DQ61/100)))</f>
        <v/>
      </c>
      <c r="DW61" s="26" t="str">
        <f>IF(Compositions!O126="","",(Compositions!O126*(VLOOKUP(Compositions!M126,'HHV-LHV-MW'!$A$3:$F$40,6,FALSE))))</f>
        <v/>
      </c>
      <c r="DX61" s="296" t="str">
        <f>IF(Compositions!O126="","",IF(OR(Compositions!$O$118="wt%",Compositions!$O$118=""),Compositions!O126,(IF(DW61="","",((DW61/$DW$78)*100)))))</f>
        <v/>
      </c>
      <c r="DY61" s="39" t="str">
        <f>IF(DX61="","",(IF(OR(Compositions!M126="Hydrogen",Compositions!M126="Helium",Compositions!M126="Water",Compositions!M126="Carbon Monoxide",Compositions!M126="Nitrogen",Compositions!M126="Oxygen",Compositions!M126="Hydrogen Sulfide",Compositions!M126="Argon",Compositions!M126="Carbon Dioxide",Compositions!M126="Carbon Disulfide"),0,DX61)))</f>
        <v/>
      </c>
      <c r="DZ61" s="186" t="str">
        <f>IF(Compositions!O126="","",((DQ61/100)*((VLOOKUP(Compositions!M126,'HHV-LHV-MW'!$A$3:$G$40,7,FALSE)))))</f>
        <v/>
      </c>
      <c r="EA61" s="186" t="str">
        <f>IF(DQ61="","",(IF(OR(Compositions!M126="Hydrogen",Compositions!M126="Carbon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Dioxide",Compositions!M126="Methane",Compositions!M126="Ethane"),0,(DQ61/100))))</f>
        <v/>
      </c>
      <c r="EB61" s="39" t="str">
        <f>IF(DQ61="","",(IF(OR($EA$78=0,$EA$78=""),0,       ((VLOOKUP(Compositions!M126,'HHV-LHV-MW'!$A$3:$F$40,6,FALSE))*(EA61/$EA$78)))))</f>
        <v/>
      </c>
      <c r="EC61" s="27" t="str">
        <f>IF(Compositions!P126="","",IF(Compositions!$P$118="mol%",Compositions!P126,ED61))</f>
        <v/>
      </c>
      <c r="ED61" s="27" t="str">
        <f t="shared" si="35"/>
        <v/>
      </c>
      <c r="EE61" s="27" t="str">
        <f>IF(Compositions!P126="","",(Compositions!P126/(VLOOKUP(Compositions!M126,'HHV-LHV-MW'!$A$3:$F$40,6,FALSE))))</f>
        <v/>
      </c>
      <c r="EF61" s="25" t="str">
        <f>IF(EC61="","",((VLOOKUP(Compositions!M126,'HHV-LHV-MW'!$A$3:$F$40,4,FALSE))*(EC61/100)))</f>
        <v/>
      </c>
      <c r="EG61" s="25" t="str">
        <f>IF(EC61="","",((VLOOKUP(Compositions!M126,'HHV-LHV-MW'!$A$3:$F$40,5,FALSE))*(EC61/100)))</f>
        <v/>
      </c>
      <c r="EH61" s="25" t="str">
        <f>IF(EC61="","",((VLOOKUP(Compositions!M126,'HHV-LHV-MW'!$A$3:$F$40,6,FALSE))*(EC61/100)))</f>
        <v/>
      </c>
      <c r="EI61" s="25" t="str">
        <f>IF(Compositions!P126="","",(Compositions!P126*(VLOOKUP(Compositions!M126,'HHV-LHV-MW'!$A$3:$F$40,6,FALSE))))</f>
        <v/>
      </c>
      <c r="EJ61" s="295" t="str">
        <f>IF(Compositions!P126="","",IF(OR(Compositions!$P$118="wt%",Compositions!$P$118=""),Compositions!P126,(IF(EI61="","",((EI61/$EI$78)*100)))))</f>
        <v/>
      </c>
      <c r="EK61" s="185" t="str">
        <f>IF(EJ61="","",(IF(OR(Compositions!M126="Hydrogen",Compositions!M126="Helium",Compositions!M126="Water",Compositions!M126="Carbon Monoxide",Compositions!M126="Nitrogen",Compositions!M126="Oxygen",Compositions!M126="Hydrogen Sulfide",Compositions!M126="Argon",Compositions!M126="Carbon Dioxide",Compositions!M126="Carbon Disulfide"),0,EJ61)))</f>
        <v/>
      </c>
      <c r="EL61" s="187" t="str">
        <f>IF(Compositions!P126="","",((EC61/100)*((VLOOKUP(Compositions!M126,'HHV-LHV-MW'!$A$3:$G$40,7,FALSE)))))</f>
        <v/>
      </c>
      <c r="EM61" s="187" t="str">
        <f>IF(EC61="","",(IF(OR(Compositions!M126="Hydrogen",Compositions!M126="Carbon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Dioxide",Compositions!M126="Methane",Compositions!M126="Ethane"),0,(EC61/100))))</f>
        <v/>
      </c>
      <c r="EN61" s="205" t="str">
        <f>IF(EC61="","",(IF(OR($EM$78=0,$EM$78=""),0,       ((VLOOKUP(Compositions!M126,'HHV-LHV-MW'!$A$3:$F$40,6,FALSE))*(EM61/$EM$78)))))</f>
        <v/>
      </c>
      <c r="EO61" s="28" t="str">
        <f>IF(Compositions!Q126="","",IF(Compositions!$Q$118="mol%",Compositions!Q126,EP61))</f>
        <v/>
      </c>
      <c r="EP61" s="28" t="str">
        <f t="shared" si="36"/>
        <v/>
      </c>
      <c r="EQ61" s="28" t="str">
        <f>IF(Compositions!Q126="","",(Compositions!Q126/(VLOOKUP(Compositions!M126,'HHV-LHV-MW'!$A$3:$F$40,6,FALSE))))</f>
        <v/>
      </c>
      <c r="ER61" s="26" t="str">
        <f>IF(EO61="","",((VLOOKUP(Compositions!M126,'HHV-LHV-MW'!$A$3:$F$40,4,FALSE))*(EO61/100)))</f>
        <v/>
      </c>
      <c r="ES61" s="26" t="str">
        <f>IF(EO61="","",((VLOOKUP(Compositions!M126,'HHV-LHV-MW'!$A$3:$F$40,5,FALSE))*(EO61/100)))</f>
        <v/>
      </c>
      <c r="ET61" s="26" t="str">
        <f>IF(EO61="","",((VLOOKUP(Compositions!M126,'HHV-LHV-MW'!$A$3:$F$40,6,FALSE))*(EO61/100)))</f>
        <v/>
      </c>
      <c r="EU61" s="26" t="str">
        <f>IF(Compositions!Q126="","",(Compositions!Q126*(VLOOKUP(Compositions!M126,'HHV-LHV-MW'!$A$3:$F$40,6,FALSE))))</f>
        <v/>
      </c>
      <c r="EV61" s="296" t="str">
        <f>IF(Compositions!Q126="","",IF(OR(Compositions!$Q$118="wt%",Compositions!$Q$118=""),Compositions!Q126,(IF(EU61="","",((EU61/$EU$78)*100)))))</f>
        <v/>
      </c>
      <c r="EW61" s="39" t="str">
        <f>IF(EV61="","",(IF(OR(Compositions!M126="Hydrogen",Compositions!M126="Helium",Compositions!M126="Water",Compositions!M126="Carbon Monoxide",Compositions!M126="Nitrogen",Compositions!M126="Oxygen",Compositions!M126="Hydrogen Sulfide",Compositions!M126="Argon",Compositions!M126="Carbon Dioxide",Compositions!M126="Carbon Disulfide"),0,EV61)))</f>
        <v/>
      </c>
      <c r="EX61" s="186" t="str">
        <f>IF(Compositions!Q126="","",((EO61/100)*((VLOOKUP(Compositions!M126,'HHV-LHV-MW'!$A$3:$G$40,7,FALSE)))))</f>
        <v/>
      </c>
      <c r="EY61" s="186" t="str">
        <f>IF(EO61="","",(IF(OR(Compositions!M126="Hydrogen",Compositions!M126="Carbon Disulfide",Compositions!M126="Helium",Compositions!M126="Water",Compositions!M126="Carbon Monoxide",Compositions!M126="Nitrogen",Compositions!M126="Oxygen",Compositions!M126="Hydrogen Sulfide",Compositions!M126="Argon",Compositions!M126="Carbon Dioxide",Compositions!M126="Methane",Compositions!M126="Ethane"),0,(EO61/100))))</f>
        <v/>
      </c>
      <c r="EZ61" s="39" t="str">
        <f>IF(EO61="","",(IF(OR($EY$78=0,$EY$78=""),0,       ((VLOOKUP(Compositions!M126,'HHV-LHV-MW'!$A$3:$F$40,6,FALSE))*(EY61/$EY$78)))))</f>
        <v/>
      </c>
      <c r="FB61" s="27" t="str">
        <f>IF(Compositions!T126="","",IF(Compositions!$T$118="mol%",Compositions!T126,FC61))</f>
        <v/>
      </c>
      <c r="FC61" s="27" t="str">
        <f t="shared" si="37"/>
        <v/>
      </c>
      <c r="FD61" s="27" t="str">
        <f>IF(Compositions!T126="","",(Compositions!T126/(VLOOKUP(Compositions!S126,'HHV-LHV-MW'!$A$3:$F$40,6,FALSE))))</f>
        <v/>
      </c>
      <c r="FE61" s="25" t="str">
        <f>IF(FB61="","",((VLOOKUP(Compositions!S126,'HHV-LHV-MW'!$A$3:$F$40,4,FALSE))*(FB61/100)))</f>
        <v/>
      </c>
      <c r="FF61" s="25" t="str">
        <f>IF(FB61="","",((VLOOKUP(Compositions!S126,'HHV-LHV-MW'!$A$3:$F$40,5,FALSE))*(FB61/100)))</f>
        <v/>
      </c>
      <c r="FG61" s="25" t="str">
        <f>IF(FB61="","",((VLOOKUP(Compositions!S126,'HHV-LHV-MW'!$A$3:$F$40,6,FALSE))*(FB61/100)))</f>
        <v/>
      </c>
      <c r="FH61" s="25" t="str">
        <f>IF(Compositions!T126="","",(Compositions!T126*(VLOOKUP(Compositions!S126,'HHV-LHV-MW'!$A$3:$F$40,6,FALSE))))</f>
        <v/>
      </c>
      <c r="FI61" s="295" t="str">
        <f>IF(Compositions!T126="","",IF(OR(Compositions!$T$118="wt%",Compositions!$T$118=""),Compositions!T126,(IF(FH61="","",((FH61/$FH$78)*100)))))</f>
        <v/>
      </c>
      <c r="FJ61" s="185" t="str">
        <f>IF(FI61="","",(IF(OR(Compositions!S126="Hydrogen",Compositions!S126="Helium",Compositions!S126="Water",Compositions!S126="Carbon Monoxide",Compositions!S126="Nitrogen",Compositions!S126="Oxygen",Compositions!S126="Hydrogen Sulfide",Compositions!S126="Argon",Compositions!S126="Carbon Dioxide",Compositions!S126="Carbon Disulfide"),0,FI61)))</f>
        <v/>
      </c>
      <c r="FK61" s="187" t="str">
        <f>IF(Compositions!T126="","",((FB61/100)*((VLOOKUP(Compositions!S126,'HHV-LHV-MW'!$A$3:$G$40,7,FALSE)))))</f>
        <v/>
      </c>
      <c r="FL61" s="187" t="str">
        <f>IF(FB61="","",(IF(OR(Compositions!S126="Hydrogen",Compositions!S126="Carbon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Dioxide",Compositions!S126="Methane",Compositions!S126="Ethane"),0,(FB61/100))))</f>
        <v/>
      </c>
      <c r="FM61" s="205" t="str">
        <f>IF(FB61="","",(IF(OR($FL$78=0,$FL$78=""),0,       ((VLOOKUP(Compositions!S126,'HHV-LHV-MW'!$A$3:$F$40,6,FALSE))*(FL61/$FL$78)))))</f>
        <v/>
      </c>
      <c r="FN61" s="28" t="str">
        <f>IF(Compositions!U126="","",IF(Compositions!$U$118="mol%",Compositions!U126,FO61))</f>
        <v/>
      </c>
      <c r="FO61" s="28" t="str">
        <f t="shared" si="38"/>
        <v/>
      </c>
      <c r="FP61" s="28" t="str">
        <f>IF(Compositions!U126="","",(Compositions!U126/(VLOOKUP(Compositions!S126,'HHV-LHV-MW'!$A$3:$F$40,6,FALSE))))</f>
        <v/>
      </c>
      <c r="FQ61" s="26" t="str">
        <f>IF(FN61="","",((VLOOKUP(Compositions!S126,'HHV-LHV-MW'!$A$3:$F$40,4,FALSE))*(FN61/100)))</f>
        <v/>
      </c>
      <c r="FR61" s="26" t="str">
        <f>IF(FN61="","",((VLOOKUP(Compositions!S126,'HHV-LHV-MW'!$A$3:$F$40,5,FALSE))*(FN61/100)))</f>
        <v/>
      </c>
      <c r="FS61" s="26" t="str">
        <f>IF(FN61="","",((VLOOKUP(Compositions!S126,'HHV-LHV-MW'!$A$3:$F$40,6,FALSE))*(FN61/100)))</f>
        <v/>
      </c>
      <c r="FT61" s="26" t="str">
        <f>IF(Compositions!U126="","",(Compositions!U126*(VLOOKUP(Compositions!S126,'HHV-LHV-MW'!$A$3:$F$40,6,FALSE))))</f>
        <v/>
      </c>
      <c r="FU61" s="296" t="str">
        <f>IF(Compositions!U126="","",IF(OR(Compositions!$U$118="wt%",Compositions!$U$118=""),Compositions!U126,(IF(FT61="","",((FT61/$FT$78)*100)))))</f>
        <v/>
      </c>
      <c r="FV61" s="39" t="str">
        <f>IF(FU61="","",(IF(OR(Compositions!S126="Hydrogen",Compositions!S126="Helium",Compositions!S126="Water",Compositions!S126="Carbon Monoxide",Compositions!S126="Nitrogen",Compositions!S126="Oxygen",Compositions!S126="Hydrogen Sulfide",Compositions!S126="Argon",Compositions!S126="Carbon Dioxide",Compositions!S126="Carbon Disulfide"),0,FU61)))</f>
        <v/>
      </c>
      <c r="FW61" s="186" t="str">
        <f>IF(Compositions!U126="","",((FN61/100)*((VLOOKUP(Compositions!S126,'HHV-LHV-MW'!$A$3:$G$40,7,FALSE)))))</f>
        <v/>
      </c>
      <c r="FX61" s="186" t="str">
        <f>IF(FN61="","",(IF(OR(Compositions!S126="Hydrogen",Compositions!S126="Carbon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Dioxide",Compositions!S126="Methane",Compositions!S126="Ethane"),0,(FN61/100))))</f>
        <v/>
      </c>
      <c r="FY61" s="39" t="str">
        <f>IF(FN61="","",(IF(OR($FX$78=0,$FX$78=""),0,       ((VLOOKUP(Compositions!S126,'HHV-LHV-MW'!$A$3:$F$40,6,FALSE))*(FX61/$FX$78)))))</f>
        <v/>
      </c>
      <c r="FZ61" s="27" t="str">
        <f>IF(Compositions!V126="","",IF(Compositions!$V$118="mol%",Compositions!V126,GA61))</f>
        <v/>
      </c>
      <c r="GA61" s="27" t="str">
        <f t="shared" si="39"/>
        <v/>
      </c>
      <c r="GB61" s="27" t="str">
        <f>IF(Compositions!V126="","",(Compositions!V126/(VLOOKUP(Compositions!S126,'HHV-LHV-MW'!$A$3:$F$40,6,FALSE))))</f>
        <v/>
      </c>
      <c r="GC61" s="25" t="str">
        <f>IF(FZ61="","",((VLOOKUP(Compositions!S126,'HHV-LHV-MW'!$A$3:$F$40,4,FALSE))*(FZ61/100)))</f>
        <v/>
      </c>
      <c r="GD61" s="25" t="str">
        <f>IF(FZ61="","",((VLOOKUP(Compositions!S126,'HHV-LHV-MW'!$A$3:$F$40,5,FALSE))*(FZ61/100)))</f>
        <v/>
      </c>
      <c r="GE61" s="25" t="str">
        <f>IF(FZ61="","",((VLOOKUP(Compositions!S126,'HHV-LHV-MW'!$A$3:$F$40,6,FALSE))*(FZ61/100)))</f>
        <v/>
      </c>
      <c r="GF61" s="25" t="str">
        <f>IF(Compositions!V126="","",(Compositions!V126*(VLOOKUP(Compositions!S126,'HHV-LHV-MW'!$A$3:$F$40,6,FALSE))))</f>
        <v/>
      </c>
      <c r="GG61" s="295" t="str">
        <f>IF(Compositions!V126="","",IF(OR(Compositions!$V$118="wt%",Compositions!$V$118=""),Compositions!V126,(IF(GF61="","",((GF61/$GF$78)*100)))))</f>
        <v/>
      </c>
      <c r="GH61" s="185" t="str">
        <f>IF(GG61="","",(IF(OR(Compositions!S126="Hydrogen",Compositions!S126="Helium",Compositions!S126="Water",Compositions!S126="Carbon Monoxide",Compositions!S126="Nitrogen",Compositions!S126="Oxygen",Compositions!S126="Hydrogen Sulfide",Compositions!S126="Argon",Compositions!S126="Carbon Dioxide",Compositions!S126="Carbon Disulfide"),0,GG61)))</f>
        <v/>
      </c>
      <c r="GI61" s="187" t="str">
        <f>IF(Compositions!V126="","",((FZ61/100)*((VLOOKUP(Compositions!S126,'HHV-LHV-MW'!$A$3:$G$40,7,FALSE)))))</f>
        <v/>
      </c>
      <c r="GJ61" s="187" t="str">
        <f>IF(FZ61="","",(IF(OR(Compositions!S126="Hydrogen",Compositions!S126="Carbon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Dioxide",Compositions!S126="Methane",Compositions!S126="Ethane"),0,(FZ61/100))))</f>
        <v/>
      </c>
      <c r="GK61" s="205" t="str">
        <f>IF(FZ61="","",(IF(OR($GJ$78=0,$GJ$78=""),0,       ((VLOOKUP(Compositions!S126,'HHV-LHV-MW'!$A$3:$F$40,6,FALSE))*(GJ61/$GJ$78)))))</f>
        <v/>
      </c>
      <c r="GL61" s="28" t="str">
        <f>IF(Compositions!W126="","",IF(Compositions!$W$118="mol%",Compositions!W126,GM61))</f>
        <v/>
      </c>
      <c r="GM61" s="28" t="str">
        <f t="shared" si="40"/>
        <v/>
      </c>
      <c r="GN61" s="28" t="str">
        <f>IF(Compositions!W126="","",(Compositions!W126/(VLOOKUP(Compositions!S126,'HHV-LHV-MW'!$A$3:$F$40,6,FALSE))))</f>
        <v/>
      </c>
      <c r="GO61" s="26" t="str">
        <f>IF(GL61="","",((VLOOKUP(Compositions!S126,'HHV-LHV-MW'!$A$3:$F$40,4,FALSE))*(GL61/100)))</f>
        <v/>
      </c>
      <c r="GP61" s="26" t="str">
        <f>IF(GL61="","",((VLOOKUP(Compositions!S126,'HHV-LHV-MW'!$A$3:$F$40,5,FALSE))*(GL61/100)))</f>
        <v/>
      </c>
      <c r="GQ61" s="26" t="str">
        <f>IF(GL61="","",((VLOOKUP(Compositions!S126,'HHV-LHV-MW'!$A$3:$F$40,6,FALSE))*(GL61/100)))</f>
        <v/>
      </c>
      <c r="GR61" s="26" t="str">
        <f>IF(Compositions!W126="","",(Compositions!W126*(VLOOKUP(Compositions!S126,'HHV-LHV-MW'!$A$3:$F$40,6,FALSE))))</f>
        <v/>
      </c>
      <c r="GS61" s="296" t="str">
        <f>IF(Compositions!W126="","",IF(OR(Compositions!$W$118="wt%",Compositions!$W$118=""),Compositions!W126,(IF(GR61="","",((GR61/$GR$78)*100)))))</f>
        <v/>
      </c>
      <c r="GT61" s="39" t="str">
        <f>IF(GS61="","",(IF(OR(Compositions!S126="Hydrogen",Compositions!S126="Helium",Compositions!S126="Water",Compositions!S126="Carbon Monoxide",Compositions!S126="Nitrogen",Compositions!S126="Oxygen",Compositions!S126="Hydrogen Sulfide",Compositions!S126="Argon",Compositions!S126="Carbon Dioxide",Compositions!S126="Carbon Disulfide"),0,GS61)))</f>
        <v/>
      </c>
      <c r="GU61" s="186" t="str">
        <f>IF(Compositions!W126="","",((GL61/100)*((VLOOKUP(Compositions!S126,'HHV-LHV-MW'!$A$3:$G$40,7,FALSE)))))</f>
        <v/>
      </c>
      <c r="GV61" s="186" t="str">
        <f>IF(GL61="","",(IF(OR(Compositions!S126="Hydrogen",Compositions!S126="Carbon Disulfide",Compositions!S126="Helium",Compositions!S126="Water",Compositions!S126="Carbon Monoxide",Compositions!S126="Nitrogen",Compositions!S126="Oxygen",Compositions!S126="Hydrogen Sulfide",Compositions!S126="Argon",Compositions!S126="Carbon Dioxide",Compositions!S126="Methane",Compositions!S126="Ethane"),0,(GL61/100))))</f>
        <v/>
      </c>
      <c r="GW61" s="39" t="str">
        <f>IF(GL61="","",(IF(OR($GV$78=0,$GV$78=""),0,       ((VLOOKUP(Compositions!S126,'HHV-LHV-MW'!$A$3:$F$40,6,FALSE))*(GV61/$GV$78)))))</f>
        <v/>
      </c>
      <c r="GY61" s="27" t="str">
        <f>IF(Compositions!Z126="","",IF(Compositions!$Z$118="mol%",Compositions!Z126,GZ61))</f>
        <v/>
      </c>
      <c r="GZ61" s="27" t="str">
        <f t="shared" si="41"/>
        <v/>
      </c>
      <c r="HA61" s="27" t="str">
        <f>IF(Compositions!Z126="","",(Compositions!Z126/(VLOOKUP(Compositions!Y126,'HHV-LHV-MW'!$A$3:$F$40,6,FALSE))))</f>
        <v/>
      </c>
      <c r="HB61" s="25" t="str">
        <f>IF(GY61="","",((VLOOKUP(Compositions!Y126,'HHV-LHV-MW'!$A$3:$F$40,4,FALSE))*(GY61/100)))</f>
        <v/>
      </c>
      <c r="HC61" s="25" t="str">
        <f>IF(GY61="","",((VLOOKUP(Compositions!Y126,'HHV-LHV-MW'!$A$3:$F$40,5,FALSE))*(GY61/100)))</f>
        <v/>
      </c>
      <c r="HD61" s="25" t="str">
        <f>IF(GY61="","",((VLOOKUP(Compositions!Y126,'HHV-LHV-MW'!$A$3:$F$40,6,FALSE))*(GY61/100)))</f>
        <v/>
      </c>
      <c r="HE61" s="25" t="str">
        <f>IF(Compositions!Z126="","",(Compositions!Z126*(VLOOKUP(Compositions!Y126,'HHV-LHV-MW'!$A$3:$F$40,6,FALSE))))</f>
        <v/>
      </c>
      <c r="HF61" s="295" t="str">
        <f>IF(Compositions!Z126="","",IF(OR(Compositions!$Z$118="wt%",Compositions!$Z$118=""),Compositions!Z126,(IF(HE61="","",((HE61/$HE$78)*100)))))</f>
        <v/>
      </c>
      <c r="HG61" s="185" t="str">
        <f>IF(HF61="","",(IF(OR(Compositions!Y126="Hydrogen",Compositions!Y126="Helium",Compositions!Y126="Water",Compositions!Y126="Carbon Monoxide",Compositions!Y126="Nitrogen",Compositions!Y126="Oxygen",Compositions!Y126="Hydrogen Sulfide",Compositions!Y126="Argon",Compositions!Y126="Carbon Dioxide",Compositions!Y126="Carbon Disulfide"),0,HF61)))</f>
        <v/>
      </c>
      <c r="HH61" s="187" t="str">
        <f>IF(Compositions!Z126="","",((GY61/100)*((VLOOKUP(Compositions!Y126,'HHV-LHV-MW'!$A$3:$G$40,7,FALSE)))))</f>
        <v/>
      </c>
      <c r="HI61" s="187" t="str">
        <f>IF(GY61="","",(IF(OR(Compositions!Y126="Hydrogen",Compositions!Y126="Carbon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Dioxide",Compositions!Y126="Methane",Compositions!Y126="Ethane"),0,(GY61/100))))</f>
        <v/>
      </c>
      <c r="HJ61" s="205" t="str">
        <f>IF(GY61="","",(IF(OR($HI$78=0,$HI$78=""),0,       ((VLOOKUP(Compositions!Y126,'HHV-LHV-MW'!$A$3:$F$40,6,FALSE))*(HI61/$HI$78)))))</f>
        <v/>
      </c>
      <c r="HK61" s="28" t="str">
        <f>IF(Compositions!AA126="","",IF(Compositions!$AA$118="mol%",Compositions!AA126,HL61))</f>
        <v/>
      </c>
      <c r="HL61" s="28" t="str">
        <f t="shared" si="42"/>
        <v/>
      </c>
      <c r="HM61" s="28" t="str">
        <f>IF(Compositions!AA126="","",(Compositions!AA126/(VLOOKUP(Compositions!Y126,'HHV-LHV-MW'!$A$3:$F$40,6,FALSE))))</f>
        <v/>
      </c>
      <c r="HN61" s="26" t="str">
        <f>IF(HK61="","",((VLOOKUP(Compositions!Y126,'HHV-LHV-MW'!$A$3:$F$40,4,FALSE))*(HK61/100)))</f>
        <v/>
      </c>
      <c r="HO61" s="26" t="str">
        <f>IF(HK61="","",((VLOOKUP(Compositions!Y126,'HHV-LHV-MW'!$A$3:$F$40,5,FALSE))*(HK61/100)))</f>
        <v/>
      </c>
      <c r="HP61" s="26" t="str">
        <f>IF(HK61="","",((VLOOKUP(Compositions!Y126,'HHV-LHV-MW'!$A$3:$F$40,6,FALSE))*(HK61/100)))</f>
        <v/>
      </c>
      <c r="HQ61" s="26" t="str">
        <f>IF(Compositions!AA126="","",(Compositions!AA126*(VLOOKUP(Compositions!Y126,'HHV-LHV-MW'!$A$3:$F$40,6,FALSE))))</f>
        <v/>
      </c>
      <c r="HR61" s="296" t="str">
        <f>IF(Compositions!AA126="","",IF(OR(Compositions!$AA$118="wt%",Compositions!$AA$118=""),Compositions!AA126,(IF(HQ61="","",((HQ61/$HQ$78)*100)))))</f>
        <v/>
      </c>
      <c r="HS61" s="39" t="str">
        <f>IF(HR61="","",(IF(OR(Compositions!Y126="Hydrogen",Compositions!Y126="Helium",Compositions!Y126="Water",Compositions!Y126="Carbon Monoxide",Compositions!Y126="Nitrogen",Compositions!Y126="Oxygen",Compositions!Y126="Hydrogen Sulfide",Compositions!Y126="Argon",Compositions!Y126="Carbon Dioxide",Compositions!Y126="Carbon Disulfide"),0,HR61)))</f>
        <v/>
      </c>
      <c r="HT61" s="186" t="str">
        <f>IF(Compositions!AA126="","",((HK61/100)*((VLOOKUP(Compositions!Y126,'HHV-LHV-MW'!$A$3:$G$40,7,FALSE)))))</f>
        <v/>
      </c>
      <c r="HU61" s="186" t="str">
        <f>IF(HK61="","",(IF(OR(Compositions!Y126="Hydrogen",Compositions!Y126="Carbon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Dioxide",Compositions!Y126="Methane",Compositions!Y126="Ethane"),0,(HK61/100))))</f>
        <v/>
      </c>
      <c r="HV61" s="39" t="str">
        <f>IF(HK61="","",(IF(OR($HU$78=0,$HU$78=""),0,       ((VLOOKUP(Compositions!Y126,'HHV-LHV-MW'!$A$3:$F$40,6,FALSE))*(HU61/$HU$78)))))</f>
        <v/>
      </c>
      <c r="HW61" s="27" t="str">
        <f>IF(Compositions!AB126="","",IF(Compositions!$AB$118="mol%",Compositions!AB126,HX61))</f>
        <v/>
      </c>
      <c r="HX61" s="27" t="str">
        <f t="shared" si="43"/>
        <v/>
      </c>
      <c r="HY61" s="27" t="str">
        <f>IF(Compositions!AB126="","",(Compositions!AB126/(VLOOKUP(Compositions!Y126,'HHV-LHV-MW'!$A$3:$F$40,6,FALSE))))</f>
        <v/>
      </c>
      <c r="HZ61" s="25" t="str">
        <f>IF(HW61="","",((VLOOKUP(Compositions!Y126,'HHV-LHV-MW'!$A$3:$F$40,4,FALSE))*(HW61/100)))</f>
        <v/>
      </c>
      <c r="IA61" s="25" t="str">
        <f>IF(HW61="","",((VLOOKUP(Compositions!Y126,'HHV-LHV-MW'!$A$3:$F$40,5,FALSE))*(HW61/100)))</f>
        <v/>
      </c>
      <c r="IB61" s="25" t="str">
        <f>IF(HW61="","",((VLOOKUP(Compositions!Y126,'HHV-LHV-MW'!$A$3:$F$40,6,FALSE))*(HW61/100)))</f>
        <v/>
      </c>
      <c r="IC61" s="25" t="str">
        <f>IF(Compositions!AB126="","",(Compositions!AB126*(VLOOKUP(Compositions!Y126,'HHV-LHV-MW'!$A$3:$F$40,6,FALSE))))</f>
        <v/>
      </c>
      <c r="ID61" s="295" t="str">
        <f>IF(Compositions!AB126="","",IF(OR(Compositions!$AB$118="wt%",Compositions!$AB$118=""),Compositions!AB126,(IF(IC61="","",((IC61/$IC$78)*100)))))</f>
        <v/>
      </c>
      <c r="IE61" s="185" t="str">
        <f>IF(ID61="","",(IF(OR(Compositions!Y126="Hydrogen",Compositions!Y126="Helium",Compositions!Y126="Water",Compositions!Y126="Carbon Monoxide",Compositions!Y126="Nitrogen",Compositions!Y126="Oxygen",Compositions!Y126="Hydrogen Sulfide",Compositions!Y126="Argon",Compositions!Y126="Carbon Dioxide",Compositions!Y126="Carbon Disulfide"),0,ID61)))</f>
        <v/>
      </c>
      <c r="IF61" s="187" t="str">
        <f>IF(Compositions!AB126="","",((HW61/100)*((VLOOKUP(Compositions!Y126,'HHV-LHV-MW'!$A$3:$G$40,7,FALSE)))))</f>
        <v/>
      </c>
      <c r="IG61" s="187" t="str">
        <f>IF(HW61="","",(IF(OR(Compositions!Y126="Hydrogen",Compositions!Y126="Carbon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Dioxide",Compositions!Y126="Methane",Compositions!Y126="Ethane"),0,(HW61/100))))</f>
        <v/>
      </c>
      <c r="IH61" s="205" t="str">
        <f>IF(HW61="","",(IF(OR($IG$78=0,$IG$78=""),0,       ((VLOOKUP(Compositions!Y126,'HHV-LHV-MW'!$A$3:$F$40,6,FALSE))*(IG61/$IG$78)))))</f>
        <v/>
      </c>
      <c r="II61" s="28" t="str">
        <f>IF(Compositions!AC126="","",IF(Compositions!$AC$118="mol%",Compositions!AC126,IJ61))</f>
        <v/>
      </c>
      <c r="IJ61" s="28" t="str">
        <f t="shared" si="44"/>
        <v/>
      </c>
      <c r="IK61" s="28" t="str">
        <f>IF(Compositions!AC126="","",(Compositions!AC126/(VLOOKUP(Compositions!Y126,'HHV-LHV-MW'!$A$3:$F$40,6,FALSE))))</f>
        <v/>
      </c>
      <c r="IL61" s="26" t="str">
        <f>IF(II61="","",((VLOOKUP(Compositions!Y126,'HHV-LHV-MW'!$A$3:$F$40,4,FALSE))*(II61/100)))</f>
        <v/>
      </c>
      <c r="IM61" s="26" t="str">
        <f>IF(II61="","",((VLOOKUP(Compositions!Y126,'HHV-LHV-MW'!$A$3:$F$40,5,FALSE))*(II61/100)))</f>
        <v/>
      </c>
      <c r="IN61" s="26" t="str">
        <f>IF(II61="","",((VLOOKUP(Compositions!Y126,'HHV-LHV-MW'!$A$3:$F$40,6,FALSE))*(II61/100)))</f>
        <v/>
      </c>
      <c r="IO61" s="26" t="str">
        <f>IF(Compositions!AC126="","",(Compositions!AC126*(VLOOKUP(Compositions!Y126,'HHV-LHV-MW'!$A$3:$F$40,6,FALSE))))</f>
        <v/>
      </c>
      <c r="IP61" s="296" t="str">
        <f>IF(Compositions!AC126="","",IF(OR(Compositions!$AC$118="wt%",Compositions!$AC$118=""),Compositions!AC126,(IF(IO61="","",((IO61/$IO$78)*100)))))</f>
        <v/>
      </c>
      <c r="IQ61" s="39" t="str">
        <f>IF(IP61="","",(IF(OR(Compositions!Y126="Hydrogen",Compositions!Y126="Helium",Compositions!Y126="Water",Compositions!Y126="Carbon Monoxide",Compositions!Y126="Nitrogen",Compositions!Y126="Oxygen",Compositions!Y126="Hydrogen Sulfide",Compositions!Y126="Argon",Compositions!Y126="Carbon Dioxide",Compositions!Y126="Carbon Disulfide"),0,IP61)))</f>
        <v/>
      </c>
      <c r="IR61" s="186" t="str">
        <f>IF(Compositions!AC126="","",((II61/100)*((VLOOKUP(Compositions!Y126,'HHV-LHV-MW'!$A$3:$G$40,7,FALSE)))))</f>
        <v/>
      </c>
      <c r="IS61" s="186" t="str">
        <f>IF(II61="","",(IF(OR(Compositions!Y126="Hydrogen",Compositions!Y126="Carbon Disulfide",Compositions!Y126="Helium",Compositions!Y126="Water",Compositions!Y126="Carbon Monoxide",Compositions!Y126="Nitrogen",Compositions!Y126="Oxygen",Compositions!Y126="Hydrogen Sulfide",Compositions!Y126="Argon",Compositions!Y126="Carbon Dioxide",Compositions!Y126="Methane",Compositions!Y126="Ethane"),0,(II61/100))))</f>
        <v/>
      </c>
      <c r="IT61" s="39" t="str">
        <f>IF(II61="","",(IF(OR($IS$78=0,$IS$78=""),0,      ((VLOOKUP(Compositions!Y126,'HHV-LHV-MW'!$A$3:$F$40,6,FALSE))*(IS61/$IS$78)))))</f>
        <v/>
      </c>
      <c r="IV61" s="27" t="str">
        <f>IF(Compositions!AF126="","",IF(Compositions!$AF$118="mol%",Compositions!AF126,IW61))</f>
        <v/>
      </c>
      <c r="IW61" s="27" t="str">
        <f t="shared" si="45"/>
        <v/>
      </c>
      <c r="IX61" s="27" t="str">
        <f>IF(Compositions!AF126="","",(Compositions!AF126/(VLOOKUP(Compositions!AE126,'HHV-LHV-MW'!$A$3:$F$40,6,FALSE))))</f>
        <v/>
      </c>
      <c r="IY61" s="25" t="str">
        <f>IF(IV61="","",((VLOOKUP(Compositions!AE126,'HHV-LHV-MW'!$A$3:$F$40,4,FALSE))*(IV61/100)))</f>
        <v/>
      </c>
      <c r="IZ61" s="25" t="str">
        <f>IF(IV61="","",((VLOOKUP(Compositions!AE126,'HHV-LHV-MW'!$A$3:$F$40,5,FALSE))*(IV61/100)))</f>
        <v/>
      </c>
      <c r="JA61" s="25" t="str">
        <f>IF(IV61="","",((VLOOKUP(Compositions!AE126,'HHV-LHV-MW'!$A$3:$F$40,6,FALSE))*(IV61/100)))</f>
        <v/>
      </c>
      <c r="JB61" s="25" t="str">
        <f>IF(Compositions!AF126="","",(Compositions!AF126*(VLOOKUP(Compositions!AE126,'HHV-LHV-MW'!$A$3:$F$40,6,FALSE))))</f>
        <v/>
      </c>
      <c r="JC61" s="298" t="str">
        <f>IF(Compositions!AF126="","",IF(OR(Compositions!$AF$118="wt%",Compositions!$AF$118=""),Compositions!AF126,(IF(JB61="","",((JB61/$JB$78)*100)))))</f>
        <v/>
      </c>
      <c r="JD61" s="185" t="str">
        <f>IF(JC61="","",(IF(OR(Compositions!AE126="Hydrogen",Compositions!AE126="Helium",Compositions!AE126="Water",Compositions!AE126="Carbon Monoxide",Compositions!AE126="Nitrogen",Compositions!AE126="Oxygen",Compositions!AE126="Hydrogen Sulfide",Compositions!AE126="Argon",Compositions!AE126="Carbon Dioxide",Compositions!AE126="Carbon Disulfide"),0,JC61)))</f>
        <v/>
      </c>
      <c r="JE61" s="187" t="str">
        <f>IF(Compositions!AF126="","",((IV61/100)*((VLOOKUP(Compositions!AE126,'HHV-LHV-MW'!$A$3:$G$40,7,FALSE)))))</f>
        <v/>
      </c>
      <c r="JF61" s="187" t="str">
        <f>IF(IV61="","",(IF(OR(Compositions!AE126="Hydrogen",Compositions!AE126="Carbon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Dioxide",Compositions!AE126="Methane",Compositions!AE126="Ethane"),0,(IV61/100))))</f>
        <v/>
      </c>
      <c r="JG61" s="205" t="str">
        <f>IF(IV61="","",(IF(OR($JF$78=0,$JF$78=""),0,      ((VLOOKUP(Compositions!AE126,'HHV-LHV-MW'!$A$3:$F$40,6,FALSE))*(JF61/$JF$78)))))</f>
        <v/>
      </c>
      <c r="JH61" s="28" t="str">
        <f>IF(Compositions!AG126="","",IF(Compositions!$AG$118="mol%",Compositions!AG126,JI61))</f>
        <v/>
      </c>
      <c r="JI61" s="28" t="str">
        <f t="shared" si="46"/>
        <v/>
      </c>
      <c r="JJ61" s="28" t="str">
        <f>IF(Compositions!AG126="","",(Compositions!AG126/(VLOOKUP(Compositions!AE126,'HHV-LHV-MW'!$A$3:$F$40,6,FALSE))))</f>
        <v/>
      </c>
      <c r="JK61" s="26" t="str">
        <f>IF(JH61="","",((VLOOKUP(Compositions!AE126,'HHV-LHV-MW'!$A$3:$F$40,4,FALSE))*(JH61/100)))</f>
        <v/>
      </c>
      <c r="JL61" s="26" t="str">
        <f>IF(JH61="","",((VLOOKUP(Compositions!AE126,'HHV-LHV-MW'!$A$3:$F$40,5,FALSE))*(JH61/100)))</f>
        <v/>
      </c>
      <c r="JM61" s="26" t="str">
        <f>IF(JH61="","",((VLOOKUP(Compositions!AE126,'HHV-LHV-MW'!$A$3:$F$40,6,FALSE))*(JH61/100)))</f>
        <v/>
      </c>
      <c r="JN61" s="26" t="str">
        <f>IF(Compositions!AG126="","",(Compositions!AG126*(VLOOKUP(Compositions!AE126,'HHV-LHV-MW'!$A$3:$F$40,6,FALSE))))</f>
        <v/>
      </c>
      <c r="JO61" s="297" t="str">
        <f>IF(Compositions!AG126="","",IF(OR(Compositions!$AG$118="wt%",Compositions!$AG$118=""),Compositions!AG126,(IF(JN61="","",((JN61/$JN$78)*100)))))</f>
        <v/>
      </c>
      <c r="JP61" s="39" t="str">
        <f>IF(JO61="","",(IF(OR(Compositions!AE126="Hydrogen",Compositions!AE126="Helium",Compositions!AE126="Water",Compositions!AE126="Carbon Monoxide",Compositions!AE126="Nitrogen",Compositions!AE126="Oxygen",Compositions!AE126="Hydrogen Sulfide",Compositions!AE126="Argon",Compositions!AE126="Carbon Dioxide",Compositions!AE126="Carbon Disulfide"),0,JO61)))</f>
        <v/>
      </c>
      <c r="JQ61" s="186" t="str">
        <f>IF(Compositions!AG126="","",((JH61/100)*((VLOOKUP(Compositions!AE126,'HHV-LHV-MW'!$A$3:$G$40,7,FALSE)))))</f>
        <v/>
      </c>
      <c r="JR61" s="186" t="str">
        <f>IF(JH61="","",(IF(OR(Compositions!AE126="Hydrogen",Compositions!AE126="Carbon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Dioxide",Compositions!AE126="Methane",Compositions!AE126="Ethane"),0,(JH61/100))))</f>
        <v/>
      </c>
      <c r="JS61" s="39" t="str">
        <f>IF(JH61="","",(IF(OR($JR$78=0,$JR$78=""),0,      ((VLOOKUP(Compositions!AE126,'HHV-LHV-MW'!$A$3:$F$40,6,FALSE))*(JR61/$JR$78)))))</f>
        <v/>
      </c>
      <c r="JT61" s="27" t="str">
        <f>IF(Compositions!AH126="","",IF(Compositions!$AH$118="mol%",Compositions!AH126,JU61))</f>
        <v/>
      </c>
      <c r="JU61" s="27" t="str">
        <f t="shared" si="47"/>
        <v/>
      </c>
      <c r="JV61" s="27" t="str">
        <f>IF(Compositions!AH126="","",(Compositions!AH126/(VLOOKUP(Compositions!AE126,'HHV-LHV-MW'!$A$3:$F$40,6,FALSE))))</f>
        <v/>
      </c>
      <c r="JW61" s="25" t="str">
        <f>IF(JT61="","",((VLOOKUP(Compositions!AE126,'HHV-LHV-MW'!$A$3:$F$40,4,FALSE))*(JT61/100)))</f>
        <v/>
      </c>
      <c r="JX61" s="25" t="str">
        <f>IF(JT61="","",((VLOOKUP(Compositions!AE126,'HHV-LHV-MW'!$A$3:$F$40,5,FALSE))*(JT61/100)))</f>
        <v/>
      </c>
      <c r="JY61" s="25" t="str">
        <f>IF(JT61="","",((VLOOKUP(Compositions!AE126,'HHV-LHV-MW'!$A$3:$F$40,6,FALSE))*(JT61/100)))</f>
        <v/>
      </c>
      <c r="JZ61" s="25" t="str">
        <f>IF(Compositions!AH126="","",(Compositions!AH126*(VLOOKUP(Compositions!AE126,'HHV-LHV-MW'!$A$3:$F$40,6,FALSE))))</f>
        <v/>
      </c>
      <c r="KA61" s="298" t="str">
        <f>IF(Compositions!AH126="","",IF(OR(Compositions!$AH$118="wt%",Compositions!$AH$118=""),Compositions!AH126,(IF(JZ61="","",((JZ61/$JZ$78)*100)))))</f>
        <v/>
      </c>
      <c r="KB61" s="185" t="str">
        <f>IF(KA61="","",(IF(OR(Compositions!AE126="Hydrogen",Compositions!AE126="Helium",Compositions!AE126="Water",Compositions!AE126="Carbon Monoxide",Compositions!AE126="Nitrogen",Compositions!AE126="Oxygen",Compositions!AE126="Hydrogen Sulfide",Compositions!AE126="Argon",Compositions!AE126="Carbon Dioxide",Compositions!AE126="Carbon Disulfide"),0,KA61)))</f>
        <v/>
      </c>
      <c r="KC61" s="187" t="str">
        <f>IF(Compositions!AH126="","",((JT61/100)*((VLOOKUP(Compositions!AE126,'HHV-LHV-MW'!$A$3:$G$40,7,FALSE)))))</f>
        <v/>
      </c>
      <c r="KD61" s="187" t="str">
        <f>IF(JT61="","",(IF(OR(Compositions!AE126="Hydrogen",Compositions!AE126="Carbon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Dioxide",Compositions!AE126="Methane",Compositions!AE126="Ethane"),0,(JT61/100))))</f>
        <v/>
      </c>
      <c r="KE61" s="205" t="str">
        <f>IF(JT61="","",(IF(OR($KD$78=0,$KD$78=""),0,      ((VLOOKUP(Compositions!AE126,'HHV-LHV-MW'!$A$3:$F$40,6,FALSE))*(KD61/$KD$78)))))</f>
        <v/>
      </c>
      <c r="KF61" s="28" t="str">
        <f>IF(Compositions!AI126="","",IF(Compositions!$AI$118="mol%",Compositions!AI126,KG61))</f>
        <v/>
      </c>
      <c r="KG61" s="28" t="str">
        <f t="shared" si="48"/>
        <v/>
      </c>
      <c r="KH61" s="28" t="str">
        <f>IF(Compositions!AI126="","",(Compositions!AI126/(VLOOKUP(Compositions!AE126,'HHV-LHV-MW'!$A$3:$F$40,6,FALSE))))</f>
        <v/>
      </c>
      <c r="KI61" s="26" t="str">
        <f>IF(KF61="","",((VLOOKUP(Compositions!AE126,'HHV-LHV-MW'!$A$3:$F$40,4,FALSE))*(KF61/100)))</f>
        <v/>
      </c>
      <c r="KJ61" s="26" t="str">
        <f>IF(KF61="","",((VLOOKUP(Compositions!AE126,'HHV-LHV-MW'!$A$3:$F$40,5,FALSE))*(KF61/100)))</f>
        <v/>
      </c>
      <c r="KK61" s="26" t="str">
        <f>IF(KF61="","",((VLOOKUP(Compositions!AE126,'HHV-LHV-MW'!$A$3:$F$40,6,FALSE))*(KF61/100)))</f>
        <v/>
      </c>
      <c r="KL61" s="26" t="str">
        <f>IF(Compositions!AI126="","",(Compositions!AI126*(VLOOKUP(Compositions!AE126,'HHV-LHV-MW'!$A$3:$F$40,6,FALSE))))</f>
        <v/>
      </c>
      <c r="KM61" s="297" t="str">
        <f>IF(Compositions!AI126="","",IF(OR(Compositions!$AI$118="wt%",Compositions!$AI$118=""),Compositions!AI126,(IF(KL61="","",((KL61/$KL$78)*100)))))</f>
        <v/>
      </c>
      <c r="KN61" s="39" t="str">
        <f>IF(KM61="","",(IF(OR(Compositions!AE126="Hydrogen",Compositions!AE126="Helium",Compositions!AE126="Water",Compositions!AE126="Carbon Monoxide",Compositions!AE126="Nitrogen",Compositions!AE126="Oxygen",Compositions!AE126="Hydrogen Sulfide",Compositions!AE126="Argon",Compositions!AE126="Carbon Dioxide",Compositions!AE126="Carbon Disulfide"),0,KM61)))</f>
        <v/>
      </c>
      <c r="KO61" s="186" t="str">
        <f>IF(Compositions!AI126="","",((KF61/100)*((VLOOKUP(Compositions!AE126,'HHV-LHV-MW'!$A$3:$G$40,7,FALSE)))))</f>
        <v/>
      </c>
      <c r="KP61" s="186" t="str">
        <f>IF(KF61="","",(IF(OR(Compositions!AE126="Hydrogen",Compositions!AE126="Carbon Disulfide",Compositions!AE126="Helium",Compositions!AE126="Water",Compositions!AE126="Carbon Monoxide",Compositions!AE126="Nitrogen",Compositions!AE126="Oxygen",Compositions!AE126="Hydrogen Sulfide",Compositions!AE126="Argon",Compositions!AE126="Carbon Dioxide",Compositions!AE126="Methane",Compositions!AE126="Ethane"),0,(KF61/100))))</f>
        <v/>
      </c>
      <c r="KQ61" s="39" t="str">
        <f>IF(KF61="","",(IF(OR($KP$78=0,$KP$78=""),0,      ((VLOOKUP(Compositions!AE126,'HHV-LHV-MW'!$A$3:$F$40,6,FALSE))*(KP61/$KP$78)))))</f>
        <v/>
      </c>
      <c r="KS61" s="27" t="str">
        <f>IF(Compositions!AL126="","",IF(Compositions!$AL$118="mol%",Compositions!AL126,KT61))</f>
        <v/>
      </c>
      <c r="KT61" s="27" t="str">
        <f t="shared" si="49"/>
        <v/>
      </c>
      <c r="KU61" s="27" t="str">
        <f>IF(Compositions!AL126="","",(Compositions!AL126/(VLOOKUP(Compositions!AK126,'HHV-LHV-MW'!$A$3:$F$40,6,FALSE))))</f>
        <v/>
      </c>
      <c r="KV61" s="185" t="str">
        <f>IF(KS61="","",((VLOOKUP(Compositions!AK126,'HHV-LHV-MW'!$A$3:$F$40,4,FALSE))*(KS61/100)))</f>
        <v/>
      </c>
      <c r="KW61" s="185" t="str">
        <f>IF(KS61="","",((VLOOKUP(Compositions!AK126,'HHV-LHV-MW'!$A$3:$F$40,5,FALSE))*(KS61/100)))</f>
        <v/>
      </c>
      <c r="KX61" s="185" t="str">
        <f>IF(KS61="","",((VLOOKUP(Compositions!AK126,'HHV-LHV-MW'!$A$3:$F$40,6,FALSE))*(KS61/100)))</f>
        <v/>
      </c>
      <c r="KY61" s="185" t="str">
        <f>IF(Compositions!AL126="","",(Compositions!AL126*(VLOOKUP(Compositions!AK126,'HHV-LHV-MW'!$A$3:$F$40,6,FALSE))))</f>
        <v/>
      </c>
      <c r="KZ61" s="298" t="str">
        <f>IF(Compositions!AL126="","",IF(OR(Compositions!$AL$118="wt%",Compositions!$AL$118=""),Compositions!AL126,(IF(KY61="","",((KY61/$KY$78)*100)))))</f>
        <v/>
      </c>
      <c r="LA61" s="185" t="str">
        <f>IF(KZ61="","",(IF(OR(Compositions!AK126="Hydrogen",Compositions!AK126="Helium",Compositions!AK126="Water",Compositions!AK126="Carbon Monoxide",Compositions!AK126="Nitrogen",Compositions!AK126="Oxygen",Compositions!AK126="Hydrogen Sulfide",Compositions!AK126="Argon",Compositions!AK126="Carbon Dioxide",Compositions!AK126="Carbon Disulfide"),0,KZ61)))</f>
        <v/>
      </c>
      <c r="LB61" s="187" t="str">
        <f>IF(Compositions!AL126="","",((KS61/100)*((VLOOKUP(Compositions!AK126,'HHV-LHV-MW'!$A$3:$G$40,7,FALSE)))))</f>
        <v/>
      </c>
      <c r="LC61" s="187" t="str">
        <f>IF(KS61="","",(IF(OR(Compositions!AK126="Hydrogen",Compositions!AK126="Carbon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Dioxide",Compositions!AK126="Methane",Compositions!AK126="Ethane"),0,(KS61/100))))</f>
        <v/>
      </c>
      <c r="LD61" s="205" t="str">
        <f>IF(KS61="","",(IF(OR($LC$78=0,$LC$78=""),0,      ((VLOOKUP(Compositions!AK126,'HHV-LHV-MW'!$A$3:$F$40,6,FALSE))*(LC61/$LC$78)))))</f>
        <v/>
      </c>
      <c r="LE61" s="28" t="str">
        <f>IF(Compositions!AM126="","",IF(Compositions!$AM$118="mol%",Compositions!AM126,LF61))</f>
        <v/>
      </c>
      <c r="LF61" s="28" t="str">
        <f t="shared" si="50"/>
        <v/>
      </c>
      <c r="LG61" s="28" t="str">
        <f>IF(Compositions!AM126="","",(Compositions!AM126/(VLOOKUP(Compositions!AK126,'HHV-LHV-MW'!$A$3:$F$40,6,FALSE))))</f>
        <v/>
      </c>
      <c r="LH61" s="184" t="str">
        <f>IF(LE61="","",((VLOOKUP(Compositions!AK126,'HHV-LHV-MW'!$A$3:$F$40,4,FALSE))*(LE61/100)))</f>
        <v/>
      </c>
      <c r="LI61" s="184" t="str">
        <f>IF(LE61="","",((VLOOKUP(Compositions!AK126,'HHV-LHV-MW'!$A$3:$F$40,5,FALSE))*(LE61/100)))</f>
        <v/>
      </c>
      <c r="LJ61" s="184" t="str">
        <f>IF(LE61="","",((VLOOKUP(Compositions!AK126,'HHV-LHV-MW'!$A$3:$F$40,6,FALSE))*(LE61/100)))</f>
        <v/>
      </c>
      <c r="LK61" s="184" t="str">
        <f>IF(Compositions!AM126="","",(Compositions!AM126*(VLOOKUP(Compositions!AK126,'HHV-LHV-MW'!$A$3:$F$40,6,FALSE))))</f>
        <v/>
      </c>
      <c r="LL61" s="297" t="str">
        <f>IF(Compositions!AM126="","",IF(OR(Compositions!$AM$118="wt%",Compositions!$AM$118=""),Compositions!AM126,(IF(LK61="","",((LK61/$LK$78)*100)))))</f>
        <v/>
      </c>
      <c r="LM61" s="39" t="str">
        <f>IF(LL61="","",(IF(OR(Compositions!AK126="Hydrogen",Compositions!AK126="Helium",Compositions!AK126="Water",Compositions!AK126="Carbon Monoxide",Compositions!AK126="Nitrogen",Compositions!AK126="Oxygen",Compositions!AK126="Hydrogen Sulfide",Compositions!AK126="Argon",Compositions!AK126="Carbon Dioxide",Compositions!AK126="Carbon Disulfide"),0,LL61)))</f>
        <v/>
      </c>
      <c r="LN61" s="186" t="str">
        <f>IF(Compositions!AM126="","",((LE61/100)*((VLOOKUP(Compositions!AK126,'HHV-LHV-MW'!$A$3:$G$40,7,FALSE)))))</f>
        <v/>
      </c>
      <c r="LO61" s="186" t="str">
        <f>IF(LE61="","",(IF(OR(Compositions!AK126="Hydrogen",Compositions!AK126="Carbon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Dioxide",Compositions!AK126="Methane",Compositions!AK126="Ethane"),0,(LE61/100))))</f>
        <v/>
      </c>
      <c r="LP61" s="39" t="str">
        <f>IF(LE61="","",(IF(OR($LO$78=0,$LO$78=""),0,     ((VLOOKUP(Compositions!AK126,'HHV-LHV-MW'!$A$3:$F$40,6,FALSE))*(LO61/$LO$78)))))</f>
        <v/>
      </c>
      <c r="LQ61" s="27" t="str">
        <f>IF(Compositions!AN126="","",IF(Compositions!$AN$118="mol%",Compositions!AN126,LR61))</f>
        <v/>
      </c>
      <c r="LR61" s="27" t="str">
        <f t="shared" si="51"/>
        <v/>
      </c>
      <c r="LS61" s="27" t="str">
        <f>IF(Compositions!AN126="","",(Compositions!AN126/(VLOOKUP(Compositions!AK126,'HHV-LHV-MW'!$A$3:$F$40,6,FALSE))))</f>
        <v/>
      </c>
      <c r="LT61" s="185" t="str">
        <f>IF(LQ61="","",((VLOOKUP(Compositions!AK126,'HHV-LHV-MW'!$A$3:$F$40,4,FALSE))*(LQ61/100)))</f>
        <v/>
      </c>
      <c r="LU61" s="185" t="str">
        <f>IF(LQ61="","",((VLOOKUP(Compositions!AK126,'HHV-LHV-MW'!$A$3:$F$40,5,FALSE))*(LQ61/100)))</f>
        <v/>
      </c>
      <c r="LV61" s="185" t="str">
        <f>IF(LQ61="","",((VLOOKUP(Compositions!AK126,'HHV-LHV-MW'!$A$3:$F$40,6,FALSE))*(LQ61/100)))</f>
        <v/>
      </c>
      <c r="LW61" s="185" t="str">
        <f>IF(Compositions!AN126="","",(Compositions!AN126*(VLOOKUP(Compositions!AK126,'HHV-LHV-MW'!$A$3:$F$40,6,FALSE))))</f>
        <v/>
      </c>
      <c r="LX61" s="298" t="str">
        <f>IF(Compositions!AN126="","",IF(OR(Compositions!$AN$118="wt%",Compositions!$AN$118=""),Compositions!AN126,(IF(LW61="","",((LW61/$LW$78)*100)))))</f>
        <v/>
      </c>
      <c r="LY61" s="185" t="str">
        <f>IF(LX61="","",(IF(OR(Compositions!AK126="Hydrogen",Compositions!AK126="Helium",Compositions!AK126="Water",Compositions!AK126="Carbon Monoxide",Compositions!AK126="Nitrogen",Compositions!AK126="Oxygen",Compositions!AK126="Hydrogen Sulfide",Compositions!AK126="Argon",Compositions!AK126="Carbon Dioxide",Compositions!AK126="Carbon Disulfide"),0,LX61)))</f>
        <v/>
      </c>
      <c r="LZ61" s="187" t="str">
        <f>IF(Compositions!AN126="","",((LQ61/100)*((VLOOKUP(Compositions!AK126,'HHV-LHV-MW'!$A$3:$G$40,7,FALSE)))))</f>
        <v/>
      </c>
      <c r="MA61" s="187" t="str">
        <f>IF(LQ61="","",(IF(OR(Compositions!AK126="Hydrogen",Compositions!AK126="Carbon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Dioxide",Compositions!AK126="Methane",Compositions!AK126="Ethane"),0,(LQ61/100))))</f>
        <v/>
      </c>
      <c r="MB61" s="205" t="str">
        <f>IF(LQ61="","",(IF(OR($MA$78=0,$MA$78=""),0,     ((VLOOKUP(Compositions!AK126,'HHV-LHV-MW'!$A$3:$F$40,6,FALSE))*(MA61/$MA$78)))))</f>
        <v/>
      </c>
      <c r="MC61" s="28" t="str">
        <f>IF(Compositions!AO126="","",IF(Compositions!$AO$118="mol%",Compositions!AO126,MD61))</f>
        <v/>
      </c>
      <c r="MD61" s="28" t="str">
        <f t="shared" si="52"/>
        <v/>
      </c>
      <c r="ME61" s="28" t="str">
        <f>IF(Compositions!AO126="","",(Compositions!AO126/(VLOOKUP(Compositions!AK126,'HHV-LHV-MW'!$A$3:$F$40,6,FALSE))))</f>
        <v/>
      </c>
      <c r="MF61" s="184" t="str">
        <f>IF(MC61="","",((VLOOKUP(Compositions!AK126,'HHV-LHV-MW'!$A$3:$F$40,4,FALSE))*(MC61/100)))</f>
        <v/>
      </c>
      <c r="MG61" s="184" t="str">
        <f>IF(MC61="","",((VLOOKUP(Compositions!AK126,'HHV-LHV-MW'!$A$3:$F$40,5,FALSE))*(MC61/100)))</f>
        <v/>
      </c>
      <c r="MH61" s="184" t="str">
        <f>IF(MC61="","",((VLOOKUP(Compositions!AK126,'HHV-LHV-MW'!$A$3:$F$40,6,FALSE))*(MC61/100)))</f>
        <v/>
      </c>
      <c r="MI61" s="184" t="str">
        <f>IF(Compositions!AO126="","",(Compositions!AO126*(VLOOKUP(Compositions!AK126,'HHV-LHV-MW'!$A$3:$F$40,6,FALSE))))</f>
        <v/>
      </c>
      <c r="MJ61" s="297" t="str">
        <f>IF(Compositions!AO126="","",IF(OR(Compositions!$AO$118="wt%",Compositions!$AO$118=""),Compositions!AO126,(IF(MI61="","",((MI61/$MI$78)*100)))))</f>
        <v/>
      </c>
      <c r="MK61" s="39" t="str">
        <f>IF(MJ61="","",(IF(OR(Compositions!AK126="Hydrogen",Compositions!AK126="Helium",Compositions!AK126="Water",Compositions!AK126="Carbon Monoxide",Compositions!AK126="Nitrogen",Compositions!AK126="Oxygen",Compositions!AK126="Hydrogen Sulfide",Compositions!AK126="Argon",Compositions!AK126="Carbon Dioxide",Compositions!AK126="Carbon Disulfide"),0,MJ61)))</f>
        <v/>
      </c>
      <c r="ML61" s="186" t="str">
        <f>IF(Compositions!AO126="","",((MC61/100)*((VLOOKUP(Compositions!AK126,'HHV-LHV-MW'!$A$3:$G$40,7,FALSE)))))</f>
        <v/>
      </c>
      <c r="MM61" s="186" t="str">
        <f>IF(MC61="","",(IF(OR(Compositions!AK126="Hydrogen",Compositions!AK126="Carbon Disulfide",Compositions!AK126="Helium",Compositions!AK126="Water",Compositions!AK126="Carbon Monoxide",Compositions!AK126="Nitrogen",Compositions!AK126="Oxygen",Compositions!AK126="Hydrogen Sulfide",Compositions!AK126="Argon",Compositions!AK126="Carbon Dioxide",Compositions!AK126="Methane",Compositions!AK126="Ethane"),0,(MC61/100))))</f>
        <v/>
      </c>
      <c r="MN61" s="39" t="str">
        <f>IF(MC61="","",(IF(OR($MM$78=0,$MM$78=""),0,     ((VLOOKUP(Compositions!AK126,'HHV-LHV-MW'!$A$3:$F$40,6,FALSE))*(MM61/$MM$78)))))</f>
        <v/>
      </c>
      <c r="MP61" s="27" t="str">
        <f>IF(Compositions!AR126="","",IF(Compositions!$AR$118="mol%",Compositions!AR126,MQ61))</f>
        <v/>
      </c>
      <c r="MQ61" s="27" t="str">
        <f t="shared" si="53"/>
        <v/>
      </c>
      <c r="MR61" s="27" t="str">
        <f>IF(Compositions!AR126="","",(Compositions!AR126/(VLOOKUP(Compositions!AQ126,'HHV-LHV-MW'!$A$3:$F$40,6,FALSE))))</f>
        <v/>
      </c>
      <c r="MS61" s="185" t="str">
        <f>IF(MP61="","",((VLOOKUP(Compositions!AQ126,'HHV-LHV-MW'!$A$3:$F$40,4,FALSE))*(MP61/100)))</f>
        <v/>
      </c>
      <c r="MT61" s="185" t="str">
        <f>IF(MP61="","",((VLOOKUP(Compositions!AQ126,'HHV-LHV-MW'!$A$3:$F$40,5,FALSE))*(MP61/100)))</f>
        <v/>
      </c>
      <c r="MU61" s="185" t="str">
        <f>IF(MP61="","",((VLOOKUP(Compositions!AQ126,'HHV-LHV-MW'!$A$3:$F$40,6,FALSE))*(MP61/100)))</f>
        <v/>
      </c>
      <c r="MV61" s="185" t="str">
        <f>IF(Compositions!AR126="","",(Compositions!AR126*(VLOOKUP(Compositions!AQ126,'HHV-LHV-MW'!$A$3:$F$40,6,FALSE))))</f>
        <v/>
      </c>
      <c r="MW61" s="298" t="str">
        <f>IF(Compositions!AR126="","",IF(OR(Compositions!$AR$118="wt%",Compositions!$AR$118=""),Compositions!AR126,(IF(MV61="","",((MV61/$MV$78)*100)))))</f>
        <v/>
      </c>
      <c r="MX61" s="185" t="str">
        <f>IF(MW61="","",(IF(OR(Compositions!AQ126="Hydrogen",Compositions!AQ126="Helium",Compositions!AQ126="Water",Compositions!AQ126="Carbon Monoxide",Compositions!AQ126="Nitrogen",Compositions!AQ126="Oxygen",Compositions!AQ126="Hydrogen Sulfide",Compositions!AQ126="Argon",Compositions!AQ126="Carbon Dioxide",Compositions!AQ126="Carbon Disulfide"),0,MW61)))</f>
        <v/>
      </c>
      <c r="MY61" s="187" t="str">
        <f>IF(Compositions!AR126="","",((MP61/100)*((VLOOKUP(Compositions!AQ126,'HHV-LHV-MW'!$A$3:$G$40,7,FALSE)))))</f>
        <v/>
      </c>
      <c r="MZ61" s="187" t="str">
        <f>IF(MP61="","",(IF(OR(Compositions!AQ126="Hydrogen",Compositions!AQ126="Carbon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Dioxide",Compositions!AQ126="Methane",Compositions!AQ126="Ethane"),0,(MP61/100))))</f>
        <v/>
      </c>
      <c r="NA61" s="205" t="str">
        <f>IF(MP61="","",(IF(OR($MZ$78=0,$MZ$78=""),0,     ((VLOOKUP(Compositions!AQ126,'HHV-LHV-MW'!$A$3:$F$40,6,FALSE))*(MZ61/$MZ$78)))))</f>
        <v/>
      </c>
      <c r="NB61" s="28" t="str">
        <f>IF(Compositions!AS126="","",IF(Compositions!$AS$118="mol%",Compositions!AS126,NC61))</f>
        <v/>
      </c>
      <c r="NC61" s="28" t="str">
        <f t="shared" si="54"/>
        <v/>
      </c>
      <c r="ND61" s="28" t="str">
        <f>IF(Compositions!AS126="","",(Compositions!AS126/(VLOOKUP(Compositions!AQ126,'HHV-LHV-MW'!$A$3:$F$40,6,FALSE))))</f>
        <v/>
      </c>
      <c r="NE61" s="184" t="str">
        <f>IF(NB61="","",((VLOOKUP(Compositions!AQ126,'HHV-LHV-MW'!$A$3:$F$40,4,FALSE))*(NB61/100)))</f>
        <v/>
      </c>
      <c r="NF61" s="184" t="str">
        <f>IF(NB61="","",((VLOOKUP(Compositions!AQ126,'HHV-LHV-MW'!$A$3:$F$40,5,FALSE))*(NB61/100)))</f>
        <v/>
      </c>
      <c r="NG61" s="184" t="str">
        <f>IF(NB61="","",((VLOOKUP(Compositions!AQ126,'HHV-LHV-MW'!$A$3:$F$40,6,FALSE))*(NB61/100)))</f>
        <v/>
      </c>
      <c r="NH61" s="184" t="str">
        <f>IF(Compositions!AS126="","",(Compositions!AS126*(VLOOKUP(Compositions!AQ126,'HHV-LHV-MW'!$A$3:$F$40,6,FALSE))))</f>
        <v/>
      </c>
      <c r="NI61" s="297" t="str">
        <f>IF(Compositions!AS126="","",IF(OR(Compositions!$AS$118="wt%",Compositions!$AS$118=""),Compositions!AS126,(IF(NH61="","",((NH61/$NH$78)*100)))))</f>
        <v/>
      </c>
      <c r="NJ61" s="39" t="str">
        <f>IF(NI61="","",(IF(OR(Compositions!AQ126="Hydrogen",Compositions!AQ126="Helium",Compositions!AQ126="Water",Compositions!AQ126="Carbon Monoxide",Compositions!AQ126="Nitrogen",Compositions!AQ126="Oxygen",Compositions!AQ126="Hydrogen Sulfide",Compositions!AQ126="Argon",Compositions!AQ126="Carbon Dioxide",Compositions!AQ126="Carbon Disulfide"),0,NI61)))</f>
        <v/>
      </c>
      <c r="NK61" s="186" t="str">
        <f>IF(Compositions!AS126="","",((NB61/100)*((VLOOKUP(Compositions!AQ126,'HHV-LHV-MW'!$A$3:$G$40,7,FALSE)))))</f>
        <v/>
      </c>
      <c r="NL61" s="186" t="str">
        <f>IF(NB61="","",(IF(OR(Compositions!AQ126="Hydrogen",Compositions!AQ126="Carbon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Dioxide",Compositions!AQ126="Methane",Compositions!AQ126="Ethane"),0,(NB61/100))))</f>
        <v/>
      </c>
      <c r="NM61" s="39" t="str">
        <f>IF(NB61="","",(IF(OR($NL$78=0,$NL$78=""),0,     ((VLOOKUP(Compositions!AQ126,'HHV-LHV-MW'!$A$3:$F$40,6,FALSE))*(NL61/$NL$78)))))</f>
        <v/>
      </c>
      <c r="NN61" s="27" t="str">
        <f>IF(Compositions!AT126="","",IF(Compositions!$AT$118="mol%",Compositions!AT126,NO61))</f>
        <v/>
      </c>
      <c r="NO61" s="27" t="str">
        <f t="shared" si="55"/>
        <v/>
      </c>
      <c r="NP61" s="27" t="str">
        <f>IF(Compositions!AT126="","",(Compositions!AT126/(VLOOKUP(Compositions!AQ126,'HHV-LHV-MW'!$A$3:$F$40,6,FALSE))))</f>
        <v/>
      </c>
      <c r="NQ61" s="185" t="str">
        <f>IF(NN61="","",((VLOOKUP(Compositions!AQ126,'HHV-LHV-MW'!$A$3:$F$40,4,FALSE))*(NN61/100)))</f>
        <v/>
      </c>
      <c r="NR61" s="185" t="str">
        <f>IF(NN61="","",((VLOOKUP(Compositions!AQ126,'HHV-LHV-MW'!$A$3:$F$40,5,FALSE))*(NN61/100)))</f>
        <v/>
      </c>
      <c r="NS61" s="185" t="str">
        <f>IF(NN61="","",((VLOOKUP(Compositions!AQ126,'HHV-LHV-MW'!$A$3:$F$40,6,FALSE))*(NN61/100)))</f>
        <v/>
      </c>
      <c r="NT61" s="185" t="str">
        <f>IF(Compositions!AT126="","",(Compositions!AT126*(VLOOKUP(Compositions!AQ126,'HHV-LHV-MW'!$A$3:$F$40,6,FALSE))))</f>
        <v/>
      </c>
      <c r="NU61" s="298" t="str">
        <f>IF(Compositions!AT126="","",IF(OR(Compositions!$AT$118="wt%",Compositions!$AT$118=""),Compositions!AT126,(IF(NT61="","",((NT61/$NT$78)*100)))))</f>
        <v/>
      </c>
      <c r="NV61" s="185" t="str">
        <f>IF(NU61="","",(IF(OR(Compositions!AQ126="Hydrogen",Compositions!AQ126="Helium",Compositions!AQ126="Water",Compositions!AQ126="Carbon Monoxide",Compositions!AQ126="Nitrogen",Compositions!AQ126="Oxygen",Compositions!AQ126="Hydrogen Sulfide",Compositions!AQ126="Argon",Compositions!AQ126="Carbon Dioxide",Compositions!AQ126="Carbon Disulfide"),0,NU61)))</f>
        <v/>
      </c>
      <c r="NW61" s="187" t="str">
        <f>IF(Compositions!AT126="","",((NN61/100)*((VLOOKUP(Compositions!AQ126,'HHV-LHV-MW'!$A$3:$G$40,7,FALSE)))))</f>
        <v/>
      </c>
      <c r="NX61" s="187" t="str">
        <f>IF(NN61="","",(IF(OR(Compositions!AQ126="Hydrogen",Compositions!AQ126="Carbon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Dioxide",Compositions!AQ126="Methane",Compositions!AQ126="Ethane"),0,(NN61/100))))</f>
        <v/>
      </c>
      <c r="NY61" s="205" t="str">
        <f>IF(NN61="","",(IF(OR($NX$78=0,$NX$78=""),0,     ((VLOOKUP(Compositions!AQ126,'HHV-LHV-MW'!$A$3:$F$40,6,FALSE))*(NX61/$NX$78)))))</f>
        <v/>
      </c>
      <c r="NZ61" s="28" t="str">
        <f>IF(Compositions!AU126="","",IF(Compositions!$AU$118="mol%",Compositions!AU126,OA61))</f>
        <v/>
      </c>
      <c r="OA61" s="28" t="str">
        <f t="shared" si="56"/>
        <v/>
      </c>
      <c r="OB61" s="28" t="str">
        <f>IF(Compositions!AU126="","",(Compositions!AU126/(VLOOKUP(Compositions!AQ126,'HHV-LHV-MW'!$A$3:$F$40,6,FALSE))))</f>
        <v/>
      </c>
      <c r="OC61" s="184" t="str">
        <f>IF(NZ61="","",((VLOOKUP(Compositions!AQ126,'HHV-LHV-MW'!$A$3:$F$40,4,FALSE))*(NZ61/100)))</f>
        <v/>
      </c>
      <c r="OD61" s="184" t="str">
        <f>IF(NZ61="","",((VLOOKUP(Compositions!AQ126,'HHV-LHV-MW'!$A$3:$F$40,5,FALSE))*(NZ61/100)))</f>
        <v/>
      </c>
      <c r="OE61" s="184" t="str">
        <f>IF(NZ61="","",((VLOOKUP(Compositions!AQ126,'HHV-LHV-MW'!$A$3:$F$40,6,FALSE))*(NZ61/100)))</f>
        <v/>
      </c>
      <c r="OF61" s="184" t="str">
        <f>IF(Compositions!AU126="","",(Compositions!AU126*(VLOOKUP(Compositions!AQ126,'HHV-LHV-MW'!$A$3:$F$40,6,FALSE))))</f>
        <v/>
      </c>
      <c r="OG61" s="297" t="str">
        <f>IF(Compositions!AU126="","",IF(OR(Compositions!$AU$118="wt%",Compositions!$AU$118=""),Compositions!AU126,(IF(OF61="","",((OF61/$OF$78)*100)))))</f>
        <v/>
      </c>
      <c r="OH61" s="39" t="str">
        <f>IF(OG61="","",(IF(OR(Compositions!AQ126="Hydrogen",Compositions!AQ126="Helium",Compositions!AQ126="Water",Compositions!AQ126="Carbon Monoxide",Compositions!AQ126="Nitrogen",Compositions!AQ126="Oxygen",Compositions!AQ126="Hydrogen Sulfide",Compositions!AQ126="Argon",Compositions!AQ126="Carbon Dioxide",Compositions!AQ126="Carbon Disulfide"),0,OG61)))</f>
        <v/>
      </c>
      <c r="OI61" s="186" t="str">
        <f>IF(Compositions!AU126="","",((NZ61/100)*((VLOOKUP(Compositions!AQ126,'HHV-LHV-MW'!$A$3:$G$40,7,FALSE)))))</f>
        <v/>
      </c>
      <c r="OJ61" s="186" t="str">
        <f>IF(NZ61="","",(IF(OR(Compositions!AQ126="Hydrogen",Compositions!AQ126="Carbon Disulfide",Compositions!AQ126="Helium",Compositions!AQ126="Water",Compositions!AQ126="Carbon Monoxide",Compositions!AQ126="Nitrogen",Compositions!AQ126="Oxygen",Compositions!AQ126="Hydrogen Sulfide",Compositions!AQ126="Argon",Compositions!AQ126="Carbon Dioxide",Compositions!AQ126="Methane",Compositions!AQ126="Ethane"),0,(NZ61/100))))</f>
        <v/>
      </c>
      <c r="OK61" s="39" t="str">
        <f>IF(NZ61="","",(IF(OR($OJ$78=0,$OJ$78=""),0,     ((VLOOKUP(Compositions!AQ126,'HHV-LHV-MW'!$A$3:$F$40,6,FALSE))*(OJ61/$OJ$78)))))</f>
        <v/>
      </c>
      <c r="ON61" s="27" t="str">
        <f>IF(Compositions!AX126="","",IF(Compositions!$AX$118="mol%",Compositions!AX126,OO61))</f>
        <v/>
      </c>
      <c r="OO61" s="27" t="str">
        <f t="shared" si="57"/>
        <v/>
      </c>
      <c r="OP61" s="27" t="str">
        <f>IF(Compositions!AX126="","",(Compositions!AX126/(VLOOKUP(Compositions!AW126,'HHV-LHV-MW'!$A$3:$F$40,6,FALSE))))</f>
        <v/>
      </c>
      <c r="OQ61" s="185" t="str">
        <f>IF(ON61="","",((VLOOKUP(Compositions!AW126,'HHV-LHV-MW'!$A$3:$F$40,4,FALSE))*(ON61/100)))</f>
        <v/>
      </c>
      <c r="OR61" s="185" t="str">
        <f>IF(ON61="","",((VLOOKUP(Compositions!AW126,'HHV-LHV-MW'!$A$3:$F$40,5,FALSE))*(ON61/100)))</f>
        <v/>
      </c>
      <c r="OS61" s="185" t="str">
        <f>IF(ON61="","",((VLOOKUP(Compositions!AW126,'HHV-LHV-MW'!$A$3:$F$40,6,FALSE))*(ON61/100)))</f>
        <v/>
      </c>
      <c r="OT61" s="185" t="str">
        <f>IF(Compositions!AX126="","",(Compositions!AX126*(VLOOKUP(Compositions!AW126,'HHV-LHV-MW'!$A$3:$F$40,6,FALSE))))</f>
        <v/>
      </c>
      <c r="OU61" s="298" t="str">
        <f>IF(Compositions!AX126="","",IF(OR(Compositions!$AX$118="wt%",Compositions!$AX$118=""),Compositions!AX126,(IF(OT61="","",((OT61/$OT$78)*100)))))</f>
        <v/>
      </c>
      <c r="OV61" s="185" t="str">
        <f>IF(OU61="","",(IF(OR(Compositions!AW126="Hydrogen",Compositions!AW126="Helium",Compositions!AW126="Water",Compositions!AW126="Carbon Monoxide",Compositions!AW126="Nitrogen",Compositions!AW126="Oxygen",Compositions!AW126="Hydrogen Sulfide",Compositions!AW126="Argon",Compositions!AW126="Carbon Dioxide",Compositions!AW126="Carbon Disulfide"),0,OU61)))</f>
        <v/>
      </c>
      <c r="OW61" s="187" t="str">
        <f>IF(Compositions!AX126="","",((ON61/100)*((VLOOKUP(Compositions!AW126,'HHV-LHV-MW'!$A$3:$G$40,7,FALSE)))))</f>
        <v/>
      </c>
      <c r="OX61" s="187" t="str">
        <f>IF(ON61="","",(IF(OR(Compositions!AW126="Hydrogen",Compositions!AW126="Carbon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Dioxide",Compositions!AW126="Methane",Compositions!AW126="Ethane"),0,(ON61/100))))</f>
        <v/>
      </c>
      <c r="OY61" s="205" t="str">
        <f>IF(ON61="","",(IF(OR($OX$78=0,$OX$78=""),0,     ((VLOOKUP(Compositions!AW126,'HHV-LHV-MW'!$A$3:$F$40,6,FALSE))*(OX61/$OX$78)))))</f>
        <v/>
      </c>
      <c r="OZ61" s="28" t="str">
        <f>IF(Compositions!AY126="","",IF(Compositions!$AY$118="mol%",Compositions!AY126,PA61))</f>
        <v/>
      </c>
      <c r="PA61" s="28" t="str">
        <f t="shared" si="64"/>
        <v/>
      </c>
      <c r="PB61" s="28" t="str">
        <f>IF(Compositions!AY126="","",(Compositions!AY126/(VLOOKUP(Compositions!AW126,'HHV-LHV-MW'!$A$3:$F$40,6,FALSE))))</f>
        <v/>
      </c>
      <c r="PC61" s="184" t="str">
        <f>IF(OZ61="","",((VLOOKUP(Compositions!AW126,'HHV-LHV-MW'!$A$3:$F$40,4,FALSE))*(OZ61/100)))</f>
        <v/>
      </c>
      <c r="PD61" s="184" t="str">
        <f>IF(OZ61="","",((VLOOKUP(Compositions!AW126,'HHV-LHV-MW'!$A$3:$F$40,5,FALSE))*(OZ61/100)))</f>
        <v/>
      </c>
      <c r="PE61" s="184" t="str">
        <f>IF(OZ61="","",((VLOOKUP(Compositions!AW126,'HHV-LHV-MW'!$A$3:$F$40,6,FALSE))*(OZ61/100)))</f>
        <v/>
      </c>
      <c r="PF61" s="184" t="str">
        <f>IF(Compositions!AY126="","",(Compositions!AY126*(VLOOKUP(Compositions!AW126,'HHV-LHV-MW'!$A$3:$F$40,6,FALSE))))</f>
        <v/>
      </c>
      <c r="PG61" s="297" t="str">
        <f>IF(Compositions!AY126="","",IF(OR(Compositions!$AY$118="wt%",Compositions!$AY$118=""),Compositions!AY126,(IF(PF61="","",((PF61/$PF$78)*100)))))</f>
        <v/>
      </c>
      <c r="PH61" s="39" t="str">
        <f>IF(PG61="","",(IF(OR(Compositions!AW126="Hydrogen",Compositions!AW126="Helium",Compositions!AW126="Water",Compositions!AW126="Carbon Monoxide",Compositions!AW126="Nitrogen",Compositions!AW126="Oxygen",Compositions!AW126="Hydrogen Sulfide",Compositions!AW126="Argon",Compositions!AW126="Carbon Dioxide",Compositions!AW126="Carbon Disulfide"),0,PG61)))</f>
        <v/>
      </c>
      <c r="PI61" s="186" t="str">
        <f>IF(Compositions!AY126="","",((OZ61/100)*((VLOOKUP(Compositions!AW126,'HHV-LHV-MW'!$A$3:$G$40,7,FALSE)))))</f>
        <v/>
      </c>
      <c r="PJ61" s="186" t="str">
        <f>IF(OZ61="","",(IF(OR(Compositions!AW126="Hydrogen",Compositions!AW126="Carbon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Dioxide",Compositions!AW126="Methane",Compositions!AW126="Ethane"),0,(OZ61/100))))</f>
        <v/>
      </c>
      <c r="PK61" s="39" t="str">
        <f>IF(OZ61="","",(IF(OR($PJ$78=0,$PJ$78=""),0,     ((VLOOKUP(Compositions!AW126,'HHV-LHV-MW'!$A$3:$F$40,6,FALSE))*(PJ61/$PJ$78)))))</f>
        <v/>
      </c>
      <c r="PL61" s="27" t="str">
        <f>IF(Compositions!AZ126="","",IF(Compositions!$AZ$118="mol%",Compositions!AZ126,PM61))</f>
        <v/>
      </c>
      <c r="PM61" s="27" t="str">
        <f t="shared" si="58"/>
        <v/>
      </c>
      <c r="PN61" s="27" t="str">
        <f>IF(Compositions!AZ126="","",(Compositions!AZ126/(VLOOKUP(Compositions!AW126,'HHV-LHV-MW'!$A$3:$F$40,6,FALSE))))</f>
        <v/>
      </c>
      <c r="PO61" s="185" t="str">
        <f>IF(PL61="","",((VLOOKUP(Compositions!AW126,'HHV-LHV-MW'!$A$3:$F$40,4,FALSE))*(PL61/100)))</f>
        <v/>
      </c>
      <c r="PP61" s="185" t="str">
        <f>IF(PL61="","",((VLOOKUP(Compositions!AW126,'HHV-LHV-MW'!$A$3:$F$40,5,FALSE))*(PL61/100)))</f>
        <v/>
      </c>
      <c r="PQ61" s="185" t="str">
        <f>IF(PL61="","",((VLOOKUP(Compositions!AW126,'HHV-LHV-MW'!$A$3:$F$40,6,FALSE))*(PL61/100)))</f>
        <v/>
      </c>
      <c r="PR61" s="185" t="str">
        <f>IF(Compositions!AZ126="","",(Compositions!AZ126*(VLOOKUP(Compositions!AW126,'HHV-LHV-MW'!$A$3:$F$40,6,FALSE))))</f>
        <v/>
      </c>
      <c r="PS61" s="298" t="str">
        <f>IF(Compositions!AZ126="","",IF(OR(Compositions!$AZ$118="wt%",Compositions!$AZ$118=""),Compositions!AZ126,(IF(PR61="","",((PR61/$PR$78)*100)))))</f>
        <v/>
      </c>
      <c r="PT61" s="185" t="str">
        <f>IF(PS61="","",(IF(OR(Compositions!AW126="Hydrogen",Compositions!AW126="Helium",Compositions!AW126="Water",Compositions!AW126="Carbon Monoxide",Compositions!AW126="Nitrogen",Compositions!AW126="Oxygen",Compositions!AW126="Hydrogen Sulfide",Compositions!AW126="Argon",Compositions!AW126="Carbon Dioxide",Compositions!AW126="Carbon Disulfide"),0,PS61)))</f>
        <v/>
      </c>
      <c r="PU61" s="187" t="str">
        <f>IF(Compositions!AZ126="","",((PL61/100)*((VLOOKUP(Compositions!AW126,'HHV-LHV-MW'!$A$3:$G$40,7,FALSE)))))</f>
        <v/>
      </c>
      <c r="PV61" s="187" t="str">
        <f>IF(PL61="","",(IF(OR(Compositions!AW126="Hydrogen",Compositions!AW126="Carbon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Dioxide",Compositions!AW126="Methane",Compositions!AW126="Ethane"),0,(PL61/100))))</f>
        <v/>
      </c>
      <c r="PW61" s="205" t="str">
        <f>IF(PL61="","",(IF(OR($PV$78=0,$PV$78=""),0,     ((VLOOKUP(Compositions!AW126,'HHV-LHV-MW'!$A$3:$F$40,6,FALSE))*(PV61/$PV$78)))))</f>
        <v/>
      </c>
      <c r="PX61" s="28" t="str">
        <f>IF(Compositions!BA126="","",IF(Compositions!$BA$118="mol%",Compositions!BA126,PY61))</f>
        <v/>
      </c>
      <c r="PY61" s="28" t="str">
        <f t="shared" si="59"/>
        <v/>
      </c>
      <c r="PZ61" s="28" t="str">
        <f>IF(Compositions!BA126="","",(Compositions!BA126/(VLOOKUP(Compositions!AW126,'HHV-LHV-MW'!$A$3:$F$40,6,FALSE))))</f>
        <v/>
      </c>
      <c r="QA61" s="184" t="str">
        <f>IF(PX61="","",((VLOOKUP(Compositions!AW126,'HHV-LHV-MW'!$A$3:$F$40,4,FALSE))*(PX61/100)))</f>
        <v/>
      </c>
      <c r="QB61" s="184" t="str">
        <f>IF(PX61="","",((VLOOKUP(Compositions!AW126,'HHV-LHV-MW'!$A$3:$F$40,5,FALSE))*(PX61/100)))</f>
        <v/>
      </c>
      <c r="QC61" s="184" t="str">
        <f>IF(PX61="","",((VLOOKUP(Compositions!AW126,'HHV-LHV-MW'!$A$3:$F$40,6,FALSE))*(PX61/100)))</f>
        <v/>
      </c>
      <c r="QD61" s="184" t="str">
        <f>IF(Compositions!BA126="","",(Compositions!BA126*(VLOOKUP(Compositions!AW126,'HHV-LHV-MW'!$A$3:$F$40,6,FALSE))))</f>
        <v/>
      </c>
      <c r="QE61" s="297" t="str">
        <f>IF(Compositions!BA126="","",IF(OR(Compositions!$BA$118="wt%",Compositions!$BA$118=""),Compositions!BA126,(IF(QD61="","",((QD61/$QD$78)*100)))))</f>
        <v/>
      </c>
      <c r="QF61" s="39" t="str">
        <f>IF(QE61="","",(IF(OR(Compositions!AW126="Hydrogen",Compositions!AW126="Helium",Compositions!AW126="Water",Compositions!AW126="Carbon Monoxide",Compositions!AW126="Nitrogen",Compositions!AW126="Oxygen",Compositions!AW126="Hydrogen Sulfide",Compositions!AW126="Argon",Compositions!AW126="Carbon Dioxide",Compositions!AW126="Carbon Disulfide"),0,QE61)))</f>
        <v/>
      </c>
      <c r="QG61" s="186" t="str">
        <f>IF(Compositions!BA126="","",((PX61/100)*((VLOOKUP(Compositions!AW126,'HHV-LHV-MW'!$A$3:$G$40,7,FALSE)))))</f>
        <v/>
      </c>
      <c r="QH61" s="186" t="str">
        <f>IF(PX61="","",(IF(OR(Compositions!AW126="Hydrogen",Compositions!AW126="Carbon Disulfide",Compositions!AW126="Helium",Compositions!AW126="Water",Compositions!AW126="Carbon Monoxide",Compositions!AW126="Nitrogen",Compositions!AW126="Oxygen",Compositions!AW126="Hydrogen Sulfide",Compositions!AW126="Argon",Compositions!AW126="Carbon Dioxide",Compositions!AW126="Methane",Compositions!AW126="Ethane"),0,(PX61/100))))</f>
        <v/>
      </c>
      <c r="QI61" s="39" t="str">
        <f>IF(PX61="","",(IF(OR($QH$78=0,$QH$78=""),0,     ((VLOOKUP(Compositions!AW126,'HHV-LHV-MW'!$A$3:$F$40,6,FALSE))*(QH61/$QH$78)))))</f>
        <v/>
      </c>
      <c r="QK61" s="27" t="str">
        <f>IF(Compositions!BD126="","",IF(Compositions!$BD$118="mol%",Compositions!BD126,QL61))</f>
        <v/>
      </c>
      <c r="QL61" s="27" t="str">
        <f t="shared" si="60"/>
        <v/>
      </c>
      <c r="QM61" s="27" t="str">
        <f>IF(Compositions!BD126="","",(Compositions!BD126/(VLOOKUP(Compositions!BC126,'HHV-LHV-MW'!$A$3:$F$40,6,FALSE))))</f>
        <v/>
      </c>
      <c r="QN61" s="185" t="str">
        <f>IF(QK61="","",((VLOOKUP(Compositions!BC126,'HHV-LHV-MW'!$A$3:$F$40,4,FALSE))*(QK61/100)))</f>
        <v/>
      </c>
      <c r="QO61" s="185" t="str">
        <f>IF(QK61="","",((VLOOKUP(Compositions!BC126,'HHV-LHV-MW'!$A$3:$F$40,5,FALSE))*(QK61/100)))</f>
        <v/>
      </c>
      <c r="QP61" s="185" t="str">
        <f>IF(QK61="","",((VLOOKUP(Compositions!BC126,'HHV-LHV-MW'!$A$3:$F$40,6,FALSE))*(QK61/100)))</f>
        <v/>
      </c>
      <c r="QQ61" s="185" t="str">
        <f>IF(Compositions!BD126="","",(Compositions!BD126*(VLOOKUP(Compositions!BC126,'HHV-LHV-MW'!$A$3:$F$40,6,FALSE))))</f>
        <v/>
      </c>
      <c r="QR61" s="298" t="str">
        <f>IF(Compositions!BD126="","",IF(OR(Compositions!$BD$118="wt%",Compositions!$BD$118=""),Compositions!BD126,(IF(QQ61="","",((QQ61/$QQ$78)*100)))))</f>
        <v/>
      </c>
      <c r="QS61" s="185" t="str">
        <f>IF(QR61="","",(IF(OR(Compositions!BC126="Hydrogen",Compositions!BC126="Helium",Compositions!BC126="Water",Compositions!BC126="Carbon Monoxide",Compositions!BC126="Nitrogen",Compositions!BC126="Oxygen",Compositions!BC126="Hydrogen Sulfide",Compositions!BC126="Argon",Compositions!BC126="Carbon Dioxide",Compositions!BC126="Carbon Disulfide"),0,QR61)))</f>
        <v/>
      </c>
      <c r="QT61" s="187" t="str">
        <f>IF(Compositions!BD126="","",((QK61/100)*((VLOOKUP(Compositions!BC126,'HHV-LHV-MW'!$A$3:$G$40,7,FALSE)))))</f>
        <v/>
      </c>
      <c r="QU61" s="187" t="str">
        <f>IF(QK61="","",(IF(OR(Compositions!BC126="Hydrogen",Compositions!BC126="Carbon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Dioxide",Compositions!BC126="Methane",Compositions!BC126="Ethane"),0,(QK61/100))))</f>
        <v/>
      </c>
      <c r="QV61" s="205" t="str">
        <f>IF(QK61="","",(IF(OR($QU$78=0,$QU$78=""),0,     ((VLOOKUP(Compositions!BC126,'HHV-LHV-MW'!$A$3:$F$40,6,FALSE))*(QU61/$QU$78)))))</f>
        <v/>
      </c>
      <c r="QW61" s="28" t="str">
        <f>IF(Compositions!BE126="","",IF(Compositions!$BE$118="mol%",Compositions!BE126,QX61))</f>
        <v/>
      </c>
      <c r="QX61" s="28" t="str">
        <f t="shared" si="61"/>
        <v/>
      </c>
      <c r="QY61" s="28" t="str">
        <f>IF(Compositions!BE126="","",(Compositions!BE126/(VLOOKUP(Compositions!BC126,'HHV-LHV-MW'!$A$3:$F$40,6,FALSE))))</f>
        <v/>
      </c>
      <c r="QZ61" s="184" t="str">
        <f>IF(QW61="","",((VLOOKUP(Compositions!BC126,'HHV-LHV-MW'!$A$3:$F$40,4,FALSE))*(QW61/100)))</f>
        <v/>
      </c>
      <c r="RA61" s="184" t="str">
        <f>IF(QW61="","",((VLOOKUP(Compositions!BC126,'HHV-LHV-MW'!$A$3:$F$40,5,FALSE))*(QW61/100)))</f>
        <v/>
      </c>
      <c r="RB61" s="184" t="str">
        <f>IF(QW61="","",((VLOOKUP(Compositions!BC126,'HHV-LHV-MW'!$A$3:$F$40,6,FALSE))*(QW61/100)))</f>
        <v/>
      </c>
      <c r="RC61" s="184" t="str">
        <f>IF(Compositions!BE126="","",(Compositions!BE126*(VLOOKUP(Compositions!BC126,'HHV-LHV-MW'!$A$3:$F$40,6,FALSE))))</f>
        <v/>
      </c>
      <c r="RD61" s="297" t="str">
        <f>IF(Compositions!BE126="","",IF(OR(Compositions!$BE$118="wt%",Compositions!$BE$118=""),Compositions!BE126,(IF(RC61="","",((RC61/$RC$78)*100)))))</f>
        <v/>
      </c>
      <c r="RE61" s="39" t="str">
        <f>IF(RD61="","",(IF(OR(Compositions!BC126="Hydrogen",Compositions!BC126="Helium",Compositions!BC126="Water",Compositions!BC126="Carbon Monoxide",Compositions!BC126="Nitrogen",Compositions!BC126="Oxygen",Compositions!BC126="Hydrogen Sulfide",Compositions!BC126="Argon",Compositions!BC126="Carbon Dioxide",Compositions!BC126="Carbon Disulfide"),0,RD61)))</f>
        <v/>
      </c>
      <c r="RF61" s="186" t="str">
        <f>IF(Compositions!BE126="","",((QW61/100)*((VLOOKUP(Compositions!BC126,'HHV-LHV-MW'!$A$3:$G$40,7,FALSE)))))</f>
        <v/>
      </c>
      <c r="RG61" s="186" t="str">
        <f>IF(QW61="","",(IF(OR(Compositions!BC126="Hydrogen",Compositions!BC126="Carbon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Dioxide",Compositions!BC126="Methane",Compositions!BC126="Ethane"),0,(QW61/100))))</f>
        <v/>
      </c>
      <c r="RH61" s="39" t="str">
        <f>IF(QW61="","",(IF(OR($RG$78=0,$RG$78=""),0,     ((VLOOKUP(Compositions!BC126,'HHV-LHV-MW'!$A$3:$F$40,6,FALSE))*(RG61/$RG$78)))))</f>
        <v/>
      </c>
      <c r="RI61" s="27" t="str">
        <f>IF(Compositions!BF126="","",IF(Compositions!$BF$118="mol%",Compositions!BF126,RJ61))</f>
        <v/>
      </c>
      <c r="RJ61" s="27" t="str">
        <f t="shared" si="62"/>
        <v/>
      </c>
      <c r="RK61" s="27" t="str">
        <f>IF(Compositions!BF126="","",(Compositions!BF126/(VLOOKUP(Compositions!BC126,'HHV-LHV-MW'!$A$3:$F$40,6,FALSE))))</f>
        <v/>
      </c>
      <c r="RL61" s="185" t="str">
        <f>IF(RI61="","",((VLOOKUP(Compositions!BC126,'HHV-LHV-MW'!$A$3:$F$40,4,FALSE))*(RI61/100)))</f>
        <v/>
      </c>
      <c r="RM61" s="185" t="str">
        <f>IF(RI61="","",((VLOOKUP(Compositions!BC126,'HHV-LHV-MW'!$A$3:$F$40,5,FALSE))*(RI61/100)))</f>
        <v/>
      </c>
      <c r="RN61" s="185" t="str">
        <f>IF(RI61="","",((VLOOKUP(Compositions!BC126,'HHV-LHV-MW'!$A$3:$F$40,6,FALSE))*(RI61/100)))</f>
        <v/>
      </c>
      <c r="RO61" s="185" t="str">
        <f>IF(Compositions!BF126="","",(Compositions!BF126*(VLOOKUP(Compositions!BC126,'HHV-LHV-MW'!$A$3:$F$40,6,FALSE))))</f>
        <v/>
      </c>
      <c r="RP61" s="298" t="str">
        <f>IF(Compositions!BF126="","",IF(OR(Compositions!$BF$118="wt%",Compositions!$BF$118=""),Compositions!BF126,(IF(RO61="","",((RO61/$RO$78)*100)))))</f>
        <v/>
      </c>
      <c r="RQ61" s="185" t="str">
        <f>IF(RP61="","",(IF(OR(Compositions!BC126="Hydrogen",Compositions!BC126="Helium",Compositions!BC126="Water",Compositions!BC126="Carbon Monoxide",Compositions!BC126="Nitrogen",Compositions!BC126="Oxygen",Compositions!BC126="Hydrogen Sulfide",Compositions!BC126="Argon",Compositions!BC126="Carbon Dioxide",Compositions!BC126="Carbon Disulfide"),0,RP61)))</f>
        <v/>
      </c>
      <c r="RR61" s="187" t="str">
        <f>IF(Compositions!BF126="","",((RI61/100)*((VLOOKUP(Compositions!BC126,'HHV-LHV-MW'!$A$3:$G$40,7,FALSE)))))</f>
        <v/>
      </c>
      <c r="RS61" s="187" t="str">
        <f>IF(RI61="","",(IF(OR(Compositions!BC126="Hydrogen",Compositions!BC126="Carbon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Dioxide",Compositions!BC126="Methane",Compositions!BC126="Ethane"),0,(RI61/100))))</f>
        <v/>
      </c>
      <c r="RT61" s="205" t="str">
        <f>IF(RI61="","",(IF(OR($RS$78=0,$RS$78=""),0,     ((VLOOKUP(Compositions!BC126,'HHV-LHV-MW'!$A$3:$F$40,6,FALSE))*(RS61/$RS$78)))))</f>
        <v/>
      </c>
      <c r="RU61" s="28" t="str">
        <f>IF(Compositions!BG126="","",IF(Compositions!$BG$118="mol%",Compositions!BG126,RV61))</f>
        <v/>
      </c>
      <c r="RV61" s="28" t="str">
        <f t="shared" si="63"/>
        <v/>
      </c>
      <c r="RW61" s="28" t="str">
        <f>IF(Compositions!BG126="","",(Compositions!BG126/(VLOOKUP(Compositions!BC126,'HHV-LHV-MW'!$A$3:$F$40,6,FALSE))))</f>
        <v/>
      </c>
      <c r="RX61" s="184" t="str">
        <f>IF(RU61="","",((VLOOKUP(Compositions!BC126,'HHV-LHV-MW'!$A$3:$F$40,4,FALSE))*(RU61/100)))</f>
        <v/>
      </c>
      <c r="RY61" s="184" t="str">
        <f>IF(RU61="","",((VLOOKUP(Compositions!BC126,'HHV-LHV-MW'!$A$3:$F$40,5,FALSE))*(RU61/100)))</f>
        <v/>
      </c>
      <c r="RZ61" s="184" t="str">
        <f>IF(RU61="","",((VLOOKUP(Compositions!BC126,'HHV-LHV-MW'!$A$3:$F$40,6,FALSE))*(RU61/100)))</f>
        <v/>
      </c>
      <c r="SA61" s="184" t="str">
        <f>IF(Compositions!BG126="","",(Compositions!BG126*(VLOOKUP(Compositions!BC126,'HHV-LHV-MW'!$A$3:$F$40,6,FALSE))))</f>
        <v/>
      </c>
      <c r="SB61" s="297" t="str">
        <f>IF(Compositions!BG126="","",IF(OR(Compositions!$BG$118="wt%",Compositions!$BG$118=""),Compositions!BG126,(IF(SA61="","",((SA61/$SA$78)*100)))))</f>
        <v/>
      </c>
      <c r="SC61" s="39" t="str">
        <f>IF(SB61="","",(IF(OR(Compositions!BC126="Hydrogen",Compositions!BC126="Helium",Compositions!BC126="Water",Compositions!BC126="Carbon Monoxide",Compositions!BC126="Nitrogen",Compositions!BC126="Oxygen",Compositions!BC126="Hydrogen Sulfide",Compositions!BC126="Argon",Compositions!BC126="Carbon Dioxide",Compositions!BC126="Carbon Disulfide"),0,SB61)))</f>
        <v/>
      </c>
      <c r="SD61" s="186" t="str">
        <f>IF(Compositions!BG126="","",((RU61/100)*((VLOOKUP(Compositions!BC126,'HHV-LHV-MW'!$A$3:$G$40,7,FALSE)))))</f>
        <v/>
      </c>
      <c r="SE61" s="186" t="str">
        <f>IF(RU61="","",(IF(OR(Compositions!BC126="Hydrogen",Compositions!BC126="Carbon Disulfide",Compositions!BC126="Helium",Compositions!BC126="Water",Compositions!BC126="Carbon Monoxide",Compositions!BC126="Nitrogen",Compositions!BC126="Oxygen",Compositions!BC126="Hydrogen Sulfide",Compositions!BC126="Argon",Compositions!BC126="Carbon Dioxide",Compositions!BC126="Methane",Compositions!BC126="Ethane"),0,(RU61/100))))</f>
        <v/>
      </c>
      <c r="SF61" s="39" t="str">
        <f>IF(RU61="","",(IF(OR($SE$78=0,$SE$78=""),0,     ((VLOOKUP(Compositions!BC126,'HHV-LHV-MW'!$A$3:$F$40,6,FALSE))*(SE61/$SE$78)))))</f>
        <v/>
      </c>
    </row>
    <row r="62" spans="1:500" ht="15.6">
      <c r="A62" s="173" t="s">
        <v>190</v>
      </c>
      <c r="B62" s="19" t="s">
        <v>189</v>
      </c>
      <c r="C62" s="20">
        <v>5</v>
      </c>
      <c r="D62" s="20">
        <v>3.5065</v>
      </c>
      <c r="E62" s="20">
        <v>3.2650000000000001</v>
      </c>
      <c r="F62" s="20">
        <v>72.150279999999995</v>
      </c>
      <c r="G62" s="20">
        <v>0</v>
      </c>
      <c r="H62" s="170"/>
      <c r="I62" s="170"/>
      <c r="K62" s="27" t="str">
        <f>IF(Compositions!B127="","",IF(Compositions!$B$118="mol%",Compositions!B127,L62))</f>
        <v/>
      </c>
      <c r="L62" s="27" t="str">
        <f t="shared" si="25"/>
        <v/>
      </c>
      <c r="M62" s="27" t="str">
        <f>IF(Compositions!B127="","",(Compositions!B127/(VLOOKUP(Compositions!A127,'HHV-LHV-MW'!$A$3:$F$40,6,FALSE))))</f>
        <v/>
      </c>
      <c r="N62" s="25" t="str">
        <f>IF(K62="","",((VLOOKUP(Compositions!A127,'HHV-LHV-MW'!$A$3:$F$40,4,FALSE))*(K62/100)))</f>
        <v/>
      </c>
      <c r="O62" s="25" t="str">
        <f>IF(K62="","",((VLOOKUP(Compositions!A127,'HHV-LHV-MW'!$A$3:$F$40,5,FALSE))*(K62/100)))</f>
        <v/>
      </c>
      <c r="P62" s="25" t="str">
        <f>IF(K62="","",((VLOOKUP(Compositions!A127,'HHV-LHV-MW'!$A$3:$F$40,6,FALSE))*(K62/100)))</f>
        <v/>
      </c>
      <c r="Q62" s="25" t="str">
        <f>IF(Compositions!B127="","",(Compositions!B127*(VLOOKUP(Compositions!A127,'HHV-LHV-MW'!$A$3:$F$40,6,FALSE))))</f>
        <v/>
      </c>
      <c r="R62" s="188" t="str">
        <f>IF(Compositions!B127="","",IF(OR(Compositions!$B$118="wt%",Compositions!$B$118=""),Compositions!B127,(IF(Q62="","",((Q62/$Q$78)*100)))))</f>
        <v/>
      </c>
      <c r="S62" s="185" t="str">
        <f>IF(R62="","",(IF(OR(Compositions!A127="Hydrogen",Compositions!A127="Helium",Compositions!A127="Water",Compositions!A127="Carbon Monoxide",Compositions!A127="Nitrogen",Compositions!A127="Oxygen",Compositions!A127="Hydrogen Sulfide",Compositions!A127="Argon",Compositions!A127="Carbon Dioxide",Compositions!A127="Carbon Disulfide"),0,R62)))</f>
        <v/>
      </c>
      <c r="T62" s="169" t="str">
        <f>IF(Compositions!B127="","",((K62/100)*((VLOOKUP(Compositions!A127,'HHV-LHV-MW'!$A$3:$G$40,7,FALSE)))))</f>
        <v/>
      </c>
      <c r="U62" s="187" t="str">
        <f>IF(K62="","",(IF(OR(Compositions!A127="Hydrogen",Compositions!A127="Carbon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Dioxide",Compositions!A127="Methane",Compositions!A127="Ethane"),0,(K62/100))))</f>
        <v/>
      </c>
      <c r="V62" s="188" t="str">
        <f>IF(K62="","", (IF(OR($U$78=0,$U$78=""),0,((VLOOKUP(Compositions!A127,'HHV-LHV-MW'!$A$3:$F$40,6,FALSE))*(U62/$U$78))   ))   )</f>
        <v/>
      </c>
      <c r="W62" s="28" t="str">
        <f>IF(Compositions!C127="","",IF(Compositions!$C$118="mol%",Compositions!C127,X62))</f>
        <v/>
      </c>
      <c r="X62" s="28" t="str">
        <f t="shared" si="26"/>
        <v/>
      </c>
      <c r="Y62" s="28" t="str">
        <f>IF(Compositions!C127="","",(Compositions!C127/(VLOOKUP(Compositions!A127,'HHV-LHV-MW'!$A$3:$F$40,6,FALSE))))</f>
        <v/>
      </c>
      <c r="Z62" s="26" t="str">
        <f>IF(W62="","",((VLOOKUP(Compositions!A127,'HHV-LHV-MW'!$A$3:$F$40,4,FALSE))*(W62/100)))</f>
        <v/>
      </c>
      <c r="AA62" s="26" t="str">
        <f>IF(W62="","",((VLOOKUP(Compositions!A127,'HHV-LHV-MW'!$A$3:$F$40,5,FALSE))*(W62/100)))</f>
        <v/>
      </c>
      <c r="AB62" s="26" t="str">
        <f>IF(W62="","",((VLOOKUP(Compositions!A127,'HHV-LHV-MW'!$A$3:$F$40,6,FALSE))*(W62/100)))</f>
        <v/>
      </c>
      <c r="AC62" s="26" t="str">
        <f>IF(Compositions!C127="","",(Compositions!C127*(VLOOKUP(Compositions!A127,'HHV-LHV-MW'!$A$3:$F$40,6,FALSE))))</f>
        <v/>
      </c>
      <c r="AD62" s="296" t="str">
        <f>IF(Compositions!C127="","",IF(OR(Compositions!$C$118="wt%",Compositions!$C$118=""),Compositions!C127,(IF(AC62="","",((AC62/$AC$78)*100)))))</f>
        <v/>
      </c>
      <c r="AE62" s="39" t="str">
        <f>IF(AD62="","",(IF(OR(Compositions!A127="Hydrogen",Compositions!A127="Helium",Compositions!A127="Water",Compositions!A127="Carbon Monoxide",Compositions!A127="Nitrogen",Compositions!A127="Oxygen",Compositions!A127="Hydrogen Sulfide",Compositions!A127="Argon",Compositions!A127="Carbon Dioxide",Compositions!A127="Carbon Disulfide"),0,AD62)))</f>
        <v/>
      </c>
      <c r="AF62" s="186" t="str">
        <f>IF(Compositions!C127="","",((W62/100)*((VLOOKUP(Compositions!A127,'HHV-LHV-MW'!$A$3:$G$40,7,FALSE)))))</f>
        <v/>
      </c>
      <c r="AG62" s="186" t="str">
        <f>IF(W62="","",(IF(OR(Compositions!A127="Hydrogen",Compositions!A127="Carbon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Dioxide",Compositions!A127="Methane",Compositions!A127="Ethane"),0,(W62/100))))</f>
        <v/>
      </c>
      <c r="AH62" s="39" t="str">
        <f>IF(W62="","", (IF(OR($AG$78=0,$AG$78=""),0,   ((VLOOKUP(Compositions!A127,'HHV-LHV-MW'!$A$3:$F$40,6,FALSE))*(AG62/$AG$78)))))</f>
        <v/>
      </c>
      <c r="AI62" s="27" t="str">
        <f>IF(Compositions!D127="","",IF(Compositions!$D$118="mol%",Compositions!D127,AJ62))</f>
        <v/>
      </c>
      <c r="AJ62" s="27" t="str">
        <f t="shared" si="27"/>
        <v/>
      </c>
      <c r="AK62" s="27" t="str">
        <f>IF(Compositions!D127="","",(Compositions!D127/(VLOOKUP(Compositions!A127,'HHV-LHV-MW'!$A$3:$F$40,6,FALSE))))</f>
        <v/>
      </c>
      <c r="AL62" s="25" t="str">
        <f>IF(AI62="","",((VLOOKUP(Compositions!A127,'HHV-LHV-MW'!$A$3:$F$40,4,FALSE))*(AI62/100)))</f>
        <v/>
      </c>
      <c r="AM62" s="25" t="str">
        <f>IF(AI62="","",((VLOOKUP(Compositions!A127,'HHV-LHV-MW'!$A$3:$F$40,5,FALSE))*(AI62/100)))</f>
        <v/>
      </c>
      <c r="AN62" s="25" t="str">
        <f>IF(AI62="","",((VLOOKUP(Compositions!A127,'HHV-LHV-MW'!$A$3:$F$40,6,FALSE))*(AI62/100)))</f>
        <v/>
      </c>
      <c r="AO62" s="25" t="str">
        <f>IF(Compositions!D127="","",(Compositions!D127*(VLOOKUP(Compositions!A127,'HHV-LHV-MW'!$A$3:$F$40,6,FALSE))))</f>
        <v/>
      </c>
      <c r="AP62" s="295" t="str">
        <f>IF(Compositions!D127="","",IF(OR(Compositions!$D$118="wt%",Compositions!$D$118=""),Compositions!D127,(IF(AO62="","",((AO62/$AO$78)*100)))))</f>
        <v/>
      </c>
      <c r="AQ62" s="185" t="str">
        <f>IF(AP62="","",(IF(OR(Compositions!A127="Hydrogen",Compositions!A127="Helium",Compositions!A127="Water",Compositions!A127="Carbon Monoxide",Compositions!A127="Nitrogen",Compositions!A127="Oxygen",Compositions!A127="Hydrogen Sulfide",Compositions!A127="Argon",Compositions!A127="Carbon Dioxide",Compositions!A127="Carbon Disulfide"),0,AP62)))</f>
        <v/>
      </c>
      <c r="AR62" s="187" t="str">
        <f>IF(Compositions!D127="","",((AI62/100)*((VLOOKUP(Compositions!A127,'HHV-LHV-MW'!$A$3:$G$40,7,FALSE)))))</f>
        <v/>
      </c>
      <c r="AS62" s="187" t="str">
        <f>IF(AI62="","",(IF(OR(Compositions!A127="Hydrogen",Compositions!A127="Carbon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Dioxide",Compositions!A127="Methane",Compositions!A127="Ethane"),0,(AI62/100))))</f>
        <v/>
      </c>
      <c r="AT62" s="205" t="str">
        <f>IF(AI62="","",(IF(OR($AS$78=0,$AS$78=""),0,      ((VLOOKUP(Compositions!A127,'HHV-LHV-MW'!$A$3:$F$40,6,FALSE))*(AS62/$AS$78)))))</f>
        <v/>
      </c>
      <c r="AU62" s="28" t="str">
        <f>IF(Compositions!E127="","",IF(Compositions!$E$118="mol%",Compositions!E127,AV62))</f>
        <v/>
      </c>
      <c r="AV62" s="28" t="str">
        <f t="shared" si="28"/>
        <v/>
      </c>
      <c r="AW62" s="28" t="str">
        <f>IF(Compositions!E127="","",(Compositions!E127/(VLOOKUP(Compositions!A127,'HHV-LHV-MW'!$A$3:$F$40,6,FALSE))))</f>
        <v/>
      </c>
      <c r="AX62" s="26" t="str">
        <f>IF(AU62="","",((VLOOKUP(Compositions!A127,'HHV-LHV-MW'!$A$3:$F$40,4,FALSE))*(AU62/100)))</f>
        <v/>
      </c>
      <c r="AY62" s="26" t="str">
        <f>IF(AU62="","",((VLOOKUP(Compositions!A127,'HHV-LHV-MW'!$A$3:$F$40,5,FALSE))*(AU62/100)))</f>
        <v/>
      </c>
      <c r="AZ62" s="26" t="str">
        <f>IF(AU62="","",((VLOOKUP(Compositions!A127,'HHV-LHV-MW'!$A$3:$F$40,6,FALSE))*(AU62/100)))</f>
        <v/>
      </c>
      <c r="BA62" s="26" t="str">
        <f>IF(Compositions!E127="","",(Compositions!E127*(VLOOKUP(Compositions!A127,'HHV-LHV-MW'!$A$3:$F$40,6,FALSE))))</f>
        <v/>
      </c>
      <c r="BB62" s="296" t="str">
        <f>IF(Compositions!E127="","",IF(OR(Compositions!$E$118="wt%",Compositions!$E$118=""),Compositions!E127,(IF(BA62="","",((BA62/$BA$78)*100)))))</f>
        <v/>
      </c>
      <c r="BC62" s="39" t="str">
        <f>IF(BB62="","",(IF(OR(Compositions!A127="Hydrogen",Compositions!A127="Helium",Compositions!A127="Water",Compositions!A127="Carbon Monoxide",Compositions!A127="Nitrogen",Compositions!A127="Oxygen",Compositions!A127="Hydrogen Sulfide",Compositions!A127="Argon",Compositions!A127="Carbon Dioxide",Compositions!A127="Carbon Disulfide"),0,BB62)))</f>
        <v/>
      </c>
      <c r="BD62" s="186" t="str">
        <f>IF(Compositions!E127="","",((AU62/100)*((VLOOKUP(Compositions!A127,'HHV-LHV-MW'!$A$3:$G$40,7,FALSE)))))</f>
        <v/>
      </c>
      <c r="BE62" s="186" t="str">
        <f>IF(AU62="","",(IF(OR(Compositions!A127="Hydrogen",Compositions!A127="Carbon Disulfide",Compositions!A127="Helium",Compositions!A127="Water",Compositions!A127="Carbon Monoxide",Compositions!A127="Nitrogen",Compositions!A127="Oxygen",Compositions!A127="Hydrogen Sulfide",Compositions!A127="Argon",Compositions!A127="Carbon Dioxide",Compositions!A127="Methane",Compositions!A127="Ethane"),0,(AU62/100))))</f>
        <v/>
      </c>
      <c r="BF62" s="39" t="str">
        <f>IF(AU62="","",(IF(OR($BE$78=0,$BE$78=""),0,     ((VLOOKUP(Compositions!A127,'HHV-LHV-MW'!$A$3:$F$40,6,FALSE))*(BE62/$BE$78)))))</f>
        <v/>
      </c>
      <c r="BH62" s="27" t="str">
        <f>IF(Compositions!H127="","",IF(Compositions!$H$118="mol%",Compositions!H127,BI62))</f>
        <v/>
      </c>
      <c r="BI62" s="27" t="str">
        <f t="shared" si="29"/>
        <v/>
      </c>
      <c r="BJ62" s="27" t="str">
        <f>IF(Compositions!H127="","",(Compositions!H127/(VLOOKUP(Compositions!G127,'HHV-LHV-MW'!$A$3:$F$40,6,FALSE))))</f>
        <v/>
      </c>
      <c r="BK62" s="25" t="str">
        <f>IF(BH62="","",((VLOOKUP(Compositions!G127,'HHV-LHV-MW'!$A$3:$F$40,4,FALSE))*(BH62/100)))</f>
        <v/>
      </c>
      <c r="BL62" s="25" t="str">
        <f>IF(BH62="","",((VLOOKUP(Compositions!G127,'HHV-LHV-MW'!$A$3:$F$40,5,FALSE))*(BH62/100)))</f>
        <v/>
      </c>
      <c r="BM62" s="25" t="str">
        <f>IF(BH62="","",((VLOOKUP(Compositions!G127,'HHV-LHV-MW'!$A$3:$F$40,6,FALSE))*(BH62/100)))</f>
        <v/>
      </c>
      <c r="BN62" s="25" t="str">
        <f>IF(Compositions!H127="","",(Compositions!H127*(VLOOKUP(Compositions!G127,'HHV-LHV-MW'!$A$3:$F$40,6,FALSE))))</f>
        <v/>
      </c>
      <c r="BO62" s="295" t="str">
        <f>IF(Compositions!H127="","",IF(OR(Compositions!$H$118="wt%",Compositions!$H$118=""),Compositions!H127,(IF(BN62="","",((BN62/$BN$78)*100)))))</f>
        <v/>
      </c>
      <c r="BP62" s="185" t="str">
        <f>IF(BO62="","",(IF(OR(Compositions!G127="Hydrogen",Compositions!G127="Helium",Compositions!G127="Water",Compositions!G127="Carbon Monoxide",Compositions!G127="Nitrogen",Compositions!G127="Oxygen",Compositions!G127="Hydrogen Sulfide",Compositions!G127="Argon",Compositions!G127="Carbon Dioxide",Compositions!G127="Carbon Disulfide"),0,BO62)))</f>
        <v/>
      </c>
      <c r="BQ62" s="187" t="str">
        <f>IF(Compositions!H127="","",((BH62/100)*((VLOOKUP(Compositions!G127,'HHV-LHV-MW'!$A$3:$G$40,7,FALSE)))))</f>
        <v/>
      </c>
      <c r="BR62" s="187" t="str">
        <f>IF(BH62="","",(IF(OR(Compositions!G127="Hydrogen",Compositions!G127="Carbon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Dioxide",Compositions!G127="Methane",Compositions!G127="Ethane"),0,(BH62/100))))</f>
        <v/>
      </c>
      <c r="BS62" s="205" t="str">
        <f>IF(BH62="","",(IF(OR($BR$78=0,$BR$78=""),0,    ((VLOOKUP(Compositions!G127,'HHV-LHV-MW'!$A$3:$F$40,6,FALSE))*(BR62/$BR$78)))))</f>
        <v/>
      </c>
      <c r="BT62" s="28" t="str">
        <f>IF(Compositions!I127="","",IF(Compositions!$I$118="mol%",Compositions!I127,BU62))</f>
        <v/>
      </c>
      <c r="BU62" s="28" t="str">
        <f t="shared" si="30"/>
        <v/>
      </c>
      <c r="BV62" s="28" t="str">
        <f>IF(Compositions!I127="","",(Compositions!I127/(VLOOKUP(Compositions!G127,'HHV-LHV-MW'!$A$3:$F$40,6,FALSE))))</f>
        <v/>
      </c>
      <c r="BW62" s="26" t="str">
        <f>IF(BT62="","",((VLOOKUP(Compositions!G127,'HHV-LHV-MW'!$A$3:$F$40,4,FALSE))*(BT62/100)))</f>
        <v/>
      </c>
      <c r="BX62" s="26" t="str">
        <f>IF(BT62="","",((VLOOKUP(Compositions!G127,'HHV-LHV-MW'!$A$3:$F$40,5,FALSE))*(BT62/100)))</f>
        <v/>
      </c>
      <c r="BY62" s="26" t="str">
        <f>IF(BT62="","",((VLOOKUP(Compositions!G127,'HHV-LHV-MW'!$A$3:$F$40,6,FALSE))*(BT62/100)))</f>
        <v/>
      </c>
      <c r="BZ62" s="26" t="str">
        <f>IF(Compositions!I127="","",(Compositions!I127*(VLOOKUP(Compositions!G127,'HHV-LHV-MW'!$A$3:$F$40,6,FALSE))))</f>
        <v/>
      </c>
      <c r="CA62" s="296" t="str">
        <f>IF(Compositions!I127="","",IF(OR(Compositions!$I$118="wt%",Compositions!$I$118=""),Compositions!I127,(IF(BZ62="","",((BZ62/$BZ$78)*100)))))</f>
        <v/>
      </c>
      <c r="CB62" s="39" t="str">
        <f>IF(CA62="","",(IF(OR(Compositions!G127="Hydrogen",Compositions!G127="Helium",Compositions!G127="Water",Compositions!G127="Carbon Monoxide",Compositions!G127="Nitrogen",Compositions!G127="Oxygen",Compositions!G127="Hydrogen Sulfide",Compositions!G127="Argon",Compositions!G127="Carbon Dioxide",Compositions!G127="Carbon Disulfide"),0,CA62)))</f>
        <v/>
      </c>
      <c r="CC62" s="186" t="str">
        <f>IF(Compositions!I127="","",((BT62/100)*((VLOOKUP(Compositions!G127,'HHV-LHV-MW'!$A$3:$G$40,7,FALSE)))))</f>
        <v/>
      </c>
      <c r="CD62" s="186" t="str">
        <f>IF(BT62="","",(IF(OR(Compositions!G127="Hydrogen",Compositions!G127="Carbon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Dioxide",Compositions!G127="Methane",Compositions!G127="Ethane"),0,(BT62/100))))</f>
        <v/>
      </c>
      <c r="CE62" s="39" t="str">
        <f>IF(BT62="","",(IF(OR($CD$78=0,$CD$78=""),0,       ((VLOOKUP(Compositions!G127,'HHV-LHV-MW'!$A$3:$F$40,6,FALSE))*(CD62/$CD$78)))))</f>
        <v/>
      </c>
      <c r="CF62" s="27" t="str">
        <f>IF(Compositions!J127="","",IF(Compositions!$J$118="mol%",Compositions!J127,CG62))</f>
        <v/>
      </c>
      <c r="CG62" s="27" t="str">
        <f t="shared" si="31"/>
        <v/>
      </c>
      <c r="CH62" s="27" t="str">
        <f>IF(Compositions!J127="","",(Compositions!J127/(VLOOKUP(Compositions!G127,'HHV-LHV-MW'!$A$3:$F$40,6,FALSE))))</f>
        <v/>
      </c>
      <c r="CI62" s="25" t="str">
        <f>IF(CF62="","",((VLOOKUP(Compositions!G127,'HHV-LHV-MW'!$A$3:$F$40,4,FALSE))*(CF62/100)))</f>
        <v/>
      </c>
      <c r="CJ62" s="25" t="str">
        <f>IF(CF62="","",((VLOOKUP(Compositions!G127,'HHV-LHV-MW'!$A$3:$F$40,5,FALSE))*(CF62/100)))</f>
        <v/>
      </c>
      <c r="CK62" s="25" t="str">
        <f>IF(CF62="","",((VLOOKUP(Compositions!G127,'HHV-LHV-MW'!$A$3:$F$40,6,FALSE))*(CF62/100)))</f>
        <v/>
      </c>
      <c r="CL62" s="25" t="str">
        <f>IF(Compositions!J127="","",(Compositions!J127*(VLOOKUP(Compositions!G127,'HHV-LHV-MW'!$A$3:$F$40,6,FALSE))))</f>
        <v/>
      </c>
      <c r="CM62" s="295" t="str">
        <f>IF(Compositions!J127="","",IF(OR(Compositions!$J$118="wt%",Compositions!$J$118=""),Compositions!J127,(IF(CL62="","",((CL62/$CL$78)*100)))))</f>
        <v/>
      </c>
      <c r="CN62" s="185" t="str">
        <f>IF(CM62="","",(IF(OR(Compositions!G127="Hydrogen",Compositions!G127="Helium",Compositions!G127="Water",Compositions!G127="Carbon Monoxide",Compositions!G127="Nitrogen",Compositions!G127="Oxygen",Compositions!G127="Hydrogen Sulfide",Compositions!G127="Argon",Compositions!G127="Carbon Dioxide",Compositions!G127="Carbon Disulfide"),0,CM62)))</f>
        <v/>
      </c>
      <c r="CO62" s="187" t="str">
        <f>IF(Compositions!J127="","",((CF62/100)*((VLOOKUP(Compositions!G127,'HHV-LHV-MW'!$A$3:$G$40,7,FALSE)))))</f>
        <v/>
      </c>
      <c r="CP62" s="187" t="str">
        <f>IF(CF62="","",(IF(OR(Compositions!G127="Hydrogen",Compositions!G127="Carbon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Dioxide",Compositions!G127="Methane",Compositions!G127="Ethane"),0,(CF62/100))))</f>
        <v/>
      </c>
      <c r="CQ62" s="205" t="str">
        <f>IF(CF62="","",(IF(OR($CP$78=0,$CP$78=""),0,       ((VLOOKUP(Compositions!G127,'HHV-LHV-MW'!$A$3:$F$40,6,FALSE))*(CP62/$CP$78)))))</f>
        <v/>
      </c>
      <c r="CR62" s="28" t="str">
        <f>IF(Compositions!K127="","",IF(Compositions!$K$118="mol%",Compositions!K127,CS62))</f>
        <v/>
      </c>
      <c r="CS62" s="28" t="str">
        <f t="shared" si="32"/>
        <v/>
      </c>
      <c r="CT62" s="28" t="str">
        <f>IF(Compositions!K127="","",(Compositions!K127/(VLOOKUP(Compositions!G127,'HHV-LHV-MW'!$A$3:$F$40,6,FALSE))))</f>
        <v/>
      </c>
      <c r="CU62" s="26" t="str">
        <f>IF(CR62="","",((VLOOKUP(Compositions!G127,'HHV-LHV-MW'!$A$3:$F$40,4,FALSE))*(CR62/100)))</f>
        <v/>
      </c>
      <c r="CV62" s="26" t="str">
        <f>IF(CR62="","",((VLOOKUP(Compositions!G127,'HHV-LHV-MW'!$A$3:$F$40,5,FALSE))*(CR62/100)))</f>
        <v/>
      </c>
      <c r="CW62" s="26" t="str">
        <f>IF(CR62="","",((VLOOKUP(Compositions!G127,'HHV-LHV-MW'!$A$3:$F$40,6,FALSE))*(CR62/100)))</f>
        <v/>
      </c>
      <c r="CX62" s="26" t="str">
        <f>IF(Compositions!K127="","",(Compositions!K127*(VLOOKUP(Compositions!G127,'HHV-LHV-MW'!$A$3:$F$40,6,FALSE))))</f>
        <v/>
      </c>
      <c r="CY62" s="296" t="str">
        <f>IF(Compositions!K127="","",IF(OR(Compositions!$K$118="wt%",Compositions!$K$118=""),Compositions!K127,(IF(CX62="","",((CX62/$CX$78)*100)))))</f>
        <v/>
      </c>
      <c r="CZ62" s="39" t="str">
        <f>IF(CY62="","",(IF(OR(Compositions!G127="Hydrogen",Compositions!G127="Helium",Compositions!G127="Water",Compositions!G127="Carbon Monoxide",Compositions!G127="Nitrogen",Compositions!G127="Oxygen",Compositions!G127="Hydrogen Sulfide",Compositions!G127="Argon",Compositions!G127="Carbon Dioxide",Compositions!G127="Carbon Disulfide"),0,CY62)))</f>
        <v/>
      </c>
      <c r="DA62" s="186" t="str">
        <f>IF(Compositions!K127="","",((CR62/100)*((VLOOKUP(Compositions!G127,'HHV-LHV-MW'!$A$3:$G$40,7,FALSE)))))</f>
        <v/>
      </c>
      <c r="DB62" s="186" t="str">
        <f>IF(CR62="","",(IF(OR(Compositions!G127="Hydrogen",Compositions!G127="Carbon Disulfide",Compositions!G127="Helium",Compositions!G127="Water",Compositions!G127="Carbon Monoxide",Compositions!G127="Nitrogen",Compositions!G127="Oxygen",Compositions!G127="Hydrogen Sulfide",Compositions!G127="Argon",Compositions!G127="Carbon Dioxide",Compositions!G127="Methane",Compositions!G127="Ethane"),0,(CR62/100))))</f>
        <v/>
      </c>
      <c r="DC62" s="39" t="str">
        <f>IF(CR62="","",(IF(OR($DB$78=0,$DB$78=""),0,       ((VLOOKUP(Compositions!G127,'HHV-LHV-MW'!$A$3:$F$40,6,FALSE))*(DB62/$DB$78)))))</f>
        <v/>
      </c>
      <c r="DE62" s="27" t="str">
        <f>IF(Compositions!N127="","",IF(Compositions!$N$118="mol%",Compositions!N127,DF62))</f>
        <v/>
      </c>
      <c r="DF62" s="27" t="str">
        <f t="shared" si="33"/>
        <v/>
      </c>
      <c r="DG62" s="27" t="str">
        <f>IF(Compositions!N127="","",(Compositions!N127/(VLOOKUP(Compositions!M127,'HHV-LHV-MW'!$A$3:$F$40,6,FALSE))))</f>
        <v/>
      </c>
      <c r="DH62" s="25" t="str">
        <f>IF(DE62="","",((VLOOKUP(Compositions!M127,'HHV-LHV-MW'!$A$3:$F$40,4,FALSE))*(DE62/100)))</f>
        <v/>
      </c>
      <c r="DI62" s="25" t="str">
        <f>IF(DE62="","",((VLOOKUP(Compositions!M127,'HHV-LHV-MW'!$A$3:$F$40,5,FALSE))*(DE62/100)))</f>
        <v/>
      </c>
      <c r="DJ62" s="25" t="str">
        <f>IF(DE62="","",((VLOOKUP(Compositions!M127,'HHV-LHV-MW'!$A$3:$F$40,6,FALSE))*(DE62/100)))</f>
        <v/>
      </c>
      <c r="DK62" s="25" t="str">
        <f>IF(Compositions!N127="","",(Compositions!N127*(VLOOKUP(Compositions!M127,'HHV-LHV-MW'!$A$3:$F$40,6,FALSE))))</f>
        <v/>
      </c>
      <c r="DL62" s="295" t="str">
        <f>IF(Compositions!N127="","",IF(OR(Compositions!$N$118="wt%",Compositions!$N$118=""),Compositions!N127,(IF(DK62="","",((DK62/$DK$78)*100)))))</f>
        <v/>
      </c>
      <c r="DM62" s="185" t="str">
        <f>IF(DL62="","",(IF(OR(Compositions!M127="Hydrogen",Compositions!M127="Helium",Compositions!M127="Water",Compositions!M127="Carbon Monoxide",Compositions!M127="Nitrogen",Compositions!M127="Oxygen",Compositions!M127="Hydrogen Sulfide",Compositions!M127="Argon",Compositions!M127="Carbon Dioxide",Compositions!M127="Carbon Disulfide"),0,DL62)))</f>
        <v/>
      </c>
      <c r="DN62" s="187" t="str">
        <f>IF(Compositions!N127="","",((DE62/100)*((VLOOKUP(Compositions!M127,'HHV-LHV-MW'!$A$3:$G$40,7,FALSE)))))</f>
        <v/>
      </c>
      <c r="DO62" s="187" t="str">
        <f>IF(DE62="","",(IF(OR(Compositions!M127="Hydrogen",Compositions!M127="Carbon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Dioxide",Compositions!M127="Methane",Compositions!M127="Ethane"),0,(DE62/100))))</f>
        <v/>
      </c>
      <c r="DP62" s="205" t="str">
        <f>IF(DE62="","",(IF(OR($DO$78=0,$DO$78=""),0,       ((VLOOKUP(Compositions!M127,'HHV-LHV-MW'!$A$3:$F$40,6,FALSE))*(DO62/$DO$78)))))</f>
        <v/>
      </c>
      <c r="DQ62" s="28" t="str">
        <f>IF(Compositions!O127="","",IF(Compositions!$O$118="mol%",Compositions!O127,DR62))</f>
        <v/>
      </c>
      <c r="DR62" s="28" t="str">
        <f t="shared" si="34"/>
        <v/>
      </c>
      <c r="DS62" s="28" t="str">
        <f>IF(Compositions!O127="","",(Compositions!O127/(VLOOKUP(Compositions!M127,'HHV-LHV-MW'!$A$3:$F$40,6,FALSE))))</f>
        <v/>
      </c>
      <c r="DT62" s="26" t="str">
        <f>IF(DQ62="","",((VLOOKUP(Compositions!M127,'HHV-LHV-MW'!$A$3:$F$40,4,FALSE))*(DQ62/100)))</f>
        <v/>
      </c>
      <c r="DU62" s="26" t="str">
        <f>IF(DQ62="","",((VLOOKUP(Compositions!M127,'HHV-LHV-MW'!$A$3:$F$40,5,FALSE))*(DQ62/100)))</f>
        <v/>
      </c>
      <c r="DV62" s="26" t="str">
        <f>IF(DQ62="","",((VLOOKUP(Compositions!M127,'HHV-LHV-MW'!$A$3:$F$40,6,FALSE))*(DQ62/100)))</f>
        <v/>
      </c>
      <c r="DW62" s="26" t="str">
        <f>IF(Compositions!O127="","",(Compositions!O127*(VLOOKUP(Compositions!M127,'HHV-LHV-MW'!$A$3:$F$40,6,FALSE))))</f>
        <v/>
      </c>
      <c r="DX62" s="296" t="str">
        <f>IF(Compositions!O127="","",IF(OR(Compositions!$O$118="wt%",Compositions!$O$118=""),Compositions!O127,(IF(DW62="","",((DW62/$DW$78)*100)))))</f>
        <v/>
      </c>
      <c r="DY62" s="39" t="str">
        <f>IF(DX62="","",(IF(OR(Compositions!M127="Hydrogen",Compositions!M127="Helium",Compositions!M127="Water",Compositions!M127="Carbon Monoxide",Compositions!M127="Nitrogen",Compositions!M127="Oxygen",Compositions!M127="Hydrogen Sulfide",Compositions!M127="Argon",Compositions!M127="Carbon Dioxide",Compositions!M127="Carbon Disulfide"),0,DX62)))</f>
        <v/>
      </c>
      <c r="DZ62" s="186" t="str">
        <f>IF(Compositions!O127="","",((DQ62/100)*((VLOOKUP(Compositions!M127,'HHV-LHV-MW'!$A$3:$G$40,7,FALSE)))))</f>
        <v/>
      </c>
      <c r="EA62" s="186" t="str">
        <f>IF(DQ62="","",(IF(OR(Compositions!M127="Hydrogen",Compositions!M127="Carbon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Dioxide",Compositions!M127="Methane",Compositions!M127="Ethane"),0,(DQ62/100))))</f>
        <v/>
      </c>
      <c r="EB62" s="39" t="str">
        <f>IF(DQ62="","",(IF(OR($EA$78=0,$EA$78=""),0,       ((VLOOKUP(Compositions!M127,'HHV-LHV-MW'!$A$3:$F$40,6,FALSE))*(EA62/$EA$78)))))</f>
        <v/>
      </c>
      <c r="EC62" s="27" t="str">
        <f>IF(Compositions!P127="","",IF(Compositions!$P$118="mol%",Compositions!P127,ED62))</f>
        <v/>
      </c>
      <c r="ED62" s="27" t="str">
        <f t="shared" si="35"/>
        <v/>
      </c>
      <c r="EE62" s="27" t="str">
        <f>IF(Compositions!P127="","",(Compositions!P127/(VLOOKUP(Compositions!M127,'HHV-LHV-MW'!$A$3:$F$40,6,FALSE))))</f>
        <v/>
      </c>
      <c r="EF62" s="25" t="str">
        <f>IF(EC62="","",((VLOOKUP(Compositions!M127,'HHV-LHV-MW'!$A$3:$F$40,4,FALSE))*(EC62/100)))</f>
        <v/>
      </c>
      <c r="EG62" s="25" t="str">
        <f>IF(EC62="","",((VLOOKUP(Compositions!M127,'HHV-LHV-MW'!$A$3:$F$40,5,FALSE))*(EC62/100)))</f>
        <v/>
      </c>
      <c r="EH62" s="25" t="str">
        <f>IF(EC62="","",((VLOOKUP(Compositions!M127,'HHV-LHV-MW'!$A$3:$F$40,6,FALSE))*(EC62/100)))</f>
        <v/>
      </c>
      <c r="EI62" s="25" t="str">
        <f>IF(Compositions!P127="","",(Compositions!P127*(VLOOKUP(Compositions!M127,'HHV-LHV-MW'!$A$3:$F$40,6,FALSE))))</f>
        <v/>
      </c>
      <c r="EJ62" s="295" t="str">
        <f>IF(Compositions!P127="","",IF(OR(Compositions!$P$118="wt%",Compositions!$P$118=""),Compositions!P127,(IF(EI62="","",((EI62/$EI$78)*100)))))</f>
        <v/>
      </c>
      <c r="EK62" s="185" t="str">
        <f>IF(EJ62="","",(IF(OR(Compositions!M127="Hydrogen",Compositions!M127="Helium",Compositions!M127="Water",Compositions!M127="Carbon Monoxide",Compositions!M127="Nitrogen",Compositions!M127="Oxygen",Compositions!M127="Hydrogen Sulfide",Compositions!M127="Argon",Compositions!M127="Carbon Dioxide",Compositions!M127="Carbon Disulfide"),0,EJ62)))</f>
        <v/>
      </c>
      <c r="EL62" s="187" t="str">
        <f>IF(Compositions!P127="","",((EC62/100)*((VLOOKUP(Compositions!M127,'HHV-LHV-MW'!$A$3:$G$40,7,FALSE)))))</f>
        <v/>
      </c>
      <c r="EM62" s="187" t="str">
        <f>IF(EC62="","",(IF(OR(Compositions!M127="Hydrogen",Compositions!M127="Carbon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Dioxide",Compositions!M127="Methane",Compositions!M127="Ethane"),0,(EC62/100))))</f>
        <v/>
      </c>
      <c r="EN62" s="205" t="str">
        <f>IF(EC62="","",(IF(OR($EM$78=0,$EM$78=""),0,       ((VLOOKUP(Compositions!M127,'HHV-LHV-MW'!$A$3:$F$40,6,FALSE))*(EM62/$EM$78)))))</f>
        <v/>
      </c>
      <c r="EO62" s="28" t="str">
        <f>IF(Compositions!Q127="","",IF(Compositions!$Q$118="mol%",Compositions!Q127,EP62))</f>
        <v/>
      </c>
      <c r="EP62" s="28" t="str">
        <f t="shared" si="36"/>
        <v/>
      </c>
      <c r="EQ62" s="28" t="str">
        <f>IF(Compositions!Q127="","",(Compositions!Q127/(VLOOKUP(Compositions!M127,'HHV-LHV-MW'!$A$3:$F$40,6,FALSE))))</f>
        <v/>
      </c>
      <c r="ER62" s="26" t="str">
        <f>IF(EO62="","",((VLOOKUP(Compositions!M127,'HHV-LHV-MW'!$A$3:$F$40,4,FALSE))*(EO62/100)))</f>
        <v/>
      </c>
      <c r="ES62" s="26" t="str">
        <f>IF(EO62="","",((VLOOKUP(Compositions!M127,'HHV-LHV-MW'!$A$3:$F$40,5,FALSE))*(EO62/100)))</f>
        <v/>
      </c>
      <c r="ET62" s="26" t="str">
        <f>IF(EO62="","",((VLOOKUP(Compositions!M127,'HHV-LHV-MW'!$A$3:$F$40,6,FALSE))*(EO62/100)))</f>
        <v/>
      </c>
      <c r="EU62" s="26" t="str">
        <f>IF(Compositions!Q127="","",(Compositions!Q127*(VLOOKUP(Compositions!M127,'HHV-LHV-MW'!$A$3:$F$40,6,FALSE))))</f>
        <v/>
      </c>
      <c r="EV62" s="296" t="str">
        <f>IF(Compositions!Q127="","",IF(OR(Compositions!$Q$118="wt%",Compositions!$Q$118=""),Compositions!Q127,(IF(EU62="","",((EU62/$EU$78)*100)))))</f>
        <v/>
      </c>
      <c r="EW62" s="39" t="str">
        <f>IF(EV62="","",(IF(OR(Compositions!M127="Hydrogen",Compositions!M127="Helium",Compositions!M127="Water",Compositions!M127="Carbon Monoxide",Compositions!M127="Nitrogen",Compositions!M127="Oxygen",Compositions!M127="Hydrogen Sulfide",Compositions!M127="Argon",Compositions!M127="Carbon Dioxide",Compositions!M127="Carbon Disulfide"),0,EV62)))</f>
        <v/>
      </c>
      <c r="EX62" s="186" t="str">
        <f>IF(Compositions!Q127="","",((EO62/100)*((VLOOKUP(Compositions!M127,'HHV-LHV-MW'!$A$3:$G$40,7,FALSE)))))</f>
        <v/>
      </c>
      <c r="EY62" s="186" t="str">
        <f>IF(EO62="","",(IF(OR(Compositions!M127="Hydrogen",Compositions!M127="Carbon Disulfide",Compositions!M127="Helium",Compositions!M127="Water",Compositions!M127="Carbon Monoxide",Compositions!M127="Nitrogen",Compositions!M127="Oxygen",Compositions!M127="Hydrogen Sulfide",Compositions!M127="Argon",Compositions!M127="Carbon Dioxide",Compositions!M127="Methane",Compositions!M127="Ethane"),0,(EO62/100))))</f>
        <v/>
      </c>
      <c r="EZ62" s="39" t="str">
        <f>IF(EO62="","",(IF(OR($EY$78=0,$EY$78=""),0,       ((VLOOKUP(Compositions!M127,'HHV-LHV-MW'!$A$3:$F$40,6,FALSE))*(EY62/$EY$78)))))</f>
        <v/>
      </c>
      <c r="FB62" s="27" t="str">
        <f>IF(Compositions!T127="","",IF(Compositions!$T$118="mol%",Compositions!T127,FC62))</f>
        <v/>
      </c>
      <c r="FC62" s="27" t="str">
        <f t="shared" si="37"/>
        <v/>
      </c>
      <c r="FD62" s="27" t="str">
        <f>IF(Compositions!T127="","",(Compositions!T127/(VLOOKUP(Compositions!S127,'HHV-LHV-MW'!$A$3:$F$40,6,FALSE))))</f>
        <v/>
      </c>
      <c r="FE62" s="25" t="str">
        <f>IF(FB62="","",((VLOOKUP(Compositions!S127,'HHV-LHV-MW'!$A$3:$F$40,4,FALSE))*(FB62/100)))</f>
        <v/>
      </c>
      <c r="FF62" s="25" t="str">
        <f>IF(FB62="","",((VLOOKUP(Compositions!S127,'HHV-LHV-MW'!$A$3:$F$40,5,FALSE))*(FB62/100)))</f>
        <v/>
      </c>
      <c r="FG62" s="25" t="str">
        <f>IF(FB62="","",((VLOOKUP(Compositions!S127,'HHV-LHV-MW'!$A$3:$F$40,6,FALSE))*(FB62/100)))</f>
        <v/>
      </c>
      <c r="FH62" s="25" t="str">
        <f>IF(Compositions!T127="","",(Compositions!T127*(VLOOKUP(Compositions!S127,'HHV-LHV-MW'!$A$3:$F$40,6,FALSE))))</f>
        <v/>
      </c>
      <c r="FI62" s="295" t="str">
        <f>IF(Compositions!T127="","",IF(OR(Compositions!$T$118="wt%",Compositions!$T$118=""),Compositions!T127,(IF(FH62="","",((FH62/$FH$78)*100)))))</f>
        <v/>
      </c>
      <c r="FJ62" s="185" t="str">
        <f>IF(FI62="","",(IF(OR(Compositions!S127="Hydrogen",Compositions!S127="Helium",Compositions!S127="Water",Compositions!S127="Carbon Monoxide",Compositions!S127="Nitrogen",Compositions!S127="Oxygen",Compositions!S127="Hydrogen Sulfide",Compositions!S127="Argon",Compositions!S127="Carbon Dioxide",Compositions!S127="Carbon Disulfide"),0,FI62)))</f>
        <v/>
      </c>
      <c r="FK62" s="187" t="str">
        <f>IF(Compositions!T127="","",((FB62/100)*((VLOOKUP(Compositions!S127,'HHV-LHV-MW'!$A$3:$G$40,7,FALSE)))))</f>
        <v/>
      </c>
      <c r="FL62" s="187" t="str">
        <f>IF(FB62="","",(IF(OR(Compositions!S127="Hydrogen",Compositions!S127="Carbon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Dioxide",Compositions!S127="Methane",Compositions!S127="Ethane"),0,(FB62/100))))</f>
        <v/>
      </c>
      <c r="FM62" s="205" t="str">
        <f>IF(FB62="","",(IF(OR($FL$78=0,$FL$78=""),0,       ((VLOOKUP(Compositions!S127,'HHV-LHV-MW'!$A$3:$F$40,6,FALSE))*(FL62/$FL$78)))))</f>
        <v/>
      </c>
      <c r="FN62" s="28" t="str">
        <f>IF(Compositions!U127="","",IF(Compositions!$U$118="mol%",Compositions!U127,FO62))</f>
        <v/>
      </c>
      <c r="FO62" s="28" t="str">
        <f t="shared" si="38"/>
        <v/>
      </c>
      <c r="FP62" s="28" t="str">
        <f>IF(Compositions!U127="","",(Compositions!U127/(VLOOKUP(Compositions!S127,'HHV-LHV-MW'!$A$3:$F$40,6,FALSE))))</f>
        <v/>
      </c>
      <c r="FQ62" s="26" t="str">
        <f>IF(FN62="","",((VLOOKUP(Compositions!S127,'HHV-LHV-MW'!$A$3:$F$40,4,FALSE))*(FN62/100)))</f>
        <v/>
      </c>
      <c r="FR62" s="26" t="str">
        <f>IF(FN62="","",((VLOOKUP(Compositions!S127,'HHV-LHV-MW'!$A$3:$F$40,5,FALSE))*(FN62/100)))</f>
        <v/>
      </c>
      <c r="FS62" s="26" t="str">
        <f>IF(FN62="","",((VLOOKUP(Compositions!S127,'HHV-LHV-MW'!$A$3:$F$40,6,FALSE))*(FN62/100)))</f>
        <v/>
      </c>
      <c r="FT62" s="26" t="str">
        <f>IF(Compositions!U127="","",(Compositions!U127*(VLOOKUP(Compositions!S127,'HHV-LHV-MW'!$A$3:$F$40,6,FALSE))))</f>
        <v/>
      </c>
      <c r="FU62" s="296" t="str">
        <f>IF(Compositions!U127="","",IF(OR(Compositions!$U$118="wt%",Compositions!$U$118=""),Compositions!U127,(IF(FT62="","",((FT62/$FT$78)*100)))))</f>
        <v/>
      </c>
      <c r="FV62" s="39" t="str">
        <f>IF(FU62="","",(IF(OR(Compositions!S127="Hydrogen",Compositions!S127="Helium",Compositions!S127="Water",Compositions!S127="Carbon Monoxide",Compositions!S127="Nitrogen",Compositions!S127="Oxygen",Compositions!S127="Hydrogen Sulfide",Compositions!S127="Argon",Compositions!S127="Carbon Dioxide",Compositions!S127="Carbon Disulfide"),0,FU62)))</f>
        <v/>
      </c>
      <c r="FW62" s="186" t="str">
        <f>IF(Compositions!U127="","",((FN62/100)*((VLOOKUP(Compositions!S127,'HHV-LHV-MW'!$A$3:$G$40,7,FALSE)))))</f>
        <v/>
      </c>
      <c r="FX62" s="186" t="str">
        <f>IF(FN62="","",(IF(OR(Compositions!S127="Hydrogen",Compositions!S127="Carbon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Dioxide",Compositions!S127="Methane",Compositions!S127="Ethane"),0,(FN62/100))))</f>
        <v/>
      </c>
      <c r="FY62" s="39" t="str">
        <f>IF(FN62="","",(IF(OR($FX$78=0,$FX$78=""),0,       ((VLOOKUP(Compositions!S127,'HHV-LHV-MW'!$A$3:$F$40,6,FALSE))*(FX62/$FX$78)))))</f>
        <v/>
      </c>
      <c r="FZ62" s="27" t="str">
        <f>IF(Compositions!V127="","",IF(Compositions!$V$118="mol%",Compositions!V127,GA62))</f>
        <v/>
      </c>
      <c r="GA62" s="27" t="str">
        <f t="shared" si="39"/>
        <v/>
      </c>
      <c r="GB62" s="27" t="str">
        <f>IF(Compositions!V127="","",(Compositions!V127/(VLOOKUP(Compositions!S127,'HHV-LHV-MW'!$A$3:$F$40,6,FALSE))))</f>
        <v/>
      </c>
      <c r="GC62" s="25" t="str">
        <f>IF(FZ62="","",((VLOOKUP(Compositions!S127,'HHV-LHV-MW'!$A$3:$F$40,4,FALSE))*(FZ62/100)))</f>
        <v/>
      </c>
      <c r="GD62" s="25" t="str">
        <f>IF(FZ62="","",((VLOOKUP(Compositions!S127,'HHV-LHV-MW'!$A$3:$F$40,5,FALSE))*(FZ62/100)))</f>
        <v/>
      </c>
      <c r="GE62" s="25" t="str">
        <f>IF(FZ62="","",((VLOOKUP(Compositions!S127,'HHV-LHV-MW'!$A$3:$F$40,6,FALSE))*(FZ62/100)))</f>
        <v/>
      </c>
      <c r="GF62" s="25" t="str">
        <f>IF(Compositions!V127="","",(Compositions!V127*(VLOOKUP(Compositions!S127,'HHV-LHV-MW'!$A$3:$F$40,6,FALSE))))</f>
        <v/>
      </c>
      <c r="GG62" s="295" t="str">
        <f>IF(Compositions!V127="","",IF(OR(Compositions!$V$118="wt%",Compositions!$V$118=""),Compositions!V127,(IF(GF62="","",((GF62/$GF$78)*100)))))</f>
        <v/>
      </c>
      <c r="GH62" s="185" t="str">
        <f>IF(GG62="","",(IF(OR(Compositions!S127="Hydrogen",Compositions!S127="Helium",Compositions!S127="Water",Compositions!S127="Carbon Monoxide",Compositions!S127="Nitrogen",Compositions!S127="Oxygen",Compositions!S127="Hydrogen Sulfide",Compositions!S127="Argon",Compositions!S127="Carbon Dioxide",Compositions!S127="Carbon Disulfide"),0,GG62)))</f>
        <v/>
      </c>
      <c r="GI62" s="187" t="str">
        <f>IF(Compositions!V127="","",((FZ62/100)*((VLOOKUP(Compositions!S127,'HHV-LHV-MW'!$A$3:$G$40,7,FALSE)))))</f>
        <v/>
      </c>
      <c r="GJ62" s="187" t="str">
        <f>IF(FZ62="","",(IF(OR(Compositions!S127="Hydrogen",Compositions!S127="Carbon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Dioxide",Compositions!S127="Methane",Compositions!S127="Ethane"),0,(FZ62/100))))</f>
        <v/>
      </c>
      <c r="GK62" s="205" t="str">
        <f>IF(FZ62="","",(IF(OR($GJ$78=0,$GJ$78=""),0,       ((VLOOKUP(Compositions!S127,'HHV-LHV-MW'!$A$3:$F$40,6,FALSE))*(GJ62/$GJ$78)))))</f>
        <v/>
      </c>
      <c r="GL62" s="28" t="str">
        <f>IF(Compositions!W127="","",IF(Compositions!$W$118="mol%",Compositions!W127,GM62))</f>
        <v/>
      </c>
      <c r="GM62" s="28" t="str">
        <f t="shared" si="40"/>
        <v/>
      </c>
      <c r="GN62" s="28" t="str">
        <f>IF(Compositions!W127="","",(Compositions!W127/(VLOOKUP(Compositions!S127,'HHV-LHV-MW'!$A$3:$F$40,6,FALSE))))</f>
        <v/>
      </c>
      <c r="GO62" s="26" t="str">
        <f>IF(GL62="","",((VLOOKUP(Compositions!S127,'HHV-LHV-MW'!$A$3:$F$40,4,FALSE))*(GL62/100)))</f>
        <v/>
      </c>
      <c r="GP62" s="26" t="str">
        <f>IF(GL62="","",((VLOOKUP(Compositions!S127,'HHV-LHV-MW'!$A$3:$F$40,5,FALSE))*(GL62/100)))</f>
        <v/>
      </c>
      <c r="GQ62" s="26" t="str">
        <f>IF(GL62="","",((VLOOKUP(Compositions!S127,'HHV-LHV-MW'!$A$3:$F$40,6,FALSE))*(GL62/100)))</f>
        <v/>
      </c>
      <c r="GR62" s="26" t="str">
        <f>IF(Compositions!W127="","",(Compositions!W127*(VLOOKUP(Compositions!S127,'HHV-LHV-MW'!$A$3:$F$40,6,FALSE))))</f>
        <v/>
      </c>
      <c r="GS62" s="296" t="str">
        <f>IF(Compositions!W127="","",IF(OR(Compositions!$W$118="wt%",Compositions!$W$118=""),Compositions!W127,(IF(GR62="","",((GR62/$GR$78)*100)))))</f>
        <v/>
      </c>
      <c r="GT62" s="39" t="str">
        <f>IF(GS62="","",(IF(OR(Compositions!S127="Hydrogen",Compositions!S127="Helium",Compositions!S127="Water",Compositions!S127="Carbon Monoxide",Compositions!S127="Nitrogen",Compositions!S127="Oxygen",Compositions!S127="Hydrogen Sulfide",Compositions!S127="Argon",Compositions!S127="Carbon Dioxide",Compositions!S127="Carbon Disulfide"),0,GS62)))</f>
        <v/>
      </c>
      <c r="GU62" s="186" t="str">
        <f>IF(Compositions!W127="","",((GL62/100)*((VLOOKUP(Compositions!S127,'HHV-LHV-MW'!$A$3:$G$40,7,FALSE)))))</f>
        <v/>
      </c>
      <c r="GV62" s="186" t="str">
        <f>IF(GL62="","",(IF(OR(Compositions!S127="Hydrogen",Compositions!S127="Carbon Disulfide",Compositions!S127="Helium",Compositions!S127="Water",Compositions!S127="Carbon Monoxide",Compositions!S127="Nitrogen",Compositions!S127="Oxygen",Compositions!S127="Hydrogen Sulfide",Compositions!S127="Argon",Compositions!S127="Carbon Dioxide",Compositions!S127="Methane",Compositions!S127="Ethane"),0,(GL62/100))))</f>
        <v/>
      </c>
      <c r="GW62" s="39" t="str">
        <f>IF(GL62="","",(IF(OR($GV$78=0,$GV$78=""),0,       ((VLOOKUP(Compositions!S127,'HHV-LHV-MW'!$A$3:$F$40,6,FALSE))*(GV62/$GV$78)))))</f>
        <v/>
      </c>
      <c r="GY62" s="27" t="str">
        <f>IF(Compositions!Z127="","",IF(Compositions!$Z$118="mol%",Compositions!Z127,GZ62))</f>
        <v/>
      </c>
      <c r="GZ62" s="27" t="str">
        <f t="shared" si="41"/>
        <v/>
      </c>
      <c r="HA62" s="27" t="str">
        <f>IF(Compositions!Z127="","",(Compositions!Z127/(VLOOKUP(Compositions!Y127,'HHV-LHV-MW'!$A$3:$F$40,6,FALSE))))</f>
        <v/>
      </c>
      <c r="HB62" s="25" t="str">
        <f>IF(GY62="","",((VLOOKUP(Compositions!Y127,'HHV-LHV-MW'!$A$3:$F$40,4,FALSE))*(GY62/100)))</f>
        <v/>
      </c>
      <c r="HC62" s="25" t="str">
        <f>IF(GY62="","",((VLOOKUP(Compositions!Y127,'HHV-LHV-MW'!$A$3:$F$40,5,FALSE))*(GY62/100)))</f>
        <v/>
      </c>
      <c r="HD62" s="25" t="str">
        <f>IF(GY62="","",((VLOOKUP(Compositions!Y127,'HHV-LHV-MW'!$A$3:$F$40,6,FALSE))*(GY62/100)))</f>
        <v/>
      </c>
      <c r="HE62" s="25" t="str">
        <f>IF(Compositions!Z127="","",(Compositions!Z127*(VLOOKUP(Compositions!Y127,'HHV-LHV-MW'!$A$3:$F$40,6,FALSE))))</f>
        <v/>
      </c>
      <c r="HF62" s="295" t="str">
        <f>IF(Compositions!Z127="","",IF(OR(Compositions!$Z$118="wt%",Compositions!$Z$118=""),Compositions!Z127,(IF(HE62="","",((HE62/$HE$78)*100)))))</f>
        <v/>
      </c>
      <c r="HG62" s="185" t="str">
        <f>IF(HF62="","",(IF(OR(Compositions!Y127="Hydrogen",Compositions!Y127="Helium",Compositions!Y127="Water",Compositions!Y127="Carbon Monoxide",Compositions!Y127="Nitrogen",Compositions!Y127="Oxygen",Compositions!Y127="Hydrogen Sulfide",Compositions!Y127="Argon",Compositions!Y127="Carbon Dioxide",Compositions!Y127="Carbon Disulfide"),0,HF62)))</f>
        <v/>
      </c>
      <c r="HH62" s="187" t="str">
        <f>IF(Compositions!Z127="","",((GY62/100)*((VLOOKUP(Compositions!Y127,'HHV-LHV-MW'!$A$3:$G$40,7,FALSE)))))</f>
        <v/>
      </c>
      <c r="HI62" s="187" t="str">
        <f>IF(GY62="","",(IF(OR(Compositions!Y127="Hydrogen",Compositions!Y127="Carbon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Dioxide",Compositions!Y127="Methane",Compositions!Y127="Ethane"),0,(GY62/100))))</f>
        <v/>
      </c>
      <c r="HJ62" s="205" t="str">
        <f>IF(GY62="","",(IF(OR($HI$78=0,$HI$78=""),0,       ((VLOOKUP(Compositions!Y127,'HHV-LHV-MW'!$A$3:$F$40,6,FALSE))*(HI62/$HI$78)))))</f>
        <v/>
      </c>
      <c r="HK62" s="28" t="str">
        <f>IF(Compositions!AA127="","",IF(Compositions!$AA$118="mol%",Compositions!AA127,HL62))</f>
        <v/>
      </c>
      <c r="HL62" s="28" t="str">
        <f t="shared" si="42"/>
        <v/>
      </c>
      <c r="HM62" s="28" t="str">
        <f>IF(Compositions!AA127="","",(Compositions!AA127/(VLOOKUP(Compositions!Y127,'HHV-LHV-MW'!$A$3:$F$40,6,FALSE))))</f>
        <v/>
      </c>
      <c r="HN62" s="26" t="str">
        <f>IF(HK62="","",((VLOOKUP(Compositions!Y127,'HHV-LHV-MW'!$A$3:$F$40,4,FALSE))*(HK62/100)))</f>
        <v/>
      </c>
      <c r="HO62" s="26" t="str">
        <f>IF(HK62="","",((VLOOKUP(Compositions!Y127,'HHV-LHV-MW'!$A$3:$F$40,5,FALSE))*(HK62/100)))</f>
        <v/>
      </c>
      <c r="HP62" s="26" t="str">
        <f>IF(HK62="","",((VLOOKUP(Compositions!Y127,'HHV-LHV-MW'!$A$3:$F$40,6,FALSE))*(HK62/100)))</f>
        <v/>
      </c>
      <c r="HQ62" s="26" t="str">
        <f>IF(Compositions!AA127="","",(Compositions!AA127*(VLOOKUP(Compositions!Y127,'HHV-LHV-MW'!$A$3:$F$40,6,FALSE))))</f>
        <v/>
      </c>
      <c r="HR62" s="296" t="str">
        <f>IF(Compositions!AA127="","",IF(OR(Compositions!$AA$118="wt%",Compositions!$AA$118=""),Compositions!AA127,(IF(HQ62="","",((HQ62/$HQ$78)*100)))))</f>
        <v/>
      </c>
      <c r="HS62" s="39" t="str">
        <f>IF(HR62="","",(IF(OR(Compositions!Y127="Hydrogen",Compositions!Y127="Helium",Compositions!Y127="Water",Compositions!Y127="Carbon Monoxide",Compositions!Y127="Nitrogen",Compositions!Y127="Oxygen",Compositions!Y127="Hydrogen Sulfide",Compositions!Y127="Argon",Compositions!Y127="Carbon Dioxide",Compositions!Y127="Carbon Disulfide"),0,HR62)))</f>
        <v/>
      </c>
      <c r="HT62" s="186" t="str">
        <f>IF(Compositions!AA127="","",((HK62/100)*((VLOOKUP(Compositions!Y127,'HHV-LHV-MW'!$A$3:$G$40,7,FALSE)))))</f>
        <v/>
      </c>
      <c r="HU62" s="186" t="str">
        <f>IF(HK62="","",(IF(OR(Compositions!Y127="Hydrogen",Compositions!Y127="Carbon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Dioxide",Compositions!Y127="Methane",Compositions!Y127="Ethane"),0,(HK62/100))))</f>
        <v/>
      </c>
      <c r="HV62" s="39" t="str">
        <f>IF(HK62="","",(IF(OR($HU$78=0,$HU$78=""),0,       ((VLOOKUP(Compositions!Y127,'HHV-LHV-MW'!$A$3:$F$40,6,FALSE))*(HU62/$HU$78)))))</f>
        <v/>
      </c>
      <c r="HW62" s="27" t="str">
        <f>IF(Compositions!AB127="","",IF(Compositions!$AB$118="mol%",Compositions!AB127,HX62))</f>
        <v/>
      </c>
      <c r="HX62" s="27" t="str">
        <f t="shared" si="43"/>
        <v/>
      </c>
      <c r="HY62" s="27" t="str">
        <f>IF(Compositions!AB127="","",(Compositions!AB127/(VLOOKUP(Compositions!Y127,'HHV-LHV-MW'!$A$3:$F$40,6,FALSE))))</f>
        <v/>
      </c>
      <c r="HZ62" s="25" t="str">
        <f>IF(HW62="","",((VLOOKUP(Compositions!Y127,'HHV-LHV-MW'!$A$3:$F$40,4,FALSE))*(HW62/100)))</f>
        <v/>
      </c>
      <c r="IA62" s="25" t="str">
        <f>IF(HW62="","",((VLOOKUP(Compositions!Y127,'HHV-LHV-MW'!$A$3:$F$40,5,FALSE))*(HW62/100)))</f>
        <v/>
      </c>
      <c r="IB62" s="25" t="str">
        <f>IF(HW62="","",((VLOOKUP(Compositions!Y127,'HHV-LHV-MW'!$A$3:$F$40,6,FALSE))*(HW62/100)))</f>
        <v/>
      </c>
      <c r="IC62" s="25" t="str">
        <f>IF(Compositions!AB127="","",(Compositions!AB127*(VLOOKUP(Compositions!Y127,'HHV-LHV-MW'!$A$3:$F$40,6,FALSE))))</f>
        <v/>
      </c>
      <c r="ID62" s="295" t="str">
        <f>IF(Compositions!AB127="","",IF(OR(Compositions!$AB$118="wt%",Compositions!$AB$118=""),Compositions!AB127,(IF(IC62="","",((IC62/$IC$78)*100)))))</f>
        <v/>
      </c>
      <c r="IE62" s="185" t="str">
        <f>IF(ID62="","",(IF(OR(Compositions!Y127="Hydrogen",Compositions!Y127="Helium",Compositions!Y127="Water",Compositions!Y127="Carbon Monoxide",Compositions!Y127="Nitrogen",Compositions!Y127="Oxygen",Compositions!Y127="Hydrogen Sulfide",Compositions!Y127="Argon",Compositions!Y127="Carbon Dioxide",Compositions!Y127="Carbon Disulfide"),0,ID62)))</f>
        <v/>
      </c>
      <c r="IF62" s="187" t="str">
        <f>IF(Compositions!AB127="","",((HW62/100)*((VLOOKUP(Compositions!Y127,'HHV-LHV-MW'!$A$3:$G$40,7,FALSE)))))</f>
        <v/>
      </c>
      <c r="IG62" s="187" t="str">
        <f>IF(HW62="","",(IF(OR(Compositions!Y127="Hydrogen",Compositions!Y127="Carbon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Dioxide",Compositions!Y127="Methane",Compositions!Y127="Ethane"),0,(HW62/100))))</f>
        <v/>
      </c>
      <c r="IH62" s="205" t="str">
        <f>IF(HW62="","",(IF(OR($IG$78=0,$IG$78=""),0,       ((VLOOKUP(Compositions!Y127,'HHV-LHV-MW'!$A$3:$F$40,6,FALSE))*(IG62/$IG$78)))))</f>
        <v/>
      </c>
      <c r="II62" s="28" t="str">
        <f>IF(Compositions!AC127="","",IF(Compositions!$AC$118="mol%",Compositions!AC127,IJ62))</f>
        <v/>
      </c>
      <c r="IJ62" s="28" t="str">
        <f t="shared" si="44"/>
        <v/>
      </c>
      <c r="IK62" s="28" t="str">
        <f>IF(Compositions!AC127="","",(Compositions!AC127/(VLOOKUP(Compositions!Y127,'HHV-LHV-MW'!$A$3:$F$40,6,FALSE))))</f>
        <v/>
      </c>
      <c r="IL62" s="26" t="str">
        <f>IF(II62="","",((VLOOKUP(Compositions!Y127,'HHV-LHV-MW'!$A$3:$F$40,4,FALSE))*(II62/100)))</f>
        <v/>
      </c>
      <c r="IM62" s="26" t="str">
        <f>IF(II62="","",((VLOOKUP(Compositions!Y127,'HHV-LHV-MW'!$A$3:$F$40,5,FALSE))*(II62/100)))</f>
        <v/>
      </c>
      <c r="IN62" s="26" t="str">
        <f>IF(II62="","",((VLOOKUP(Compositions!Y127,'HHV-LHV-MW'!$A$3:$F$40,6,FALSE))*(II62/100)))</f>
        <v/>
      </c>
      <c r="IO62" s="26" t="str">
        <f>IF(Compositions!AC127="","",(Compositions!AC127*(VLOOKUP(Compositions!Y127,'HHV-LHV-MW'!$A$3:$F$40,6,FALSE))))</f>
        <v/>
      </c>
      <c r="IP62" s="296" t="str">
        <f>IF(Compositions!AC127="","",IF(OR(Compositions!$AC$118="wt%",Compositions!$AC$118=""),Compositions!AC127,(IF(IO62="","",((IO62/$IO$78)*100)))))</f>
        <v/>
      </c>
      <c r="IQ62" s="39" t="str">
        <f>IF(IP62="","",(IF(OR(Compositions!Y127="Hydrogen",Compositions!Y127="Helium",Compositions!Y127="Water",Compositions!Y127="Carbon Monoxide",Compositions!Y127="Nitrogen",Compositions!Y127="Oxygen",Compositions!Y127="Hydrogen Sulfide",Compositions!Y127="Argon",Compositions!Y127="Carbon Dioxide",Compositions!Y127="Carbon Disulfide"),0,IP62)))</f>
        <v/>
      </c>
      <c r="IR62" s="186" t="str">
        <f>IF(Compositions!AC127="","",((II62/100)*((VLOOKUP(Compositions!Y127,'HHV-LHV-MW'!$A$3:$G$40,7,FALSE)))))</f>
        <v/>
      </c>
      <c r="IS62" s="186" t="str">
        <f>IF(II62="","",(IF(OR(Compositions!Y127="Hydrogen",Compositions!Y127="Carbon Disulfide",Compositions!Y127="Helium",Compositions!Y127="Water",Compositions!Y127="Carbon Monoxide",Compositions!Y127="Nitrogen",Compositions!Y127="Oxygen",Compositions!Y127="Hydrogen Sulfide",Compositions!Y127="Argon",Compositions!Y127="Carbon Dioxide",Compositions!Y127="Methane",Compositions!Y127="Ethane"),0,(II62/100))))</f>
        <v/>
      </c>
      <c r="IT62" s="39" t="str">
        <f>IF(II62="","",(IF(OR($IS$78=0,$IS$78=""),0,      ((VLOOKUP(Compositions!Y127,'HHV-LHV-MW'!$A$3:$F$40,6,FALSE))*(IS62/$IS$78)))))</f>
        <v/>
      </c>
      <c r="IV62" s="27" t="str">
        <f>IF(Compositions!AF127="","",IF(Compositions!$AF$118="mol%",Compositions!AF127,IW62))</f>
        <v/>
      </c>
      <c r="IW62" s="27" t="str">
        <f t="shared" si="45"/>
        <v/>
      </c>
      <c r="IX62" s="27" t="str">
        <f>IF(Compositions!AF127="","",(Compositions!AF127/(VLOOKUP(Compositions!AE127,'HHV-LHV-MW'!$A$3:$F$40,6,FALSE))))</f>
        <v/>
      </c>
      <c r="IY62" s="25" t="str">
        <f>IF(IV62="","",((VLOOKUP(Compositions!AE127,'HHV-LHV-MW'!$A$3:$F$40,4,FALSE))*(IV62/100)))</f>
        <v/>
      </c>
      <c r="IZ62" s="25" t="str">
        <f>IF(IV62="","",((VLOOKUP(Compositions!AE127,'HHV-LHV-MW'!$A$3:$F$40,5,FALSE))*(IV62/100)))</f>
        <v/>
      </c>
      <c r="JA62" s="25" t="str">
        <f>IF(IV62="","",((VLOOKUP(Compositions!AE127,'HHV-LHV-MW'!$A$3:$F$40,6,FALSE))*(IV62/100)))</f>
        <v/>
      </c>
      <c r="JB62" s="25" t="str">
        <f>IF(Compositions!AF127="","",(Compositions!AF127*(VLOOKUP(Compositions!AE127,'HHV-LHV-MW'!$A$3:$F$40,6,FALSE))))</f>
        <v/>
      </c>
      <c r="JC62" s="298" t="str">
        <f>IF(Compositions!AF127="","",IF(OR(Compositions!$AF$118="wt%",Compositions!$AF$118=""),Compositions!AF127,(IF(JB62="","",((JB62/$JB$78)*100)))))</f>
        <v/>
      </c>
      <c r="JD62" s="185" t="str">
        <f>IF(JC62="","",(IF(OR(Compositions!AE127="Hydrogen",Compositions!AE127="Helium",Compositions!AE127="Water",Compositions!AE127="Carbon Monoxide",Compositions!AE127="Nitrogen",Compositions!AE127="Oxygen",Compositions!AE127="Hydrogen Sulfide",Compositions!AE127="Argon",Compositions!AE127="Carbon Dioxide",Compositions!AE127="Carbon Disulfide"),0,JC62)))</f>
        <v/>
      </c>
      <c r="JE62" s="187" t="str">
        <f>IF(Compositions!AF127="","",((IV62/100)*((VLOOKUP(Compositions!AE127,'HHV-LHV-MW'!$A$3:$G$40,7,FALSE)))))</f>
        <v/>
      </c>
      <c r="JF62" s="187" t="str">
        <f>IF(IV62="","",(IF(OR(Compositions!AE127="Hydrogen",Compositions!AE127="Carbon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Dioxide",Compositions!AE127="Methane",Compositions!AE127="Ethane"),0,(IV62/100))))</f>
        <v/>
      </c>
      <c r="JG62" s="205" t="str">
        <f>IF(IV62="","",(IF(OR($JF$78=0,$JF$78=""),0,      ((VLOOKUP(Compositions!AE127,'HHV-LHV-MW'!$A$3:$F$40,6,FALSE))*(JF62/$JF$78)))))</f>
        <v/>
      </c>
      <c r="JH62" s="28" t="str">
        <f>IF(Compositions!AG127="","",IF(Compositions!$AG$118="mol%",Compositions!AG127,JI62))</f>
        <v/>
      </c>
      <c r="JI62" s="28" t="str">
        <f t="shared" si="46"/>
        <v/>
      </c>
      <c r="JJ62" s="28" t="str">
        <f>IF(Compositions!AG127="","",(Compositions!AG127/(VLOOKUP(Compositions!AE127,'HHV-LHV-MW'!$A$3:$F$40,6,FALSE))))</f>
        <v/>
      </c>
      <c r="JK62" s="26" t="str">
        <f>IF(JH62="","",((VLOOKUP(Compositions!AE127,'HHV-LHV-MW'!$A$3:$F$40,4,FALSE))*(JH62/100)))</f>
        <v/>
      </c>
      <c r="JL62" s="26" t="str">
        <f>IF(JH62="","",((VLOOKUP(Compositions!AE127,'HHV-LHV-MW'!$A$3:$F$40,5,FALSE))*(JH62/100)))</f>
        <v/>
      </c>
      <c r="JM62" s="26" t="str">
        <f>IF(JH62="","",((VLOOKUP(Compositions!AE127,'HHV-LHV-MW'!$A$3:$F$40,6,FALSE))*(JH62/100)))</f>
        <v/>
      </c>
      <c r="JN62" s="26" t="str">
        <f>IF(Compositions!AG127="","",(Compositions!AG127*(VLOOKUP(Compositions!AE127,'HHV-LHV-MW'!$A$3:$F$40,6,FALSE))))</f>
        <v/>
      </c>
      <c r="JO62" s="297" t="str">
        <f>IF(Compositions!AG127="","",IF(OR(Compositions!$AG$118="wt%",Compositions!$AG$118=""),Compositions!AG127,(IF(JN62="","",((JN62/$JN$78)*100)))))</f>
        <v/>
      </c>
      <c r="JP62" s="39" t="str">
        <f>IF(JO62="","",(IF(OR(Compositions!AE127="Hydrogen",Compositions!AE127="Helium",Compositions!AE127="Water",Compositions!AE127="Carbon Monoxide",Compositions!AE127="Nitrogen",Compositions!AE127="Oxygen",Compositions!AE127="Hydrogen Sulfide",Compositions!AE127="Argon",Compositions!AE127="Carbon Dioxide",Compositions!AE127="Carbon Disulfide"),0,JO62)))</f>
        <v/>
      </c>
      <c r="JQ62" s="186" t="str">
        <f>IF(Compositions!AG127="","",((JH62/100)*((VLOOKUP(Compositions!AE127,'HHV-LHV-MW'!$A$3:$G$40,7,FALSE)))))</f>
        <v/>
      </c>
      <c r="JR62" s="186" t="str">
        <f>IF(JH62="","",(IF(OR(Compositions!AE127="Hydrogen",Compositions!AE127="Carbon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Dioxide",Compositions!AE127="Methane",Compositions!AE127="Ethane"),0,(JH62/100))))</f>
        <v/>
      </c>
      <c r="JS62" s="39" t="str">
        <f>IF(JH62="","",(IF(OR($JR$78=0,$JR$78=""),0,      ((VLOOKUP(Compositions!AE127,'HHV-LHV-MW'!$A$3:$F$40,6,FALSE))*(JR62/$JR$78)))))</f>
        <v/>
      </c>
      <c r="JT62" s="27" t="str">
        <f>IF(Compositions!AH127="","",IF(Compositions!$AH$118="mol%",Compositions!AH127,JU62))</f>
        <v/>
      </c>
      <c r="JU62" s="27" t="str">
        <f t="shared" si="47"/>
        <v/>
      </c>
      <c r="JV62" s="27" t="str">
        <f>IF(Compositions!AH127="","",(Compositions!AH127/(VLOOKUP(Compositions!AE127,'HHV-LHV-MW'!$A$3:$F$40,6,FALSE))))</f>
        <v/>
      </c>
      <c r="JW62" s="25" t="str">
        <f>IF(JT62="","",((VLOOKUP(Compositions!AE127,'HHV-LHV-MW'!$A$3:$F$40,4,FALSE))*(JT62/100)))</f>
        <v/>
      </c>
      <c r="JX62" s="25" t="str">
        <f>IF(JT62="","",((VLOOKUP(Compositions!AE127,'HHV-LHV-MW'!$A$3:$F$40,5,FALSE))*(JT62/100)))</f>
        <v/>
      </c>
      <c r="JY62" s="25" t="str">
        <f>IF(JT62="","",((VLOOKUP(Compositions!AE127,'HHV-LHV-MW'!$A$3:$F$40,6,FALSE))*(JT62/100)))</f>
        <v/>
      </c>
      <c r="JZ62" s="25" t="str">
        <f>IF(Compositions!AH127="","",(Compositions!AH127*(VLOOKUP(Compositions!AE127,'HHV-LHV-MW'!$A$3:$F$40,6,FALSE))))</f>
        <v/>
      </c>
      <c r="KA62" s="298" t="str">
        <f>IF(Compositions!AH127="","",IF(OR(Compositions!$AH$118="wt%",Compositions!$AH$118=""),Compositions!AH127,(IF(JZ62="","",((JZ62/$JZ$78)*100)))))</f>
        <v/>
      </c>
      <c r="KB62" s="185" t="str">
        <f>IF(KA62="","",(IF(OR(Compositions!AE127="Hydrogen",Compositions!AE127="Helium",Compositions!AE127="Water",Compositions!AE127="Carbon Monoxide",Compositions!AE127="Nitrogen",Compositions!AE127="Oxygen",Compositions!AE127="Hydrogen Sulfide",Compositions!AE127="Argon",Compositions!AE127="Carbon Dioxide",Compositions!AE127="Carbon Disulfide"),0,KA62)))</f>
        <v/>
      </c>
      <c r="KC62" s="187" t="str">
        <f>IF(Compositions!AH127="","",((JT62/100)*((VLOOKUP(Compositions!AE127,'HHV-LHV-MW'!$A$3:$G$40,7,FALSE)))))</f>
        <v/>
      </c>
      <c r="KD62" s="187" t="str">
        <f>IF(JT62="","",(IF(OR(Compositions!AE127="Hydrogen",Compositions!AE127="Carbon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Dioxide",Compositions!AE127="Methane",Compositions!AE127="Ethane"),0,(JT62/100))))</f>
        <v/>
      </c>
      <c r="KE62" s="205" t="str">
        <f>IF(JT62="","",(IF(OR($KD$78=0,$KD$78=""),0,      ((VLOOKUP(Compositions!AE127,'HHV-LHV-MW'!$A$3:$F$40,6,FALSE))*(KD62/$KD$78)))))</f>
        <v/>
      </c>
      <c r="KF62" s="28" t="str">
        <f>IF(Compositions!AI127="","",IF(Compositions!$AI$118="mol%",Compositions!AI127,KG62))</f>
        <v/>
      </c>
      <c r="KG62" s="28" t="str">
        <f t="shared" si="48"/>
        <v/>
      </c>
      <c r="KH62" s="28" t="str">
        <f>IF(Compositions!AI127="","",(Compositions!AI127/(VLOOKUP(Compositions!AE127,'HHV-LHV-MW'!$A$3:$F$40,6,FALSE))))</f>
        <v/>
      </c>
      <c r="KI62" s="26" t="str">
        <f>IF(KF62="","",((VLOOKUP(Compositions!AE127,'HHV-LHV-MW'!$A$3:$F$40,4,FALSE))*(KF62/100)))</f>
        <v/>
      </c>
      <c r="KJ62" s="26" t="str">
        <f>IF(KF62="","",((VLOOKUP(Compositions!AE127,'HHV-LHV-MW'!$A$3:$F$40,5,FALSE))*(KF62/100)))</f>
        <v/>
      </c>
      <c r="KK62" s="26" t="str">
        <f>IF(KF62="","",((VLOOKUP(Compositions!AE127,'HHV-LHV-MW'!$A$3:$F$40,6,FALSE))*(KF62/100)))</f>
        <v/>
      </c>
      <c r="KL62" s="26" t="str">
        <f>IF(Compositions!AI127="","",(Compositions!AI127*(VLOOKUP(Compositions!AE127,'HHV-LHV-MW'!$A$3:$F$40,6,FALSE))))</f>
        <v/>
      </c>
      <c r="KM62" s="297" t="str">
        <f>IF(Compositions!AI127="","",IF(OR(Compositions!$AI$118="wt%",Compositions!$AI$118=""),Compositions!AI127,(IF(KL62="","",((KL62/$KL$78)*100)))))</f>
        <v/>
      </c>
      <c r="KN62" s="39" t="str">
        <f>IF(KM62="","",(IF(OR(Compositions!AE127="Hydrogen",Compositions!AE127="Helium",Compositions!AE127="Water",Compositions!AE127="Carbon Monoxide",Compositions!AE127="Nitrogen",Compositions!AE127="Oxygen",Compositions!AE127="Hydrogen Sulfide",Compositions!AE127="Argon",Compositions!AE127="Carbon Dioxide",Compositions!AE127="Carbon Disulfide"),0,KM62)))</f>
        <v/>
      </c>
      <c r="KO62" s="186" t="str">
        <f>IF(Compositions!AI127="","",((KF62/100)*((VLOOKUP(Compositions!AE127,'HHV-LHV-MW'!$A$3:$G$40,7,FALSE)))))</f>
        <v/>
      </c>
      <c r="KP62" s="186" t="str">
        <f>IF(KF62="","",(IF(OR(Compositions!AE127="Hydrogen",Compositions!AE127="Carbon Disulfide",Compositions!AE127="Helium",Compositions!AE127="Water",Compositions!AE127="Carbon Monoxide",Compositions!AE127="Nitrogen",Compositions!AE127="Oxygen",Compositions!AE127="Hydrogen Sulfide",Compositions!AE127="Argon",Compositions!AE127="Carbon Dioxide",Compositions!AE127="Methane",Compositions!AE127="Ethane"),0,(KF62/100))))</f>
        <v/>
      </c>
      <c r="KQ62" s="39" t="str">
        <f>IF(KF62="","",(IF(OR($KP$78=0,$KP$78=""),0,      ((VLOOKUP(Compositions!AE127,'HHV-LHV-MW'!$A$3:$F$40,6,FALSE))*(KP62/$KP$78)))))</f>
        <v/>
      </c>
      <c r="KS62" s="27" t="str">
        <f>IF(Compositions!AL127="","",IF(Compositions!$AL$118="mol%",Compositions!AL127,KT62))</f>
        <v/>
      </c>
      <c r="KT62" s="27" t="str">
        <f t="shared" si="49"/>
        <v/>
      </c>
      <c r="KU62" s="27" t="str">
        <f>IF(Compositions!AL127="","",(Compositions!AL127/(VLOOKUP(Compositions!AK127,'HHV-LHV-MW'!$A$3:$F$40,6,FALSE))))</f>
        <v/>
      </c>
      <c r="KV62" s="185" t="str">
        <f>IF(KS62="","",((VLOOKUP(Compositions!AK127,'HHV-LHV-MW'!$A$3:$F$40,4,FALSE))*(KS62/100)))</f>
        <v/>
      </c>
      <c r="KW62" s="185" t="str">
        <f>IF(KS62="","",((VLOOKUP(Compositions!AK127,'HHV-LHV-MW'!$A$3:$F$40,5,FALSE))*(KS62/100)))</f>
        <v/>
      </c>
      <c r="KX62" s="185" t="str">
        <f>IF(KS62="","",((VLOOKUP(Compositions!AK127,'HHV-LHV-MW'!$A$3:$F$40,6,FALSE))*(KS62/100)))</f>
        <v/>
      </c>
      <c r="KY62" s="185" t="str">
        <f>IF(Compositions!AL127="","",(Compositions!AL127*(VLOOKUP(Compositions!AK127,'HHV-LHV-MW'!$A$3:$F$40,6,FALSE))))</f>
        <v/>
      </c>
      <c r="KZ62" s="298" t="str">
        <f>IF(Compositions!AL127="","",IF(OR(Compositions!$AL$118="wt%",Compositions!$AL$118=""),Compositions!AL127,(IF(KY62="","",((KY62/$KY$78)*100)))))</f>
        <v/>
      </c>
      <c r="LA62" s="185" t="str">
        <f>IF(KZ62="","",(IF(OR(Compositions!AK127="Hydrogen",Compositions!AK127="Helium",Compositions!AK127="Water",Compositions!AK127="Carbon Monoxide",Compositions!AK127="Nitrogen",Compositions!AK127="Oxygen",Compositions!AK127="Hydrogen Sulfide",Compositions!AK127="Argon",Compositions!AK127="Carbon Dioxide",Compositions!AK127="Carbon Disulfide"),0,KZ62)))</f>
        <v/>
      </c>
      <c r="LB62" s="187" t="str">
        <f>IF(Compositions!AL127="","",((KS62/100)*((VLOOKUP(Compositions!AK127,'HHV-LHV-MW'!$A$3:$G$40,7,FALSE)))))</f>
        <v/>
      </c>
      <c r="LC62" s="187" t="str">
        <f>IF(KS62="","",(IF(OR(Compositions!AK127="Hydrogen",Compositions!AK127="Carbon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Dioxide",Compositions!AK127="Methane",Compositions!AK127="Ethane"),0,(KS62/100))))</f>
        <v/>
      </c>
      <c r="LD62" s="205" t="str">
        <f>IF(KS62="","",(IF(OR($LC$78=0,$LC$78=""),0,      ((VLOOKUP(Compositions!AK127,'HHV-LHV-MW'!$A$3:$F$40,6,FALSE))*(LC62/$LC$78)))))</f>
        <v/>
      </c>
      <c r="LE62" s="28" t="str">
        <f>IF(Compositions!AM127="","",IF(Compositions!$AM$118="mol%",Compositions!AM127,LF62))</f>
        <v/>
      </c>
      <c r="LF62" s="28" t="str">
        <f t="shared" si="50"/>
        <v/>
      </c>
      <c r="LG62" s="28" t="str">
        <f>IF(Compositions!AM127="","",(Compositions!AM127/(VLOOKUP(Compositions!AK127,'HHV-LHV-MW'!$A$3:$F$40,6,FALSE))))</f>
        <v/>
      </c>
      <c r="LH62" s="184" t="str">
        <f>IF(LE62="","",((VLOOKUP(Compositions!AK127,'HHV-LHV-MW'!$A$3:$F$40,4,FALSE))*(LE62/100)))</f>
        <v/>
      </c>
      <c r="LI62" s="184" t="str">
        <f>IF(LE62="","",((VLOOKUP(Compositions!AK127,'HHV-LHV-MW'!$A$3:$F$40,5,FALSE))*(LE62/100)))</f>
        <v/>
      </c>
      <c r="LJ62" s="184" t="str">
        <f>IF(LE62="","",((VLOOKUP(Compositions!AK127,'HHV-LHV-MW'!$A$3:$F$40,6,FALSE))*(LE62/100)))</f>
        <v/>
      </c>
      <c r="LK62" s="184" t="str">
        <f>IF(Compositions!AM127="","",(Compositions!AM127*(VLOOKUP(Compositions!AK127,'HHV-LHV-MW'!$A$3:$F$40,6,FALSE))))</f>
        <v/>
      </c>
      <c r="LL62" s="297" t="str">
        <f>IF(Compositions!AM127="","",IF(OR(Compositions!$AM$118="wt%",Compositions!$AM$118=""),Compositions!AM127,(IF(LK62="","",((LK62/$LK$78)*100)))))</f>
        <v/>
      </c>
      <c r="LM62" s="39" t="str">
        <f>IF(LL62="","",(IF(OR(Compositions!AK127="Hydrogen",Compositions!AK127="Helium",Compositions!AK127="Water",Compositions!AK127="Carbon Monoxide",Compositions!AK127="Nitrogen",Compositions!AK127="Oxygen",Compositions!AK127="Hydrogen Sulfide",Compositions!AK127="Argon",Compositions!AK127="Carbon Dioxide",Compositions!AK127="Carbon Disulfide"),0,LL62)))</f>
        <v/>
      </c>
      <c r="LN62" s="186" t="str">
        <f>IF(Compositions!AM127="","",((LE62/100)*((VLOOKUP(Compositions!AK127,'HHV-LHV-MW'!$A$3:$G$40,7,FALSE)))))</f>
        <v/>
      </c>
      <c r="LO62" s="186" t="str">
        <f>IF(LE62="","",(IF(OR(Compositions!AK127="Hydrogen",Compositions!AK127="Carbon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Dioxide",Compositions!AK127="Methane",Compositions!AK127="Ethane"),0,(LE62/100))))</f>
        <v/>
      </c>
      <c r="LP62" s="39" t="str">
        <f>IF(LE62="","",(IF(OR($LO$78=0,$LO$78=""),0,     ((VLOOKUP(Compositions!AK127,'HHV-LHV-MW'!$A$3:$F$40,6,FALSE))*(LO62/$LO$78)))))</f>
        <v/>
      </c>
      <c r="LQ62" s="27" t="str">
        <f>IF(Compositions!AN127="","",IF(Compositions!$AN$118="mol%",Compositions!AN127,LR62))</f>
        <v/>
      </c>
      <c r="LR62" s="27" t="str">
        <f t="shared" si="51"/>
        <v/>
      </c>
      <c r="LS62" s="27" t="str">
        <f>IF(Compositions!AN127="","",(Compositions!AN127/(VLOOKUP(Compositions!AK127,'HHV-LHV-MW'!$A$3:$F$40,6,FALSE))))</f>
        <v/>
      </c>
      <c r="LT62" s="185" t="str">
        <f>IF(LQ62="","",((VLOOKUP(Compositions!AK127,'HHV-LHV-MW'!$A$3:$F$40,4,FALSE))*(LQ62/100)))</f>
        <v/>
      </c>
      <c r="LU62" s="185" t="str">
        <f>IF(LQ62="","",((VLOOKUP(Compositions!AK127,'HHV-LHV-MW'!$A$3:$F$40,5,FALSE))*(LQ62/100)))</f>
        <v/>
      </c>
      <c r="LV62" s="185" t="str">
        <f>IF(LQ62="","",((VLOOKUP(Compositions!AK127,'HHV-LHV-MW'!$A$3:$F$40,6,FALSE))*(LQ62/100)))</f>
        <v/>
      </c>
      <c r="LW62" s="185" t="str">
        <f>IF(Compositions!AN127="","",(Compositions!AN127*(VLOOKUP(Compositions!AK127,'HHV-LHV-MW'!$A$3:$F$40,6,FALSE))))</f>
        <v/>
      </c>
      <c r="LX62" s="298" t="str">
        <f>IF(Compositions!AN127="","",IF(OR(Compositions!$AN$118="wt%",Compositions!$AN$118=""),Compositions!AN127,(IF(LW62="","",((LW62/$LW$78)*100)))))</f>
        <v/>
      </c>
      <c r="LY62" s="185" t="str">
        <f>IF(LX62="","",(IF(OR(Compositions!AK127="Hydrogen",Compositions!AK127="Helium",Compositions!AK127="Water",Compositions!AK127="Carbon Monoxide",Compositions!AK127="Nitrogen",Compositions!AK127="Oxygen",Compositions!AK127="Hydrogen Sulfide",Compositions!AK127="Argon",Compositions!AK127="Carbon Dioxide",Compositions!AK127="Carbon Disulfide"),0,LX62)))</f>
        <v/>
      </c>
      <c r="LZ62" s="187" t="str">
        <f>IF(Compositions!AN127="","",((LQ62/100)*((VLOOKUP(Compositions!AK127,'HHV-LHV-MW'!$A$3:$G$40,7,FALSE)))))</f>
        <v/>
      </c>
      <c r="MA62" s="187" t="str">
        <f>IF(LQ62="","",(IF(OR(Compositions!AK127="Hydrogen",Compositions!AK127="Carbon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Dioxide",Compositions!AK127="Methane",Compositions!AK127="Ethane"),0,(LQ62/100))))</f>
        <v/>
      </c>
      <c r="MB62" s="205" t="str">
        <f>IF(LQ62="","",(IF(OR($MA$78=0,$MA$78=""),0,     ((VLOOKUP(Compositions!AK127,'HHV-LHV-MW'!$A$3:$F$40,6,FALSE))*(MA62/$MA$78)))))</f>
        <v/>
      </c>
      <c r="MC62" s="28" t="str">
        <f>IF(Compositions!AO127="","",IF(Compositions!$AO$118="mol%",Compositions!AO127,MD62))</f>
        <v/>
      </c>
      <c r="MD62" s="28" t="str">
        <f t="shared" si="52"/>
        <v/>
      </c>
      <c r="ME62" s="28" t="str">
        <f>IF(Compositions!AO127="","",(Compositions!AO127/(VLOOKUP(Compositions!AK127,'HHV-LHV-MW'!$A$3:$F$40,6,FALSE))))</f>
        <v/>
      </c>
      <c r="MF62" s="184" t="str">
        <f>IF(MC62="","",((VLOOKUP(Compositions!AK127,'HHV-LHV-MW'!$A$3:$F$40,4,FALSE))*(MC62/100)))</f>
        <v/>
      </c>
      <c r="MG62" s="184" t="str">
        <f>IF(MC62="","",((VLOOKUP(Compositions!AK127,'HHV-LHV-MW'!$A$3:$F$40,5,FALSE))*(MC62/100)))</f>
        <v/>
      </c>
      <c r="MH62" s="184" t="str">
        <f>IF(MC62="","",((VLOOKUP(Compositions!AK127,'HHV-LHV-MW'!$A$3:$F$40,6,FALSE))*(MC62/100)))</f>
        <v/>
      </c>
      <c r="MI62" s="184" t="str">
        <f>IF(Compositions!AO127="","",(Compositions!AO127*(VLOOKUP(Compositions!AK127,'HHV-LHV-MW'!$A$3:$F$40,6,FALSE))))</f>
        <v/>
      </c>
      <c r="MJ62" s="297" t="str">
        <f>IF(Compositions!AO127="","",IF(OR(Compositions!$AO$118="wt%",Compositions!$AO$118=""),Compositions!AO127,(IF(MI62="","",((MI62/$MI$78)*100)))))</f>
        <v/>
      </c>
      <c r="MK62" s="39" t="str">
        <f>IF(MJ62="","",(IF(OR(Compositions!AK127="Hydrogen",Compositions!AK127="Helium",Compositions!AK127="Water",Compositions!AK127="Carbon Monoxide",Compositions!AK127="Nitrogen",Compositions!AK127="Oxygen",Compositions!AK127="Hydrogen Sulfide",Compositions!AK127="Argon",Compositions!AK127="Carbon Dioxide",Compositions!AK127="Carbon Disulfide"),0,MJ62)))</f>
        <v/>
      </c>
      <c r="ML62" s="186" t="str">
        <f>IF(Compositions!AO127="","",((MC62/100)*((VLOOKUP(Compositions!AK127,'HHV-LHV-MW'!$A$3:$G$40,7,FALSE)))))</f>
        <v/>
      </c>
      <c r="MM62" s="186" t="str">
        <f>IF(MC62="","",(IF(OR(Compositions!AK127="Hydrogen",Compositions!AK127="Carbon Disulfide",Compositions!AK127="Helium",Compositions!AK127="Water",Compositions!AK127="Carbon Monoxide",Compositions!AK127="Nitrogen",Compositions!AK127="Oxygen",Compositions!AK127="Hydrogen Sulfide",Compositions!AK127="Argon",Compositions!AK127="Carbon Dioxide",Compositions!AK127="Methane",Compositions!AK127="Ethane"),0,(MC62/100))))</f>
        <v/>
      </c>
      <c r="MN62" s="39" t="str">
        <f>IF(MC62="","",(IF(OR($MM$78=0,$MM$78=""),0,     ((VLOOKUP(Compositions!AK127,'HHV-LHV-MW'!$A$3:$F$40,6,FALSE))*(MM62/$MM$78)))))</f>
        <v/>
      </c>
      <c r="MP62" s="27" t="str">
        <f>IF(Compositions!AR127="","",IF(Compositions!$AR$118="mol%",Compositions!AR127,MQ62))</f>
        <v/>
      </c>
      <c r="MQ62" s="27" t="str">
        <f t="shared" si="53"/>
        <v/>
      </c>
      <c r="MR62" s="27" t="str">
        <f>IF(Compositions!AR127="","",(Compositions!AR127/(VLOOKUP(Compositions!AQ127,'HHV-LHV-MW'!$A$3:$F$40,6,FALSE))))</f>
        <v/>
      </c>
      <c r="MS62" s="185" t="str">
        <f>IF(MP62="","",((VLOOKUP(Compositions!AQ127,'HHV-LHV-MW'!$A$3:$F$40,4,FALSE))*(MP62/100)))</f>
        <v/>
      </c>
      <c r="MT62" s="185" t="str">
        <f>IF(MP62="","",((VLOOKUP(Compositions!AQ127,'HHV-LHV-MW'!$A$3:$F$40,5,FALSE))*(MP62/100)))</f>
        <v/>
      </c>
      <c r="MU62" s="185" t="str">
        <f>IF(MP62="","",((VLOOKUP(Compositions!AQ127,'HHV-LHV-MW'!$A$3:$F$40,6,FALSE))*(MP62/100)))</f>
        <v/>
      </c>
      <c r="MV62" s="185" t="str">
        <f>IF(Compositions!AR127="","",(Compositions!AR127*(VLOOKUP(Compositions!AQ127,'HHV-LHV-MW'!$A$3:$F$40,6,FALSE))))</f>
        <v/>
      </c>
      <c r="MW62" s="298" t="str">
        <f>IF(Compositions!AR127="","",IF(OR(Compositions!$AR$118="wt%",Compositions!$AR$118=""),Compositions!AR127,(IF(MV62="","",((MV62/$MV$78)*100)))))</f>
        <v/>
      </c>
      <c r="MX62" s="185" t="str">
        <f>IF(MW62="","",(IF(OR(Compositions!AQ127="Hydrogen",Compositions!AQ127="Helium",Compositions!AQ127="Water",Compositions!AQ127="Carbon Monoxide",Compositions!AQ127="Nitrogen",Compositions!AQ127="Oxygen",Compositions!AQ127="Hydrogen Sulfide",Compositions!AQ127="Argon",Compositions!AQ127="Carbon Dioxide",Compositions!AQ127="Carbon Disulfide"),0,MW62)))</f>
        <v/>
      </c>
      <c r="MY62" s="187" t="str">
        <f>IF(Compositions!AR127="","",((MP62/100)*((VLOOKUP(Compositions!AQ127,'HHV-LHV-MW'!$A$3:$G$40,7,FALSE)))))</f>
        <v/>
      </c>
      <c r="MZ62" s="187" t="str">
        <f>IF(MP62="","",(IF(OR(Compositions!AQ127="Hydrogen",Compositions!AQ127="Carbon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Dioxide",Compositions!AQ127="Methane",Compositions!AQ127="Ethane"),0,(MP62/100))))</f>
        <v/>
      </c>
      <c r="NA62" s="205" t="str">
        <f>IF(MP62="","",(IF(OR($MZ$78=0,$MZ$78=""),0,     ((VLOOKUP(Compositions!AQ127,'HHV-LHV-MW'!$A$3:$F$40,6,FALSE))*(MZ62/$MZ$78)))))</f>
        <v/>
      </c>
      <c r="NB62" s="28" t="str">
        <f>IF(Compositions!AS127="","",IF(Compositions!$AS$118="mol%",Compositions!AS127,NC62))</f>
        <v/>
      </c>
      <c r="NC62" s="28" t="str">
        <f t="shared" si="54"/>
        <v/>
      </c>
      <c r="ND62" s="28" t="str">
        <f>IF(Compositions!AS127="","",(Compositions!AS127/(VLOOKUP(Compositions!AQ127,'HHV-LHV-MW'!$A$3:$F$40,6,FALSE))))</f>
        <v/>
      </c>
      <c r="NE62" s="184" t="str">
        <f>IF(NB62="","",((VLOOKUP(Compositions!AQ127,'HHV-LHV-MW'!$A$3:$F$40,4,FALSE))*(NB62/100)))</f>
        <v/>
      </c>
      <c r="NF62" s="184" t="str">
        <f>IF(NB62="","",((VLOOKUP(Compositions!AQ127,'HHV-LHV-MW'!$A$3:$F$40,5,FALSE))*(NB62/100)))</f>
        <v/>
      </c>
      <c r="NG62" s="184" t="str">
        <f>IF(NB62="","",((VLOOKUP(Compositions!AQ127,'HHV-LHV-MW'!$A$3:$F$40,6,FALSE))*(NB62/100)))</f>
        <v/>
      </c>
      <c r="NH62" s="184" t="str">
        <f>IF(Compositions!AS127="","",(Compositions!AS127*(VLOOKUP(Compositions!AQ127,'HHV-LHV-MW'!$A$3:$F$40,6,FALSE))))</f>
        <v/>
      </c>
      <c r="NI62" s="297" t="str">
        <f>IF(Compositions!AS127="","",IF(OR(Compositions!$AS$118="wt%",Compositions!$AS$118=""),Compositions!AS127,(IF(NH62="","",((NH62/$NH$78)*100)))))</f>
        <v/>
      </c>
      <c r="NJ62" s="39" t="str">
        <f>IF(NI62="","",(IF(OR(Compositions!AQ127="Hydrogen",Compositions!AQ127="Helium",Compositions!AQ127="Water",Compositions!AQ127="Carbon Monoxide",Compositions!AQ127="Nitrogen",Compositions!AQ127="Oxygen",Compositions!AQ127="Hydrogen Sulfide",Compositions!AQ127="Argon",Compositions!AQ127="Carbon Dioxide",Compositions!AQ127="Carbon Disulfide"),0,NI62)))</f>
        <v/>
      </c>
      <c r="NK62" s="186" t="str">
        <f>IF(Compositions!AS127="","",((NB62/100)*((VLOOKUP(Compositions!AQ127,'HHV-LHV-MW'!$A$3:$G$40,7,FALSE)))))</f>
        <v/>
      </c>
      <c r="NL62" s="186" t="str">
        <f>IF(NB62="","",(IF(OR(Compositions!AQ127="Hydrogen",Compositions!AQ127="Carbon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Dioxide",Compositions!AQ127="Methane",Compositions!AQ127="Ethane"),0,(NB62/100))))</f>
        <v/>
      </c>
      <c r="NM62" s="39" t="str">
        <f>IF(NB62="","",(IF(OR($NL$78=0,$NL$78=""),0,     ((VLOOKUP(Compositions!AQ127,'HHV-LHV-MW'!$A$3:$F$40,6,FALSE))*(NL62/$NL$78)))))</f>
        <v/>
      </c>
      <c r="NN62" s="27" t="str">
        <f>IF(Compositions!AT127="","",IF(Compositions!$AT$118="mol%",Compositions!AT127,NO62))</f>
        <v/>
      </c>
      <c r="NO62" s="27" t="str">
        <f t="shared" si="55"/>
        <v/>
      </c>
      <c r="NP62" s="27" t="str">
        <f>IF(Compositions!AT127="","",(Compositions!AT127/(VLOOKUP(Compositions!AQ127,'HHV-LHV-MW'!$A$3:$F$40,6,FALSE))))</f>
        <v/>
      </c>
      <c r="NQ62" s="185" t="str">
        <f>IF(NN62="","",((VLOOKUP(Compositions!AQ127,'HHV-LHV-MW'!$A$3:$F$40,4,FALSE))*(NN62/100)))</f>
        <v/>
      </c>
      <c r="NR62" s="185" t="str">
        <f>IF(NN62="","",((VLOOKUP(Compositions!AQ127,'HHV-LHV-MW'!$A$3:$F$40,5,FALSE))*(NN62/100)))</f>
        <v/>
      </c>
      <c r="NS62" s="185" t="str">
        <f>IF(NN62="","",((VLOOKUP(Compositions!AQ127,'HHV-LHV-MW'!$A$3:$F$40,6,FALSE))*(NN62/100)))</f>
        <v/>
      </c>
      <c r="NT62" s="185" t="str">
        <f>IF(Compositions!AT127="","",(Compositions!AT127*(VLOOKUP(Compositions!AQ127,'HHV-LHV-MW'!$A$3:$F$40,6,FALSE))))</f>
        <v/>
      </c>
      <c r="NU62" s="298" t="str">
        <f>IF(Compositions!AT127="","",IF(OR(Compositions!$AT$118="wt%",Compositions!$AT$118=""),Compositions!AT127,(IF(NT62="","",((NT62/$NT$78)*100)))))</f>
        <v/>
      </c>
      <c r="NV62" s="185" t="str">
        <f>IF(NU62="","",(IF(OR(Compositions!AQ127="Hydrogen",Compositions!AQ127="Helium",Compositions!AQ127="Water",Compositions!AQ127="Carbon Monoxide",Compositions!AQ127="Nitrogen",Compositions!AQ127="Oxygen",Compositions!AQ127="Hydrogen Sulfide",Compositions!AQ127="Argon",Compositions!AQ127="Carbon Dioxide",Compositions!AQ127="Carbon Disulfide"),0,NU62)))</f>
        <v/>
      </c>
      <c r="NW62" s="187" t="str">
        <f>IF(Compositions!AT127="","",((NN62/100)*((VLOOKUP(Compositions!AQ127,'HHV-LHV-MW'!$A$3:$G$40,7,FALSE)))))</f>
        <v/>
      </c>
      <c r="NX62" s="187" t="str">
        <f>IF(NN62="","",(IF(OR(Compositions!AQ127="Hydrogen",Compositions!AQ127="Carbon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Dioxide",Compositions!AQ127="Methane",Compositions!AQ127="Ethane"),0,(NN62/100))))</f>
        <v/>
      </c>
      <c r="NY62" s="205" t="str">
        <f>IF(NN62="","",(IF(OR($NX$78=0,$NX$78=""),0,     ((VLOOKUP(Compositions!AQ127,'HHV-LHV-MW'!$A$3:$F$40,6,FALSE))*(NX62/$NX$78)))))</f>
        <v/>
      </c>
      <c r="NZ62" s="28" t="str">
        <f>IF(Compositions!AU127="","",IF(Compositions!$AU$118="mol%",Compositions!AU127,OA62))</f>
        <v/>
      </c>
      <c r="OA62" s="28" t="str">
        <f t="shared" si="56"/>
        <v/>
      </c>
      <c r="OB62" s="28" t="str">
        <f>IF(Compositions!AU127="","",(Compositions!AU127/(VLOOKUP(Compositions!AQ127,'HHV-LHV-MW'!$A$3:$F$40,6,FALSE))))</f>
        <v/>
      </c>
      <c r="OC62" s="184" t="str">
        <f>IF(NZ62="","",((VLOOKUP(Compositions!AQ127,'HHV-LHV-MW'!$A$3:$F$40,4,FALSE))*(NZ62/100)))</f>
        <v/>
      </c>
      <c r="OD62" s="184" t="str">
        <f>IF(NZ62="","",((VLOOKUP(Compositions!AQ127,'HHV-LHV-MW'!$A$3:$F$40,5,FALSE))*(NZ62/100)))</f>
        <v/>
      </c>
      <c r="OE62" s="184" t="str">
        <f>IF(NZ62="","",((VLOOKUP(Compositions!AQ127,'HHV-LHV-MW'!$A$3:$F$40,6,FALSE))*(NZ62/100)))</f>
        <v/>
      </c>
      <c r="OF62" s="184" t="str">
        <f>IF(Compositions!AU127="","",(Compositions!AU127*(VLOOKUP(Compositions!AQ127,'HHV-LHV-MW'!$A$3:$F$40,6,FALSE))))</f>
        <v/>
      </c>
      <c r="OG62" s="297" t="str">
        <f>IF(Compositions!AU127="","",IF(OR(Compositions!$AU$118="wt%",Compositions!$AU$118=""),Compositions!AU127,(IF(OF62="","",((OF62/$OF$78)*100)))))</f>
        <v/>
      </c>
      <c r="OH62" s="39" t="str">
        <f>IF(OG62="","",(IF(OR(Compositions!AQ127="Hydrogen",Compositions!AQ127="Helium",Compositions!AQ127="Water",Compositions!AQ127="Carbon Monoxide",Compositions!AQ127="Nitrogen",Compositions!AQ127="Oxygen",Compositions!AQ127="Hydrogen Sulfide",Compositions!AQ127="Argon",Compositions!AQ127="Carbon Dioxide",Compositions!AQ127="Carbon Disulfide"),0,OG62)))</f>
        <v/>
      </c>
      <c r="OI62" s="186" t="str">
        <f>IF(Compositions!AU127="","",((NZ62/100)*((VLOOKUP(Compositions!AQ127,'HHV-LHV-MW'!$A$3:$G$40,7,FALSE)))))</f>
        <v/>
      </c>
      <c r="OJ62" s="186" t="str">
        <f>IF(NZ62="","",(IF(OR(Compositions!AQ127="Hydrogen",Compositions!AQ127="Carbon Disulfide",Compositions!AQ127="Helium",Compositions!AQ127="Water",Compositions!AQ127="Carbon Monoxide",Compositions!AQ127="Nitrogen",Compositions!AQ127="Oxygen",Compositions!AQ127="Hydrogen Sulfide",Compositions!AQ127="Argon",Compositions!AQ127="Carbon Dioxide",Compositions!AQ127="Methane",Compositions!AQ127="Ethane"),0,(NZ62/100))))</f>
        <v/>
      </c>
      <c r="OK62" s="39" t="str">
        <f>IF(NZ62="","",(IF(OR($OJ$78=0,$OJ$78=""),0,     ((VLOOKUP(Compositions!AQ127,'HHV-LHV-MW'!$A$3:$F$40,6,FALSE))*(OJ62/$OJ$78)))))</f>
        <v/>
      </c>
      <c r="ON62" s="27" t="str">
        <f>IF(Compositions!AX127="","",IF(Compositions!$AX$118="mol%",Compositions!AX127,OO62))</f>
        <v/>
      </c>
      <c r="OO62" s="27" t="str">
        <f t="shared" si="57"/>
        <v/>
      </c>
      <c r="OP62" s="27" t="str">
        <f>IF(Compositions!AX127="","",(Compositions!AX127/(VLOOKUP(Compositions!AW127,'HHV-LHV-MW'!$A$3:$F$40,6,FALSE))))</f>
        <v/>
      </c>
      <c r="OQ62" s="185" t="str">
        <f>IF(ON62="","",((VLOOKUP(Compositions!AW127,'HHV-LHV-MW'!$A$3:$F$40,4,FALSE))*(ON62/100)))</f>
        <v/>
      </c>
      <c r="OR62" s="185" t="str">
        <f>IF(ON62="","",((VLOOKUP(Compositions!AW127,'HHV-LHV-MW'!$A$3:$F$40,5,FALSE))*(ON62/100)))</f>
        <v/>
      </c>
      <c r="OS62" s="185" t="str">
        <f>IF(ON62="","",((VLOOKUP(Compositions!AW127,'HHV-LHV-MW'!$A$3:$F$40,6,FALSE))*(ON62/100)))</f>
        <v/>
      </c>
      <c r="OT62" s="185" t="str">
        <f>IF(Compositions!AX127="","",(Compositions!AX127*(VLOOKUP(Compositions!AW127,'HHV-LHV-MW'!$A$3:$F$40,6,FALSE))))</f>
        <v/>
      </c>
      <c r="OU62" s="298" t="str">
        <f>IF(Compositions!AX127="","",IF(OR(Compositions!$AX$118="wt%",Compositions!$AX$118=""),Compositions!AX127,(IF(OT62="","",((OT62/$OT$78)*100)))))</f>
        <v/>
      </c>
      <c r="OV62" s="185" t="str">
        <f>IF(OU62="","",(IF(OR(Compositions!AW127="Hydrogen",Compositions!AW127="Helium",Compositions!AW127="Water",Compositions!AW127="Carbon Monoxide",Compositions!AW127="Nitrogen",Compositions!AW127="Oxygen",Compositions!AW127="Hydrogen Sulfide",Compositions!AW127="Argon",Compositions!AW127="Carbon Dioxide",Compositions!AW127="Carbon Disulfide"),0,OU62)))</f>
        <v/>
      </c>
      <c r="OW62" s="187" t="str">
        <f>IF(Compositions!AX127="","",((ON62/100)*((VLOOKUP(Compositions!AW127,'HHV-LHV-MW'!$A$3:$G$40,7,FALSE)))))</f>
        <v/>
      </c>
      <c r="OX62" s="187" t="str">
        <f>IF(ON62="","",(IF(OR(Compositions!AW127="Hydrogen",Compositions!AW127="Carbon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Dioxide",Compositions!AW127="Methane",Compositions!AW127="Ethane"),0,(ON62/100))))</f>
        <v/>
      </c>
      <c r="OY62" s="205" t="str">
        <f>IF(ON62="","",(IF(OR($OX$78=0,$OX$78=""),0,     ((VLOOKUP(Compositions!AW127,'HHV-LHV-MW'!$A$3:$F$40,6,FALSE))*(OX62/$OX$78)))))</f>
        <v/>
      </c>
      <c r="OZ62" s="28" t="str">
        <f>IF(Compositions!AY127="","",IF(Compositions!$AY$118="mol%",Compositions!AY127,PA62))</f>
        <v/>
      </c>
      <c r="PA62" s="28" t="str">
        <f t="shared" si="64"/>
        <v/>
      </c>
      <c r="PB62" s="28" t="str">
        <f>IF(Compositions!AY127="","",(Compositions!AY127/(VLOOKUP(Compositions!AW127,'HHV-LHV-MW'!$A$3:$F$40,6,FALSE))))</f>
        <v/>
      </c>
      <c r="PC62" s="184" t="str">
        <f>IF(OZ62="","",((VLOOKUP(Compositions!AW127,'HHV-LHV-MW'!$A$3:$F$40,4,FALSE))*(OZ62/100)))</f>
        <v/>
      </c>
      <c r="PD62" s="184" t="str">
        <f>IF(OZ62="","",((VLOOKUP(Compositions!AW127,'HHV-LHV-MW'!$A$3:$F$40,5,FALSE))*(OZ62/100)))</f>
        <v/>
      </c>
      <c r="PE62" s="184" t="str">
        <f>IF(OZ62="","",((VLOOKUP(Compositions!AW127,'HHV-LHV-MW'!$A$3:$F$40,6,FALSE))*(OZ62/100)))</f>
        <v/>
      </c>
      <c r="PF62" s="184" t="str">
        <f>IF(Compositions!AY127="","",(Compositions!AY127*(VLOOKUP(Compositions!AW127,'HHV-LHV-MW'!$A$3:$F$40,6,FALSE))))</f>
        <v/>
      </c>
      <c r="PG62" s="297" t="str">
        <f>IF(Compositions!AY127="","",IF(OR(Compositions!$AY$118="wt%",Compositions!$AY$118=""),Compositions!AY127,(IF(PF62="","",((PF62/$PF$78)*100)))))</f>
        <v/>
      </c>
      <c r="PH62" s="39" t="str">
        <f>IF(PG62="","",(IF(OR(Compositions!AW127="Hydrogen",Compositions!AW127="Helium",Compositions!AW127="Water",Compositions!AW127="Carbon Monoxide",Compositions!AW127="Nitrogen",Compositions!AW127="Oxygen",Compositions!AW127="Hydrogen Sulfide",Compositions!AW127="Argon",Compositions!AW127="Carbon Dioxide",Compositions!AW127="Carbon Disulfide"),0,PG62)))</f>
        <v/>
      </c>
      <c r="PI62" s="186" t="str">
        <f>IF(Compositions!AY127="","",((OZ62/100)*((VLOOKUP(Compositions!AW127,'HHV-LHV-MW'!$A$3:$G$40,7,FALSE)))))</f>
        <v/>
      </c>
      <c r="PJ62" s="186" t="str">
        <f>IF(OZ62="","",(IF(OR(Compositions!AW127="Hydrogen",Compositions!AW127="Carbon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Dioxide",Compositions!AW127="Methane",Compositions!AW127="Ethane"),0,(OZ62/100))))</f>
        <v/>
      </c>
      <c r="PK62" s="39" t="str">
        <f>IF(OZ62="","",(IF(OR($PJ$78=0,$PJ$78=""),0,     ((VLOOKUP(Compositions!AW127,'HHV-LHV-MW'!$A$3:$F$40,6,FALSE))*(PJ62/$PJ$78)))))</f>
        <v/>
      </c>
      <c r="PL62" s="27" t="str">
        <f>IF(Compositions!AZ127="","",IF(Compositions!$AZ$118="mol%",Compositions!AZ127,PM62))</f>
        <v/>
      </c>
      <c r="PM62" s="27" t="str">
        <f t="shared" si="58"/>
        <v/>
      </c>
      <c r="PN62" s="27" t="str">
        <f>IF(Compositions!AZ127="","",(Compositions!AZ127/(VLOOKUP(Compositions!AW127,'HHV-LHV-MW'!$A$3:$F$40,6,FALSE))))</f>
        <v/>
      </c>
      <c r="PO62" s="185" t="str">
        <f>IF(PL62="","",((VLOOKUP(Compositions!AW127,'HHV-LHV-MW'!$A$3:$F$40,4,FALSE))*(PL62/100)))</f>
        <v/>
      </c>
      <c r="PP62" s="185" t="str">
        <f>IF(PL62="","",((VLOOKUP(Compositions!AW127,'HHV-LHV-MW'!$A$3:$F$40,5,FALSE))*(PL62/100)))</f>
        <v/>
      </c>
      <c r="PQ62" s="185" t="str">
        <f>IF(PL62="","",((VLOOKUP(Compositions!AW127,'HHV-LHV-MW'!$A$3:$F$40,6,FALSE))*(PL62/100)))</f>
        <v/>
      </c>
      <c r="PR62" s="185" t="str">
        <f>IF(Compositions!AZ127="","",(Compositions!AZ127*(VLOOKUP(Compositions!AW127,'HHV-LHV-MW'!$A$3:$F$40,6,FALSE))))</f>
        <v/>
      </c>
      <c r="PS62" s="298" t="str">
        <f>IF(Compositions!AZ127="","",IF(OR(Compositions!$AZ$118="wt%",Compositions!$AZ$118=""),Compositions!AZ127,(IF(PR62="","",((PR62/$PR$78)*100)))))</f>
        <v/>
      </c>
      <c r="PT62" s="185" t="str">
        <f>IF(PS62="","",(IF(OR(Compositions!AW127="Hydrogen",Compositions!AW127="Helium",Compositions!AW127="Water",Compositions!AW127="Carbon Monoxide",Compositions!AW127="Nitrogen",Compositions!AW127="Oxygen",Compositions!AW127="Hydrogen Sulfide",Compositions!AW127="Argon",Compositions!AW127="Carbon Dioxide",Compositions!AW127="Carbon Disulfide"),0,PS62)))</f>
        <v/>
      </c>
      <c r="PU62" s="187" t="str">
        <f>IF(Compositions!AZ127="","",((PL62/100)*((VLOOKUP(Compositions!AW127,'HHV-LHV-MW'!$A$3:$G$40,7,FALSE)))))</f>
        <v/>
      </c>
      <c r="PV62" s="187" t="str">
        <f>IF(PL62="","",(IF(OR(Compositions!AW127="Hydrogen",Compositions!AW127="Carbon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Dioxide",Compositions!AW127="Methane",Compositions!AW127="Ethane"),0,(PL62/100))))</f>
        <v/>
      </c>
      <c r="PW62" s="205" t="str">
        <f>IF(PL62="","",(IF(OR($PV$78=0,$PV$78=""),0,     ((VLOOKUP(Compositions!AW127,'HHV-LHV-MW'!$A$3:$F$40,6,FALSE))*(PV62/$PV$78)))))</f>
        <v/>
      </c>
      <c r="PX62" s="28" t="str">
        <f>IF(Compositions!BA127="","",IF(Compositions!$BA$118="mol%",Compositions!BA127,PY62))</f>
        <v/>
      </c>
      <c r="PY62" s="28" t="str">
        <f t="shared" si="59"/>
        <v/>
      </c>
      <c r="PZ62" s="28" t="str">
        <f>IF(Compositions!BA127="","",(Compositions!BA127/(VLOOKUP(Compositions!AW127,'HHV-LHV-MW'!$A$3:$F$40,6,FALSE))))</f>
        <v/>
      </c>
      <c r="QA62" s="184" t="str">
        <f>IF(PX62="","",((VLOOKUP(Compositions!AW127,'HHV-LHV-MW'!$A$3:$F$40,4,FALSE))*(PX62/100)))</f>
        <v/>
      </c>
      <c r="QB62" s="184" t="str">
        <f>IF(PX62="","",((VLOOKUP(Compositions!AW127,'HHV-LHV-MW'!$A$3:$F$40,5,FALSE))*(PX62/100)))</f>
        <v/>
      </c>
      <c r="QC62" s="184" t="str">
        <f>IF(PX62="","",((VLOOKUP(Compositions!AW127,'HHV-LHV-MW'!$A$3:$F$40,6,FALSE))*(PX62/100)))</f>
        <v/>
      </c>
      <c r="QD62" s="184" t="str">
        <f>IF(Compositions!BA127="","",(Compositions!BA127*(VLOOKUP(Compositions!AW127,'HHV-LHV-MW'!$A$3:$F$40,6,FALSE))))</f>
        <v/>
      </c>
      <c r="QE62" s="297" t="str">
        <f>IF(Compositions!BA127="","",IF(OR(Compositions!$BA$118="wt%",Compositions!$BA$118=""),Compositions!BA127,(IF(QD62="","",((QD62/$QD$78)*100)))))</f>
        <v/>
      </c>
      <c r="QF62" s="39" t="str">
        <f>IF(QE62="","",(IF(OR(Compositions!AW127="Hydrogen",Compositions!AW127="Helium",Compositions!AW127="Water",Compositions!AW127="Carbon Monoxide",Compositions!AW127="Nitrogen",Compositions!AW127="Oxygen",Compositions!AW127="Hydrogen Sulfide",Compositions!AW127="Argon",Compositions!AW127="Carbon Dioxide",Compositions!AW127="Carbon Disulfide"),0,QE62)))</f>
        <v/>
      </c>
      <c r="QG62" s="186" t="str">
        <f>IF(Compositions!BA127="","",((PX62/100)*((VLOOKUP(Compositions!AW127,'HHV-LHV-MW'!$A$3:$G$40,7,FALSE)))))</f>
        <v/>
      </c>
      <c r="QH62" s="186" t="str">
        <f>IF(PX62="","",(IF(OR(Compositions!AW127="Hydrogen",Compositions!AW127="Carbon Disulfide",Compositions!AW127="Helium",Compositions!AW127="Water",Compositions!AW127="Carbon Monoxide",Compositions!AW127="Nitrogen",Compositions!AW127="Oxygen",Compositions!AW127="Hydrogen Sulfide",Compositions!AW127="Argon",Compositions!AW127="Carbon Dioxide",Compositions!AW127="Methane",Compositions!AW127="Ethane"),0,(PX62/100))))</f>
        <v/>
      </c>
      <c r="QI62" s="39" t="str">
        <f>IF(PX62="","",(IF(OR($QH$78=0,$QH$78=""),0,     ((VLOOKUP(Compositions!AW127,'HHV-LHV-MW'!$A$3:$F$40,6,FALSE))*(QH62/$QH$78)))))</f>
        <v/>
      </c>
      <c r="QK62" s="27" t="str">
        <f>IF(Compositions!BD127="","",IF(Compositions!$BD$118="mol%",Compositions!BD127,QL62))</f>
        <v/>
      </c>
      <c r="QL62" s="27" t="str">
        <f t="shared" si="60"/>
        <v/>
      </c>
      <c r="QM62" s="27" t="str">
        <f>IF(Compositions!BD127="","",(Compositions!BD127/(VLOOKUP(Compositions!BC127,'HHV-LHV-MW'!$A$3:$F$40,6,FALSE))))</f>
        <v/>
      </c>
      <c r="QN62" s="185" t="str">
        <f>IF(QK62="","",((VLOOKUP(Compositions!BC127,'HHV-LHV-MW'!$A$3:$F$40,4,FALSE))*(QK62/100)))</f>
        <v/>
      </c>
      <c r="QO62" s="185" t="str">
        <f>IF(QK62="","",((VLOOKUP(Compositions!BC127,'HHV-LHV-MW'!$A$3:$F$40,5,FALSE))*(QK62/100)))</f>
        <v/>
      </c>
      <c r="QP62" s="185" t="str">
        <f>IF(QK62="","",((VLOOKUP(Compositions!BC127,'HHV-LHV-MW'!$A$3:$F$40,6,FALSE))*(QK62/100)))</f>
        <v/>
      </c>
      <c r="QQ62" s="185" t="str">
        <f>IF(Compositions!BD127="","",(Compositions!BD127*(VLOOKUP(Compositions!BC127,'HHV-LHV-MW'!$A$3:$F$40,6,FALSE))))</f>
        <v/>
      </c>
      <c r="QR62" s="298" t="str">
        <f>IF(Compositions!BD127="","",IF(OR(Compositions!$BD$118="wt%",Compositions!$BD$118=""),Compositions!BD127,(IF(QQ62="","",((QQ62/$QQ$78)*100)))))</f>
        <v/>
      </c>
      <c r="QS62" s="185" t="str">
        <f>IF(QR62="","",(IF(OR(Compositions!BC127="Hydrogen",Compositions!BC127="Helium",Compositions!BC127="Water",Compositions!BC127="Carbon Monoxide",Compositions!BC127="Nitrogen",Compositions!BC127="Oxygen",Compositions!BC127="Hydrogen Sulfide",Compositions!BC127="Argon",Compositions!BC127="Carbon Dioxide",Compositions!BC127="Carbon Disulfide"),0,QR62)))</f>
        <v/>
      </c>
      <c r="QT62" s="187" t="str">
        <f>IF(Compositions!BD127="","",((QK62/100)*((VLOOKUP(Compositions!BC127,'HHV-LHV-MW'!$A$3:$G$40,7,FALSE)))))</f>
        <v/>
      </c>
      <c r="QU62" s="187" t="str">
        <f>IF(QK62="","",(IF(OR(Compositions!BC127="Hydrogen",Compositions!BC127="Carbon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Dioxide",Compositions!BC127="Methane",Compositions!BC127="Ethane"),0,(QK62/100))))</f>
        <v/>
      </c>
      <c r="QV62" s="205" t="str">
        <f>IF(QK62="","",(IF(OR($QU$78=0,$QU$78=""),0,     ((VLOOKUP(Compositions!BC127,'HHV-LHV-MW'!$A$3:$F$40,6,FALSE))*(QU62/$QU$78)))))</f>
        <v/>
      </c>
      <c r="QW62" s="28" t="str">
        <f>IF(Compositions!BE127="","",IF(Compositions!$BE$118="mol%",Compositions!BE127,QX62))</f>
        <v/>
      </c>
      <c r="QX62" s="28" t="str">
        <f t="shared" si="61"/>
        <v/>
      </c>
      <c r="QY62" s="28" t="str">
        <f>IF(Compositions!BE127="","",(Compositions!BE127/(VLOOKUP(Compositions!BC127,'HHV-LHV-MW'!$A$3:$F$40,6,FALSE))))</f>
        <v/>
      </c>
      <c r="QZ62" s="184" t="str">
        <f>IF(QW62="","",((VLOOKUP(Compositions!BC127,'HHV-LHV-MW'!$A$3:$F$40,4,FALSE))*(QW62/100)))</f>
        <v/>
      </c>
      <c r="RA62" s="184" t="str">
        <f>IF(QW62="","",((VLOOKUP(Compositions!BC127,'HHV-LHV-MW'!$A$3:$F$40,5,FALSE))*(QW62/100)))</f>
        <v/>
      </c>
      <c r="RB62" s="184" t="str">
        <f>IF(QW62="","",((VLOOKUP(Compositions!BC127,'HHV-LHV-MW'!$A$3:$F$40,6,FALSE))*(QW62/100)))</f>
        <v/>
      </c>
      <c r="RC62" s="184" t="str">
        <f>IF(Compositions!BE127="","",(Compositions!BE127*(VLOOKUP(Compositions!BC127,'HHV-LHV-MW'!$A$3:$F$40,6,FALSE))))</f>
        <v/>
      </c>
      <c r="RD62" s="297" t="str">
        <f>IF(Compositions!BE127="","",IF(OR(Compositions!$BE$118="wt%",Compositions!$BE$118=""),Compositions!BE127,(IF(RC62="","",((RC62/$RC$78)*100)))))</f>
        <v/>
      </c>
      <c r="RE62" s="39" t="str">
        <f>IF(RD62="","",(IF(OR(Compositions!BC127="Hydrogen",Compositions!BC127="Helium",Compositions!BC127="Water",Compositions!BC127="Carbon Monoxide",Compositions!BC127="Nitrogen",Compositions!BC127="Oxygen",Compositions!BC127="Hydrogen Sulfide",Compositions!BC127="Argon",Compositions!BC127="Carbon Dioxide",Compositions!BC127="Carbon Disulfide"),0,RD62)))</f>
        <v/>
      </c>
      <c r="RF62" s="186" t="str">
        <f>IF(Compositions!BE127="","",((QW62/100)*((VLOOKUP(Compositions!BC127,'HHV-LHV-MW'!$A$3:$G$40,7,FALSE)))))</f>
        <v/>
      </c>
      <c r="RG62" s="186" t="str">
        <f>IF(QW62="","",(IF(OR(Compositions!BC127="Hydrogen",Compositions!BC127="Carbon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Dioxide",Compositions!BC127="Methane",Compositions!BC127="Ethane"),0,(QW62/100))))</f>
        <v/>
      </c>
      <c r="RH62" s="39" t="str">
        <f>IF(QW62="","",(IF(OR($RG$78=0,$RG$78=""),0,     ((VLOOKUP(Compositions!BC127,'HHV-LHV-MW'!$A$3:$F$40,6,FALSE))*(RG62/$RG$78)))))</f>
        <v/>
      </c>
      <c r="RI62" s="27" t="str">
        <f>IF(Compositions!BF127="","",IF(Compositions!$BF$118="mol%",Compositions!BF127,RJ62))</f>
        <v/>
      </c>
      <c r="RJ62" s="27" t="str">
        <f t="shared" si="62"/>
        <v/>
      </c>
      <c r="RK62" s="27" t="str">
        <f>IF(Compositions!BF127="","",(Compositions!BF127/(VLOOKUP(Compositions!BC127,'HHV-LHV-MW'!$A$3:$F$40,6,FALSE))))</f>
        <v/>
      </c>
      <c r="RL62" s="185" t="str">
        <f>IF(RI62="","",((VLOOKUP(Compositions!BC127,'HHV-LHV-MW'!$A$3:$F$40,4,FALSE))*(RI62/100)))</f>
        <v/>
      </c>
      <c r="RM62" s="185" t="str">
        <f>IF(RI62="","",((VLOOKUP(Compositions!BC127,'HHV-LHV-MW'!$A$3:$F$40,5,FALSE))*(RI62/100)))</f>
        <v/>
      </c>
      <c r="RN62" s="185" t="str">
        <f>IF(RI62="","",((VLOOKUP(Compositions!BC127,'HHV-LHV-MW'!$A$3:$F$40,6,FALSE))*(RI62/100)))</f>
        <v/>
      </c>
      <c r="RO62" s="185" t="str">
        <f>IF(Compositions!BF127="","",(Compositions!BF127*(VLOOKUP(Compositions!BC127,'HHV-LHV-MW'!$A$3:$F$40,6,FALSE))))</f>
        <v/>
      </c>
      <c r="RP62" s="298" t="str">
        <f>IF(Compositions!BF127="","",IF(OR(Compositions!$BF$118="wt%",Compositions!$BF$118=""),Compositions!BF127,(IF(RO62="","",((RO62/$RO$78)*100)))))</f>
        <v/>
      </c>
      <c r="RQ62" s="185" t="str">
        <f>IF(RP62="","",(IF(OR(Compositions!BC127="Hydrogen",Compositions!BC127="Helium",Compositions!BC127="Water",Compositions!BC127="Carbon Monoxide",Compositions!BC127="Nitrogen",Compositions!BC127="Oxygen",Compositions!BC127="Hydrogen Sulfide",Compositions!BC127="Argon",Compositions!BC127="Carbon Dioxide",Compositions!BC127="Carbon Disulfide"),0,RP62)))</f>
        <v/>
      </c>
      <c r="RR62" s="187" t="str">
        <f>IF(Compositions!BF127="","",((RI62/100)*((VLOOKUP(Compositions!BC127,'HHV-LHV-MW'!$A$3:$G$40,7,FALSE)))))</f>
        <v/>
      </c>
      <c r="RS62" s="187" t="str">
        <f>IF(RI62="","",(IF(OR(Compositions!BC127="Hydrogen",Compositions!BC127="Carbon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Dioxide",Compositions!BC127="Methane",Compositions!BC127="Ethane"),0,(RI62/100))))</f>
        <v/>
      </c>
      <c r="RT62" s="205" t="str">
        <f>IF(RI62="","",(IF(OR($RS$78=0,$RS$78=""),0,     ((VLOOKUP(Compositions!BC127,'HHV-LHV-MW'!$A$3:$F$40,6,FALSE))*(RS62/$RS$78)))))</f>
        <v/>
      </c>
      <c r="RU62" s="28" t="str">
        <f>IF(Compositions!BG127="","",IF(Compositions!$BG$118="mol%",Compositions!BG127,RV62))</f>
        <v/>
      </c>
      <c r="RV62" s="28" t="str">
        <f t="shared" si="63"/>
        <v/>
      </c>
      <c r="RW62" s="28" t="str">
        <f>IF(Compositions!BG127="","",(Compositions!BG127/(VLOOKUP(Compositions!BC127,'HHV-LHV-MW'!$A$3:$F$40,6,FALSE))))</f>
        <v/>
      </c>
      <c r="RX62" s="184" t="str">
        <f>IF(RU62="","",((VLOOKUP(Compositions!BC127,'HHV-LHV-MW'!$A$3:$F$40,4,FALSE))*(RU62/100)))</f>
        <v/>
      </c>
      <c r="RY62" s="184" t="str">
        <f>IF(RU62="","",((VLOOKUP(Compositions!BC127,'HHV-LHV-MW'!$A$3:$F$40,5,FALSE))*(RU62/100)))</f>
        <v/>
      </c>
      <c r="RZ62" s="184" t="str">
        <f>IF(RU62="","",((VLOOKUP(Compositions!BC127,'HHV-LHV-MW'!$A$3:$F$40,6,FALSE))*(RU62/100)))</f>
        <v/>
      </c>
      <c r="SA62" s="184" t="str">
        <f>IF(Compositions!BG127="","",(Compositions!BG127*(VLOOKUP(Compositions!BC127,'HHV-LHV-MW'!$A$3:$F$40,6,FALSE))))</f>
        <v/>
      </c>
      <c r="SB62" s="297" t="str">
        <f>IF(Compositions!BG127="","",IF(OR(Compositions!$BG$118="wt%",Compositions!$BG$118=""),Compositions!BG127,(IF(SA62="","",((SA62/$SA$78)*100)))))</f>
        <v/>
      </c>
      <c r="SC62" s="39" t="str">
        <f>IF(SB62="","",(IF(OR(Compositions!BC127="Hydrogen",Compositions!BC127="Helium",Compositions!BC127="Water",Compositions!BC127="Carbon Monoxide",Compositions!BC127="Nitrogen",Compositions!BC127="Oxygen",Compositions!BC127="Hydrogen Sulfide",Compositions!BC127="Argon",Compositions!BC127="Carbon Dioxide",Compositions!BC127="Carbon Disulfide"),0,SB62)))</f>
        <v/>
      </c>
      <c r="SD62" s="186" t="str">
        <f>IF(Compositions!BG127="","",((RU62/100)*((VLOOKUP(Compositions!BC127,'HHV-LHV-MW'!$A$3:$G$40,7,FALSE)))))</f>
        <v/>
      </c>
      <c r="SE62" s="186" t="str">
        <f>IF(RU62="","",(IF(OR(Compositions!BC127="Hydrogen",Compositions!BC127="Carbon Disulfide",Compositions!BC127="Helium",Compositions!BC127="Water",Compositions!BC127="Carbon Monoxide",Compositions!BC127="Nitrogen",Compositions!BC127="Oxygen",Compositions!BC127="Hydrogen Sulfide",Compositions!BC127="Argon",Compositions!BC127="Carbon Dioxide",Compositions!BC127="Methane",Compositions!BC127="Ethane"),0,(RU62/100))))</f>
        <v/>
      </c>
      <c r="SF62" s="39" t="str">
        <f>IF(RU62="","",(IF(OR($SE$78=0,$SE$78=""),0,     ((VLOOKUP(Compositions!BC127,'HHV-LHV-MW'!$A$3:$F$40,6,FALSE))*(SE62/$SE$78)))))</f>
        <v/>
      </c>
    </row>
    <row r="63" spans="1:500" ht="15.6">
      <c r="A63" s="173" t="s">
        <v>191</v>
      </c>
      <c r="B63" s="19" t="s">
        <v>189</v>
      </c>
      <c r="C63" s="20">
        <v>5</v>
      </c>
      <c r="D63" s="20">
        <v>3.5087999999999999</v>
      </c>
      <c r="E63" s="20">
        <v>3.2692999999999999</v>
      </c>
      <c r="F63" s="20">
        <v>72.150279999999995</v>
      </c>
      <c r="G63" s="20">
        <v>0</v>
      </c>
      <c r="H63" s="170"/>
      <c r="I63" s="170"/>
      <c r="K63" s="27" t="str">
        <f>IF(Compositions!B128="","",IF(Compositions!$B$118="mol%",Compositions!B128,L63))</f>
        <v/>
      </c>
      <c r="L63" s="27" t="str">
        <f t="shared" si="25"/>
        <v/>
      </c>
      <c r="M63" s="27" t="str">
        <f>IF(Compositions!B128="","",(Compositions!B128/(VLOOKUP(Compositions!A128,'HHV-LHV-MW'!$A$3:$F$40,6,FALSE))))</f>
        <v/>
      </c>
      <c r="N63" s="25" t="str">
        <f>IF(K63="","",((VLOOKUP(Compositions!A128,'HHV-LHV-MW'!$A$3:$F$40,4,FALSE))*(K63/100)))</f>
        <v/>
      </c>
      <c r="O63" s="25" t="str">
        <f>IF(K63="","",((VLOOKUP(Compositions!A128,'HHV-LHV-MW'!$A$3:$F$40,5,FALSE))*(K63/100)))</f>
        <v/>
      </c>
      <c r="P63" s="25" t="str">
        <f>IF(K63="","",((VLOOKUP(Compositions!A128,'HHV-LHV-MW'!$A$3:$F$40,6,FALSE))*(K63/100)))</f>
        <v/>
      </c>
      <c r="Q63" s="25" t="str">
        <f>IF(Compositions!B128="","",(Compositions!B128*(VLOOKUP(Compositions!A128,'HHV-LHV-MW'!$A$3:$F$40,6,FALSE))))</f>
        <v/>
      </c>
      <c r="R63" s="188" t="str">
        <f>IF(Compositions!B128="","",IF(OR(Compositions!$B$118="wt%",Compositions!$B$118=""),Compositions!B128,(IF(Q63="","",((Q63/$Q$78)*100)))))</f>
        <v/>
      </c>
      <c r="S63" s="185" t="str">
        <f>IF(R63="","",(IF(OR(Compositions!A128="Hydrogen",Compositions!A128="Helium",Compositions!A128="Water",Compositions!A128="Carbon Monoxide",Compositions!A128="Nitrogen",Compositions!A128="Oxygen",Compositions!A128="Hydrogen Sulfide",Compositions!A128="Argon",Compositions!A128="Carbon Dioxide",Compositions!A128="Carbon Disulfide"),0,R63)))</f>
        <v/>
      </c>
      <c r="T63" s="169" t="str">
        <f>IF(Compositions!B128="","",((K63/100)*((VLOOKUP(Compositions!A128,'HHV-LHV-MW'!$A$3:$G$40,7,FALSE)))))</f>
        <v/>
      </c>
      <c r="U63" s="187" t="str">
        <f>IF(K63="","",(IF(OR(Compositions!A128="Hydrogen",Compositions!A128="Carbon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Dioxide",Compositions!A128="Methane",Compositions!A128="Ethane"),0,(K63/100))))</f>
        <v/>
      </c>
      <c r="V63" s="188" t="str">
        <f>IF(K63="","", (IF(OR($U$78=0,$U$78=""),0,((VLOOKUP(Compositions!A128,'HHV-LHV-MW'!$A$3:$F$40,6,FALSE))*(U63/$U$78))   ))   )</f>
        <v/>
      </c>
      <c r="W63" s="28" t="str">
        <f>IF(Compositions!C128="","",IF(Compositions!$C$118="mol%",Compositions!C128,X63))</f>
        <v/>
      </c>
      <c r="X63" s="28" t="str">
        <f t="shared" si="26"/>
        <v/>
      </c>
      <c r="Y63" s="28" t="str">
        <f>IF(Compositions!C128="","",(Compositions!C128/(VLOOKUP(Compositions!A128,'HHV-LHV-MW'!$A$3:$F$40,6,FALSE))))</f>
        <v/>
      </c>
      <c r="Z63" s="26" t="str">
        <f>IF(W63="","",((VLOOKUP(Compositions!A128,'HHV-LHV-MW'!$A$3:$F$40,4,FALSE))*(W63/100)))</f>
        <v/>
      </c>
      <c r="AA63" s="26" t="str">
        <f>IF(W63="","",((VLOOKUP(Compositions!A128,'HHV-LHV-MW'!$A$3:$F$40,5,FALSE))*(W63/100)))</f>
        <v/>
      </c>
      <c r="AB63" s="26" t="str">
        <f>IF(W63="","",((VLOOKUP(Compositions!A128,'HHV-LHV-MW'!$A$3:$F$40,6,FALSE))*(W63/100)))</f>
        <v/>
      </c>
      <c r="AC63" s="26" t="str">
        <f>IF(Compositions!C128="","",(Compositions!C128*(VLOOKUP(Compositions!A128,'HHV-LHV-MW'!$A$3:$F$40,6,FALSE))))</f>
        <v/>
      </c>
      <c r="AD63" s="296" t="str">
        <f>IF(Compositions!C128="","",IF(OR(Compositions!$C$118="wt%",Compositions!$C$118=""),Compositions!C128,(IF(AC63="","",((AC63/$AC$78)*100)))))</f>
        <v/>
      </c>
      <c r="AE63" s="39" t="str">
        <f>IF(AD63="","",(IF(OR(Compositions!A128="Hydrogen",Compositions!A128="Helium",Compositions!A128="Water",Compositions!A128="Carbon Monoxide",Compositions!A128="Nitrogen",Compositions!A128="Oxygen",Compositions!A128="Hydrogen Sulfide",Compositions!A128="Argon",Compositions!A128="Carbon Dioxide",Compositions!A128="Carbon Disulfide"),0,AD63)))</f>
        <v/>
      </c>
      <c r="AF63" s="186" t="str">
        <f>IF(Compositions!C128="","",((W63/100)*((VLOOKUP(Compositions!A128,'HHV-LHV-MW'!$A$3:$G$40,7,FALSE)))))</f>
        <v/>
      </c>
      <c r="AG63" s="186" t="str">
        <f>IF(W63="","",(IF(OR(Compositions!A128="Hydrogen",Compositions!A128="Carbon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Dioxide",Compositions!A128="Methane",Compositions!A128="Ethane"),0,(W63/100))))</f>
        <v/>
      </c>
      <c r="AH63" s="39" t="str">
        <f>IF(W63="","", (IF(OR($AG$78=0,$AG$78=""),0,   ((VLOOKUP(Compositions!A128,'HHV-LHV-MW'!$A$3:$F$40,6,FALSE))*(AG63/$AG$78)))))</f>
        <v/>
      </c>
      <c r="AI63" s="27" t="str">
        <f>IF(Compositions!D128="","",IF(Compositions!$D$118="mol%",Compositions!D128,AJ63))</f>
        <v/>
      </c>
      <c r="AJ63" s="27" t="str">
        <f t="shared" si="27"/>
        <v/>
      </c>
      <c r="AK63" s="27" t="str">
        <f>IF(Compositions!D128="","",(Compositions!D128/(VLOOKUP(Compositions!A128,'HHV-LHV-MW'!$A$3:$F$40,6,FALSE))))</f>
        <v/>
      </c>
      <c r="AL63" s="25" t="str">
        <f>IF(AI63="","",((VLOOKUP(Compositions!A128,'HHV-LHV-MW'!$A$3:$F$40,4,FALSE))*(AI63/100)))</f>
        <v/>
      </c>
      <c r="AM63" s="25" t="str">
        <f>IF(AI63="","",((VLOOKUP(Compositions!A128,'HHV-LHV-MW'!$A$3:$F$40,5,FALSE))*(AI63/100)))</f>
        <v/>
      </c>
      <c r="AN63" s="25" t="str">
        <f>IF(AI63="","",((VLOOKUP(Compositions!A128,'HHV-LHV-MW'!$A$3:$F$40,6,FALSE))*(AI63/100)))</f>
        <v/>
      </c>
      <c r="AO63" s="25" t="str">
        <f>IF(Compositions!D128="","",(Compositions!D128*(VLOOKUP(Compositions!A128,'HHV-LHV-MW'!$A$3:$F$40,6,FALSE))))</f>
        <v/>
      </c>
      <c r="AP63" s="295" t="str">
        <f>IF(Compositions!D128="","",IF(OR(Compositions!$D$118="wt%",Compositions!$D$118=""),Compositions!D128,(IF(AO63="","",((AO63/$AO$78)*100)))))</f>
        <v/>
      </c>
      <c r="AQ63" s="185" t="str">
        <f>IF(AP63="","",(IF(OR(Compositions!A128="Hydrogen",Compositions!A128="Helium",Compositions!A128="Water",Compositions!A128="Carbon Monoxide",Compositions!A128="Nitrogen",Compositions!A128="Oxygen",Compositions!A128="Hydrogen Sulfide",Compositions!A128="Argon",Compositions!A128="Carbon Dioxide",Compositions!A128="Carbon Disulfide"),0,AP63)))</f>
        <v/>
      </c>
      <c r="AR63" s="187" t="str">
        <f>IF(Compositions!D128="","",((AI63/100)*((VLOOKUP(Compositions!A128,'HHV-LHV-MW'!$A$3:$G$40,7,FALSE)))))</f>
        <v/>
      </c>
      <c r="AS63" s="187" t="str">
        <f>IF(AI63="","",(IF(OR(Compositions!A128="Hydrogen",Compositions!A128="Carbon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Dioxide",Compositions!A128="Methane",Compositions!A128="Ethane"),0,(AI63/100))))</f>
        <v/>
      </c>
      <c r="AT63" s="205" t="str">
        <f>IF(AI63="","",(IF(OR($AS$78=0,$AS$78=""),0,      ((VLOOKUP(Compositions!A128,'HHV-LHV-MW'!$A$3:$F$40,6,FALSE))*(AS63/$AS$78)))))</f>
        <v/>
      </c>
      <c r="AU63" s="28" t="str">
        <f>IF(Compositions!E128="","",IF(Compositions!$E$118="mol%",Compositions!E128,AV63))</f>
        <v/>
      </c>
      <c r="AV63" s="28" t="str">
        <f t="shared" si="28"/>
        <v/>
      </c>
      <c r="AW63" s="28" t="str">
        <f>IF(Compositions!E128="","",(Compositions!E128/(VLOOKUP(Compositions!A128,'HHV-LHV-MW'!$A$3:$F$40,6,FALSE))))</f>
        <v/>
      </c>
      <c r="AX63" s="26" t="str">
        <f>IF(AU63="","",((VLOOKUP(Compositions!A128,'HHV-LHV-MW'!$A$3:$F$40,4,FALSE))*(AU63/100)))</f>
        <v/>
      </c>
      <c r="AY63" s="26" t="str">
        <f>IF(AU63="","",((VLOOKUP(Compositions!A128,'HHV-LHV-MW'!$A$3:$F$40,5,FALSE))*(AU63/100)))</f>
        <v/>
      </c>
      <c r="AZ63" s="26" t="str">
        <f>IF(AU63="","",((VLOOKUP(Compositions!A128,'HHV-LHV-MW'!$A$3:$F$40,6,FALSE))*(AU63/100)))</f>
        <v/>
      </c>
      <c r="BA63" s="26" t="str">
        <f>IF(Compositions!E128="","",(Compositions!E128*(VLOOKUP(Compositions!A128,'HHV-LHV-MW'!$A$3:$F$40,6,FALSE))))</f>
        <v/>
      </c>
      <c r="BB63" s="296" t="str">
        <f>IF(Compositions!E128="","",IF(OR(Compositions!$E$118="wt%",Compositions!$E$118=""),Compositions!E128,(IF(BA63="","",((BA63/$BA$78)*100)))))</f>
        <v/>
      </c>
      <c r="BC63" s="39" t="str">
        <f>IF(BB63="","",(IF(OR(Compositions!A128="Hydrogen",Compositions!A128="Helium",Compositions!A128="Water",Compositions!A128="Carbon Monoxide",Compositions!A128="Nitrogen",Compositions!A128="Oxygen",Compositions!A128="Hydrogen Sulfide",Compositions!A128="Argon",Compositions!A128="Carbon Dioxide",Compositions!A128="Carbon Disulfide"),0,BB63)))</f>
        <v/>
      </c>
      <c r="BD63" s="186" t="str">
        <f>IF(Compositions!E128="","",((AU63/100)*((VLOOKUP(Compositions!A128,'HHV-LHV-MW'!$A$3:$G$40,7,FALSE)))))</f>
        <v/>
      </c>
      <c r="BE63" s="186" t="str">
        <f>IF(AU63="","",(IF(OR(Compositions!A128="Hydrogen",Compositions!A128="Carbon Disulfide",Compositions!A128="Helium",Compositions!A128="Water",Compositions!A128="Carbon Monoxide",Compositions!A128="Nitrogen",Compositions!A128="Oxygen",Compositions!A128="Hydrogen Sulfide",Compositions!A128="Argon",Compositions!A128="Carbon Dioxide",Compositions!A128="Methane",Compositions!A128="Ethane"),0,(AU63/100))))</f>
        <v/>
      </c>
      <c r="BF63" s="39" t="str">
        <f>IF(AU63="","",(IF(OR($BE$78=0,$BE$78=""),0,     ((VLOOKUP(Compositions!A128,'HHV-LHV-MW'!$A$3:$F$40,6,FALSE))*(BE63/$BE$78)))))</f>
        <v/>
      </c>
      <c r="BH63" s="27" t="str">
        <f>IF(Compositions!H128="","",IF(Compositions!$H$118="mol%",Compositions!H128,BI63))</f>
        <v/>
      </c>
      <c r="BI63" s="27" t="str">
        <f t="shared" si="29"/>
        <v/>
      </c>
      <c r="BJ63" s="27" t="str">
        <f>IF(Compositions!H128="","",(Compositions!H128/(VLOOKUP(Compositions!G128,'HHV-LHV-MW'!$A$3:$F$40,6,FALSE))))</f>
        <v/>
      </c>
      <c r="BK63" s="25" t="str">
        <f>IF(BH63="","",((VLOOKUP(Compositions!G128,'HHV-LHV-MW'!$A$3:$F$40,4,FALSE))*(BH63/100)))</f>
        <v/>
      </c>
      <c r="BL63" s="25" t="str">
        <f>IF(BH63="","",((VLOOKUP(Compositions!G128,'HHV-LHV-MW'!$A$3:$F$40,5,FALSE))*(BH63/100)))</f>
        <v/>
      </c>
      <c r="BM63" s="25" t="str">
        <f>IF(BH63="","",((VLOOKUP(Compositions!G128,'HHV-LHV-MW'!$A$3:$F$40,6,FALSE))*(BH63/100)))</f>
        <v/>
      </c>
      <c r="BN63" s="25" t="str">
        <f>IF(Compositions!H128="","",(Compositions!H128*(VLOOKUP(Compositions!G128,'HHV-LHV-MW'!$A$3:$F$40,6,FALSE))))</f>
        <v/>
      </c>
      <c r="BO63" s="295" t="str">
        <f>IF(Compositions!H128="","",IF(OR(Compositions!$H$118="wt%",Compositions!$H$118=""),Compositions!H128,(IF(BN63="","",((BN63/$BN$78)*100)))))</f>
        <v/>
      </c>
      <c r="BP63" s="185" t="str">
        <f>IF(BO63="","",(IF(OR(Compositions!G128="Hydrogen",Compositions!G128="Helium",Compositions!G128="Water",Compositions!G128="Carbon Monoxide",Compositions!G128="Nitrogen",Compositions!G128="Oxygen",Compositions!G128="Hydrogen Sulfide",Compositions!G128="Argon",Compositions!G128="Carbon Dioxide",Compositions!G128="Carbon Disulfide"),0,BO63)))</f>
        <v/>
      </c>
      <c r="BQ63" s="187" t="str">
        <f>IF(Compositions!H128="","",((BH63/100)*((VLOOKUP(Compositions!G128,'HHV-LHV-MW'!$A$3:$G$40,7,FALSE)))))</f>
        <v/>
      </c>
      <c r="BR63" s="187" t="str">
        <f>IF(BH63="","",(IF(OR(Compositions!G128="Hydrogen",Compositions!G128="Carbon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Dioxide",Compositions!G128="Methane",Compositions!G128="Ethane"),0,(BH63/100))))</f>
        <v/>
      </c>
      <c r="BS63" s="205" t="str">
        <f>IF(BH63="","",(IF(OR($BR$78=0,$BR$78=""),0,    ((VLOOKUP(Compositions!G128,'HHV-LHV-MW'!$A$3:$F$40,6,FALSE))*(BR63/$BR$78)))))</f>
        <v/>
      </c>
      <c r="BT63" s="28" t="str">
        <f>IF(Compositions!I128="","",IF(Compositions!$I$118="mol%",Compositions!I128,BU63))</f>
        <v/>
      </c>
      <c r="BU63" s="28" t="str">
        <f t="shared" si="30"/>
        <v/>
      </c>
      <c r="BV63" s="28" t="str">
        <f>IF(Compositions!I128="","",(Compositions!I128/(VLOOKUP(Compositions!G128,'HHV-LHV-MW'!$A$3:$F$40,6,FALSE))))</f>
        <v/>
      </c>
      <c r="BW63" s="26" t="str">
        <f>IF(BT63="","",((VLOOKUP(Compositions!G128,'HHV-LHV-MW'!$A$3:$F$40,4,FALSE))*(BT63/100)))</f>
        <v/>
      </c>
      <c r="BX63" s="26" t="str">
        <f>IF(BT63="","",((VLOOKUP(Compositions!G128,'HHV-LHV-MW'!$A$3:$F$40,5,FALSE))*(BT63/100)))</f>
        <v/>
      </c>
      <c r="BY63" s="26" t="str">
        <f>IF(BT63="","",((VLOOKUP(Compositions!G128,'HHV-LHV-MW'!$A$3:$F$40,6,FALSE))*(BT63/100)))</f>
        <v/>
      </c>
      <c r="BZ63" s="26" t="str">
        <f>IF(Compositions!I128="","",(Compositions!I128*(VLOOKUP(Compositions!G128,'HHV-LHV-MW'!$A$3:$F$40,6,FALSE))))</f>
        <v/>
      </c>
      <c r="CA63" s="296" t="str">
        <f>IF(Compositions!I128="","",IF(OR(Compositions!$I$118="wt%",Compositions!$I$118=""),Compositions!I128,(IF(BZ63="","",((BZ63/$BZ$78)*100)))))</f>
        <v/>
      </c>
      <c r="CB63" s="39" t="str">
        <f>IF(CA63="","",(IF(OR(Compositions!G128="Hydrogen",Compositions!G128="Helium",Compositions!G128="Water",Compositions!G128="Carbon Monoxide",Compositions!G128="Nitrogen",Compositions!G128="Oxygen",Compositions!G128="Hydrogen Sulfide",Compositions!G128="Argon",Compositions!G128="Carbon Dioxide",Compositions!G128="Carbon Disulfide"),0,CA63)))</f>
        <v/>
      </c>
      <c r="CC63" s="186" t="str">
        <f>IF(Compositions!I128="","",((BT63/100)*((VLOOKUP(Compositions!G128,'HHV-LHV-MW'!$A$3:$G$40,7,FALSE)))))</f>
        <v/>
      </c>
      <c r="CD63" s="186" t="str">
        <f>IF(BT63="","",(IF(OR(Compositions!G128="Hydrogen",Compositions!G128="Carbon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Dioxide",Compositions!G128="Methane",Compositions!G128="Ethane"),0,(BT63/100))))</f>
        <v/>
      </c>
      <c r="CE63" s="39" t="str">
        <f>IF(BT63="","",(IF(OR($CD$78=0,$CD$78=""),0,       ((VLOOKUP(Compositions!G128,'HHV-LHV-MW'!$A$3:$F$40,6,FALSE))*(CD63/$CD$78)))))</f>
        <v/>
      </c>
      <c r="CF63" s="27" t="str">
        <f>IF(Compositions!J128="","",IF(Compositions!$J$118="mol%",Compositions!J128,CG63))</f>
        <v/>
      </c>
      <c r="CG63" s="27" t="str">
        <f t="shared" si="31"/>
        <v/>
      </c>
      <c r="CH63" s="27" t="str">
        <f>IF(Compositions!J128="","",(Compositions!J128/(VLOOKUP(Compositions!G128,'HHV-LHV-MW'!$A$3:$F$40,6,FALSE))))</f>
        <v/>
      </c>
      <c r="CI63" s="25" t="str">
        <f>IF(CF63="","",((VLOOKUP(Compositions!G128,'HHV-LHV-MW'!$A$3:$F$40,4,FALSE))*(CF63/100)))</f>
        <v/>
      </c>
      <c r="CJ63" s="25" t="str">
        <f>IF(CF63="","",((VLOOKUP(Compositions!G128,'HHV-LHV-MW'!$A$3:$F$40,5,FALSE))*(CF63/100)))</f>
        <v/>
      </c>
      <c r="CK63" s="25" t="str">
        <f>IF(CF63="","",((VLOOKUP(Compositions!G128,'HHV-LHV-MW'!$A$3:$F$40,6,FALSE))*(CF63/100)))</f>
        <v/>
      </c>
      <c r="CL63" s="25" t="str">
        <f>IF(Compositions!J128="","",(Compositions!J128*(VLOOKUP(Compositions!G128,'HHV-LHV-MW'!$A$3:$F$40,6,FALSE))))</f>
        <v/>
      </c>
      <c r="CM63" s="295" t="str">
        <f>IF(Compositions!J128="","",IF(OR(Compositions!$J$118="wt%",Compositions!$J$118=""),Compositions!J128,(IF(CL63="","",((CL63/$CL$78)*100)))))</f>
        <v/>
      </c>
      <c r="CN63" s="185" t="str">
        <f>IF(CM63="","",(IF(OR(Compositions!G128="Hydrogen",Compositions!G128="Helium",Compositions!G128="Water",Compositions!G128="Carbon Monoxide",Compositions!G128="Nitrogen",Compositions!G128="Oxygen",Compositions!G128="Hydrogen Sulfide",Compositions!G128="Argon",Compositions!G128="Carbon Dioxide",Compositions!G128="Carbon Disulfide"),0,CM63)))</f>
        <v/>
      </c>
      <c r="CO63" s="187" t="str">
        <f>IF(Compositions!J128="","",((CF63/100)*((VLOOKUP(Compositions!G128,'HHV-LHV-MW'!$A$3:$G$40,7,FALSE)))))</f>
        <v/>
      </c>
      <c r="CP63" s="187" t="str">
        <f>IF(CF63="","",(IF(OR(Compositions!G128="Hydrogen",Compositions!G128="Carbon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Dioxide",Compositions!G128="Methane",Compositions!G128="Ethane"),0,(CF63/100))))</f>
        <v/>
      </c>
      <c r="CQ63" s="205" t="str">
        <f>IF(CF63="","",(IF(OR($CP$78=0,$CP$78=""),0,       ((VLOOKUP(Compositions!G128,'HHV-LHV-MW'!$A$3:$F$40,6,FALSE))*(CP63/$CP$78)))))</f>
        <v/>
      </c>
      <c r="CR63" s="28" t="str">
        <f>IF(Compositions!K128="","",IF(Compositions!$K$118="mol%",Compositions!K128,CS63))</f>
        <v/>
      </c>
      <c r="CS63" s="28" t="str">
        <f t="shared" si="32"/>
        <v/>
      </c>
      <c r="CT63" s="28" t="str">
        <f>IF(Compositions!K128="","",(Compositions!K128/(VLOOKUP(Compositions!G128,'HHV-LHV-MW'!$A$3:$F$40,6,FALSE))))</f>
        <v/>
      </c>
      <c r="CU63" s="26" t="str">
        <f>IF(CR63="","",((VLOOKUP(Compositions!G128,'HHV-LHV-MW'!$A$3:$F$40,4,FALSE))*(CR63/100)))</f>
        <v/>
      </c>
      <c r="CV63" s="26" t="str">
        <f>IF(CR63="","",((VLOOKUP(Compositions!G128,'HHV-LHV-MW'!$A$3:$F$40,5,FALSE))*(CR63/100)))</f>
        <v/>
      </c>
      <c r="CW63" s="26" t="str">
        <f>IF(CR63="","",((VLOOKUP(Compositions!G128,'HHV-LHV-MW'!$A$3:$F$40,6,FALSE))*(CR63/100)))</f>
        <v/>
      </c>
      <c r="CX63" s="26" t="str">
        <f>IF(Compositions!K128="","",(Compositions!K128*(VLOOKUP(Compositions!G128,'HHV-LHV-MW'!$A$3:$F$40,6,FALSE))))</f>
        <v/>
      </c>
      <c r="CY63" s="296" t="str">
        <f>IF(Compositions!K128="","",IF(OR(Compositions!$K$118="wt%",Compositions!$K$118=""),Compositions!K128,(IF(CX63="","",((CX63/$CX$78)*100)))))</f>
        <v/>
      </c>
      <c r="CZ63" s="39" t="str">
        <f>IF(CY63="","",(IF(OR(Compositions!G128="Hydrogen",Compositions!G128="Helium",Compositions!G128="Water",Compositions!G128="Carbon Monoxide",Compositions!G128="Nitrogen",Compositions!G128="Oxygen",Compositions!G128="Hydrogen Sulfide",Compositions!G128="Argon",Compositions!G128="Carbon Dioxide",Compositions!G128="Carbon Disulfide"),0,CY63)))</f>
        <v/>
      </c>
      <c r="DA63" s="186" t="str">
        <f>IF(Compositions!K128="","",((CR63/100)*((VLOOKUP(Compositions!G128,'HHV-LHV-MW'!$A$3:$G$40,7,FALSE)))))</f>
        <v/>
      </c>
      <c r="DB63" s="186" t="str">
        <f>IF(CR63="","",(IF(OR(Compositions!G128="Hydrogen",Compositions!G128="Carbon Disulfide",Compositions!G128="Helium",Compositions!G128="Water",Compositions!G128="Carbon Monoxide",Compositions!G128="Nitrogen",Compositions!G128="Oxygen",Compositions!G128="Hydrogen Sulfide",Compositions!G128="Argon",Compositions!G128="Carbon Dioxide",Compositions!G128="Methane",Compositions!G128="Ethane"),0,(CR63/100))))</f>
        <v/>
      </c>
      <c r="DC63" s="39" t="str">
        <f>IF(CR63="","",(IF(OR($DB$78=0,$DB$78=""),0,       ((VLOOKUP(Compositions!G128,'HHV-LHV-MW'!$A$3:$F$40,6,FALSE))*(DB63/$DB$78)))))</f>
        <v/>
      </c>
      <c r="DE63" s="27" t="str">
        <f>IF(Compositions!N128="","",IF(Compositions!$N$118="mol%",Compositions!N128,DF63))</f>
        <v/>
      </c>
      <c r="DF63" s="27" t="str">
        <f t="shared" si="33"/>
        <v/>
      </c>
      <c r="DG63" s="27" t="str">
        <f>IF(Compositions!N128="","",(Compositions!N128/(VLOOKUP(Compositions!M128,'HHV-LHV-MW'!$A$3:$F$40,6,FALSE))))</f>
        <v/>
      </c>
      <c r="DH63" s="25" t="str">
        <f>IF(DE63="","",((VLOOKUP(Compositions!M128,'HHV-LHV-MW'!$A$3:$F$40,4,FALSE))*(DE63/100)))</f>
        <v/>
      </c>
      <c r="DI63" s="25" t="str">
        <f>IF(DE63="","",((VLOOKUP(Compositions!M128,'HHV-LHV-MW'!$A$3:$F$40,5,FALSE))*(DE63/100)))</f>
        <v/>
      </c>
      <c r="DJ63" s="25" t="str">
        <f>IF(DE63="","",((VLOOKUP(Compositions!M128,'HHV-LHV-MW'!$A$3:$F$40,6,FALSE))*(DE63/100)))</f>
        <v/>
      </c>
      <c r="DK63" s="25" t="str">
        <f>IF(Compositions!N128="","",(Compositions!N128*(VLOOKUP(Compositions!M128,'HHV-LHV-MW'!$A$3:$F$40,6,FALSE))))</f>
        <v/>
      </c>
      <c r="DL63" s="295" t="str">
        <f>IF(Compositions!N128="","",IF(OR(Compositions!$N$118="wt%",Compositions!$N$118=""),Compositions!N128,(IF(DK63="","",((DK63/$DK$78)*100)))))</f>
        <v/>
      </c>
      <c r="DM63" s="185" t="str">
        <f>IF(DL63="","",(IF(OR(Compositions!M128="Hydrogen",Compositions!M128="Helium",Compositions!M128="Water",Compositions!M128="Carbon Monoxide",Compositions!M128="Nitrogen",Compositions!M128="Oxygen",Compositions!M128="Hydrogen Sulfide",Compositions!M128="Argon",Compositions!M128="Carbon Dioxide",Compositions!M128="Carbon Disulfide"),0,DL63)))</f>
        <v/>
      </c>
      <c r="DN63" s="187" t="str">
        <f>IF(Compositions!N128="","",((DE63/100)*((VLOOKUP(Compositions!M128,'HHV-LHV-MW'!$A$3:$G$40,7,FALSE)))))</f>
        <v/>
      </c>
      <c r="DO63" s="187" t="str">
        <f>IF(DE63="","",(IF(OR(Compositions!M128="Hydrogen",Compositions!M128="Carbon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Dioxide",Compositions!M128="Methane",Compositions!M128="Ethane"),0,(DE63/100))))</f>
        <v/>
      </c>
      <c r="DP63" s="205" t="str">
        <f>IF(DE63="","",(IF(OR($DO$78=0,$DO$78=""),0,       ((VLOOKUP(Compositions!M128,'HHV-LHV-MW'!$A$3:$F$40,6,FALSE))*(DO63/$DO$78)))))</f>
        <v/>
      </c>
      <c r="DQ63" s="28" t="str">
        <f>IF(Compositions!O128="","",IF(Compositions!$O$118="mol%",Compositions!O128,DR63))</f>
        <v/>
      </c>
      <c r="DR63" s="28" t="str">
        <f t="shared" si="34"/>
        <v/>
      </c>
      <c r="DS63" s="28" t="str">
        <f>IF(Compositions!O128="","",(Compositions!O128/(VLOOKUP(Compositions!M128,'HHV-LHV-MW'!$A$3:$F$40,6,FALSE))))</f>
        <v/>
      </c>
      <c r="DT63" s="26" t="str">
        <f>IF(DQ63="","",((VLOOKUP(Compositions!M128,'HHV-LHV-MW'!$A$3:$F$40,4,FALSE))*(DQ63/100)))</f>
        <v/>
      </c>
      <c r="DU63" s="26" t="str">
        <f>IF(DQ63="","",((VLOOKUP(Compositions!M128,'HHV-LHV-MW'!$A$3:$F$40,5,FALSE))*(DQ63/100)))</f>
        <v/>
      </c>
      <c r="DV63" s="26" t="str">
        <f>IF(DQ63="","",((VLOOKUP(Compositions!M128,'HHV-LHV-MW'!$A$3:$F$40,6,FALSE))*(DQ63/100)))</f>
        <v/>
      </c>
      <c r="DW63" s="26" t="str">
        <f>IF(Compositions!O128="","",(Compositions!O128*(VLOOKUP(Compositions!M128,'HHV-LHV-MW'!$A$3:$F$40,6,FALSE))))</f>
        <v/>
      </c>
      <c r="DX63" s="296" t="str">
        <f>IF(Compositions!O128="","",IF(OR(Compositions!$O$118="wt%",Compositions!$O$118=""),Compositions!O128,(IF(DW63="","",((DW63/$DW$78)*100)))))</f>
        <v/>
      </c>
      <c r="DY63" s="39" t="str">
        <f>IF(DX63="","",(IF(OR(Compositions!M128="Hydrogen",Compositions!M128="Helium",Compositions!M128="Water",Compositions!M128="Carbon Monoxide",Compositions!M128="Nitrogen",Compositions!M128="Oxygen",Compositions!M128="Hydrogen Sulfide",Compositions!M128="Argon",Compositions!M128="Carbon Dioxide",Compositions!M128="Carbon Disulfide"),0,DX63)))</f>
        <v/>
      </c>
      <c r="DZ63" s="186" t="str">
        <f>IF(Compositions!O128="","",((DQ63/100)*((VLOOKUP(Compositions!M128,'HHV-LHV-MW'!$A$3:$G$40,7,FALSE)))))</f>
        <v/>
      </c>
      <c r="EA63" s="186" t="str">
        <f>IF(DQ63="","",(IF(OR(Compositions!M128="Hydrogen",Compositions!M128="Carbon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Dioxide",Compositions!M128="Methane",Compositions!M128="Ethane"),0,(DQ63/100))))</f>
        <v/>
      </c>
      <c r="EB63" s="39" t="str">
        <f>IF(DQ63="","",(IF(OR($EA$78=0,$EA$78=""),0,       ((VLOOKUP(Compositions!M128,'HHV-LHV-MW'!$A$3:$F$40,6,FALSE))*(EA63/$EA$78)))))</f>
        <v/>
      </c>
      <c r="EC63" s="27" t="str">
        <f>IF(Compositions!P128="","",IF(Compositions!$P$118="mol%",Compositions!P128,ED63))</f>
        <v/>
      </c>
      <c r="ED63" s="27" t="str">
        <f t="shared" si="35"/>
        <v/>
      </c>
      <c r="EE63" s="27" t="str">
        <f>IF(Compositions!P128="","",(Compositions!P128/(VLOOKUP(Compositions!M128,'HHV-LHV-MW'!$A$3:$F$40,6,FALSE))))</f>
        <v/>
      </c>
      <c r="EF63" s="25" t="str">
        <f>IF(EC63="","",((VLOOKUP(Compositions!M128,'HHV-LHV-MW'!$A$3:$F$40,4,FALSE))*(EC63/100)))</f>
        <v/>
      </c>
      <c r="EG63" s="25" t="str">
        <f>IF(EC63="","",((VLOOKUP(Compositions!M128,'HHV-LHV-MW'!$A$3:$F$40,5,FALSE))*(EC63/100)))</f>
        <v/>
      </c>
      <c r="EH63" s="25" t="str">
        <f>IF(EC63="","",((VLOOKUP(Compositions!M128,'HHV-LHV-MW'!$A$3:$F$40,6,FALSE))*(EC63/100)))</f>
        <v/>
      </c>
      <c r="EI63" s="25" t="str">
        <f>IF(Compositions!P128="","",(Compositions!P128*(VLOOKUP(Compositions!M128,'HHV-LHV-MW'!$A$3:$F$40,6,FALSE))))</f>
        <v/>
      </c>
      <c r="EJ63" s="295" t="str">
        <f>IF(Compositions!P128="","",IF(OR(Compositions!$P$118="wt%",Compositions!$P$118=""),Compositions!P128,(IF(EI63="","",((EI63/$EI$78)*100)))))</f>
        <v/>
      </c>
      <c r="EK63" s="185" t="str">
        <f>IF(EJ63="","",(IF(OR(Compositions!M128="Hydrogen",Compositions!M128="Helium",Compositions!M128="Water",Compositions!M128="Carbon Monoxide",Compositions!M128="Nitrogen",Compositions!M128="Oxygen",Compositions!M128="Hydrogen Sulfide",Compositions!M128="Argon",Compositions!M128="Carbon Dioxide",Compositions!M128="Carbon Disulfide"),0,EJ63)))</f>
        <v/>
      </c>
      <c r="EL63" s="187" t="str">
        <f>IF(Compositions!P128="","",((EC63/100)*((VLOOKUP(Compositions!M128,'HHV-LHV-MW'!$A$3:$G$40,7,FALSE)))))</f>
        <v/>
      </c>
      <c r="EM63" s="187" t="str">
        <f>IF(EC63="","",(IF(OR(Compositions!M128="Hydrogen",Compositions!M128="Carbon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Dioxide",Compositions!M128="Methane",Compositions!M128="Ethane"),0,(EC63/100))))</f>
        <v/>
      </c>
      <c r="EN63" s="205" t="str">
        <f>IF(EC63="","",(IF(OR($EM$78=0,$EM$78=""),0,       ((VLOOKUP(Compositions!M128,'HHV-LHV-MW'!$A$3:$F$40,6,FALSE))*(EM63/$EM$78)))))</f>
        <v/>
      </c>
      <c r="EO63" s="28" t="str">
        <f>IF(Compositions!Q128="","",IF(Compositions!$Q$118="mol%",Compositions!Q128,EP63))</f>
        <v/>
      </c>
      <c r="EP63" s="28" t="str">
        <f t="shared" si="36"/>
        <v/>
      </c>
      <c r="EQ63" s="28" t="str">
        <f>IF(Compositions!Q128="","",(Compositions!Q128/(VLOOKUP(Compositions!M128,'HHV-LHV-MW'!$A$3:$F$40,6,FALSE))))</f>
        <v/>
      </c>
      <c r="ER63" s="26" t="str">
        <f>IF(EO63="","",((VLOOKUP(Compositions!M128,'HHV-LHV-MW'!$A$3:$F$40,4,FALSE))*(EO63/100)))</f>
        <v/>
      </c>
      <c r="ES63" s="26" t="str">
        <f>IF(EO63="","",((VLOOKUP(Compositions!M128,'HHV-LHV-MW'!$A$3:$F$40,5,FALSE))*(EO63/100)))</f>
        <v/>
      </c>
      <c r="ET63" s="26" t="str">
        <f>IF(EO63="","",((VLOOKUP(Compositions!M128,'HHV-LHV-MW'!$A$3:$F$40,6,FALSE))*(EO63/100)))</f>
        <v/>
      </c>
      <c r="EU63" s="26" t="str">
        <f>IF(Compositions!Q128="","",(Compositions!Q128*(VLOOKUP(Compositions!M128,'HHV-LHV-MW'!$A$3:$F$40,6,FALSE))))</f>
        <v/>
      </c>
      <c r="EV63" s="296" t="str">
        <f>IF(Compositions!Q128="","",IF(OR(Compositions!$Q$118="wt%",Compositions!$Q$118=""),Compositions!Q128,(IF(EU63="","",((EU63/$EU$78)*100)))))</f>
        <v/>
      </c>
      <c r="EW63" s="39" t="str">
        <f>IF(EV63="","",(IF(OR(Compositions!M128="Hydrogen",Compositions!M128="Helium",Compositions!M128="Water",Compositions!M128="Carbon Monoxide",Compositions!M128="Nitrogen",Compositions!M128="Oxygen",Compositions!M128="Hydrogen Sulfide",Compositions!M128="Argon",Compositions!M128="Carbon Dioxide",Compositions!M128="Carbon Disulfide"),0,EV63)))</f>
        <v/>
      </c>
      <c r="EX63" s="186" t="str">
        <f>IF(Compositions!Q128="","",((EO63/100)*((VLOOKUP(Compositions!M128,'HHV-LHV-MW'!$A$3:$G$40,7,FALSE)))))</f>
        <v/>
      </c>
      <c r="EY63" s="186" t="str">
        <f>IF(EO63="","",(IF(OR(Compositions!M128="Hydrogen",Compositions!M128="Carbon Disulfide",Compositions!M128="Helium",Compositions!M128="Water",Compositions!M128="Carbon Monoxide",Compositions!M128="Nitrogen",Compositions!M128="Oxygen",Compositions!M128="Hydrogen Sulfide",Compositions!M128="Argon",Compositions!M128="Carbon Dioxide",Compositions!M128="Methane",Compositions!M128="Ethane"),0,(EO63/100))))</f>
        <v/>
      </c>
      <c r="EZ63" s="39" t="str">
        <f>IF(EO63="","",(IF(OR($EY$78=0,$EY$78=""),0,       ((VLOOKUP(Compositions!M128,'HHV-LHV-MW'!$A$3:$F$40,6,FALSE))*(EY63/$EY$78)))))</f>
        <v/>
      </c>
      <c r="FB63" s="27" t="str">
        <f>IF(Compositions!T128="","",IF(Compositions!$T$118="mol%",Compositions!T128,FC63))</f>
        <v/>
      </c>
      <c r="FC63" s="27" t="str">
        <f t="shared" si="37"/>
        <v/>
      </c>
      <c r="FD63" s="27" t="str">
        <f>IF(Compositions!T128="","",(Compositions!T128/(VLOOKUP(Compositions!S128,'HHV-LHV-MW'!$A$3:$F$40,6,FALSE))))</f>
        <v/>
      </c>
      <c r="FE63" s="25" t="str">
        <f>IF(FB63="","",((VLOOKUP(Compositions!S128,'HHV-LHV-MW'!$A$3:$F$40,4,FALSE))*(FB63/100)))</f>
        <v/>
      </c>
      <c r="FF63" s="25" t="str">
        <f>IF(FB63="","",((VLOOKUP(Compositions!S128,'HHV-LHV-MW'!$A$3:$F$40,5,FALSE))*(FB63/100)))</f>
        <v/>
      </c>
      <c r="FG63" s="25" t="str">
        <f>IF(FB63="","",((VLOOKUP(Compositions!S128,'HHV-LHV-MW'!$A$3:$F$40,6,FALSE))*(FB63/100)))</f>
        <v/>
      </c>
      <c r="FH63" s="25" t="str">
        <f>IF(Compositions!T128="","",(Compositions!T128*(VLOOKUP(Compositions!S128,'HHV-LHV-MW'!$A$3:$F$40,6,FALSE))))</f>
        <v/>
      </c>
      <c r="FI63" s="295" t="str">
        <f>IF(Compositions!T128="","",IF(OR(Compositions!$T$118="wt%",Compositions!$T$118=""),Compositions!T128,(IF(FH63="","",((FH63/$FH$78)*100)))))</f>
        <v/>
      </c>
      <c r="FJ63" s="185" t="str">
        <f>IF(FI63="","",(IF(OR(Compositions!S128="Hydrogen",Compositions!S128="Helium",Compositions!S128="Water",Compositions!S128="Carbon Monoxide",Compositions!S128="Nitrogen",Compositions!S128="Oxygen",Compositions!S128="Hydrogen Sulfide",Compositions!S128="Argon",Compositions!S128="Carbon Dioxide",Compositions!S128="Carbon Disulfide"),0,FI63)))</f>
        <v/>
      </c>
      <c r="FK63" s="187" t="str">
        <f>IF(Compositions!T128="","",((FB63/100)*((VLOOKUP(Compositions!S128,'HHV-LHV-MW'!$A$3:$G$40,7,FALSE)))))</f>
        <v/>
      </c>
      <c r="FL63" s="187" t="str">
        <f>IF(FB63="","",(IF(OR(Compositions!S128="Hydrogen",Compositions!S128="Carbon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Dioxide",Compositions!S128="Methane",Compositions!S128="Ethane"),0,(FB63/100))))</f>
        <v/>
      </c>
      <c r="FM63" s="205" t="str">
        <f>IF(FB63="","",(IF(OR($FL$78=0,$FL$78=""),0,       ((VLOOKUP(Compositions!S128,'HHV-LHV-MW'!$A$3:$F$40,6,FALSE))*(FL63/$FL$78)))))</f>
        <v/>
      </c>
      <c r="FN63" s="28" t="str">
        <f>IF(Compositions!U128="","",IF(Compositions!$U$118="mol%",Compositions!U128,FO63))</f>
        <v/>
      </c>
      <c r="FO63" s="28" t="str">
        <f t="shared" si="38"/>
        <v/>
      </c>
      <c r="FP63" s="28" t="str">
        <f>IF(Compositions!U128="","",(Compositions!U128/(VLOOKUP(Compositions!S128,'HHV-LHV-MW'!$A$3:$F$40,6,FALSE))))</f>
        <v/>
      </c>
      <c r="FQ63" s="26" t="str">
        <f>IF(FN63="","",((VLOOKUP(Compositions!S128,'HHV-LHV-MW'!$A$3:$F$40,4,FALSE))*(FN63/100)))</f>
        <v/>
      </c>
      <c r="FR63" s="26" t="str">
        <f>IF(FN63="","",((VLOOKUP(Compositions!S128,'HHV-LHV-MW'!$A$3:$F$40,5,FALSE))*(FN63/100)))</f>
        <v/>
      </c>
      <c r="FS63" s="26" t="str">
        <f>IF(FN63="","",((VLOOKUP(Compositions!S128,'HHV-LHV-MW'!$A$3:$F$40,6,FALSE))*(FN63/100)))</f>
        <v/>
      </c>
      <c r="FT63" s="26" t="str">
        <f>IF(Compositions!U128="","",(Compositions!U128*(VLOOKUP(Compositions!S128,'HHV-LHV-MW'!$A$3:$F$40,6,FALSE))))</f>
        <v/>
      </c>
      <c r="FU63" s="296" t="str">
        <f>IF(Compositions!U128="","",IF(OR(Compositions!$U$118="wt%",Compositions!$U$118=""),Compositions!U128,(IF(FT63="","",((FT63/$FT$78)*100)))))</f>
        <v/>
      </c>
      <c r="FV63" s="39" t="str">
        <f>IF(FU63="","",(IF(OR(Compositions!S128="Hydrogen",Compositions!S128="Helium",Compositions!S128="Water",Compositions!S128="Carbon Monoxide",Compositions!S128="Nitrogen",Compositions!S128="Oxygen",Compositions!S128="Hydrogen Sulfide",Compositions!S128="Argon",Compositions!S128="Carbon Dioxide",Compositions!S128="Carbon Disulfide"),0,FU63)))</f>
        <v/>
      </c>
      <c r="FW63" s="186" t="str">
        <f>IF(Compositions!U128="","",((FN63/100)*((VLOOKUP(Compositions!S128,'HHV-LHV-MW'!$A$3:$G$40,7,FALSE)))))</f>
        <v/>
      </c>
      <c r="FX63" s="186" t="str">
        <f>IF(FN63="","",(IF(OR(Compositions!S128="Hydrogen",Compositions!S128="Carbon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Dioxide",Compositions!S128="Methane",Compositions!S128="Ethane"),0,(FN63/100))))</f>
        <v/>
      </c>
      <c r="FY63" s="39" t="str">
        <f>IF(FN63="","",(IF(OR($FX$78=0,$FX$78=""),0,       ((VLOOKUP(Compositions!S128,'HHV-LHV-MW'!$A$3:$F$40,6,FALSE))*(FX63/$FX$78)))))</f>
        <v/>
      </c>
      <c r="FZ63" s="27" t="str">
        <f>IF(Compositions!V128="","",IF(Compositions!$V$118="mol%",Compositions!V128,GA63))</f>
        <v/>
      </c>
      <c r="GA63" s="27" t="str">
        <f t="shared" si="39"/>
        <v/>
      </c>
      <c r="GB63" s="27" t="str">
        <f>IF(Compositions!V128="","",(Compositions!V128/(VLOOKUP(Compositions!S128,'HHV-LHV-MW'!$A$3:$F$40,6,FALSE))))</f>
        <v/>
      </c>
      <c r="GC63" s="25" t="str">
        <f>IF(FZ63="","",((VLOOKUP(Compositions!S128,'HHV-LHV-MW'!$A$3:$F$40,4,FALSE))*(FZ63/100)))</f>
        <v/>
      </c>
      <c r="GD63" s="25" t="str">
        <f>IF(FZ63="","",((VLOOKUP(Compositions!S128,'HHV-LHV-MW'!$A$3:$F$40,5,FALSE))*(FZ63/100)))</f>
        <v/>
      </c>
      <c r="GE63" s="25" t="str">
        <f>IF(FZ63="","",((VLOOKUP(Compositions!S128,'HHV-LHV-MW'!$A$3:$F$40,6,FALSE))*(FZ63/100)))</f>
        <v/>
      </c>
      <c r="GF63" s="25" t="str">
        <f>IF(Compositions!V128="","",(Compositions!V128*(VLOOKUP(Compositions!S128,'HHV-LHV-MW'!$A$3:$F$40,6,FALSE))))</f>
        <v/>
      </c>
      <c r="GG63" s="295" t="str">
        <f>IF(Compositions!V128="","",IF(OR(Compositions!$V$118="wt%",Compositions!$V$118=""),Compositions!V128,(IF(GF63="","",((GF63/$GF$78)*100)))))</f>
        <v/>
      </c>
      <c r="GH63" s="185" t="str">
        <f>IF(GG63="","",(IF(OR(Compositions!S128="Hydrogen",Compositions!S128="Helium",Compositions!S128="Water",Compositions!S128="Carbon Monoxide",Compositions!S128="Nitrogen",Compositions!S128="Oxygen",Compositions!S128="Hydrogen Sulfide",Compositions!S128="Argon",Compositions!S128="Carbon Dioxide",Compositions!S128="Carbon Disulfide"),0,GG63)))</f>
        <v/>
      </c>
      <c r="GI63" s="187" t="str">
        <f>IF(Compositions!V128="","",((FZ63/100)*((VLOOKUP(Compositions!S128,'HHV-LHV-MW'!$A$3:$G$40,7,FALSE)))))</f>
        <v/>
      </c>
      <c r="GJ63" s="187" t="str">
        <f>IF(FZ63="","",(IF(OR(Compositions!S128="Hydrogen",Compositions!S128="Carbon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Dioxide",Compositions!S128="Methane",Compositions!S128="Ethane"),0,(FZ63/100))))</f>
        <v/>
      </c>
      <c r="GK63" s="205" t="str">
        <f>IF(FZ63="","",(IF(OR($GJ$78=0,$GJ$78=""),0,       ((VLOOKUP(Compositions!S128,'HHV-LHV-MW'!$A$3:$F$40,6,FALSE))*(GJ63/$GJ$78)))))</f>
        <v/>
      </c>
      <c r="GL63" s="28" t="str">
        <f>IF(Compositions!W128="","",IF(Compositions!$W$118="mol%",Compositions!W128,GM63))</f>
        <v/>
      </c>
      <c r="GM63" s="28" t="str">
        <f t="shared" si="40"/>
        <v/>
      </c>
      <c r="GN63" s="28" t="str">
        <f>IF(Compositions!W128="","",(Compositions!W128/(VLOOKUP(Compositions!S128,'HHV-LHV-MW'!$A$3:$F$40,6,FALSE))))</f>
        <v/>
      </c>
      <c r="GO63" s="26" t="str">
        <f>IF(GL63="","",((VLOOKUP(Compositions!S128,'HHV-LHV-MW'!$A$3:$F$40,4,FALSE))*(GL63/100)))</f>
        <v/>
      </c>
      <c r="GP63" s="26" t="str">
        <f>IF(GL63="","",((VLOOKUP(Compositions!S128,'HHV-LHV-MW'!$A$3:$F$40,5,FALSE))*(GL63/100)))</f>
        <v/>
      </c>
      <c r="GQ63" s="26" t="str">
        <f>IF(GL63="","",((VLOOKUP(Compositions!S128,'HHV-LHV-MW'!$A$3:$F$40,6,FALSE))*(GL63/100)))</f>
        <v/>
      </c>
      <c r="GR63" s="26" t="str">
        <f>IF(Compositions!W128="","",(Compositions!W128*(VLOOKUP(Compositions!S128,'HHV-LHV-MW'!$A$3:$F$40,6,FALSE))))</f>
        <v/>
      </c>
      <c r="GS63" s="296" t="str">
        <f>IF(Compositions!W128="","",IF(OR(Compositions!$W$118="wt%",Compositions!$W$118=""),Compositions!W128,(IF(GR63="","",((GR63/$GR$78)*100)))))</f>
        <v/>
      </c>
      <c r="GT63" s="39" t="str">
        <f>IF(GS63="","",(IF(OR(Compositions!S128="Hydrogen",Compositions!S128="Helium",Compositions!S128="Water",Compositions!S128="Carbon Monoxide",Compositions!S128="Nitrogen",Compositions!S128="Oxygen",Compositions!S128="Hydrogen Sulfide",Compositions!S128="Argon",Compositions!S128="Carbon Dioxide",Compositions!S128="Carbon Disulfide"),0,GS63)))</f>
        <v/>
      </c>
      <c r="GU63" s="186" t="str">
        <f>IF(Compositions!W128="","",((GL63/100)*((VLOOKUP(Compositions!S128,'HHV-LHV-MW'!$A$3:$G$40,7,FALSE)))))</f>
        <v/>
      </c>
      <c r="GV63" s="186" t="str">
        <f>IF(GL63="","",(IF(OR(Compositions!S128="Hydrogen",Compositions!S128="Carbon Disulfide",Compositions!S128="Helium",Compositions!S128="Water",Compositions!S128="Carbon Monoxide",Compositions!S128="Nitrogen",Compositions!S128="Oxygen",Compositions!S128="Hydrogen Sulfide",Compositions!S128="Argon",Compositions!S128="Carbon Dioxide",Compositions!S128="Methane",Compositions!S128="Ethane"),0,(GL63/100))))</f>
        <v/>
      </c>
      <c r="GW63" s="39" t="str">
        <f>IF(GL63="","",(IF(OR($GV$78=0,$GV$78=""),0,       ((VLOOKUP(Compositions!S128,'HHV-LHV-MW'!$A$3:$F$40,6,FALSE))*(GV63/$GV$78)))))</f>
        <v/>
      </c>
      <c r="GY63" s="27" t="str">
        <f>IF(Compositions!Z128="","",IF(Compositions!$Z$118="mol%",Compositions!Z128,GZ63))</f>
        <v/>
      </c>
      <c r="GZ63" s="27" t="str">
        <f t="shared" si="41"/>
        <v/>
      </c>
      <c r="HA63" s="27" t="str">
        <f>IF(Compositions!Z128="","",(Compositions!Z128/(VLOOKUP(Compositions!Y128,'HHV-LHV-MW'!$A$3:$F$40,6,FALSE))))</f>
        <v/>
      </c>
      <c r="HB63" s="25" t="str">
        <f>IF(GY63="","",((VLOOKUP(Compositions!Y128,'HHV-LHV-MW'!$A$3:$F$40,4,FALSE))*(GY63/100)))</f>
        <v/>
      </c>
      <c r="HC63" s="25" t="str">
        <f>IF(GY63="","",((VLOOKUP(Compositions!Y128,'HHV-LHV-MW'!$A$3:$F$40,5,FALSE))*(GY63/100)))</f>
        <v/>
      </c>
      <c r="HD63" s="25" t="str">
        <f>IF(GY63="","",((VLOOKUP(Compositions!Y128,'HHV-LHV-MW'!$A$3:$F$40,6,FALSE))*(GY63/100)))</f>
        <v/>
      </c>
      <c r="HE63" s="25" t="str">
        <f>IF(Compositions!Z128="","",(Compositions!Z128*(VLOOKUP(Compositions!Y128,'HHV-LHV-MW'!$A$3:$F$40,6,FALSE))))</f>
        <v/>
      </c>
      <c r="HF63" s="295" t="str">
        <f>IF(Compositions!Z128="","",IF(OR(Compositions!$Z$118="wt%",Compositions!$Z$118=""),Compositions!Z128,(IF(HE63="","",((HE63/$HE$78)*100)))))</f>
        <v/>
      </c>
      <c r="HG63" s="185" t="str">
        <f>IF(HF63="","",(IF(OR(Compositions!Y128="Hydrogen",Compositions!Y128="Helium",Compositions!Y128="Water",Compositions!Y128="Carbon Monoxide",Compositions!Y128="Nitrogen",Compositions!Y128="Oxygen",Compositions!Y128="Hydrogen Sulfide",Compositions!Y128="Argon",Compositions!Y128="Carbon Dioxide",Compositions!Y128="Carbon Disulfide"),0,HF63)))</f>
        <v/>
      </c>
      <c r="HH63" s="187" t="str">
        <f>IF(Compositions!Z128="","",((GY63/100)*((VLOOKUP(Compositions!Y128,'HHV-LHV-MW'!$A$3:$G$40,7,FALSE)))))</f>
        <v/>
      </c>
      <c r="HI63" s="187" t="str">
        <f>IF(GY63="","",(IF(OR(Compositions!Y128="Hydrogen",Compositions!Y128="Carbon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Dioxide",Compositions!Y128="Methane",Compositions!Y128="Ethane"),0,(GY63/100))))</f>
        <v/>
      </c>
      <c r="HJ63" s="205" t="str">
        <f>IF(GY63="","",(IF(OR($HI$78=0,$HI$78=""),0,       ((VLOOKUP(Compositions!Y128,'HHV-LHV-MW'!$A$3:$F$40,6,FALSE))*(HI63/$HI$78)))))</f>
        <v/>
      </c>
      <c r="HK63" s="28" t="str">
        <f>IF(Compositions!AA128="","",IF(Compositions!$AA$118="mol%",Compositions!AA128,HL63))</f>
        <v/>
      </c>
      <c r="HL63" s="28" t="str">
        <f t="shared" si="42"/>
        <v/>
      </c>
      <c r="HM63" s="28" t="str">
        <f>IF(Compositions!AA128="","",(Compositions!AA128/(VLOOKUP(Compositions!Y128,'HHV-LHV-MW'!$A$3:$F$40,6,FALSE))))</f>
        <v/>
      </c>
      <c r="HN63" s="26" t="str">
        <f>IF(HK63="","",((VLOOKUP(Compositions!Y128,'HHV-LHV-MW'!$A$3:$F$40,4,FALSE))*(HK63/100)))</f>
        <v/>
      </c>
      <c r="HO63" s="26" t="str">
        <f>IF(HK63="","",((VLOOKUP(Compositions!Y128,'HHV-LHV-MW'!$A$3:$F$40,5,FALSE))*(HK63/100)))</f>
        <v/>
      </c>
      <c r="HP63" s="26" t="str">
        <f>IF(HK63="","",((VLOOKUP(Compositions!Y128,'HHV-LHV-MW'!$A$3:$F$40,6,FALSE))*(HK63/100)))</f>
        <v/>
      </c>
      <c r="HQ63" s="26" t="str">
        <f>IF(Compositions!AA128="","",(Compositions!AA128*(VLOOKUP(Compositions!Y128,'HHV-LHV-MW'!$A$3:$F$40,6,FALSE))))</f>
        <v/>
      </c>
      <c r="HR63" s="296" t="str">
        <f>IF(Compositions!AA128="","",IF(OR(Compositions!$AA$118="wt%",Compositions!$AA$118=""),Compositions!AA128,(IF(HQ63="","",((HQ63/$HQ$78)*100)))))</f>
        <v/>
      </c>
      <c r="HS63" s="39" t="str">
        <f>IF(HR63="","",(IF(OR(Compositions!Y128="Hydrogen",Compositions!Y128="Helium",Compositions!Y128="Water",Compositions!Y128="Carbon Monoxide",Compositions!Y128="Nitrogen",Compositions!Y128="Oxygen",Compositions!Y128="Hydrogen Sulfide",Compositions!Y128="Argon",Compositions!Y128="Carbon Dioxide",Compositions!Y128="Carbon Disulfide"),0,HR63)))</f>
        <v/>
      </c>
      <c r="HT63" s="186" t="str">
        <f>IF(Compositions!AA128="","",((HK63/100)*((VLOOKUP(Compositions!Y128,'HHV-LHV-MW'!$A$3:$G$40,7,FALSE)))))</f>
        <v/>
      </c>
      <c r="HU63" s="186" t="str">
        <f>IF(HK63="","",(IF(OR(Compositions!Y128="Hydrogen",Compositions!Y128="Carbon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Dioxide",Compositions!Y128="Methane",Compositions!Y128="Ethane"),0,(HK63/100))))</f>
        <v/>
      </c>
      <c r="HV63" s="39" t="str">
        <f>IF(HK63="","",(IF(OR($HU$78=0,$HU$78=""),0,       ((VLOOKUP(Compositions!Y128,'HHV-LHV-MW'!$A$3:$F$40,6,FALSE))*(HU63/$HU$78)))))</f>
        <v/>
      </c>
      <c r="HW63" s="27" t="str">
        <f>IF(Compositions!AB128="","",IF(Compositions!$AB$118="mol%",Compositions!AB128,HX63))</f>
        <v/>
      </c>
      <c r="HX63" s="27" t="str">
        <f t="shared" si="43"/>
        <v/>
      </c>
      <c r="HY63" s="27" t="str">
        <f>IF(Compositions!AB128="","",(Compositions!AB128/(VLOOKUP(Compositions!Y128,'HHV-LHV-MW'!$A$3:$F$40,6,FALSE))))</f>
        <v/>
      </c>
      <c r="HZ63" s="25" t="str">
        <f>IF(HW63="","",((VLOOKUP(Compositions!Y128,'HHV-LHV-MW'!$A$3:$F$40,4,FALSE))*(HW63/100)))</f>
        <v/>
      </c>
      <c r="IA63" s="25" t="str">
        <f>IF(HW63="","",((VLOOKUP(Compositions!Y128,'HHV-LHV-MW'!$A$3:$F$40,5,FALSE))*(HW63/100)))</f>
        <v/>
      </c>
      <c r="IB63" s="25" t="str">
        <f>IF(HW63="","",((VLOOKUP(Compositions!Y128,'HHV-LHV-MW'!$A$3:$F$40,6,FALSE))*(HW63/100)))</f>
        <v/>
      </c>
      <c r="IC63" s="25" t="str">
        <f>IF(Compositions!AB128="","",(Compositions!AB128*(VLOOKUP(Compositions!Y128,'HHV-LHV-MW'!$A$3:$F$40,6,FALSE))))</f>
        <v/>
      </c>
      <c r="ID63" s="295" t="str">
        <f>IF(Compositions!AB128="","",IF(OR(Compositions!$AB$118="wt%",Compositions!$AB$118=""),Compositions!AB128,(IF(IC63="","",((IC63/$IC$78)*100)))))</f>
        <v/>
      </c>
      <c r="IE63" s="185" t="str">
        <f>IF(ID63="","",(IF(OR(Compositions!Y128="Hydrogen",Compositions!Y128="Helium",Compositions!Y128="Water",Compositions!Y128="Carbon Monoxide",Compositions!Y128="Nitrogen",Compositions!Y128="Oxygen",Compositions!Y128="Hydrogen Sulfide",Compositions!Y128="Argon",Compositions!Y128="Carbon Dioxide",Compositions!Y128="Carbon Disulfide"),0,ID63)))</f>
        <v/>
      </c>
      <c r="IF63" s="187" t="str">
        <f>IF(Compositions!AB128="","",((HW63/100)*((VLOOKUP(Compositions!Y128,'HHV-LHV-MW'!$A$3:$G$40,7,FALSE)))))</f>
        <v/>
      </c>
      <c r="IG63" s="187" t="str">
        <f>IF(HW63="","",(IF(OR(Compositions!Y128="Hydrogen",Compositions!Y128="Carbon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Dioxide",Compositions!Y128="Methane",Compositions!Y128="Ethane"),0,(HW63/100))))</f>
        <v/>
      </c>
      <c r="IH63" s="205" t="str">
        <f>IF(HW63="","",(IF(OR($IG$78=0,$IG$78=""),0,       ((VLOOKUP(Compositions!Y128,'HHV-LHV-MW'!$A$3:$F$40,6,FALSE))*(IG63/$IG$78)))))</f>
        <v/>
      </c>
      <c r="II63" s="28" t="str">
        <f>IF(Compositions!AC128="","",IF(Compositions!$AC$118="mol%",Compositions!AC128,IJ63))</f>
        <v/>
      </c>
      <c r="IJ63" s="28" t="str">
        <f t="shared" si="44"/>
        <v/>
      </c>
      <c r="IK63" s="28" t="str">
        <f>IF(Compositions!AC128="","",(Compositions!AC128/(VLOOKUP(Compositions!Y128,'HHV-LHV-MW'!$A$3:$F$40,6,FALSE))))</f>
        <v/>
      </c>
      <c r="IL63" s="26" t="str">
        <f>IF(II63="","",((VLOOKUP(Compositions!Y128,'HHV-LHV-MW'!$A$3:$F$40,4,FALSE))*(II63/100)))</f>
        <v/>
      </c>
      <c r="IM63" s="26" t="str">
        <f>IF(II63="","",((VLOOKUP(Compositions!Y128,'HHV-LHV-MW'!$A$3:$F$40,5,FALSE))*(II63/100)))</f>
        <v/>
      </c>
      <c r="IN63" s="26" t="str">
        <f>IF(II63="","",((VLOOKUP(Compositions!Y128,'HHV-LHV-MW'!$A$3:$F$40,6,FALSE))*(II63/100)))</f>
        <v/>
      </c>
      <c r="IO63" s="26" t="str">
        <f>IF(Compositions!AC128="","",(Compositions!AC128*(VLOOKUP(Compositions!Y128,'HHV-LHV-MW'!$A$3:$F$40,6,FALSE))))</f>
        <v/>
      </c>
      <c r="IP63" s="296" t="str">
        <f>IF(Compositions!AC128="","",IF(OR(Compositions!$AC$118="wt%",Compositions!$AC$118=""),Compositions!AC128,(IF(IO63="","",((IO63/$IO$78)*100)))))</f>
        <v/>
      </c>
      <c r="IQ63" s="39" t="str">
        <f>IF(IP63="","",(IF(OR(Compositions!Y128="Hydrogen",Compositions!Y128="Helium",Compositions!Y128="Water",Compositions!Y128="Carbon Monoxide",Compositions!Y128="Nitrogen",Compositions!Y128="Oxygen",Compositions!Y128="Hydrogen Sulfide",Compositions!Y128="Argon",Compositions!Y128="Carbon Dioxide",Compositions!Y128="Carbon Disulfide"),0,IP63)))</f>
        <v/>
      </c>
      <c r="IR63" s="186" t="str">
        <f>IF(Compositions!AC128="","",((II63/100)*((VLOOKUP(Compositions!Y128,'HHV-LHV-MW'!$A$3:$G$40,7,FALSE)))))</f>
        <v/>
      </c>
      <c r="IS63" s="186" t="str">
        <f>IF(II63="","",(IF(OR(Compositions!Y128="Hydrogen",Compositions!Y128="Carbon Disulfide",Compositions!Y128="Helium",Compositions!Y128="Water",Compositions!Y128="Carbon Monoxide",Compositions!Y128="Nitrogen",Compositions!Y128="Oxygen",Compositions!Y128="Hydrogen Sulfide",Compositions!Y128="Argon",Compositions!Y128="Carbon Dioxide",Compositions!Y128="Methane",Compositions!Y128="Ethane"),0,(II63/100))))</f>
        <v/>
      </c>
      <c r="IT63" s="39" t="str">
        <f>IF(II63="","",(IF(OR($IS$78=0,$IS$78=""),0,      ((VLOOKUP(Compositions!Y128,'HHV-LHV-MW'!$A$3:$F$40,6,FALSE))*(IS63/$IS$78)))))</f>
        <v/>
      </c>
      <c r="IV63" s="27" t="str">
        <f>IF(Compositions!AF128="","",IF(Compositions!$AF$118="mol%",Compositions!AF128,IW63))</f>
        <v/>
      </c>
      <c r="IW63" s="27" t="str">
        <f t="shared" si="45"/>
        <v/>
      </c>
      <c r="IX63" s="27" t="str">
        <f>IF(Compositions!AF128="","",(Compositions!AF128/(VLOOKUP(Compositions!AE128,'HHV-LHV-MW'!$A$3:$F$40,6,FALSE))))</f>
        <v/>
      </c>
      <c r="IY63" s="25" t="str">
        <f>IF(IV63="","",((VLOOKUP(Compositions!AE128,'HHV-LHV-MW'!$A$3:$F$40,4,FALSE))*(IV63/100)))</f>
        <v/>
      </c>
      <c r="IZ63" s="25" t="str">
        <f>IF(IV63="","",((VLOOKUP(Compositions!AE128,'HHV-LHV-MW'!$A$3:$F$40,5,FALSE))*(IV63/100)))</f>
        <v/>
      </c>
      <c r="JA63" s="25" t="str">
        <f>IF(IV63="","",((VLOOKUP(Compositions!AE128,'HHV-LHV-MW'!$A$3:$F$40,6,FALSE))*(IV63/100)))</f>
        <v/>
      </c>
      <c r="JB63" s="25" t="str">
        <f>IF(Compositions!AF128="","",(Compositions!AF128*(VLOOKUP(Compositions!AE128,'HHV-LHV-MW'!$A$3:$F$40,6,FALSE))))</f>
        <v/>
      </c>
      <c r="JC63" s="298" t="str">
        <f>IF(Compositions!AF128="","",IF(OR(Compositions!$AF$118="wt%",Compositions!$AF$118=""),Compositions!AF128,(IF(JB63="","",((JB63/$JB$78)*100)))))</f>
        <v/>
      </c>
      <c r="JD63" s="185" t="str">
        <f>IF(JC63="","",(IF(OR(Compositions!AE128="Hydrogen",Compositions!AE128="Helium",Compositions!AE128="Water",Compositions!AE128="Carbon Monoxide",Compositions!AE128="Nitrogen",Compositions!AE128="Oxygen",Compositions!AE128="Hydrogen Sulfide",Compositions!AE128="Argon",Compositions!AE128="Carbon Dioxide",Compositions!AE128="Carbon Disulfide"),0,JC63)))</f>
        <v/>
      </c>
      <c r="JE63" s="187" t="str">
        <f>IF(Compositions!AF128="","",((IV63/100)*((VLOOKUP(Compositions!AE128,'HHV-LHV-MW'!$A$3:$G$40,7,FALSE)))))</f>
        <v/>
      </c>
      <c r="JF63" s="187" t="str">
        <f>IF(IV63="","",(IF(OR(Compositions!AE128="Hydrogen",Compositions!AE128="Carbon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Dioxide",Compositions!AE128="Methane",Compositions!AE128="Ethane"),0,(IV63/100))))</f>
        <v/>
      </c>
      <c r="JG63" s="205" t="str">
        <f>IF(IV63="","",(IF(OR($JF$78=0,$JF$78=""),0,      ((VLOOKUP(Compositions!AE128,'HHV-LHV-MW'!$A$3:$F$40,6,FALSE))*(JF63/$JF$78)))))</f>
        <v/>
      </c>
      <c r="JH63" s="28" t="str">
        <f>IF(Compositions!AG128="","",IF(Compositions!$AG$118="mol%",Compositions!AG128,JI63))</f>
        <v/>
      </c>
      <c r="JI63" s="28" t="str">
        <f t="shared" si="46"/>
        <v/>
      </c>
      <c r="JJ63" s="28" t="str">
        <f>IF(Compositions!AG128="","",(Compositions!AG128/(VLOOKUP(Compositions!AE128,'HHV-LHV-MW'!$A$3:$F$40,6,FALSE))))</f>
        <v/>
      </c>
      <c r="JK63" s="26" t="str">
        <f>IF(JH63="","",((VLOOKUP(Compositions!AE128,'HHV-LHV-MW'!$A$3:$F$40,4,FALSE))*(JH63/100)))</f>
        <v/>
      </c>
      <c r="JL63" s="26" t="str">
        <f>IF(JH63="","",((VLOOKUP(Compositions!AE128,'HHV-LHV-MW'!$A$3:$F$40,5,FALSE))*(JH63/100)))</f>
        <v/>
      </c>
      <c r="JM63" s="26" t="str">
        <f>IF(JH63="","",((VLOOKUP(Compositions!AE128,'HHV-LHV-MW'!$A$3:$F$40,6,FALSE))*(JH63/100)))</f>
        <v/>
      </c>
      <c r="JN63" s="26" t="str">
        <f>IF(Compositions!AG128="","",(Compositions!AG128*(VLOOKUP(Compositions!AE128,'HHV-LHV-MW'!$A$3:$F$40,6,FALSE))))</f>
        <v/>
      </c>
      <c r="JO63" s="297" t="str">
        <f>IF(Compositions!AG128="","",IF(OR(Compositions!$AG$118="wt%",Compositions!$AG$118=""),Compositions!AG128,(IF(JN63="","",((JN63/$JN$78)*100)))))</f>
        <v/>
      </c>
      <c r="JP63" s="39" t="str">
        <f>IF(JO63="","",(IF(OR(Compositions!AE128="Hydrogen",Compositions!AE128="Helium",Compositions!AE128="Water",Compositions!AE128="Carbon Monoxide",Compositions!AE128="Nitrogen",Compositions!AE128="Oxygen",Compositions!AE128="Hydrogen Sulfide",Compositions!AE128="Argon",Compositions!AE128="Carbon Dioxide",Compositions!AE128="Carbon Disulfide"),0,JO63)))</f>
        <v/>
      </c>
      <c r="JQ63" s="186" t="str">
        <f>IF(Compositions!AG128="","",((JH63/100)*((VLOOKUP(Compositions!AE128,'HHV-LHV-MW'!$A$3:$G$40,7,FALSE)))))</f>
        <v/>
      </c>
      <c r="JR63" s="186" t="str">
        <f>IF(JH63="","",(IF(OR(Compositions!AE128="Hydrogen",Compositions!AE128="Carbon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Dioxide",Compositions!AE128="Methane",Compositions!AE128="Ethane"),0,(JH63/100))))</f>
        <v/>
      </c>
      <c r="JS63" s="39" t="str">
        <f>IF(JH63="","",(IF(OR($JR$78=0,$JR$78=""),0,      ((VLOOKUP(Compositions!AE128,'HHV-LHV-MW'!$A$3:$F$40,6,FALSE))*(JR63/$JR$78)))))</f>
        <v/>
      </c>
      <c r="JT63" s="27" t="str">
        <f>IF(Compositions!AH128="","",IF(Compositions!$AH$118="mol%",Compositions!AH128,JU63))</f>
        <v/>
      </c>
      <c r="JU63" s="27" t="str">
        <f t="shared" si="47"/>
        <v/>
      </c>
      <c r="JV63" s="27" t="str">
        <f>IF(Compositions!AH128="","",(Compositions!AH128/(VLOOKUP(Compositions!AE128,'HHV-LHV-MW'!$A$3:$F$40,6,FALSE))))</f>
        <v/>
      </c>
      <c r="JW63" s="25" t="str">
        <f>IF(JT63="","",((VLOOKUP(Compositions!AE128,'HHV-LHV-MW'!$A$3:$F$40,4,FALSE))*(JT63/100)))</f>
        <v/>
      </c>
      <c r="JX63" s="25" t="str">
        <f>IF(JT63="","",((VLOOKUP(Compositions!AE128,'HHV-LHV-MW'!$A$3:$F$40,5,FALSE))*(JT63/100)))</f>
        <v/>
      </c>
      <c r="JY63" s="25" t="str">
        <f>IF(JT63="","",((VLOOKUP(Compositions!AE128,'HHV-LHV-MW'!$A$3:$F$40,6,FALSE))*(JT63/100)))</f>
        <v/>
      </c>
      <c r="JZ63" s="25" t="str">
        <f>IF(Compositions!AH128="","",(Compositions!AH128*(VLOOKUP(Compositions!AE128,'HHV-LHV-MW'!$A$3:$F$40,6,FALSE))))</f>
        <v/>
      </c>
      <c r="KA63" s="298" t="str">
        <f>IF(Compositions!AH128="","",IF(OR(Compositions!$AH$118="wt%",Compositions!$AH$118=""),Compositions!AH128,(IF(JZ63="","",((JZ63/$JZ$78)*100)))))</f>
        <v/>
      </c>
      <c r="KB63" s="185" t="str">
        <f>IF(KA63="","",(IF(OR(Compositions!AE128="Hydrogen",Compositions!AE128="Helium",Compositions!AE128="Water",Compositions!AE128="Carbon Monoxide",Compositions!AE128="Nitrogen",Compositions!AE128="Oxygen",Compositions!AE128="Hydrogen Sulfide",Compositions!AE128="Argon",Compositions!AE128="Carbon Dioxide",Compositions!AE128="Carbon Disulfide"),0,KA63)))</f>
        <v/>
      </c>
      <c r="KC63" s="187" t="str">
        <f>IF(Compositions!AH128="","",((JT63/100)*((VLOOKUP(Compositions!AE128,'HHV-LHV-MW'!$A$3:$G$40,7,FALSE)))))</f>
        <v/>
      </c>
      <c r="KD63" s="187" t="str">
        <f>IF(JT63="","",(IF(OR(Compositions!AE128="Hydrogen",Compositions!AE128="Carbon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Dioxide",Compositions!AE128="Methane",Compositions!AE128="Ethane"),0,(JT63/100))))</f>
        <v/>
      </c>
      <c r="KE63" s="205" t="str">
        <f>IF(JT63="","",(IF(OR($KD$78=0,$KD$78=""),0,      ((VLOOKUP(Compositions!AE128,'HHV-LHV-MW'!$A$3:$F$40,6,FALSE))*(KD63/$KD$78)))))</f>
        <v/>
      </c>
      <c r="KF63" s="28" t="str">
        <f>IF(Compositions!AI128="","",IF(Compositions!$AI$118="mol%",Compositions!AI128,KG63))</f>
        <v/>
      </c>
      <c r="KG63" s="28" t="str">
        <f t="shared" si="48"/>
        <v/>
      </c>
      <c r="KH63" s="28" t="str">
        <f>IF(Compositions!AI128="","",(Compositions!AI128/(VLOOKUP(Compositions!AE128,'HHV-LHV-MW'!$A$3:$F$40,6,FALSE))))</f>
        <v/>
      </c>
      <c r="KI63" s="26" t="str">
        <f>IF(KF63="","",((VLOOKUP(Compositions!AE128,'HHV-LHV-MW'!$A$3:$F$40,4,FALSE))*(KF63/100)))</f>
        <v/>
      </c>
      <c r="KJ63" s="26" t="str">
        <f>IF(KF63="","",((VLOOKUP(Compositions!AE128,'HHV-LHV-MW'!$A$3:$F$40,5,FALSE))*(KF63/100)))</f>
        <v/>
      </c>
      <c r="KK63" s="26" t="str">
        <f>IF(KF63="","",((VLOOKUP(Compositions!AE128,'HHV-LHV-MW'!$A$3:$F$40,6,FALSE))*(KF63/100)))</f>
        <v/>
      </c>
      <c r="KL63" s="26" t="str">
        <f>IF(Compositions!AI128="","",(Compositions!AI128*(VLOOKUP(Compositions!AE128,'HHV-LHV-MW'!$A$3:$F$40,6,FALSE))))</f>
        <v/>
      </c>
      <c r="KM63" s="297" t="str">
        <f>IF(Compositions!AI128="","",IF(OR(Compositions!$AI$118="wt%",Compositions!$AI$118=""),Compositions!AI128,(IF(KL63="","",((KL63/$KL$78)*100)))))</f>
        <v/>
      </c>
      <c r="KN63" s="39" t="str">
        <f>IF(KM63="","",(IF(OR(Compositions!AE128="Hydrogen",Compositions!AE128="Helium",Compositions!AE128="Water",Compositions!AE128="Carbon Monoxide",Compositions!AE128="Nitrogen",Compositions!AE128="Oxygen",Compositions!AE128="Hydrogen Sulfide",Compositions!AE128="Argon",Compositions!AE128="Carbon Dioxide",Compositions!AE128="Carbon Disulfide"),0,KM63)))</f>
        <v/>
      </c>
      <c r="KO63" s="186" t="str">
        <f>IF(Compositions!AI128="","",((KF63/100)*((VLOOKUP(Compositions!AE128,'HHV-LHV-MW'!$A$3:$G$40,7,FALSE)))))</f>
        <v/>
      </c>
      <c r="KP63" s="186" t="str">
        <f>IF(KF63="","",(IF(OR(Compositions!AE128="Hydrogen",Compositions!AE128="Carbon Disulfide",Compositions!AE128="Helium",Compositions!AE128="Water",Compositions!AE128="Carbon Monoxide",Compositions!AE128="Nitrogen",Compositions!AE128="Oxygen",Compositions!AE128="Hydrogen Sulfide",Compositions!AE128="Argon",Compositions!AE128="Carbon Dioxide",Compositions!AE128="Methane",Compositions!AE128="Ethane"),0,(KF63/100))))</f>
        <v/>
      </c>
      <c r="KQ63" s="39" t="str">
        <f>IF(KF63="","",(IF(OR($KP$78=0,$KP$78=""),0,      ((VLOOKUP(Compositions!AE128,'HHV-LHV-MW'!$A$3:$F$40,6,FALSE))*(KP63/$KP$78)))))</f>
        <v/>
      </c>
      <c r="KS63" s="27" t="str">
        <f>IF(Compositions!AL128="","",IF(Compositions!$AL$118="mol%",Compositions!AL128,KT63))</f>
        <v/>
      </c>
      <c r="KT63" s="27" t="str">
        <f t="shared" si="49"/>
        <v/>
      </c>
      <c r="KU63" s="27" t="str">
        <f>IF(Compositions!AL128="","",(Compositions!AL128/(VLOOKUP(Compositions!AK128,'HHV-LHV-MW'!$A$3:$F$40,6,FALSE))))</f>
        <v/>
      </c>
      <c r="KV63" s="185" t="str">
        <f>IF(KS63="","",((VLOOKUP(Compositions!AK128,'HHV-LHV-MW'!$A$3:$F$40,4,FALSE))*(KS63/100)))</f>
        <v/>
      </c>
      <c r="KW63" s="185" t="str">
        <f>IF(KS63="","",((VLOOKUP(Compositions!AK128,'HHV-LHV-MW'!$A$3:$F$40,5,FALSE))*(KS63/100)))</f>
        <v/>
      </c>
      <c r="KX63" s="185" t="str">
        <f>IF(KS63="","",((VLOOKUP(Compositions!AK128,'HHV-LHV-MW'!$A$3:$F$40,6,FALSE))*(KS63/100)))</f>
        <v/>
      </c>
      <c r="KY63" s="185" t="str">
        <f>IF(Compositions!AL128="","",(Compositions!AL128*(VLOOKUP(Compositions!AK128,'HHV-LHV-MW'!$A$3:$F$40,6,FALSE))))</f>
        <v/>
      </c>
      <c r="KZ63" s="298" t="str">
        <f>IF(Compositions!AL128="","",IF(OR(Compositions!$AL$118="wt%",Compositions!$AL$118=""),Compositions!AL128,(IF(KY63="","",((KY63/$KY$78)*100)))))</f>
        <v/>
      </c>
      <c r="LA63" s="185" t="str">
        <f>IF(KZ63="","",(IF(OR(Compositions!AK128="Hydrogen",Compositions!AK128="Helium",Compositions!AK128="Water",Compositions!AK128="Carbon Monoxide",Compositions!AK128="Nitrogen",Compositions!AK128="Oxygen",Compositions!AK128="Hydrogen Sulfide",Compositions!AK128="Argon",Compositions!AK128="Carbon Dioxide",Compositions!AK128="Carbon Disulfide"),0,KZ63)))</f>
        <v/>
      </c>
      <c r="LB63" s="187" t="str">
        <f>IF(Compositions!AL128="","",((KS63/100)*((VLOOKUP(Compositions!AK128,'HHV-LHV-MW'!$A$3:$G$40,7,FALSE)))))</f>
        <v/>
      </c>
      <c r="LC63" s="187" t="str">
        <f>IF(KS63="","",(IF(OR(Compositions!AK128="Hydrogen",Compositions!AK128="Carbon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Dioxide",Compositions!AK128="Methane",Compositions!AK128="Ethane"),0,(KS63/100))))</f>
        <v/>
      </c>
      <c r="LD63" s="205" t="str">
        <f>IF(KS63="","",(IF(OR($LC$78=0,$LC$78=""),0,      ((VLOOKUP(Compositions!AK128,'HHV-LHV-MW'!$A$3:$F$40,6,FALSE))*(LC63/$LC$78)))))</f>
        <v/>
      </c>
      <c r="LE63" s="28" t="str">
        <f>IF(Compositions!AM128="","",IF(Compositions!$AM$118="mol%",Compositions!AM128,LF63))</f>
        <v/>
      </c>
      <c r="LF63" s="28" t="str">
        <f t="shared" si="50"/>
        <v/>
      </c>
      <c r="LG63" s="28" t="str">
        <f>IF(Compositions!AM128="","",(Compositions!AM128/(VLOOKUP(Compositions!AK128,'HHV-LHV-MW'!$A$3:$F$40,6,FALSE))))</f>
        <v/>
      </c>
      <c r="LH63" s="184" t="str">
        <f>IF(LE63="","",((VLOOKUP(Compositions!AK128,'HHV-LHV-MW'!$A$3:$F$40,4,FALSE))*(LE63/100)))</f>
        <v/>
      </c>
      <c r="LI63" s="184" t="str">
        <f>IF(LE63="","",((VLOOKUP(Compositions!AK128,'HHV-LHV-MW'!$A$3:$F$40,5,FALSE))*(LE63/100)))</f>
        <v/>
      </c>
      <c r="LJ63" s="184" t="str">
        <f>IF(LE63="","",((VLOOKUP(Compositions!AK128,'HHV-LHV-MW'!$A$3:$F$40,6,FALSE))*(LE63/100)))</f>
        <v/>
      </c>
      <c r="LK63" s="184" t="str">
        <f>IF(Compositions!AM128="","",(Compositions!AM128*(VLOOKUP(Compositions!AK128,'HHV-LHV-MW'!$A$3:$F$40,6,FALSE))))</f>
        <v/>
      </c>
      <c r="LL63" s="297" t="str">
        <f>IF(Compositions!AM128="","",IF(OR(Compositions!$AM$118="wt%",Compositions!$AM$118=""),Compositions!AM128,(IF(LK63="","",((LK63/$LK$78)*100)))))</f>
        <v/>
      </c>
      <c r="LM63" s="39" t="str">
        <f>IF(LL63="","",(IF(OR(Compositions!AK128="Hydrogen",Compositions!AK128="Helium",Compositions!AK128="Water",Compositions!AK128="Carbon Monoxide",Compositions!AK128="Nitrogen",Compositions!AK128="Oxygen",Compositions!AK128="Hydrogen Sulfide",Compositions!AK128="Argon",Compositions!AK128="Carbon Dioxide",Compositions!AK128="Carbon Disulfide"),0,LL63)))</f>
        <v/>
      </c>
      <c r="LN63" s="186" t="str">
        <f>IF(Compositions!AM128="","",((LE63/100)*((VLOOKUP(Compositions!AK128,'HHV-LHV-MW'!$A$3:$G$40,7,FALSE)))))</f>
        <v/>
      </c>
      <c r="LO63" s="186" t="str">
        <f>IF(LE63="","",(IF(OR(Compositions!AK128="Hydrogen",Compositions!AK128="Carbon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Dioxide",Compositions!AK128="Methane",Compositions!AK128="Ethane"),0,(LE63/100))))</f>
        <v/>
      </c>
      <c r="LP63" s="39" t="str">
        <f>IF(LE63="","",(IF(OR($LO$78=0,$LO$78=""),0,     ((VLOOKUP(Compositions!AK128,'HHV-LHV-MW'!$A$3:$F$40,6,FALSE))*(LO63/$LO$78)))))</f>
        <v/>
      </c>
      <c r="LQ63" s="27" t="str">
        <f>IF(Compositions!AN128="","",IF(Compositions!$AN$118="mol%",Compositions!AN128,LR63))</f>
        <v/>
      </c>
      <c r="LR63" s="27" t="str">
        <f t="shared" si="51"/>
        <v/>
      </c>
      <c r="LS63" s="27" t="str">
        <f>IF(Compositions!AN128="","",(Compositions!AN128/(VLOOKUP(Compositions!AK128,'HHV-LHV-MW'!$A$3:$F$40,6,FALSE))))</f>
        <v/>
      </c>
      <c r="LT63" s="185" t="str">
        <f>IF(LQ63="","",((VLOOKUP(Compositions!AK128,'HHV-LHV-MW'!$A$3:$F$40,4,FALSE))*(LQ63/100)))</f>
        <v/>
      </c>
      <c r="LU63" s="185" t="str">
        <f>IF(LQ63="","",((VLOOKUP(Compositions!AK128,'HHV-LHV-MW'!$A$3:$F$40,5,FALSE))*(LQ63/100)))</f>
        <v/>
      </c>
      <c r="LV63" s="185" t="str">
        <f>IF(LQ63="","",((VLOOKUP(Compositions!AK128,'HHV-LHV-MW'!$A$3:$F$40,6,FALSE))*(LQ63/100)))</f>
        <v/>
      </c>
      <c r="LW63" s="185" t="str">
        <f>IF(Compositions!AN128="","",(Compositions!AN128*(VLOOKUP(Compositions!AK128,'HHV-LHV-MW'!$A$3:$F$40,6,FALSE))))</f>
        <v/>
      </c>
      <c r="LX63" s="298" t="str">
        <f>IF(Compositions!AN128="","",IF(OR(Compositions!$AN$118="wt%",Compositions!$AN$118=""),Compositions!AN128,(IF(LW63="","",((LW63/$LW$78)*100)))))</f>
        <v/>
      </c>
      <c r="LY63" s="185" t="str">
        <f>IF(LX63="","",(IF(OR(Compositions!AK128="Hydrogen",Compositions!AK128="Helium",Compositions!AK128="Water",Compositions!AK128="Carbon Monoxide",Compositions!AK128="Nitrogen",Compositions!AK128="Oxygen",Compositions!AK128="Hydrogen Sulfide",Compositions!AK128="Argon",Compositions!AK128="Carbon Dioxide",Compositions!AK128="Carbon Disulfide"),0,LX63)))</f>
        <v/>
      </c>
      <c r="LZ63" s="187" t="str">
        <f>IF(Compositions!AN128="","",((LQ63/100)*((VLOOKUP(Compositions!AK128,'HHV-LHV-MW'!$A$3:$G$40,7,FALSE)))))</f>
        <v/>
      </c>
      <c r="MA63" s="187" t="str">
        <f>IF(LQ63="","",(IF(OR(Compositions!AK128="Hydrogen",Compositions!AK128="Carbon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Dioxide",Compositions!AK128="Methane",Compositions!AK128="Ethane"),0,(LQ63/100))))</f>
        <v/>
      </c>
      <c r="MB63" s="205" t="str">
        <f>IF(LQ63="","",(IF(OR($MA$78=0,$MA$78=""),0,     ((VLOOKUP(Compositions!AK128,'HHV-LHV-MW'!$A$3:$F$40,6,FALSE))*(MA63/$MA$78)))))</f>
        <v/>
      </c>
      <c r="MC63" s="28" t="str">
        <f>IF(Compositions!AO128="","",IF(Compositions!$AO$118="mol%",Compositions!AO128,MD63))</f>
        <v/>
      </c>
      <c r="MD63" s="28" t="str">
        <f t="shared" si="52"/>
        <v/>
      </c>
      <c r="ME63" s="28" t="str">
        <f>IF(Compositions!AO128="","",(Compositions!AO128/(VLOOKUP(Compositions!AK128,'HHV-LHV-MW'!$A$3:$F$40,6,FALSE))))</f>
        <v/>
      </c>
      <c r="MF63" s="184" t="str">
        <f>IF(MC63="","",((VLOOKUP(Compositions!AK128,'HHV-LHV-MW'!$A$3:$F$40,4,FALSE))*(MC63/100)))</f>
        <v/>
      </c>
      <c r="MG63" s="184" t="str">
        <f>IF(MC63="","",((VLOOKUP(Compositions!AK128,'HHV-LHV-MW'!$A$3:$F$40,5,FALSE))*(MC63/100)))</f>
        <v/>
      </c>
      <c r="MH63" s="184" t="str">
        <f>IF(MC63="","",((VLOOKUP(Compositions!AK128,'HHV-LHV-MW'!$A$3:$F$40,6,FALSE))*(MC63/100)))</f>
        <v/>
      </c>
      <c r="MI63" s="184" t="str">
        <f>IF(Compositions!AO128="","",(Compositions!AO128*(VLOOKUP(Compositions!AK128,'HHV-LHV-MW'!$A$3:$F$40,6,FALSE))))</f>
        <v/>
      </c>
      <c r="MJ63" s="297" t="str">
        <f>IF(Compositions!AO128="","",IF(OR(Compositions!$AO$118="wt%",Compositions!$AO$118=""),Compositions!AO128,(IF(MI63="","",((MI63/$MI$78)*100)))))</f>
        <v/>
      </c>
      <c r="MK63" s="39" t="str">
        <f>IF(MJ63="","",(IF(OR(Compositions!AK128="Hydrogen",Compositions!AK128="Helium",Compositions!AK128="Water",Compositions!AK128="Carbon Monoxide",Compositions!AK128="Nitrogen",Compositions!AK128="Oxygen",Compositions!AK128="Hydrogen Sulfide",Compositions!AK128="Argon",Compositions!AK128="Carbon Dioxide",Compositions!AK128="Carbon Disulfide"),0,MJ63)))</f>
        <v/>
      </c>
      <c r="ML63" s="186" t="str">
        <f>IF(Compositions!AO128="","",((MC63/100)*((VLOOKUP(Compositions!AK128,'HHV-LHV-MW'!$A$3:$G$40,7,FALSE)))))</f>
        <v/>
      </c>
      <c r="MM63" s="186" t="str">
        <f>IF(MC63="","",(IF(OR(Compositions!AK128="Hydrogen",Compositions!AK128="Carbon Disulfide",Compositions!AK128="Helium",Compositions!AK128="Water",Compositions!AK128="Carbon Monoxide",Compositions!AK128="Nitrogen",Compositions!AK128="Oxygen",Compositions!AK128="Hydrogen Sulfide",Compositions!AK128="Argon",Compositions!AK128="Carbon Dioxide",Compositions!AK128="Methane",Compositions!AK128="Ethane"),0,(MC63/100))))</f>
        <v/>
      </c>
      <c r="MN63" s="39" t="str">
        <f>IF(MC63="","",(IF(OR($MM$78=0,$MM$78=""),0,     ((VLOOKUP(Compositions!AK128,'HHV-LHV-MW'!$A$3:$F$40,6,FALSE))*(MM63/$MM$78)))))</f>
        <v/>
      </c>
      <c r="MP63" s="27" t="str">
        <f>IF(Compositions!AR128="","",IF(Compositions!$AR$118="mol%",Compositions!AR128,MQ63))</f>
        <v/>
      </c>
      <c r="MQ63" s="27" t="str">
        <f t="shared" si="53"/>
        <v/>
      </c>
      <c r="MR63" s="27" t="str">
        <f>IF(Compositions!AR128="","",(Compositions!AR128/(VLOOKUP(Compositions!AQ128,'HHV-LHV-MW'!$A$3:$F$40,6,FALSE))))</f>
        <v/>
      </c>
      <c r="MS63" s="185" t="str">
        <f>IF(MP63="","",((VLOOKUP(Compositions!AQ128,'HHV-LHV-MW'!$A$3:$F$40,4,FALSE))*(MP63/100)))</f>
        <v/>
      </c>
      <c r="MT63" s="185" t="str">
        <f>IF(MP63="","",((VLOOKUP(Compositions!AQ128,'HHV-LHV-MW'!$A$3:$F$40,5,FALSE))*(MP63/100)))</f>
        <v/>
      </c>
      <c r="MU63" s="185" t="str">
        <f>IF(MP63="","",((VLOOKUP(Compositions!AQ128,'HHV-LHV-MW'!$A$3:$F$40,6,FALSE))*(MP63/100)))</f>
        <v/>
      </c>
      <c r="MV63" s="185" t="str">
        <f>IF(Compositions!AR128="","",(Compositions!AR128*(VLOOKUP(Compositions!AQ128,'HHV-LHV-MW'!$A$3:$F$40,6,FALSE))))</f>
        <v/>
      </c>
      <c r="MW63" s="298" t="str">
        <f>IF(Compositions!AR128="","",IF(OR(Compositions!$AR$118="wt%",Compositions!$AR$118=""),Compositions!AR128,(IF(MV63="","",((MV63/$MV$78)*100)))))</f>
        <v/>
      </c>
      <c r="MX63" s="185" t="str">
        <f>IF(MW63="","",(IF(OR(Compositions!AQ128="Hydrogen",Compositions!AQ128="Helium",Compositions!AQ128="Water",Compositions!AQ128="Carbon Monoxide",Compositions!AQ128="Nitrogen",Compositions!AQ128="Oxygen",Compositions!AQ128="Hydrogen Sulfide",Compositions!AQ128="Argon",Compositions!AQ128="Carbon Dioxide",Compositions!AQ128="Carbon Disulfide"),0,MW63)))</f>
        <v/>
      </c>
      <c r="MY63" s="187" t="str">
        <f>IF(Compositions!AR128="","",((MP63/100)*((VLOOKUP(Compositions!AQ128,'HHV-LHV-MW'!$A$3:$G$40,7,FALSE)))))</f>
        <v/>
      </c>
      <c r="MZ63" s="187" t="str">
        <f>IF(MP63="","",(IF(OR(Compositions!AQ128="Hydrogen",Compositions!AQ128="Carbon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Dioxide",Compositions!AQ128="Methane",Compositions!AQ128="Ethane"),0,(MP63/100))))</f>
        <v/>
      </c>
      <c r="NA63" s="205" t="str">
        <f>IF(MP63="","",(IF(OR($MZ$78=0,$MZ$78=""),0,     ((VLOOKUP(Compositions!AQ128,'HHV-LHV-MW'!$A$3:$F$40,6,FALSE))*(MZ63/$MZ$78)))))</f>
        <v/>
      </c>
      <c r="NB63" s="28" t="str">
        <f>IF(Compositions!AS128="","",IF(Compositions!$AS$118="mol%",Compositions!AS128,NC63))</f>
        <v/>
      </c>
      <c r="NC63" s="28" t="str">
        <f t="shared" si="54"/>
        <v/>
      </c>
      <c r="ND63" s="28" t="str">
        <f>IF(Compositions!AS128="","",(Compositions!AS128/(VLOOKUP(Compositions!AQ128,'HHV-LHV-MW'!$A$3:$F$40,6,FALSE))))</f>
        <v/>
      </c>
      <c r="NE63" s="184" t="str">
        <f>IF(NB63="","",((VLOOKUP(Compositions!AQ128,'HHV-LHV-MW'!$A$3:$F$40,4,FALSE))*(NB63/100)))</f>
        <v/>
      </c>
      <c r="NF63" s="184" t="str">
        <f>IF(NB63="","",((VLOOKUP(Compositions!AQ128,'HHV-LHV-MW'!$A$3:$F$40,5,FALSE))*(NB63/100)))</f>
        <v/>
      </c>
      <c r="NG63" s="184" t="str">
        <f>IF(NB63="","",((VLOOKUP(Compositions!AQ128,'HHV-LHV-MW'!$A$3:$F$40,6,FALSE))*(NB63/100)))</f>
        <v/>
      </c>
      <c r="NH63" s="184" t="str">
        <f>IF(Compositions!AS128="","",(Compositions!AS128*(VLOOKUP(Compositions!AQ128,'HHV-LHV-MW'!$A$3:$F$40,6,FALSE))))</f>
        <v/>
      </c>
      <c r="NI63" s="297" t="str">
        <f>IF(Compositions!AS128="","",IF(OR(Compositions!$AS$118="wt%",Compositions!$AS$118=""),Compositions!AS128,(IF(NH63="","",((NH63/$NH$78)*100)))))</f>
        <v/>
      </c>
      <c r="NJ63" s="39" t="str">
        <f>IF(NI63="","",(IF(OR(Compositions!AQ128="Hydrogen",Compositions!AQ128="Helium",Compositions!AQ128="Water",Compositions!AQ128="Carbon Monoxide",Compositions!AQ128="Nitrogen",Compositions!AQ128="Oxygen",Compositions!AQ128="Hydrogen Sulfide",Compositions!AQ128="Argon",Compositions!AQ128="Carbon Dioxide",Compositions!AQ128="Carbon Disulfide"),0,NI63)))</f>
        <v/>
      </c>
      <c r="NK63" s="186" t="str">
        <f>IF(Compositions!AS128="","",((NB63/100)*((VLOOKUP(Compositions!AQ128,'HHV-LHV-MW'!$A$3:$G$40,7,FALSE)))))</f>
        <v/>
      </c>
      <c r="NL63" s="186" t="str">
        <f>IF(NB63="","",(IF(OR(Compositions!AQ128="Hydrogen",Compositions!AQ128="Carbon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Dioxide",Compositions!AQ128="Methane",Compositions!AQ128="Ethane"),0,(NB63/100))))</f>
        <v/>
      </c>
      <c r="NM63" s="39" t="str">
        <f>IF(NB63="","",(IF(OR($NL$78=0,$NL$78=""),0,     ((VLOOKUP(Compositions!AQ128,'HHV-LHV-MW'!$A$3:$F$40,6,FALSE))*(NL63/$NL$78)))))</f>
        <v/>
      </c>
      <c r="NN63" s="27" t="str">
        <f>IF(Compositions!AT128="","",IF(Compositions!$AT$118="mol%",Compositions!AT128,NO63))</f>
        <v/>
      </c>
      <c r="NO63" s="27" t="str">
        <f t="shared" si="55"/>
        <v/>
      </c>
      <c r="NP63" s="27" t="str">
        <f>IF(Compositions!AT128="","",(Compositions!AT128/(VLOOKUP(Compositions!AQ128,'HHV-LHV-MW'!$A$3:$F$40,6,FALSE))))</f>
        <v/>
      </c>
      <c r="NQ63" s="185" t="str">
        <f>IF(NN63="","",((VLOOKUP(Compositions!AQ128,'HHV-LHV-MW'!$A$3:$F$40,4,FALSE))*(NN63/100)))</f>
        <v/>
      </c>
      <c r="NR63" s="185" t="str">
        <f>IF(NN63="","",((VLOOKUP(Compositions!AQ128,'HHV-LHV-MW'!$A$3:$F$40,5,FALSE))*(NN63/100)))</f>
        <v/>
      </c>
      <c r="NS63" s="185" t="str">
        <f>IF(NN63="","",((VLOOKUP(Compositions!AQ128,'HHV-LHV-MW'!$A$3:$F$40,6,FALSE))*(NN63/100)))</f>
        <v/>
      </c>
      <c r="NT63" s="185" t="str">
        <f>IF(Compositions!AT128="","",(Compositions!AT128*(VLOOKUP(Compositions!AQ128,'HHV-LHV-MW'!$A$3:$F$40,6,FALSE))))</f>
        <v/>
      </c>
      <c r="NU63" s="298" t="str">
        <f>IF(Compositions!AT128="","",IF(OR(Compositions!$AT$118="wt%",Compositions!$AT$118=""),Compositions!AT128,(IF(NT63="","",((NT63/$NT$78)*100)))))</f>
        <v/>
      </c>
      <c r="NV63" s="185" t="str">
        <f>IF(NU63="","",(IF(OR(Compositions!AQ128="Hydrogen",Compositions!AQ128="Helium",Compositions!AQ128="Water",Compositions!AQ128="Carbon Monoxide",Compositions!AQ128="Nitrogen",Compositions!AQ128="Oxygen",Compositions!AQ128="Hydrogen Sulfide",Compositions!AQ128="Argon",Compositions!AQ128="Carbon Dioxide",Compositions!AQ128="Carbon Disulfide"),0,NU63)))</f>
        <v/>
      </c>
      <c r="NW63" s="187" t="str">
        <f>IF(Compositions!AT128="","",((NN63/100)*((VLOOKUP(Compositions!AQ128,'HHV-LHV-MW'!$A$3:$G$40,7,FALSE)))))</f>
        <v/>
      </c>
      <c r="NX63" s="187" t="str">
        <f>IF(NN63="","",(IF(OR(Compositions!AQ128="Hydrogen",Compositions!AQ128="Carbon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Dioxide",Compositions!AQ128="Methane",Compositions!AQ128="Ethane"),0,(NN63/100))))</f>
        <v/>
      </c>
      <c r="NY63" s="205" t="str">
        <f>IF(NN63="","",(IF(OR($NX$78=0,$NX$78=""),0,     ((VLOOKUP(Compositions!AQ128,'HHV-LHV-MW'!$A$3:$F$40,6,FALSE))*(NX63/$NX$78)))))</f>
        <v/>
      </c>
      <c r="NZ63" s="28" t="str">
        <f>IF(Compositions!AU128="","",IF(Compositions!$AU$118="mol%",Compositions!AU128,OA63))</f>
        <v/>
      </c>
      <c r="OA63" s="28" t="str">
        <f t="shared" si="56"/>
        <v/>
      </c>
      <c r="OB63" s="28" t="str">
        <f>IF(Compositions!AU128="","",(Compositions!AU128/(VLOOKUP(Compositions!AQ128,'HHV-LHV-MW'!$A$3:$F$40,6,FALSE))))</f>
        <v/>
      </c>
      <c r="OC63" s="184" t="str">
        <f>IF(NZ63="","",((VLOOKUP(Compositions!AQ128,'HHV-LHV-MW'!$A$3:$F$40,4,FALSE))*(NZ63/100)))</f>
        <v/>
      </c>
      <c r="OD63" s="184" t="str">
        <f>IF(NZ63="","",((VLOOKUP(Compositions!AQ128,'HHV-LHV-MW'!$A$3:$F$40,5,FALSE))*(NZ63/100)))</f>
        <v/>
      </c>
      <c r="OE63" s="184" t="str">
        <f>IF(NZ63="","",((VLOOKUP(Compositions!AQ128,'HHV-LHV-MW'!$A$3:$F$40,6,FALSE))*(NZ63/100)))</f>
        <v/>
      </c>
      <c r="OF63" s="184" t="str">
        <f>IF(Compositions!AU128="","",(Compositions!AU128*(VLOOKUP(Compositions!AQ128,'HHV-LHV-MW'!$A$3:$F$40,6,FALSE))))</f>
        <v/>
      </c>
      <c r="OG63" s="297" t="str">
        <f>IF(Compositions!AU128="","",IF(OR(Compositions!$AU$118="wt%",Compositions!$AU$118=""),Compositions!AU128,(IF(OF63="","",((OF63/$OF$78)*100)))))</f>
        <v/>
      </c>
      <c r="OH63" s="39" t="str">
        <f>IF(OG63="","",(IF(OR(Compositions!AQ128="Hydrogen",Compositions!AQ128="Helium",Compositions!AQ128="Water",Compositions!AQ128="Carbon Monoxide",Compositions!AQ128="Nitrogen",Compositions!AQ128="Oxygen",Compositions!AQ128="Hydrogen Sulfide",Compositions!AQ128="Argon",Compositions!AQ128="Carbon Dioxide",Compositions!AQ128="Carbon Disulfide"),0,OG63)))</f>
        <v/>
      </c>
      <c r="OI63" s="186" t="str">
        <f>IF(Compositions!AU128="","",((NZ63/100)*((VLOOKUP(Compositions!AQ128,'HHV-LHV-MW'!$A$3:$G$40,7,FALSE)))))</f>
        <v/>
      </c>
      <c r="OJ63" s="186" t="str">
        <f>IF(NZ63="","",(IF(OR(Compositions!AQ128="Hydrogen",Compositions!AQ128="Carbon Disulfide",Compositions!AQ128="Helium",Compositions!AQ128="Water",Compositions!AQ128="Carbon Monoxide",Compositions!AQ128="Nitrogen",Compositions!AQ128="Oxygen",Compositions!AQ128="Hydrogen Sulfide",Compositions!AQ128="Argon",Compositions!AQ128="Carbon Dioxide",Compositions!AQ128="Methane",Compositions!AQ128="Ethane"),0,(NZ63/100))))</f>
        <v/>
      </c>
      <c r="OK63" s="39" t="str">
        <f>IF(NZ63="","",(IF(OR($OJ$78=0,$OJ$78=""),0,     ((VLOOKUP(Compositions!AQ128,'HHV-LHV-MW'!$A$3:$F$40,6,FALSE))*(OJ63/$OJ$78)))))</f>
        <v/>
      </c>
      <c r="ON63" s="27" t="str">
        <f>IF(Compositions!AX128="","",IF(Compositions!$AX$118="mol%",Compositions!AX128,OO63))</f>
        <v/>
      </c>
      <c r="OO63" s="27" t="str">
        <f t="shared" si="57"/>
        <v/>
      </c>
      <c r="OP63" s="27" t="str">
        <f>IF(Compositions!AX128="","",(Compositions!AX128/(VLOOKUP(Compositions!AW128,'HHV-LHV-MW'!$A$3:$F$40,6,FALSE))))</f>
        <v/>
      </c>
      <c r="OQ63" s="185" t="str">
        <f>IF(ON63="","",((VLOOKUP(Compositions!AW128,'HHV-LHV-MW'!$A$3:$F$40,4,FALSE))*(ON63/100)))</f>
        <v/>
      </c>
      <c r="OR63" s="185" t="str">
        <f>IF(ON63="","",((VLOOKUP(Compositions!AW128,'HHV-LHV-MW'!$A$3:$F$40,5,FALSE))*(ON63/100)))</f>
        <v/>
      </c>
      <c r="OS63" s="185" t="str">
        <f>IF(ON63="","",((VLOOKUP(Compositions!AW128,'HHV-LHV-MW'!$A$3:$F$40,6,FALSE))*(ON63/100)))</f>
        <v/>
      </c>
      <c r="OT63" s="185" t="str">
        <f>IF(Compositions!AX128="","",(Compositions!AX128*(VLOOKUP(Compositions!AW128,'HHV-LHV-MW'!$A$3:$F$40,6,FALSE))))</f>
        <v/>
      </c>
      <c r="OU63" s="298" t="str">
        <f>IF(Compositions!AX128="","",IF(OR(Compositions!$AX$118="wt%",Compositions!$AX$118=""),Compositions!AX128,(IF(OT63="","",((OT63/$OT$78)*100)))))</f>
        <v/>
      </c>
      <c r="OV63" s="185" t="str">
        <f>IF(OU63="","",(IF(OR(Compositions!AW128="Hydrogen",Compositions!AW128="Helium",Compositions!AW128="Water",Compositions!AW128="Carbon Monoxide",Compositions!AW128="Nitrogen",Compositions!AW128="Oxygen",Compositions!AW128="Hydrogen Sulfide",Compositions!AW128="Argon",Compositions!AW128="Carbon Dioxide",Compositions!AW128="Carbon Disulfide"),0,OU63)))</f>
        <v/>
      </c>
      <c r="OW63" s="187" t="str">
        <f>IF(Compositions!AX128="","",((ON63/100)*((VLOOKUP(Compositions!AW128,'HHV-LHV-MW'!$A$3:$G$40,7,FALSE)))))</f>
        <v/>
      </c>
      <c r="OX63" s="187" t="str">
        <f>IF(ON63="","",(IF(OR(Compositions!AW128="Hydrogen",Compositions!AW128="Carbon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Dioxide",Compositions!AW128="Methane",Compositions!AW128="Ethane"),0,(ON63/100))))</f>
        <v/>
      </c>
      <c r="OY63" s="205" t="str">
        <f>IF(ON63="","",(IF(OR($OX$78=0,$OX$78=""),0,     ((VLOOKUP(Compositions!AW128,'HHV-LHV-MW'!$A$3:$F$40,6,FALSE))*(OX63/$OX$78)))))</f>
        <v/>
      </c>
      <c r="OZ63" s="28" t="str">
        <f>IF(Compositions!AY128="","",IF(Compositions!$AY$118="mol%",Compositions!AY128,PA63))</f>
        <v/>
      </c>
      <c r="PA63" s="28" t="str">
        <f t="shared" si="64"/>
        <v/>
      </c>
      <c r="PB63" s="28" t="str">
        <f>IF(Compositions!AY128="","",(Compositions!AY128/(VLOOKUP(Compositions!AW128,'HHV-LHV-MW'!$A$3:$F$40,6,FALSE))))</f>
        <v/>
      </c>
      <c r="PC63" s="184" t="str">
        <f>IF(OZ63="","",((VLOOKUP(Compositions!AW128,'HHV-LHV-MW'!$A$3:$F$40,4,FALSE))*(OZ63/100)))</f>
        <v/>
      </c>
      <c r="PD63" s="184" t="str">
        <f>IF(OZ63="","",((VLOOKUP(Compositions!AW128,'HHV-LHV-MW'!$A$3:$F$40,5,FALSE))*(OZ63/100)))</f>
        <v/>
      </c>
      <c r="PE63" s="184" t="str">
        <f>IF(OZ63="","",((VLOOKUP(Compositions!AW128,'HHV-LHV-MW'!$A$3:$F$40,6,FALSE))*(OZ63/100)))</f>
        <v/>
      </c>
      <c r="PF63" s="184" t="str">
        <f>IF(Compositions!AY128="","",(Compositions!AY128*(VLOOKUP(Compositions!AW128,'HHV-LHV-MW'!$A$3:$F$40,6,FALSE))))</f>
        <v/>
      </c>
      <c r="PG63" s="297" t="str">
        <f>IF(Compositions!AY128="","",IF(OR(Compositions!$AY$118="wt%",Compositions!$AY$118=""),Compositions!AY128,(IF(PF63="","",((PF63/$PF$78)*100)))))</f>
        <v/>
      </c>
      <c r="PH63" s="39" t="str">
        <f>IF(PG63="","",(IF(OR(Compositions!AW128="Hydrogen",Compositions!AW128="Helium",Compositions!AW128="Water",Compositions!AW128="Carbon Monoxide",Compositions!AW128="Nitrogen",Compositions!AW128="Oxygen",Compositions!AW128="Hydrogen Sulfide",Compositions!AW128="Argon",Compositions!AW128="Carbon Dioxide",Compositions!AW128="Carbon Disulfide"),0,PG63)))</f>
        <v/>
      </c>
      <c r="PI63" s="186" t="str">
        <f>IF(Compositions!AY128="","",((OZ63/100)*((VLOOKUP(Compositions!AW128,'HHV-LHV-MW'!$A$3:$G$40,7,FALSE)))))</f>
        <v/>
      </c>
      <c r="PJ63" s="186" t="str">
        <f>IF(OZ63="","",(IF(OR(Compositions!AW128="Hydrogen",Compositions!AW128="Carbon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Dioxide",Compositions!AW128="Methane",Compositions!AW128="Ethane"),0,(OZ63/100))))</f>
        <v/>
      </c>
      <c r="PK63" s="39" t="str">
        <f>IF(OZ63="","",(IF(OR($PJ$78=0,$PJ$78=""),0,     ((VLOOKUP(Compositions!AW128,'HHV-LHV-MW'!$A$3:$F$40,6,FALSE))*(PJ63/$PJ$78)))))</f>
        <v/>
      </c>
      <c r="PL63" s="27" t="str">
        <f>IF(Compositions!AZ128="","",IF(Compositions!$AZ$118="mol%",Compositions!AZ128,PM63))</f>
        <v/>
      </c>
      <c r="PM63" s="27" t="str">
        <f t="shared" si="58"/>
        <v/>
      </c>
      <c r="PN63" s="27" t="str">
        <f>IF(Compositions!AZ128="","",(Compositions!AZ128/(VLOOKUP(Compositions!AW128,'HHV-LHV-MW'!$A$3:$F$40,6,FALSE))))</f>
        <v/>
      </c>
      <c r="PO63" s="185" t="str">
        <f>IF(PL63="","",((VLOOKUP(Compositions!AW128,'HHV-LHV-MW'!$A$3:$F$40,4,FALSE))*(PL63/100)))</f>
        <v/>
      </c>
      <c r="PP63" s="185" t="str">
        <f>IF(PL63="","",((VLOOKUP(Compositions!AW128,'HHV-LHV-MW'!$A$3:$F$40,5,FALSE))*(PL63/100)))</f>
        <v/>
      </c>
      <c r="PQ63" s="185" t="str">
        <f>IF(PL63="","",((VLOOKUP(Compositions!AW128,'HHV-LHV-MW'!$A$3:$F$40,6,FALSE))*(PL63/100)))</f>
        <v/>
      </c>
      <c r="PR63" s="185" t="str">
        <f>IF(Compositions!AZ128="","",(Compositions!AZ128*(VLOOKUP(Compositions!AW128,'HHV-LHV-MW'!$A$3:$F$40,6,FALSE))))</f>
        <v/>
      </c>
      <c r="PS63" s="298" t="str">
        <f>IF(Compositions!AZ128="","",IF(OR(Compositions!$AZ$118="wt%",Compositions!$AZ$118=""),Compositions!AZ128,(IF(PR63="","",((PR63/$PR$78)*100)))))</f>
        <v/>
      </c>
      <c r="PT63" s="185" t="str">
        <f>IF(PS63="","",(IF(OR(Compositions!AW128="Hydrogen",Compositions!AW128="Helium",Compositions!AW128="Water",Compositions!AW128="Carbon Monoxide",Compositions!AW128="Nitrogen",Compositions!AW128="Oxygen",Compositions!AW128="Hydrogen Sulfide",Compositions!AW128="Argon",Compositions!AW128="Carbon Dioxide",Compositions!AW128="Carbon Disulfide"),0,PS63)))</f>
        <v/>
      </c>
      <c r="PU63" s="187" t="str">
        <f>IF(Compositions!AZ128="","",((PL63/100)*((VLOOKUP(Compositions!AW128,'HHV-LHV-MW'!$A$3:$G$40,7,FALSE)))))</f>
        <v/>
      </c>
      <c r="PV63" s="187" t="str">
        <f>IF(PL63="","",(IF(OR(Compositions!AW128="Hydrogen",Compositions!AW128="Carbon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Dioxide",Compositions!AW128="Methane",Compositions!AW128="Ethane"),0,(PL63/100))))</f>
        <v/>
      </c>
      <c r="PW63" s="205" t="str">
        <f>IF(PL63="","",(IF(OR($PV$78=0,$PV$78=""),0,     ((VLOOKUP(Compositions!AW128,'HHV-LHV-MW'!$A$3:$F$40,6,FALSE))*(PV63/$PV$78)))))</f>
        <v/>
      </c>
      <c r="PX63" s="28" t="str">
        <f>IF(Compositions!BA128="","",IF(Compositions!$BA$118="mol%",Compositions!BA128,PY63))</f>
        <v/>
      </c>
      <c r="PY63" s="28" t="str">
        <f t="shared" si="59"/>
        <v/>
      </c>
      <c r="PZ63" s="28" t="str">
        <f>IF(Compositions!BA128="","",(Compositions!BA128/(VLOOKUP(Compositions!AW128,'HHV-LHV-MW'!$A$3:$F$40,6,FALSE))))</f>
        <v/>
      </c>
      <c r="QA63" s="184" t="str">
        <f>IF(PX63="","",((VLOOKUP(Compositions!AW128,'HHV-LHV-MW'!$A$3:$F$40,4,FALSE))*(PX63/100)))</f>
        <v/>
      </c>
      <c r="QB63" s="184" t="str">
        <f>IF(PX63="","",((VLOOKUP(Compositions!AW128,'HHV-LHV-MW'!$A$3:$F$40,5,FALSE))*(PX63/100)))</f>
        <v/>
      </c>
      <c r="QC63" s="184" t="str">
        <f>IF(PX63="","",((VLOOKUP(Compositions!AW128,'HHV-LHV-MW'!$A$3:$F$40,6,FALSE))*(PX63/100)))</f>
        <v/>
      </c>
      <c r="QD63" s="184" t="str">
        <f>IF(Compositions!BA128="","",(Compositions!BA128*(VLOOKUP(Compositions!AW128,'HHV-LHV-MW'!$A$3:$F$40,6,FALSE))))</f>
        <v/>
      </c>
      <c r="QE63" s="297" t="str">
        <f>IF(Compositions!BA128="","",IF(OR(Compositions!$BA$118="wt%",Compositions!$BA$118=""),Compositions!BA128,(IF(QD63="","",((QD63/$QD$78)*100)))))</f>
        <v/>
      </c>
      <c r="QF63" s="39" t="str">
        <f>IF(QE63="","",(IF(OR(Compositions!AW128="Hydrogen",Compositions!AW128="Helium",Compositions!AW128="Water",Compositions!AW128="Carbon Monoxide",Compositions!AW128="Nitrogen",Compositions!AW128="Oxygen",Compositions!AW128="Hydrogen Sulfide",Compositions!AW128="Argon",Compositions!AW128="Carbon Dioxide",Compositions!AW128="Carbon Disulfide"),0,QE63)))</f>
        <v/>
      </c>
      <c r="QG63" s="186" t="str">
        <f>IF(Compositions!BA128="","",((PX63/100)*((VLOOKUP(Compositions!AW128,'HHV-LHV-MW'!$A$3:$G$40,7,FALSE)))))</f>
        <v/>
      </c>
      <c r="QH63" s="186" t="str">
        <f>IF(PX63="","",(IF(OR(Compositions!AW128="Hydrogen",Compositions!AW128="Carbon Disulfide",Compositions!AW128="Helium",Compositions!AW128="Water",Compositions!AW128="Carbon Monoxide",Compositions!AW128="Nitrogen",Compositions!AW128="Oxygen",Compositions!AW128="Hydrogen Sulfide",Compositions!AW128="Argon",Compositions!AW128="Carbon Dioxide",Compositions!AW128="Methane",Compositions!AW128="Ethane"),0,(PX63/100))))</f>
        <v/>
      </c>
      <c r="QI63" s="39" t="str">
        <f>IF(PX63="","",(IF(OR($QH$78=0,$QH$78=""),0,     ((VLOOKUP(Compositions!AW128,'HHV-LHV-MW'!$A$3:$F$40,6,FALSE))*(QH63/$QH$78)))))</f>
        <v/>
      </c>
      <c r="QK63" s="27" t="str">
        <f>IF(Compositions!BD128="","",IF(Compositions!$BD$118="mol%",Compositions!BD128,QL63))</f>
        <v/>
      </c>
      <c r="QL63" s="27" t="str">
        <f t="shared" si="60"/>
        <v/>
      </c>
      <c r="QM63" s="27" t="str">
        <f>IF(Compositions!BD128="","",(Compositions!BD128/(VLOOKUP(Compositions!BC128,'HHV-LHV-MW'!$A$3:$F$40,6,FALSE))))</f>
        <v/>
      </c>
      <c r="QN63" s="185" t="str">
        <f>IF(QK63="","",((VLOOKUP(Compositions!BC128,'HHV-LHV-MW'!$A$3:$F$40,4,FALSE))*(QK63/100)))</f>
        <v/>
      </c>
      <c r="QO63" s="185" t="str">
        <f>IF(QK63="","",((VLOOKUP(Compositions!BC128,'HHV-LHV-MW'!$A$3:$F$40,5,FALSE))*(QK63/100)))</f>
        <v/>
      </c>
      <c r="QP63" s="185" t="str">
        <f>IF(QK63="","",((VLOOKUP(Compositions!BC128,'HHV-LHV-MW'!$A$3:$F$40,6,FALSE))*(QK63/100)))</f>
        <v/>
      </c>
      <c r="QQ63" s="185" t="str">
        <f>IF(Compositions!BD128="","",(Compositions!BD128*(VLOOKUP(Compositions!BC128,'HHV-LHV-MW'!$A$3:$F$40,6,FALSE))))</f>
        <v/>
      </c>
      <c r="QR63" s="298" t="str">
        <f>IF(Compositions!BD128="","",IF(OR(Compositions!$BD$118="wt%",Compositions!$BD$118=""),Compositions!BD128,(IF(QQ63="","",((QQ63/$QQ$78)*100)))))</f>
        <v/>
      </c>
      <c r="QS63" s="185" t="str">
        <f>IF(QR63="","",(IF(OR(Compositions!BC128="Hydrogen",Compositions!BC128="Helium",Compositions!BC128="Water",Compositions!BC128="Carbon Monoxide",Compositions!BC128="Nitrogen",Compositions!BC128="Oxygen",Compositions!BC128="Hydrogen Sulfide",Compositions!BC128="Argon",Compositions!BC128="Carbon Dioxide",Compositions!BC128="Carbon Disulfide"),0,QR63)))</f>
        <v/>
      </c>
      <c r="QT63" s="187" t="str">
        <f>IF(Compositions!BD128="","",((QK63/100)*((VLOOKUP(Compositions!BC128,'HHV-LHV-MW'!$A$3:$G$40,7,FALSE)))))</f>
        <v/>
      </c>
      <c r="QU63" s="187" t="str">
        <f>IF(QK63="","",(IF(OR(Compositions!BC128="Hydrogen",Compositions!BC128="Carbon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Dioxide",Compositions!BC128="Methane",Compositions!BC128="Ethane"),0,(QK63/100))))</f>
        <v/>
      </c>
      <c r="QV63" s="205" t="str">
        <f>IF(QK63="","",(IF(OR($QU$78=0,$QU$78=""),0,     ((VLOOKUP(Compositions!BC128,'HHV-LHV-MW'!$A$3:$F$40,6,FALSE))*(QU63/$QU$78)))))</f>
        <v/>
      </c>
      <c r="QW63" s="28" t="str">
        <f>IF(Compositions!BE128="","",IF(Compositions!$BE$118="mol%",Compositions!BE128,QX63))</f>
        <v/>
      </c>
      <c r="QX63" s="28" t="str">
        <f t="shared" si="61"/>
        <v/>
      </c>
      <c r="QY63" s="28" t="str">
        <f>IF(Compositions!BE128="","",(Compositions!BE128/(VLOOKUP(Compositions!BC128,'HHV-LHV-MW'!$A$3:$F$40,6,FALSE))))</f>
        <v/>
      </c>
      <c r="QZ63" s="184" t="str">
        <f>IF(QW63="","",((VLOOKUP(Compositions!BC128,'HHV-LHV-MW'!$A$3:$F$40,4,FALSE))*(QW63/100)))</f>
        <v/>
      </c>
      <c r="RA63" s="184" t="str">
        <f>IF(QW63="","",((VLOOKUP(Compositions!BC128,'HHV-LHV-MW'!$A$3:$F$40,5,FALSE))*(QW63/100)))</f>
        <v/>
      </c>
      <c r="RB63" s="184" t="str">
        <f>IF(QW63="","",((VLOOKUP(Compositions!BC128,'HHV-LHV-MW'!$A$3:$F$40,6,FALSE))*(QW63/100)))</f>
        <v/>
      </c>
      <c r="RC63" s="184" t="str">
        <f>IF(Compositions!BE128="","",(Compositions!BE128*(VLOOKUP(Compositions!BC128,'HHV-LHV-MW'!$A$3:$F$40,6,FALSE))))</f>
        <v/>
      </c>
      <c r="RD63" s="297" t="str">
        <f>IF(Compositions!BE128="","",IF(OR(Compositions!$BE$118="wt%",Compositions!$BE$118=""),Compositions!BE128,(IF(RC63="","",((RC63/$RC$78)*100)))))</f>
        <v/>
      </c>
      <c r="RE63" s="39" t="str">
        <f>IF(RD63="","",(IF(OR(Compositions!BC128="Hydrogen",Compositions!BC128="Helium",Compositions!BC128="Water",Compositions!BC128="Carbon Monoxide",Compositions!BC128="Nitrogen",Compositions!BC128="Oxygen",Compositions!BC128="Hydrogen Sulfide",Compositions!BC128="Argon",Compositions!BC128="Carbon Dioxide",Compositions!BC128="Carbon Disulfide"),0,RD63)))</f>
        <v/>
      </c>
      <c r="RF63" s="186" t="str">
        <f>IF(Compositions!BE128="","",((QW63/100)*((VLOOKUP(Compositions!BC128,'HHV-LHV-MW'!$A$3:$G$40,7,FALSE)))))</f>
        <v/>
      </c>
      <c r="RG63" s="186" t="str">
        <f>IF(QW63="","",(IF(OR(Compositions!BC128="Hydrogen",Compositions!BC128="Carbon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Dioxide",Compositions!BC128="Methane",Compositions!BC128="Ethane"),0,(QW63/100))))</f>
        <v/>
      </c>
      <c r="RH63" s="39" t="str">
        <f>IF(QW63="","",(IF(OR($RG$78=0,$RG$78=""),0,     ((VLOOKUP(Compositions!BC128,'HHV-LHV-MW'!$A$3:$F$40,6,FALSE))*(RG63/$RG$78)))))</f>
        <v/>
      </c>
      <c r="RI63" s="27" t="str">
        <f>IF(Compositions!BF128="","",IF(Compositions!$BF$118="mol%",Compositions!BF128,RJ63))</f>
        <v/>
      </c>
      <c r="RJ63" s="27" t="str">
        <f t="shared" si="62"/>
        <v/>
      </c>
      <c r="RK63" s="27" t="str">
        <f>IF(Compositions!BF128="","",(Compositions!BF128/(VLOOKUP(Compositions!BC128,'HHV-LHV-MW'!$A$3:$F$40,6,FALSE))))</f>
        <v/>
      </c>
      <c r="RL63" s="185" t="str">
        <f>IF(RI63="","",((VLOOKUP(Compositions!BC128,'HHV-LHV-MW'!$A$3:$F$40,4,FALSE))*(RI63/100)))</f>
        <v/>
      </c>
      <c r="RM63" s="185" t="str">
        <f>IF(RI63="","",((VLOOKUP(Compositions!BC128,'HHV-LHV-MW'!$A$3:$F$40,5,FALSE))*(RI63/100)))</f>
        <v/>
      </c>
      <c r="RN63" s="185" t="str">
        <f>IF(RI63="","",((VLOOKUP(Compositions!BC128,'HHV-LHV-MW'!$A$3:$F$40,6,FALSE))*(RI63/100)))</f>
        <v/>
      </c>
      <c r="RO63" s="185" t="str">
        <f>IF(Compositions!BF128="","",(Compositions!BF128*(VLOOKUP(Compositions!BC128,'HHV-LHV-MW'!$A$3:$F$40,6,FALSE))))</f>
        <v/>
      </c>
      <c r="RP63" s="298" t="str">
        <f>IF(Compositions!BF128="","",IF(OR(Compositions!$BF$118="wt%",Compositions!$BF$118=""),Compositions!BF128,(IF(RO63="","",((RO63/$RO$78)*100)))))</f>
        <v/>
      </c>
      <c r="RQ63" s="185" t="str">
        <f>IF(RP63="","",(IF(OR(Compositions!BC128="Hydrogen",Compositions!BC128="Helium",Compositions!BC128="Water",Compositions!BC128="Carbon Monoxide",Compositions!BC128="Nitrogen",Compositions!BC128="Oxygen",Compositions!BC128="Hydrogen Sulfide",Compositions!BC128="Argon",Compositions!BC128="Carbon Dioxide",Compositions!BC128="Carbon Disulfide"),0,RP63)))</f>
        <v/>
      </c>
      <c r="RR63" s="187" t="str">
        <f>IF(Compositions!BF128="","",((RI63/100)*((VLOOKUP(Compositions!BC128,'HHV-LHV-MW'!$A$3:$G$40,7,FALSE)))))</f>
        <v/>
      </c>
      <c r="RS63" s="187" t="str">
        <f>IF(RI63="","",(IF(OR(Compositions!BC128="Hydrogen",Compositions!BC128="Carbon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Dioxide",Compositions!BC128="Methane",Compositions!BC128="Ethane"),0,(RI63/100))))</f>
        <v/>
      </c>
      <c r="RT63" s="205" t="str">
        <f>IF(RI63="","",(IF(OR($RS$78=0,$RS$78=""),0,     ((VLOOKUP(Compositions!BC128,'HHV-LHV-MW'!$A$3:$F$40,6,FALSE))*(RS63/$RS$78)))))</f>
        <v/>
      </c>
      <c r="RU63" s="28" t="str">
        <f>IF(Compositions!BG128="","",IF(Compositions!$BG$118="mol%",Compositions!BG128,RV63))</f>
        <v/>
      </c>
      <c r="RV63" s="28" t="str">
        <f t="shared" si="63"/>
        <v/>
      </c>
      <c r="RW63" s="28" t="str">
        <f>IF(Compositions!BG128="","",(Compositions!BG128/(VLOOKUP(Compositions!BC128,'HHV-LHV-MW'!$A$3:$F$40,6,FALSE))))</f>
        <v/>
      </c>
      <c r="RX63" s="184" t="str">
        <f>IF(RU63="","",((VLOOKUP(Compositions!BC128,'HHV-LHV-MW'!$A$3:$F$40,4,FALSE))*(RU63/100)))</f>
        <v/>
      </c>
      <c r="RY63" s="184" t="str">
        <f>IF(RU63="","",((VLOOKUP(Compositions!BC128,'HHV-LHV-MW'!$A$3:$F$40,5,FALSE))*(RU63/100)))</f>
        <v/>
      </c>
      <c r="RZ63" s="184" t="str">
        <f>IF(RU63="","",((VLOOKUP(Compositions!BC128,'HHV-LHV-MW'!$A$3:$F$40,6,FALSE))*(RU63/100)))</f>
        <v/>
      </c>
      <c r="SA63" s="184" t="str">
        <f>IF(Compositions!BG128="","",(Compositions!BG128*(VLOOKUP(Compositions!BC128,'HHV-LHV-MW'!$A$3:$F$40,6,FALSE))))</f>
        <v/>
      </c>
      <c r="SB63" s="297" t="str">
        <f>IF(Compositions!BG128="","",IF(OR(Compositions!$BG$118="wt%",Compositions!$BG$118=""),Compositions!BG128,(IF(SA63="","",((SA63/$SA$78)*100)))))</f>
        <v/>
      </c>
      <c r="SC63" s="39" t="str">
        <f>IF(SB63="","",(IF(OR(Compositions!BC128="Hydrogen",Compositions!BC128="Helium",Compositions!BC128="Water",Compositions!BC128="Carbon Monoxide",Compositions!BC128="Nitrogen",Compositions!BC128="Oxygen",Compositions!BC128="Hydrogen Sulfide",Compositions!BC128="Argon",Compositions!BC128="Carbon Dioxide",Compositions!BC128="Carbon Disulfide"),0,SB63)))</f>
        <v/>
      </c>
      <c r="SD63" s="186" t="str">
        <f>IF(Compositions!BG128="","",((RU63/100)*((VLOOKUP(Compositions!BC128,'HHV-LHV-MW'!$A$3:$G$40,7,FALSE)))))</f>
        <v/>
      </c>
      <c r="SE63" s="186" t="str">
        <f>IF(RU63="","",(IF(OR(Compositions!BC128="Hydrogen",Compositions!BC128="Carbon Disulfide",Compositions!BC128="Helium",Compositions!BC128="Water",Compositions!BC128="Carbon Monoxide",Compositions!BC128="Nitrogen",Compositions!BC128="Oxygen",Compositions!BC128="Hydrogen Sulfide",Compositions!BC128="Argon",Compositions!BC128="Carbon Dioxide",Compositions!BC128="Methane",Compositions!BC128="Ethane"),0,(RU63/100))))</f>
        <v/>
      </c>
      <c r="SF63" s="39" t="str">
        <f>IF(RU63="","",(IF(OR($SE$78=0,$SE$78=""),0,     ((VLOOKUP(Compositions!BC128,'HHV-LHV-MW'!$A$3:$F$40,6,FALSE))*(SE63/$SE$78)))))</f>
        <v/>
      </c>
    </row>
    <row r="64" spans="1:500" ht="15.6">
      <c r="A64" s="173" t="s">
        <v>193</v>
      </c>
      <c r="B64" s="19" t="s">
        <v>192</v>
      </c>
      <c r="C64" s="20">
        <v>6</v>
      </c>
      <c r="D64" s="20">
        <v>4.1143000000000001</v>
      </c>
      <c r="E64" s="20">
        <v>3.8872</v>
      </c>
      <c r="F64" s="20">
        <v>86.177160000000001</v>
      </c>
      <c r="G64" s="20">
        <v>0</v>
      </c>
      <c r="H64" s="170"/>
      <c r="I64" s="170"/>
      <c r="K64" s="27" t="str">
        <f>IF(Compositions!B129="","",IF(Compositions!$B$118="mol%",Compositions!B129,L64))</f>
        <v/>
      </c>
      <c r="L64" s="27" t="str">
        <f t="shared" si="25"/>
        <v/>
      </c>
      <c r="M64" s="27" t="str">
        <f>IF(Compositions!B129="","",(Compositions!B129/(VLOOKUP(Compositions!A129,'HHV-LHV-MW'!$A$3:$F$40,6,FALSE))))</f>
        <v/>
      </c>
      <c r="N64" s="25" t="str">
        <f>IF(K64="","",((VLOOKUP(Compositions!A129,'HHV-LHV-MW'!$A$3:$F$40,4,FALSE))*(K64/100)))</f>
        <v/>
      </c>
      <c r="O64" s="25" t="str">
        <f>IF(K64="","",((VLOOKUP(Compositions!A129,'HHV-LHV-MW'!$A$3:$F$40,5,FALSE))*(K64/100)))</f>
        <v/>
      </c>
      <c r="P64" s="25" t="str">
        <f>IF(K64="","",((VLOOKUP(Compositions!A129,'HHV-LHV-MW'!$A$3:$F$40,6,FALSE))*(K64/100)))</f>
        <v/>
      </c>
      <c r="Q64" s="25" t="str">
        <f>IF(Compositions!B129="","",(Compositions!B129*(VLOOKUP(Compositions!A129,'HHV-LHV-MW'!$A$3:$F$40,6,FALSE))))</f>
        <v/>
      </c>
      <c r="R64" s="188" t="str">
        <f>IF(Compositions!B129="","",IF(OR(Compositions!$B$118="wt%",Compositions!$B$118=""),Compositions!B129,(IF(Q64="","",((Q64/$Q$78)*100)))))</f>
        <v/>
      </c>
      <c r="S64" s="185" t="str">
        <f>IF(R64="","",(IF(OR(Compositions!A129="Hydrogen",Compositions!A129="Helium",Compositions!A129="Water",Compositions!A129="Carbon Monoxide",Compositions!A129="Nitrogen",Compositions!A129="Oxygen",Compositions!A129="Hydrogen Sulfide",Compositions!A129="Argon",Compositions!A129="Carbon Dioxide",Compositions!A129="Carbon Disulfide"),0,R64)))</f>
        <v/>
      </c>
      <c r="T64" s="169" t="str">
        <f>IF(Compositions!B129="","",((K64/100)*((VLOOKUP(Compositions!A129,'HHV-LHV-MW'!$A$3:$G$40,7,FALSE)))))</f>
        <v/>
      </c>
      <c r="U64" s="187" t="str">
        <f>IF(K64="","",(IF(OR(Compositions!A129="Hydrogen",Compositions!A129="Carbon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Dioxide",Compositions!A129="Methane",Compositions!A129="Ethane"),0,(K64/100))))</f>
        <v/>
      </c>
      <c r="V64" s="188" t="str">
        <f>IF(K64="","", (IF(OR($U$78=0,$U$78=""),0,((VLOOKUP(Compositions!A129,'HHV-LHV-MW'!$A$3:$F$40,6,FALSE))*(U64/$U$78))   ))   )</f>
        <v/>
      </c>
      <c r="W64" s="28" t="str">
        <f>IF(Compositions!C129="","",IF(Compositions!$C$118="mol%",Compositions!C129,X64))</f>
        <v/>
      </c>
      <c r="X64" s="28" t="str">
        <f t="shared" si="26"/>
        <v/>
      </c>
      <c r="Y64" s="28" t="str">
        <f>IF(Compositions!C129="","",(Compositions!C129/(VLOOKUP(Compositions!A129,'HHV-LHV-MW'!$A$3:$F$40,6,FALSE))))</f>
        <v/>
      </c>
      <c r="Z64" s="26" t="str">
        <f>IF(W64="","",((VLOOKUP(Compositions!A129,'HHV-LHV-MW'!$A$3:$F$40,4,FALSE))*(W64/100)))</f>
        <v/>
      </c>
      <c r="AA64" s="26" t="str">
        <f>IF(W64="","",((VLOOKUP(Compositions!A129,'HHV-LHV-MW'!$A$3:$F$40,5,FALSE))*(W64/100)))</f>
        <v/>
      </c>
      <c r="AB64" s="26" t="str">
        <f>IF(W64="","",((VLOOKUP(Compositions!A129,'HHV-LHV-MW'!$A$3:$F$40,6,FALSE))*(W64/100)))</f>
        <v/>
      </c>
      <c r="AC64" s="26" t="str">
        <f>IF(Compositions!C129="","",(Compositions!C129*(VLOOKUP(Compositions!A129,'HHV-LHV-MW'!$A$3:$F$40,6,FALSE))))</f>
        <v/>
      </c>
      <c r="AD64" s="296" t="str">
        <f>IF(Compositions!C129="","",IF(OR(Compositions!$C$118="wt%",Compositions!$C$118=""),Compositions!C129,(IF(AC64="","",((AC64/$AC$78)*100)))))</f>
        <v/>
      </c>
      <c r="AE64" s="39" t="str">
        <f>IF(AD64="","",(IF(OR(Compositions!A129="Hydrogen",Compositions!A129="Helium",Compositions!A129="Water",Compositions!A129="Carbon Monoxide",Compositions!A129="Nitrogen",Compositions!A129="Oxygen",Compositions!A129="Hydrogen Sulfide",Compositions!A129="Argon",Compositions!A129="Carbon Dioxide",Compositions!A129="Carbon Disulfide"),0,AD64)))</f>
        <v/>
      </c>
      <c r="AF64" s="186" t="str">
        <f>IF(Compositions!C129="","",((W64/100)*((VLOOKUP(Compositions!A129,'HHV-LHV-MW'!$A$3:$G$40,7,FALSE)))))</f>
        <v/>
      </c>
      <c r="AG64" s="186" t="str">
        <f>IF(W64="","",(IF(OR(Compositions!A129="Hydrogen",Compositions!A129="Carbon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Dioxide",Compositions!A129="Methane",Compositions!A129="Ethane"),0,(W64/100))))</f>
        <v/>
      </c>
      <c r="AH64" s="39" t="str">
        <f>IF(W64="","", (IF(OR($AG$78=0,$AG$78=""),0,   ((VLOOKUP(Compositions!A129,'HHV-LHV-MW'!$A$3:$F$40,6,FALSE))*(AG64/$AG$78)))))</f>
        <v/>
      </c>
      <c r="AI64" s="27" t="str">
        <f>IF(Compositions!D129="","",IF(Compositions!$D$118="mol%",Compositions!D129,AJ64))</f>
        <v/>
      </c>
      <c r="AJ64" s="27" t="str">
        <f t="shared" si="27"/>
        <v/>
      </c>
      <c r="AK64" s="27" t="str">
        <f>IF(Compositions!D129="","",(Compositions!D129/(VLOOKUP(Compositions!A129,'HHV-LHV-MW'!$A$3:$F$40,6,FALSE))))</f>
        <v/>
      </c>
      <c r="AL64" s="25" t="str">
        <f>IF(AI64="","",((VLOOKUP(Compositions!A129,'HHV-LHV-MW'!$A$3:$F$40,4,FALSE))*(AI64/100)))</f>
        <v/>
      </c>
      <c r="AM64" s="25" t="str">
        <f>IF(AI64="","",((VLOOKUP(Compositions!A129,'HHV-LHV-MW'!$A$3:$F$40,5,FALSE))*(AI64/100)))</f>
        <v/>
      </c>
      <c r="AN64" s="25" t="str">
        <f>IF(AI64="","",((VLOOKUP(Compositions!A129,'HHV-LHV-MW'!$A$3:$F$40,6,FALSE))*(AI64/100)))</f>
        <v/>
      </c>
      <c r="AO64" s="25" t="str">
        <f>IF(Compositions!D129="","",(Compositions!D129*(VLOOKUP(Compositions!A129,'HHV-LHV-MW'!$A$3:$F$40,6,FALSE))))</f>
        <v/>
      </c>
      <c r="AP64" s="295" t="str">
        <f>IF(Compositions!D129="","",IF(OR(Compositions!$D$118="wt%",Compositions!$D$118=""),Compositions!D129,(IF(AO64="","",((AO64/$AO$78)*100)))))</f>
        <v/>
      </c>
      <c r="AQ64" s="185" t="str">
        <f>IF(AP64="","",(IF(OR(Compositions!A129="Hydrogen",Compositions!A129="Helium",Compositions!A129="Water",Compositions!A129="Carbon Monoxide",Compositions!A129="Nitrogen",Compositions!A129="Oxygen",Compositions!A129="Hydrogen Sulfide",Compositions!A129="Argon",Compositions!A129="Carbon Dioxide",Compositions!A129="Carbon Disulfide"),0,AP64)))</f>
        <v/>
      </c>
      <c r="AR64" s="187" t="str">
        <f>IF(Compositions!D129="","",((AI64/100)*((VLOOKUP(Compositions!A129,'HHV-LHV-MW'!$A$3:$G$40,7,FALSE)))))</f>
        <v/>
      </c>
      <c r="AS64" s="187" t="str">
        <f>IF(AI64="","",(IF(OR(Compositions!A129="Hydrogen",Compositions!A129="Carbon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Dioxide",Compositions!A129="Methane",Compositions!A129="Ethane"),0,(AI64/100))))</f>
        <v/>
      </c>
      <c r="AT64" s="205" t="str">
        <f>IF(AI64="","",(IF(OR($AS$78=0,$AS$78=""),0,      ((VLOOKUP(Compositions!A129,'HHV-LHV-MW'!$A$3:$F$40,6,FALSE))*(AS64/$AS$78)))))</f>
        <v/>
      </c>
      <c r="AU64" s="28" t="str">
        <f>IF(Compositions!E129="","",IF(Compositions!$E$118="mol%",Compositions!E129,AV64))</f>
        <v/>
      </c>
      <c r="AV64" s="28" t="str">
        <f t="shared" si="28"/>
        <v/>
      </c>
      <c r="AW64" s="28" t="str">
        <f>IF(Compositions!E129="","",(Compositions!E129/(VLOOKUP(Compositions!A129,'HHV-LHV-MW'!$A$3:$F$40,6,FALSE))))</f>
        <v/>
      </c>
      <c r="AX64" s="26" t="str">
        <f>IF(AU64="","",((VLOOKUP(Compositions!A129,'HHV-LHV-MW'!$A$3:$F$40,4,FALSE))*(AU64/100)))</f>
        <v/>
      </c>
      <c r="AY64" s="26" t="str">
        <f>IF(AU64="","",((VLOOKUP(Compositions!A129,'HHV-LHV-MW'!$A$3:$F$40,5,FALSE))*(AU64/100)))</f>
        <v/>
      </c>
      <c r="AZ64" s="26" t="str">
        <f>IF(AU64="","",((VLOOKUP(Compositions!A129,'HHV-LHV-MW'!$A$3:$F$40,6,FALSE))*(AU64/100)))</f>
        <v/>
      </c>
      <c r="BA64" s="26" t="str">
        <f>IF(Compositions!E129="","",(Compositions!E129*(VLOOKUP(Compositions!A129,'HHV-LHV-MW'!$A$3:$F$40,6,FALSE))))</f>
        <v/>
      </c>
      <c r="BB64" s="296" t="str">
        <f>IF(Compositions!E129="","",IF(OR(Compositions!$E$118="wt%",Compositions!$E$118=""),Compositions!E129,(IF(BA64="","",((BA64/$BA$78)*100)))))</f>
        <v/>
      </c>
      <c r="BC64" s="39" t="str">
        <f>IF(BB64="","",(IF(OR(Compositions!A129="Hydrogen",Compositions!A129="Helium",Compositions!A129="Water",Compositions!A129="Carbon Monoxide",Compositions!A129="Nitrogen",Compositions!A129="Oxygen",Compositions!A129="Hydrogen Sulfide",Compositions!A129="Argon",Compositions!A129="Carbon Dioxide",Compositions!A129="Carbon Disulfide"),0,BB64)))</f>
        <v/>
      </c>
      <c r="BD64" s="186" t="str">
        <f>IF(Compositions!E129="","",((AU64/100)*((VLOOKUP(Compositions!A129,'HHV-LHV-MW'!$A$3:$G$40,7,FALSE)))))</f>
        <v/>
      </c>
      <c r="BE64" s="186" t="str">
        <f>IF(AU64="","",(IF(OR(Compositions!A129="Hydrogen",Compositions!A129="Carbon Disulfide",Compositions!A129="Helium",Compositions!A129="Water",Compositions!A129="Carbon Monoxide",Compositions!A129="Nitrogen",Compositions!A129="Oxygen",Compositions!A129="Hydrogen Sulfide",Compositions!A129="Argon",Compositions!A129="Carbon Dioxide",Compositions!A129="Methane",Compositions!A129="Ethane"),0,(AU64/100))))</f>
        <v/>
      </c>
      <c r="BF64" s="39" t="str">
        <f>IF(AU64="","",(IF(OR($BE$78=0,$BE$78=""),0,     ((VLOOKUP(Compositions!A129,'HHV-LHV-MW'!$A$3:$F$40,6,FALSE))*(BE64/$BE$78)))))</f>
        <v/>
      </c>
      <c r="BH64" s="27" t="str">
        <f>IF(Compositions!H129="","",IF(Compositions!$H$118="mol%",Compositions!H129,BI64))</f>
        <v/>
      </c>
      <c r="BI64" s="27" t="str">
        <f t="shared" si="29"/>
        <v/>
      </c>
      <c r="BJ64" s="27" t="str">
        <f>IF(Compositions!H129="","",(Compositions!H129/(VLOOKUP(Compositions!G129,'HHV-LHV-MW'!$A$3:$F$40,6,FALSE))))</f>
        <v/>
      </c>
      <c r="BK64" s="25" t="str">
        <f>IF(BH64="","",((VLOOKUP(Compositions!G129,'HHV-LHV-MW'!$A$3:$F$40,4,FALSE))*(BH64/100)))</f>
        <v/>
      </c>
      <c r="BL64" s="25" t="str">
        <f>IF(BH64="","",((VLOOKUP(Compositions!G129,'HHV-LHV-MW'!$A$3:$F$40,5,FALSE))*(BH64/100)))</f>
        <v/>
      </c>
      <c r="BM64" s="25" t="str">
        <f>IF(BH64="","",((VLOOKUP(Compositions!G129,'HHV-LHV-MW'!$A$3:$F$40,6,FALSE))*(BH64/100)))</f>
        <v/>
      </c>
      <c r="BN64" s="25" t="str">
        <f>IF(Compositions!H129="","",(Compositions!H129*(VLOOKUP(Compositions!G129,'HHV-LHV-MW'!$A$3:$F$40,6,FALSE))))</f>
        <v/>
      </c>
      <c r="BO64" s="295" t="str">
        <f>IF(Compositions!H129="","",IF(OR(Compositions!$H$118="wt%",Compositions!$H$118=""),Compositions!H129,(IF(BN64="","",((BN64/$BN$78)*100)))))</f>
        <v/>
      </c>
      <c r="BP64" s="185" t="str">
        <f>IF(BO64="","",(IF(OR(Compositions!G129="Hydrogen",Compositions!G129="Helium",Compositions!G129="Water",Compositions!G129="Carbon Monoxide",Compositions!G129="Nitrogen",Compositions!G129="Oxygen",Compositions!G129="Hydrogen Sulfide",Compositions!G129="Argon",Compositions!G129="Carbon Dioxide",Compositions!G129="Carbon Disulfide"),0,BO64)))</f>
        <v/>
      </c>
      <c r="BQ64" s="187" t="str">
        <f>IF(Compositions!H129="","",((BH64/100)*((VLOOKUP(Compositions!G129,'HHV-LHV-MW'!$A$3:$G$40,7,FALSE)))))</f>
        <v/>
      </c>
      <c r="BR64" s="187" t="str">
        <f>IF(BH64="","",(IF(OR(Compositions!G129="Hydrogen",Compositions!G129="Carbon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Dioxide",Compositions!G129="Methane",Compositions!G129="Ethane"),0,(BH64/100))))</f>
        <v/>
      </c>
      <c r="BS64" s="205" t="str">
        <f>IF(BH64="","",(IF(OR($BR$78=0,$BR$78=""),0,    ((VLOOKUP(Compositions!G129,'HHV-LHV-MW'!$A$3:$F$40,6,FALSE))*(BR64/$BR$78)))))</f>
        <v/>
      </c>
      <c r="BT64" s="28" t="str">
        <f>IF(Compositions!I129="","",IF(Compositions!$I$118="mol%",Compositions!I129,BU64))</f>
        <v/>
      </c>
      <c r="BU64" s="28" t="str">
        <f t="shared" si="30"/>
        <v/>
      </c>
      <c r="BV64" s="28" t="str">
        <f>IF(Compositions!I129="","",(Compositions!I129/(VLOOKUP(Compositions!G129,'HHV-LHV-MW'!$A$3:$F$40,6,FALSE))))</f>
        <v/>
      </c>
      <c r="BW64" s="26" t="str">
        <f>IF(BT64="","",((VLOOKUP(Compositions!G129,'HHV-LHV-MW'!$A$3:$F$40,4,FALSE))*(BT64/100)))</f>
        <v/>
      </c>
      <c r="BX64" s="26" t="str">
        <f>IF(BT64="","",((VLOOKUP(Compositions!G129,'HHV-LHV-MW'!$A$3:$F$40,5,FALSE))*(BT64/100)))</f>
        <v/>
      </c>
      <c r="BY64" s="26" t="str">
        <f>IF(BT64="","",((VLOOKUP(Compositions!G129,'HHV-LHV-MW'!$A$3:$F$40,6,FALSE))*(BT64/100)))</f>
        <v/>
      </c>
      <c r="BZ64" s="26" t="str">
        <f>IF(Compositions!I129="","",(Compositions!I129*(VLOOKUP(Compositions!G129,'HHV-LHV-MW'!$A$3:$F$40,6,FALSE))))</f>
        <v/>
      </c>
      <c r="CA64" s="296" t="str">
        <f>IF(Compositions!I129="","",IF(OR(Compositions!$I$118="wt%",Compositions!$I$118=""),Compositions!I129,(IF(BZ64="","",((BZ64/$BZ$78)*100)))))</f>
        <v/>
      </c>
      <c r="CB64" s="39" t="str">
        <f>IF(CA64="","",(IF(OR(Compositions!G129="Hydrogen",Compositions!G129="Helium",Compositions!G129="Water",Compositions!G129="Carbon Monoxide",Compositions!G129="Nitrogen",Compositions!G129="Oxygen",Compositions!G129="Hydrogen Sulfide",Compositions!G129="Argon",Compositions!G129="Carbon Dioxide",Compositions!G129="Carbon Disulfide"),0,CA64)))</f>
        <v/>
      </c>
      <c r="CC64" s="186" t="str">
        <f>IF(Compositions!I129="","",((BT64/100)*((VLOOKUP(Compositions!G129,'HHV-LHV-MW'!$A$3:$G$40,7,FALSE)))))</f>
        <v/>
      </c>
      <c r="CD64" s="186" t="str">
        <f>IF(BT64="","",(IF(OR(Compositions!G129="Hydrogen",Compositions!G129="Carbon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Dioxide",Compositions!G129="Methane",Compositions!G129="Ethane"),0,(BT64/100))))</f>
        <v/>
      </c>
      <c r="CE64" s="39" t="str">
        <f>IF(BT64="","",(IF(OR($CD$78=0,$CD$78=""),0,       ((VLOOKUP(Compositions!G129,'HHV-LHV-MW'!$A$3:$F$40,6,FALSE))*(CD64/$CD$78)))))</f>
        <v/>
      </c>
      <c r="CF64" s="27" t="str">
        <f>IF(Compositions!J129="","",IF(Compositions!$J$118="mol%",Compositions!J129,CG64))</f>
        <v/>
      </c>
      <c r="CG64" s="27" t="str">
        <f t="shared" si="31"/>
        <v/>
      </c>
      <c r="CH64" s="27" t="str">
        <f>IF(Compositions!J129="","",(Compositions!J129/(VLOOKUP(Compositions!G129,'HHV-LHV-MW'!$A$3:$F$40,6,FALSE))))</f>
        <v/>
      </c>
      <c r="CI64" s="25" t="str">
        <f>IF(CF64="","",((VLOOKUP(Compositions!G129,'HHV-LHV-MW'!$A$3:$F$40,4,FALSE))*(CF64/100)))</f>
        <v/>
      </c>
      <c r="CJ64" s="25" t="str">
        <f>IF(CF64="","",((VLOOKUP(Compositions!G129,'HHV-LHV-MW'!$A$3:$F$40,5,FALSE))*(CF64/100)))</f>
        <v/>
      </c>
      <c r="CK64" s="25" t="str">
        <f>IF(CF64="","",((VLOOKUP(Compositions!G129,'HHV-LHV-MW'!$A$3:$F$40,6,FALSE))*(CF64/100)))</f>
        <v/>
      </c>
      <c r="CL64" s="25" t="str">
        <f>IF(Compositions!J129="","",(Compositions!J129*(VLOOKUP(Compositions!G129,'HHV-LHV-MW'!$A$3:$F$40,6,FALSE))))</f>
        <v/>
      </c>
      <c r="CM64" s="295" t="str">
        <f>IF(Compositions!J129="","",IF(OR(Compositions!$J$118="wt%",Compositions!$J$118=""),Compositions!J129,(IF(CL64="","",((CL64/$CL$78)*100)))))</f>
        <v/>
      </c>
      <c r="CN64" s="185" t="str">
        <f>IF(CM64="","",(IF(OR(Compositions!G129="Hydrogen",Compositions!G129="Helium",Compositions!G129="Water",Compositions!G129="Carbon Monoxide",Compositions!G129="Nitrogen",Compositions!G129="Oxygen",Compositions!G129="Hydrogen Sulfide",Compositions!G129="Argon",Compositions!G129="Carbon Dioxide",Compositions!G129="Carbon Disulfide"),0,CM64)))</f>
        <v/>
      </c>
      <c r="CO64" s="187" t="str">
        <f>IF(Compositions!J129="","",((CF64/100)*((VLOOKUP(Compositions!G129,'HHV-LHV-MW'!$A$3:$G$40,7,FALSE)))))</f>
        <v/>
      </c>
      <c r="CP64" s="187" t="str">
        <f>IF(CF64="","",(IF(OR(Compositions!G129="Hydrogen",Compositions!G129="Carbon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Dioxide",Compositions!G129="Methane",Compositions!G129="Ethane"),0,(CF64/100))))</f>
        <v/>
      </c>
      <c r="CQ64" s="205" t="str">
        <f>IF(CF64="","",(IF(OR($CP$78=0,$CP$78=""),0,       ((VLOOKUP(Compositions!G129,'HHV-LHV-MW'!$A$3:$F$40,6,FALSE))*(CP64/$CP$78)))))</f>
        <v/>
      </c>
      <c r="CR64" s="28" t="str">
        <f>IF(Compositions!K129="","",IF(Compositions!$K$118="mol%",Compositions!K129,CS64))</f>
        <v/>
      </c>
      <c r="CS64" s="28" t="str">
        <f t="shared" si="32"/>
        <v/>
      </c>
      <c r="CT64" s="28" t="str">
        <f>IF(Compositions!K129="","",(Compositions!K129/(VLOOKUP(Compositions!G129,'HHV-LHV-MW'!$A$3:$F$40,6,FALSE))))</f>
        <v/>
      </c>
      <c r="CU64" s="26" t="str">
        <f>IF(CR64="","",((VLOOKUP(Compositions!G129,'HHV-LHV-MW'!$A$3:$F$40,4,FALSE))*(CR64/100)))</f>
        <v/>
      </c>
      <c r="CV64" s="26" t="str">
        <f>IF(CR64="","",((VLOOKUP(Compositions!G129,'HHV-LHV-MW'!$A$3:$F$40,5,FALSE))*(CR64/100)))</f>
        <v/>
      </c>
      <c r="CW64" s="26" t="str">
        <f>IF(CR64="","",((VLOOKUP(Compositions!G129,'HHV-LHV-MW'!$A$3:$F$40,6,FALSE))*(CR64/100)))</f>
        <v/>
      </c>
      <c r="CX64" s="26" t="str">
        <f>IF(Compositions!K129="","",(Compositions!K129*(VLOOKUP(Compositions!G129,'HHV-LHV-MW'!$A$3:$F$40,6,FALSE))))</f>
        <v/>
      </c>
      <c r="CY64" s="296" t="str">
        <f>IF(Compositions!K129="","",IF(OR(Compositions!$K$118="wt%",Compositions!$K$118=""),Compositions!K129,(IF(CX64="","",((CX64/$CX$78)*100)))))</f>
        <v/>
      </c>
      <c r="CZ64" s="39" t="str">
        <f>IF(CY64="","",(IF(OR(Compositions!G129="Hydrogen",Compositions!G129="Helium",Compositions!G129="Water",Compositions!G129="Carbon Monoxide",Compositions!G129="Nitrogen",Compositions!G129="Oxygen",Compositions!G129="Hydrogen Sulfide",Compositions!G129="Argon",Compositions!G129="Carbon Dioxide",Compositions!G129="Carbon Disulfide"),0,CY64)))</f>
        <v/>
      </c>
      <c r="DA64" s="186" t="str">
        <f>IF(Compositions!K129="","",((CR64/100)*((VLOOKUP(Compositions!G129,'HHV-LHV-MW'!$A$3:$G$40,7,FALSE)))))</f>
        <v/>
      </c>
      <c r="DB64" s="186" t="str">
        <f>IF(CR64="","",(IF(OR(Compositions!G129="Hydrogen",Compositions!G129="Carbon Disulfide",Compositions!G129="Helium",Compositions!G129="Water",Compositions!G129="Carbon Monoxide",Compositions!G129="Nitrogen",Compositions!G129="Oxygen",Compositions!G129="Hydrogen Sulfide",Compositions!G129="Argon",Compositions!G129="Carbon Dioxide",Compositions!G129="Methane",Compositions!G129="Ethane"),0,(CR64/100))))</f>
        <v/>
      </c>
      <c r="DC64" s="39" t="str">
        <f>IF(CR64="","",(IF(OR($DB$78=0,$DB$78=""),0,       ((VLOOKUP(Compositions!G129,'HHV-LHV-MW'!$A$3:$F$40,6,FALSE))*(DB64/$DB$78)))))</f>
        <v/>
      </c>
      <c r="DE64" s="27" t="str">
        <f>IF(Compositions!N129="","",IF(Compositions!$N$118="mol%",Compositions!N129,DF64))</f>
        <v/>
      </c>
      <c r="DF64" s="27" t="str">
        <f t="shared" si="33"/>
        <v/>
      </c>
      <c r="DG64" s="27" t="str">
        <f>IF(Compositions!N129="","",(Compositions!N129/(VLOOKUP(Compositions!M129,'HHV-LHV-MW'!$A$3:$F$40,6,FALSE))))</f>
        <v/>
      </c>
      <c r="DH64" s="25" t="str">
        <f>IF(DE64="","",((VLOOKUP(Compositions!M129,'HHV-LHV-MW'!$A$3:$F$40,4,FALSE))*(DE64/100)))</f>
        <v/>
      </c>
      <c r="DI64" s="25" t="str">
        <f>IF(DE64="","",((VLOOKUP(Compositions!M129,'HHV-LHV-MW'!$A$3:$F$40,5,FALSE))*(DE64/100)))</f>
        <v/>
      </c>
      <c r="DJ64" s="25" t="str">
        <f>IF(DE64="","",((VLOOKUP(Compositions!M129,'HHV-LHV-MW'!$A$3:$F$40,6,FALSE))*(DE64/100)))</f>
        <v/>
      </c>
      <c r="DK64" s="25" t="str">
        <f>IF(Compositions!N129="","",(Compositions!N129*(VLOOKUP(Compositions!M129,'HHV-LHV-MW'!$A$3:$F$40,6,FALSE))))</f>
        <v/>
      </c>
      <c r="DL64" s="295" t="str">
        <f>IF(Compositions!N129="","",IF(OR(Compositions!$N$118="wt%",Compositions!$N$118=""),Compositions!N129,(IF(DK64="","",((DK64/$DK$78)*100)))))</f>
        <v/>
      </c>
      <c r="DM64" s="185" t="str">
        <f>IF(DL64="","",(IF(OR(Compositions!M129="Hydrogen",Compositions!M129="Helium",Compositions!M129="Water",Compositions!M129="Carbon Monoxide",Compositions!M129="Nitrogen",Compositions!M129="Oxygen",Compositions!M129="Hydrogen Sulfide",Compositions!M129="Argon",Compositions!M129="Carbon Dioxide",Compositions!M129="Carbon Disulfide"),0,DL64)))</f>
        <v/>
      </c>
      <c r="DN64" s="187" t="str">
        <f>IF(Compositions!N129="","",((DE64/100)*((VLOOKUP(Compositions!M129,'HHV-LHV-MW'!$A$3:$G$40,7,FALSE)))))</f>
        <v/>
      </c>
      <c r="DO64" s="187" t="str">
        <f>IF(DE64="","",(IF(OR(Compositions!M129="Hydrogen",Compositions!M129="Carbon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Dioxide",Compositions!M129="Methane",Compositions!M129="Ethane"),0,(DE64/100))))</f>
        <v/>
      </c>
      <c r="DP64" s="205" t="str">
        <f>IF(DE64="","",(IF(OR($DO$78=0,$DO$78=""),0,       ((VLOOKUP(Compositions!M129,'HHV-LHV-MW'!$A$3:$F$40,6,FALSE))*(DO64/$DO$78)))))</f>
        <v/>
      </c>
      <c r="DQ64" s="28" t="str">
        <f>IF(Compositions!O129="","",IF(Compositions!$O$118="mol%",Compositions!O129,DR64))</f>
        <v/>
      </c>
      <c r="DR64" s="28" t="str">
        <f t="shared" si="34"/>
        <v/>
      </c>
      <c r="DS64" s="28" t="str">
        <f>IF(Compositions!O129="","",(Compositions!O129/(VLOOKUP(Compositions!M129,'HHV-LHV-MW'!$A$3:$F$40,6,FALSE))))</f>
        <v/>
      </c>
      <c r="DT64" s="26" t="str">
        <f>IF(DQ64="","",((VLOOKUP(Compositions!M129,'HHV-LHV-MW'!$A$3:$F$40,4,FALSE))*(DQ64/100)))</f>
        <v/>
      </c>
      <c r="DU64" s="26" t="str">
        <f>IF(DQ64="","",((VLOOKUP(Compositions!M129,'HHV-LHV-MW'!$A$3:$F$40,5,FALSE))*(DQ64/100)))</f>
        <v/>
      </c>
      <c r="DV64" s="26" t="str">
        <f>IF(DQ64="","",((VLOOKUP(Compositions!M129,'HHV-LHV-MW'!$A$3:$F$40,6,FALSE))*(DQ64/100)))</f>
        <v/>
      </c>
      <c r="DW64" s="26" t="str">
        <f>IF(Compositions!O129="","",(Compositions!O129*(VLOOKUP(Compositions!M129,'HHV-LHV-MW'!$A$3:$F$40,6,FALSE))))</f>
        <v/>
      </c>
      <c r="DX64" s="296" t="str">
        <f>IF(Compositions!O129="","",IF(OR(Compositions!$O$118="wt%",Compositions!$O$118=""),Compositions!O129,(IF(DW64="","",((DW64/$DW$78)*100)))))</f>
        <v/>
      </c>
      <c r="DY64" s="39" t="str">
        <f>IF(DX64="","",(IF(OR(Compositions!M129="Hydrogen",Compositions!M129="Helium",Compositions!M129="Water",Compositions!M129="Carbon Monoxide",Compositions!M129="Nitrogen",Compositions!M129="Oxygen",Compositions!M129="Hydrogen Sulfide",Compositions!M129="Argon",Compositions!M129="Carbon Dioxide",Compositions!M129="Carbon Disulfide"),0,DX64)))</f>
        <v/>
      </c>
      <c r="DZ64" s="186" t="str">
        <f>IF(Compositions!O129="","",((DQ64/100)*((VLOOKUP(Compositions!M129,'HHV-LHV-MW'!$A$3:$G$40,7,FALSE)))))</f>
        <v/>
      </c>
      <c r="EA64" s="186" t="str">
        <f>IF(DQ64="","",(IF(OR(Compositions!M129="Hydrogen",Compositions!M129="Carbon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Dioxide",Compositions!M129="Methane",Compositions!M129="Ethane"),0,(DQ64/100))))</f>
        <v/>
      </c>
      <c r="EB64" s="39" t="str">
        <f>IF(DQ64="","",(IF(OR($EA$78=0,$EA$78=""),0,       ((VLOOKUP(Compositions!M129,'HHV-LHV-MW'!$A$3:$F$40,6,FALSE))*(EA64/$EA$78)))))</f>
        <v/>
      </c>
      <c r="EC64" s="27" t="str">
        <f>IF(Compositions!P129="","",IF(Compositions!$P$118="mol%",Compositions!P129,ED64))</f>
        <v/>
      </c>
      <c r="ED64" s="27" t="str">
        <f t="shared" si="35"/>
        <v/>
      </c>
      <c r="EE64" s="27" t="str">
        <f>IF(Compositions!P129="","",(Compositions!P129/(VLOOKUP(Compositions!M129,'HHV-LHV-MW'!$A$3:$F$40,6,FALSE))))</f>
        <v/>
      </c>
      <c r="EF64" s="25" t="str">
        <f>IF(EC64="","",((VLOOKUP(Compositions!M129,'HHV-LHV-MW'!$A$3:$F$40,4,FALSE))*(EC64/100)))</f>
        <v/>
      </c>
      <c r="EG64" s="25" t="str">
        <f>IF(EC64="","",((VLOOKUP(Compositions!M129,'HHV-LHV-MW'!$A$3:$F$40,5,FALSE))*(EC64/100)))</f>
        <v/>
      </c>
      <c r="EH64" s="25" t="str">
        <f>IF(EC64="","",((VLOOKUP(Compositions!M129,'HHV-LHV-MW'!$A$3:$F$40,6,FALSE))*(EC64/100)))</f>
        <v/>
      </c>
      <c r="EI64" s="25" t="str">
        <f>IF(Compositions!P129="","",(Compositions!P129*(VLOOKUP(Compositions!M129,'HHV-LHV-MW'!$A$3:$F$40,6,FALSE))))</f>
        <v/>
      </c>
      <c r="EJ64" s="295" t="str">
        <f>IF(Compositions!P129="","",IF(OR(Compositions!$P$118="wt%",Compositions!$P$118=""),Compositions!P129,(IF(EI64="","",((EI64/$EI$78)*100)))))</f>
        <v/>
      </c>
      <c r="EK64" s="185" t="str">
        <f>IF(EJ64="","",(IF(OR(Compositions!M129="Hydrogen",Compositions!M129="Helium",Compositions!M129="Water",Compositions!M129="Carbon Monoxide",Compositions!M129="Nitrogen",Compositions!M129="Oxygen",Compositions!M129="Hydrogen Sulfide",Compositions!M129="Argon",Compositions!M129="Carbon Dioxide",Compositions!M129="Carbon Disulfide"),0,EJ64)))</f>
        <v/>
      </c>
      <c r="EL64" s="187" t="str">
        <f>IF(Compositions!P129="","",((EC64/100)*((VLOOKUP(Compositions!M129,'HHV-LHV-MW'!$A$3:$G$40,7,FALSE)))))</f>
        <v/>
      </c>
      <c r="EM64" s="187" t="str">
        <f>IF(EC64="","",(IF(OR(Compositions!M129="Hydrogen",Compositions!M129="Carbon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Dioxide",Compositions!M129="Methane",Compositions!M129="Ethane"),0,(EC64/100))))</f>
        <v/>
      </c>
      <c r="EN64" s="205" t="str">
        <f>IF(EC64="","",(IF(OR($EM$78=0,$EM$78=""),0,       ((VLOOKUP(Compositions!M129,'HHV-LHV-MW'!$A$3:$F$40,6,FALSE))*(EM64/$EM$78)))))</f>
        <v/>
      </c>
      <c r="EO64" s="28" t="str">
        <f>IF(Compositions!Q129="","",IF(Compositions!$Q$118="mol%",Compositions!Q129,EP64))</f>
        <v/>
      </c>
      <c r="EP64" s="28" t="str">
        <f t="shared" si="36"/>
        <v/>
      </c>
      <c r="EQ64" s="28" t="str">
        <f>IF(Compositions!Q129="","",(Compositions!Q129/(VLOOKUP(Compositions!M129,'HHV-LHV-MW'!$A$3:$F$40,6,FALSE))))</f>
        <v/>
      </c>
      <c r="ER64" s="26" t="str">
        <f>IF(EO64="","",((VLOOKUP(Compositions!M129,'HHV-LHV-MW'!$A$3:$F$40,4,FALSE))*(EO64/100)))</f>
        <v/>
      </c>
      <c r="ES64" s="26" t="str">
        <f>IF(EO64="","",((VLOOKUP(Compositions!M129,'HHV-LHV-MW'!$A$3:$F$40,5,FALSE))*(EO64/100)))</f>
        <v/>
      </c>
      <c r="ET64" s="26" t="str">
        <f>IF(EO64="","",((VLOOKUP(Compositions!M129,'HHV-LHV-MW'!$A$3:$F$40,6,FALSE))*(EO64/100)))</f>
        <v/>
      </c>
      <c r="EU64" s="26" t="str">
        <f>IF(Compositions!Q129="","",(Compositions!Q129*(VLOOKUP(Compositions!M129,'HHV-LHV-MW'!$A$3:$F$40,6,FALSE))))</f>
        <v/>
      </c>
      <c r="EV64" s="296" t="str">
        <f>IF(Compositions!Q129="","",IF(OR(Compositions!$Q$118="wt%",Compositions!$Q$118=""),Compositions!Q129,(IF(EU64="","",((EU64/$EU$78)*100)))))</f>
        <v/>
      </c>
      <c r="EW64" s="39" t="str">
        <f>IF(EV64="","",(IF(OR(Compositions!M129="Hydrogen",Compositions!M129="Helium",Compositions!M129="Water",Compositions!M129="Carbon Monoxide",Compositions!M129="Nitrogen",Compositions!M129="Oxygen",Compositions!M129="Hydrogen Sulfide",Compositions!M129="Argon",Compositions!M129="Carbon Dioxide",Compositions!M129="Carbon Disulfide"),0,EV64)))</f>
        <v/>
      </c>
      <c r="EX64" s="186" t="str">
        <f>IF(Compositions!Q129="","",((EO64/100)*((VLOOKUP(Compositions!M129,'HHV-LHV-MW'!$A$3:$G$40,7,FALSE)))))</f>
        <v/>
      </c>
      <c r="EY64" s="186" t="str">
        <f>IF(EO64="","",(IF(OR(Compositions!M129="Hydrogen",Compositions!M129="Carbon Disulfide",Compositions!M129="Helium",Compositions!M129="Water",Compositions!M129="Carbon Monoxide",Compositions!M129="Nitrogen",Compositions!M129="Oxygen",Compositions!M129="Hydrogen Sulfide",Compositions!M129="Argon",Compositions!M129="Carbon Dioxide",Compositions!M129="Methane",Compositions!M129="Ethane"),0,(EO64/100))))</f>
        <v/>
      </c>
      <c r="EZ64" s="39" t="str">
        <f>IF(EO64="","",(IF(OR($EY$78=0,$EY$78=""),0,       ((VLOOKUP(Compositions!M129,'HHV-LHV-MW'!$A$3:$F$40,6,FALSE))*(EY64/$EY$78)))))</f>
        <v/>
      </c>
      <c r="FB64" s="27" t="str">
        <f>IF(Compositions!T129="","",IF(Compositions!$T$118="mol%",Compositions!T129,FC64))</f>
        <v/>
      </c>
      <c r="FC64" s="27" t="str">
        <f t="shared" si="37"/>
        <v/>
      </c>
      <c r="FD64" s="27" t="str">
        <f>IF(Compositions!T129="","",(Compositions!T129/(VLOOKUP(Compositions!S129,'HHV-LHV-MW'!$A$3:$F$40,6,FALSE))))</f>
        <v/>
      </c>
      <c r="FE64" s="25" t="str">
        <f>IF(FB64="","",((VLOOKUP(Compositions!S129,'HHV-LHV-MW'!$A$3:$F$40,4,FALSE))*(FB64/100)))</f>
        <v/>
      </c>
      <c r="FF64" s="25" t="str">
        <f>IF(FB64="","",((VLOOKUP(Compositions!S129,'HHV-LHV-MW'!$A$3:$F$40,5,FALSE))*(FB64/100)))</f>
        <v/>
      </c>
      <c r="FG64" s="25" t="str">
        <f>IF(FB64="","",((VLOOKUP(Compositions!S129,'HHV-LHV-MW'!$A$3:$F$40,6,FALSE))*(FB64/100)))</f>
        <v/>
      </c>
      <c r="FH64" s="25" t="str">
        <f>IF(Compositions!T129="","",(Compositions!T129*(VLOOKUP(Compositions!S129,'HHV-LHV-MW'!$A$3:$F$40,6,FALSE))))</f>
        <v/>
      </c>
      <c r="FI64" s="295" t="str">
        <f>IF(Compositions!T129="","",IF(OR(Compositions!$T$118="wt%",Compositions!$T$118=""),Compositions!T129,(IF(FH64="","",((FH64/$FH$78)*100)))))</f>
        <v/>
      </c>
      <c r="FJ64" s="185" t="str">
        <f>IF(FI64="","",(IF(OR(Compositions!S129="Hydrogen",Compositions!S129="Helium",Compositions!S129="Water",Compositions!S129="Carbon Monoxide",Compositions!S129="Nitrogen",Compositions!S129="Oxygen",Compositions!S129="Hydrogen Sulfide",Compositions!S129="Argon",Compositions!S129="Carbon Dioxide",Compositions!S129="Carbon Disulfide"),0,FI64)))</f>
        <v/>
      </c>
      <c r="FK64" s="187" t="str">
        <f>IF(Compositions!T129="","",((FB64/100)*((VLOOKUP(Compositions!S129,'HHV-LHV-MW'!$A$3:$G$40,7,FALSE)))))</f>
        <v/>
      </c>
      <c r="FL64" s="187" t="str">
        <f>IF(FB64="","",(IF(OR(Compositions!S129="Hydrogen",Compositions!S129="Carbon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Dioxide",Compositions!S129="Methane",Compositions!S129="Ethane"),0,(FB64/100))))</f>
        <v/>
      </c>
      <c r="FM64" s="205" t="str">
        <f>IF(FB64="","",(IF(OR($FL$78=0,$FL$78=""),0,       ((VLOOKUP(Compositions!S129,'HHV-LHV-MW'!$A$3:$F$40,6,FALSE))*(FL64/$FL$78)))))</f>
        <v/>
      </c>
      <c r="FN64" s="28" t="str">
        <f>IF(Compositions!U129="","",IF(Compositions!$U$118="mol%",Compositions!U129,FO64))</f>
        <v/>
      </c>
      <c r="FO64" s="28" t="str">
        <f t="shared" si="38"/>
        <v/>
      </c>
      <c r="FP64" s="28" t="str">
        <f>IF(Compositions!U129="","",(Compositions!U129/(VLOOKUP(Compositions!S129,'HHV-LHV-MW'!$A$3:$F$40,6,FALSE))))</f>
        <v/>
      </c>
      <c r="FQ64" s="26" t="str">
        <f>IF(FN64="","",((VLOOKUP(Compositions!S129,'HHV-LHV-MW'!$A$3:$F$40,4,FALSE))*(FN64/100)))</f>
        <v/>
      </c>
      <c r="FR64" s="26" t="str">
        <f>IF(FN64="","",((VLOOKUP(Compositions!S129,'HHV-LHV-MW'!$A$3:$F$40,5,FALSE))*(FN64/100)))</f>
        <v/>
      </c>
      <c r="FS64" s="26" t="str">
        <f>IF(FN64="","",((VLOOKUP(Compositions!S129,'HHV-LHV-MW'!$A$3:$F$40,6,FALSE))*(FN64/100)))</f>
        <v/>
      </c>
      <c r="FT64" s="26" t="str">
        <f>IF(Compositions!U129="","",(Compositions!U129*(VLOOKUP(Compositions!S129,'HHV-LHV-MW'!$A$3:$F$40,6,FALSE))))</f>
        <v/>
      </c>
      <c r="FU64" s="296" t="str">
        <f>IF(Compositions!U129="","",IF(OR(Compositions!$U$118="wt%",Compositions!$U$118=""),Compositions!U129,(IF(FT64="","",((FT64/$FT$78)*100)))))</f>
        <v/>
      </c>
      <c r="FV64" s="39" t="str">
        <f>IF(FU64="","",(IF(OR(Compositions!S129="Hydrogen",Compositions!S129="Helium",Compositions!S129="Water",Compositions!S129="Carbon Monoxide",Compositions!S129="Nitrogen",Compositions!S129="Oxygen",Compositions!S129="Hydrogen Sulfide",Compositions!S129="Argon",Compositions!S129="Carbon Dioxide",Compositions!S129="Carbon Disulfide"),0,FU64)))</f>
        <v/>
      </c>
      <c r="FW64" s="186" t="str">
        <f>IF(Compositions!U129="","",((FN64/100)*((VLOOKUP(Compositions!S129,'HHV-LHV-MW'!$A$3:$G$40,7,FALSE)))))</f>
        <v/>
      </c>
      <c r="FX64" s="186" t="str">
        <f>IF(FN64="","",(IF(OR(Compositions!S129="Hydrogen",Compositions!S129="Carbon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Dioxide",Compositions!S129="Methane",Compositions!S129="Ethane"),0,(FN64/100))))</f>
        <v/>
      </c>
      <c r="FY64" s="39" t="str">
        <f>IF(FN64="","",(IF(OR($FX$78=0,$FX$78=""),0,       ((VLOOKUP(Compositions!S129,'HHV-LHV-MW'!$A$3:$F$40,6,FALSE))*(FX64/$FX$78)))))</f>
        <v/>
      </c>
      <c r="FZ64" s="27" t="str">
        <f>IF(Compositions!V129="","",IF(Compositions!$V$118="mol%",Compositions!V129,GA64))</f>
        <v/>
      </c>
      <c r="GA64" s="27" t="str">
        <f t="shared" si="39"/>
        <v/>
      </c>
      <c r="GB64" s="27" t="str">
        <f>IF(Compositions!V129="","",(Compositions!V129/(VLOOKUP(Compositions!S129,'HHV-LHV-MW'!$A$3:$F$40,6,FALSE))))</f>
        <v/>
      </c>
      <c r="GC64" s="25" t="str">
        <f>IF(FZ64="","",((VLOOKUP(Compositions!S129,'HHV-LHV-MW'!$A$3:$F$40,4,FALSE))*(FZ64/100)))</f>
        <v/>
      </c>
      <c r="GD64" s="25" t="str">
        <f>IF(FZ64="","",((VLOOKUP(Compositions!S129,'HHV-LHV-MW'!$A$3:$F$40,5,FALSE))*(FZ64/100)))</f>
        <v/>
      </c>
      <c r="GE64" s="25" t="str">
        <f>IF(FZ64="","",((VLOOKUP(Compositions!S129,'HHV-LHV-MW'!$A$3:$F$40,6,FALSE))*(FZ64/100)))</f>
        <v/>
      </c>
      <c r="GF64" s="25" t="str">
        <f>IF(Compositions!V129="","",(Compositions!V129*(VLOOKUP(Compositions!S129,'HHV-LHV-MW'!$A$3:$F$40,6,FALSE))))</f>
        <v/>
      </c>
      <c r="GG64" s="295" t="str">
        <f>IF(Compositions!V129="","",IF(OR(Compositions!$V$118="wt%",Compositions!$V$118=""),Compositions!V129,(IF(GF64="","",((GF64/$GF$78)*100)))))</f>
        <v/>
      </c>
      <c r="GH64" s="185" t="str">
        <f>IF(GG64="","",(IF(OR(Compositions!S129="Hydrogen",Compositions!S129="Helium",Compositions!S129="Water",Compositions!S129="Carbon Monoxide",Compositions!S129="Nitrogen",Compositions!S129="Oxygen",Compositions!S129="Hydrogen Sulfide",Compositions!S129="Argon",Compositions!S129="Carbon Dioxide",Compositions!S129="Carbon Disulfide"),0,GG64)))</f>
        <v/>
      </c>
      <c r="GI64" s="187" t="str">
        <f>IF(Compositions!V129="","",((FZ64/100)*((VLOOKUP(Compositions!S129,'HHV-LHV-MW'!$A$3:$G$40,7,FALSE)))))</f>
        <v/>
      </c>
      <c r="GJ64" s="187" t="str">
        <f>IF(FZ64="","",(IF(OR(Compositions!S129="Hydrogen",Compositions!S129="Carbon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Dioxide",Compositions!S129="Methane",Compositions!S129="Ethane"),0,(FZ64/100))))</f>
        <v/>
      </c>
      <c r="GK64" s="205" t="str">
        <f>IF(FZ64="","",(IF(OR($GJ$78=0,$GJ$78=""),0,       ((VLOOKUP(Compositions!S129,'HHV-LHV-MW'!$A$3:$F$40,6,FALSE))*(GJ64/$GJ$78)))))</f>
        <v/>
      </c>
      <c r="GL64" s="28" t="str">
        <f>IF(Compositions!W129="","",IF(Compositions!$W$118="mol%",Compositions!W129,GM64))</f>
        <v/>
      </c>
      <c r="GM64" s="28" t="str">
        <f t="shared" si="40"/>
        <v/>
      </c>
      <c r="GN64" s="28" t="str">
        <f>IF(Compositions!W129="","",(Compositions!W129/(VLOOKUP(Compositions!S129,'HHV-LHV-MW'!$A$3:$F$40,6,FALSE))))</f>
        <v/>
      </c>
      <c r="GO64" s="26" t="str">
        <f>IF(GL64="","",((VLOOKUP(Compositions!S129,'HHV-LHV-MW'!$A$3:$F$40,4,FALSE))*(GL64/100)))</f>
        <v/>
      </c>
      <c r="GP64" s="26" t="str">
        <f>IF(GL64="","",((VLOOKUP(Compositions!S129,'HHV-LHV-MW'!$A$3:$F$40,5,FALSE))*(GL64/100)))</f>
        <v/>
      </c>
      <c r="GQ64" s="26" t="str">
        <f>IF(GL64="","",((VLOOKUP(Compositions!S129,'HHV-LHV-MW'!$A$3:$F$40,6,FALSE))*(GL64/100)))</f>
        <v/>
      </c>
      <c r="GR64" s="26" t="str">
        <f>IF(Compositions!W129="","",(Compositions!W129*(VLOOKUP(Compositions!S129,'HHV-LHV-MW'!$A$3:$F$40,6,FALSE))))</f>
        <v/>
      </c>
      <c r="GS64" s="296" t="str">
        <f>IF(Compositions!W129="","",IF(OR(Compositions!$W$118="wt%",Compositions!$W$118=""),Compositions!W129,(IF(GR64="","",((GR64/$GR$78)*100)))))</f>
        <v/>
      </c>
      <c r="GT64" s="39" t="str">
        <f>IF(GS64="","",(IF(OR(Compositions!S129="Hydrogen",Compositions!S129="Helium",Compositions!S129="Water",Compositions!S129="Carbon Monoxide",Compositions!S129="Nitrogen",Compositions!S129="Oxygen",Compositions!S129="Hydrogen Sulfide",Compositions!S129="Argon",Compositions!S129="Carbon Dioxide",Compositions!S129="Carbon Disulfide"),0,GS64)))</f>
        <v/>
      </c>
      <c r="GU64" s="186" t="str">
        <f>IF(Compositions!W129="","",((GL64/100)*((VLOOKUP(Compositions!S129,'HHV-LHV-MW'!$A$3:$G$40,7,FALSE)))))</f>
        <v/>
      </c>
      <c r="GV64" s="186" t="str">
        <f>IF(GL64="","",(IF(OR(Compositions!S129="Hydrogen",Compositions!S129="Carbon Disulfide",Compositions!S129="Helium",Compositions!S129="Water",Compositions!S129="Carbon Monoxide",Compositions!S129="Nitrogen",Compositions!S129="Oxygen",Compositions!S129="Hydrogen Sulfide",Compositions!S129="Argon",Compositions!S129="Carbon Dioxide",Compositions!S129="Methane",Compositions!S129="Ethane"),0,(GL64/100))))</f>
        <v/>
      </c>
      <c r="GW64" s="39" t="str">
        <f>IF(GL64="","",(IF(OR($GV$78=0,$GV$78=""),0,       ((VLOOKUP(Compositions!S129,'HHV-LHV-MW'!$A$3:$F$40,6,FALSE))*(GV64/$GV$78)))))</f>
        <v/>
      </c>
      <c r="GY64" s="27" t="str">
        <f>IF(Compositions!Z129="","",IF(Compositions!$Z$118="mol%",Compositions!Z129,GZ64))</f>
        <v/>
      </c>
      <c r="GZ64" s="27" t="str">
        <f t="shared" si="41"/>
        <v/>
      </c>
      <c r="HA64" s="27" t="str">
        <f>IF(Compositions!Z129="","",(Compositions!Z129/(VLOOKUP(Compositions!Y129,'HHV-LHV-MW'!$A$3:$F$40,6,FALSE))))</f>
        <v/>
      </c>
      <c r="HB64" s="25" t="str">
        <f>IF(GY64="","",((VLOOKUP(Compositions!Y129,'HHV-LHV-MW'!$A$3:$F$40,4,FALSE))*(GY64/100)))</f>
        <v/>
      </c>
      <c r="HC64" s="25" t="str">
        <f>IF(GY64="","",((VLOOKUP(Compositions!Y129,'HHV-LHV-MW'!$A$3:$F$40,5,FALSE))*(GY64/100)))</f>
        <v/>
      </c>
      <c r="HD64" s="25" t="str">
        <f>IF(GY64="","",((VLOOKUP(Compositions!Y129,'HHV-LHV-MW'!$A$3:$F$40,6,FALSE))*(GY64/100)))</f>
        <v/>
      </c>
      <c r="HE64" s="25" t="str">
        <f>IF(Compositions!Z129="","",(Compositions!Z129*(VLOOKUP(Compositions!Y129,'HHV-LHV-MW'!$A$3:$F$40,6,FALSE))))</f>
        <v/>
      </c>
      <c r="HF64" s="295" t="str">
        <f>IF(Compositions!Z129="","",IF(OR(Compositions!$Z$118="wt%",Compositions!$Z$118=""),Compositions!Z129,(IF(HE64="","",((HE64/$HE$78)*100)))))</f>
        <v/>
      </c>
      <c r="HG64" s="185" t="str">
        <f>IF(HF64="","",(IF(OR(Compositions!Y129="Hydrogen",Compositions!Y129="Helium",Compositions!Y129="Water",Compositions!Y129="Carbon Monoxide",Compositions!Y129="Nitrogen",Compositions!Y129="Oxygen",Compositions!Y129="Hydrogen Sulfide",Compositions!Y129="Argon",Compositions!Y129="Carbon Dioxide",Compositions!Y129="Carbon Disulfide"),0,HF64)))</f>
        <v/>
      </c>
      <c r="HH64" s="187" t="str">
        <f>IF(Compositions!Z129="","",((GY64/100)*((VLOOKUP(Compositions!Y129,'HHV-LHV-MW'!$A$3:$G$40,7,FALSE)))))</f>
        <v/>
      </c>
      <c r="HI64" s="187" t="str">
        <f>IF(GY64="","",(IF(OR(Compositions!Y129="Hydrogen",Compositions!Y129="Carbon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Dioxide",Compositions!Y129="Methane",Compositions!Y129="Ethane"),0,(GY64/100))))</f>
        <v/>
      </c>
      <c r="HJ64" s="205" t="str">
        <f>IF(GY64="","",(IF(OR($HI$78=0,$HI$78=""),0,       ((VLOOKUP(Compositions!Y129,'HHV-LHV-MW'!$A$3:$F$40,6,FALSE))*(HI64/$HI$78)))))</f>
        <v/>
      </c>
      <c r="HK64" s="28" t="str">
        <f>IF(Compositions!AA129="","",IF(Compositions!$AA$118="mol%",Compositions!AA129,HL64))</f>
        <v/>
      </c>
      <c r="HL64" s="28" t="str">
        <f t="shared" si="42"/>
        <v/>
      </c>
      <c r="HM64" s="28" t="str">
        <f>IF(Compositions!AA129="","",(Compositions!AA129/(VLOOKUP(Compositions!Y129,'HHV-LHV-MW'!$A$3:$F$40,6,FALSE))))</f>
        <v/>
      </c>
      <c r="HN64" s="26" t="str">
        <f>IF(HK64="","",((VLOOKUP(Compositions!Y129,'HHV-LHV-MW'!$A$3:$F$40,4,FALSE))*(HK64/100)))</f>
        <v/>
      </c>
      <c r="HO64" s="26" t="str">
        <f>IF(HK64="","",((VLOOKUP(Compositions!Y129,'HHV-LHV-MW'!$A$3:$F$40,5,FALSE))*(HK64/100)))</f>
        <v/>
      </c>
      <c r="HP64" s="26" t="str">
        <f>IF(HK64="","",((VLOOKUP(Compositions!Y129,'HHV-LHV-MW'!$A$3:$F$40,6,FALSE))*(HK64/100)))</f>
        <v/>
      </c>
      <c r="HQ64" s="26" t="str">
        <f>IF(Compositions!AA129="","",(Compositions!AA129*(VLOOKUP(Compositions!Y129,'HHV-LHV-MW'!$A$3:$F$40,6,FALSE))))</f>
        <v/>
      </c>
      <c r="HR64" s="296" t="str">
        <f>IF(Compositions!AA129="","",IF(OR(Compositions!$AA$118="wt%",Compositions!$AA$118=""),Compositions!AA129,(IF(HQ64="","",((HQ64/$HQ$78)*100)))))</f>
        <v/>
      </c>
      <c r="HS64" s="39" t="str">
        <f>IF(HR64="","",(IF(OR(Compositions!Y129="Hydrogen",Compositions!Y129="Helium",Compositions!Y129="Water",Compositions!Y129="Carbon Monoxide",Compositions!Y129="Nitrogen",Compositions!Y129="Oxygen",Compositions!Y129="Hydrogen Sulfide",Compositions!Y129="Argon",Compositions!Y129="Carbon Dioxide",Compositions!Y129="Carbon Disulfide"),0,HR64)))</f>
        <v/>
      </c>
      <c r="HT64" s="186" t="str">
        <f>IF(Compositions!AA129="","",((HK64/100)*((VLOOKUP(Compositions!Y129,'HHV-LHV-MW'!$A$3:$G$40,7,FALSE)))))</f>
        <v/>
      </c>
      <c r="HU64" s="186" t="str">
        <f>IF(HK64="","",(IF(OR(Compositions!Y129="Hydrogen",Compositions!Y129="Carbon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Dioxide",Compositions!Y129="Methane",Compositions!Y129="Ethane"),0,(HK64/100))))</f>
        <v/>
      </c>
      <c r="HV64" s="39" t="str">
        <f>IF(HK64="","",(IF(OR($HU$78=0,$HU$78=""),0,       ((VLOOKUP(Compositions!Y129,'HHV-LHV-MW'!$A$3:$F$40,6,FALSE))*(HU64/$HU$78)))))</f>
        <v/>
      </c>
      <c r="HW64" s="27" t="str">
        <f>IF(Compositions!AB129="","",IF(Compositions!$AB$118="mol%",Compositions!AB129,HX64))</f>
        <v/>
      </c>
      <c r="HX64" s="27" t="str">
        <f t="shared" si="43"/>
        <v/>
      </c>
      <c r="HY64" s="27" t="str">
        <f>IF(Compositions!AB129="","",(Compositions!AB129/(VLOOKUP(Compositions!Y129,'HHV-LHV-MW'!$A$3:$F$40,6,FALSE))))</f>
        <v/>
      </c>
      <c r="HZ64" s="25" t="str">
        <f>IF(HW64="","",((VLOOKUP(Compositions!Y129,'HHV-LHV-MW'!$A$3:$F$40,4,FALSE))*(HW64/100)))</f>
        <v/>
      </c>
      <c r="IA64" s="25" t="str">
        <f>IF(HW64="","",((VLOOKUP(Compositions!Y129,'HHV-LHV-MW'!$A$3:$F$40,5,FALSE))*(HW64/100)))</f>
        <v/>
      </c>
      <c r="IB64" s="25" t="str">
        <f>IF(HW64="","",((VLOOKUP(Compositions!Y129,'HHV-LHV-MW'!$A$3:$F$40,6,FALSE))*(HW64/100)))</f>
        <v/>
      </c>
      <c r="IC64" s="25" t="str">
        <f>IF(Compositions!AB129="","",(Compositions!AB129*(VLOOKUP(Compositions!Y129,'HHV-LHV-MW'!$A$3:$F$40,6,FALSE))))</f>
        <v/>
      </c>
      <c r="ID64" s="295" t="str">
        <f>IF(Compositions!AB129="","",IF(OR(Compositions!$AB$118="wt%",Compositions!$AB$118=""),Compositions!AB129,(IF(IC64="","",((IC64/$IC$78)*100)))))</f>
        <v/>
      </c>
      <c r="IE64" s="185" t="str">
        <f>IF(ID64="","",(IF(OR(Compositions!Y129="Hydrogen",Compositions!Y129="Helium",Compositions!Y129="Water",Compositions!Y129="Carbon Monoxide",Compositions!Y129="Nitrogen",Compositions!Y129="Oxygen",Compositions!Y129="Hydrogen Sulfide",Compositions!Y129="Argon",Compositions!Y129="Carbon Dioxide",Compositions!Y129="Carbon Disulfide"),0,ID64)))</f>
        <v/>
      </c>
      <c r="IF64" s="187" t="str">
        <f>IF(Compositions!AB129="","",((HW64/100)*((VLOOKUP(Compositions!Y129,'HHV-LHV-MW'!$A$3:$G$40,7,FALSE)))))</f>
        <v/>
      </c>
      <c r="IG64" s="187" t="str">
        <f>IF(HW64="","",(IF(OR(Compositions!Y129="Hydrogen",Compositions!Y129="Carbon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Dioxide",Compositions!Y129="Methane",Compositions!Y129="Ethane"),0,(HW64/100))))</f>
        <v/>
      </c>
      <c r="IH64" s="205" t="str">
        <f>IF(HW64="","",(IF(OR($IG$78=0,$IG$78=""),0,       ((VLOOKUP(Compositions!Y129,'HHV-LHV-MW'!$A$3:$F$40,6,FALSE))*(IG64/$IG$78)))))</f>
        <v/>
      </c>
      <c r="II64" s="28" t="str">
        <f>IF(Compositions!AC129="","",IF(Compositions!$AC$118="mol%",Compositions!AC129,IJ64))</f>
        <v/>
      </c>
      <c r="IJ64" s="28" t="str">
        <f t="shared" si="44"/>
        <v/>
      </c>
      <c r="IK64" s="28" t="str">
        <f>IF(Compositions!AC129="","",(Compositions!AC129/(VLOOKUP(Compositions!Y129,'HHV-LHV-MW'!$A$3:$F$40,6,FALSE))))</f>
        <v/>
      </c>
      <c r="IL64" s="26" t="str">
        <f>IF(II64="","",((VLOOKUP(Compositions!Y129,'HHV-LHV-MW'!$A$3:$F$40,4,FALSE))*(II64/100)))</f>
        <v/>
      </c>
      <c r="IM64" s="26" t="str">
        <f>IF(II64="","",((VLOOKUP(Compositions!Y129,'HHV-LHV-MW'!$A$3:$F$40,5,FALSE))*(II64/100)))</f>
        <v/>
      </c>
      <c r="IN64" s="26" t="str">
        <f>IF(II64="","",((VLOOKUP(Compositions!Y129,'HHV-LHV-MW'!$A$3:$F$40,6,FALSE))*(II64/100)))</f>
        <v/>
      </c>
      <c r="IO64" s="26" t="str">
        <f>IF(Compositions!AC129="","",(Compositions!AC129*(VLOOKUP(Compositions!Y129,'HHV-LHV-MW'!$A$3:$F$40,6,FALSE))))</f>
        <v/>
      </c>
      <c r="IP64" s="296" t="str">
        <f>IF(Compositions!AC129="","",IF(OR(Compositions!$AC$118="wt%",Compositions!$AC$118=""),Compositions!AC129,(IF(IO64="","",((IO64/$IO$78)*100)))))</f>
        <v/>
      </c>
      <c r="IQ64" s="39" t="str">
        <f>IF(IP64="","",(IF(OR(Compositions!Y129="Hydrogen",Compositions!Y129="Helium",Compositions!Y129="Water",Compositions!Y129="Carbon Monoxide",Compositions!Y129="Nitrogen",Compositions!Y129="Oxygen",Compositions!Y129="Hydrogen Sulfide",Compositions!Y129="Argon",Compositions!Y129="Carbon Dioxide",Compositions!Y129="Carbon Disulfide"),0,IP64)))</f>
        <v/>
      </c>
      <c r="IR64" s="186" t="str">
        <f>IF(Compositions!AC129="","",((II64/100)*((VLOOKUP(Compositions!Y129,'HHV-LHV-MW'!$A$3:$G$40,7,FALSE)))))</f>
        <v/>
      </c>
      <c r="IS64" s="186" t="str">
        <f>IF(II64="","",(IF(OR(Compositions!Y129="Hydrogen",Compositions!Y129="Carbon Disulfide",Compositions!Y129="Helium",Compositions!Y129="Water",Compositions!Y129="Carbon Monoxide",Compositions!Y129="Nitrogen",Compositions!Y129="Oxygen",Compositions!Y129="Hydrogen Sulfide",Compositions!Y129="Argon",Compositions!Y129="Carbon Dioxide",Compositions!Y129="Methane",Compositions!Y129="Ethane"),0,(II64/100))))</f>
        <v/>
      </c>
      <c r="IT64" s="39" t="str">
        <f>IF(II64="","",(IF(OR($IS$78=0,$IS$78=""),0,      ((VLOOKUP(Compositions!Y129,'HHV-LHV-MW'!$A$3:$F$40,6,FALSE))*(IS64/$IS$78)))))</f>
        <v/>
      </c>
      <c r="IV64" s="27" t="str">
        <f>IF(Compositions!AF129="","",IF(Compositions!$AF$118="mol%",Compositions!AF129,IW64))</f>
        <v/>
      </c>
      <c r="IW64" s="27" t="str">
        <f t="shared" si="45"/>
        <v/>
      </c>
      <c r="IX64" s="27" t="str">
        <f>IF(Compositions!AF129="","",(Compositions!AF129/(VLOOKUP(Compositions!AE129,'HHV-LHV-MW'!$A$3:$F$40,6,FALSE))))</f>
        <v/>
      </c>
      <c r="IY64" s="25" t="str">
        <f>IF(IV64="","",((VLOOKUP(Compositions!AE129,'HHV-LHV-MW'!$A$3:$F$40,4,FALSE))*(IV64/100)))</f>
        <v/>
      </c>
      <c r="IZ64" s="25" t="str">
        <f>IF(IV64="","",((VLOOKUP(Compositions!AE129,'HHV-LHV-MW'!$A$3:$F$40,5,FALSE))*(IV64/100)))</f>
        <v/>
      </c>
      <c r="JA64" s="25" t="str">
        <f>IF(IV64="","",((VLOOKUP(Compositions!AE129,'HHV-LHV-MW'!$A$3:$F$40,6,FALSE))*(IV64/100)))</f>
        <v/>
      </c>
      <c r="JB64" s="25" t="str">
        <f>IF(Compositions!AF129="","",(Compositions!AF129*(VLOOKUP(Compositions!AE129,'HHV-LHV-MW'!$A$3:$F$40,6,FALSE))))</f>
        <v/>
      </c>
      <c r="JC64" s="298" t="str">
        <f>IF(Compositions!AF129="","",IF(OR(Compositions!$AF$118="wt%",Compositions!$AF$118=""),Compositions!AF129,(IF(JB64="","",((JB64/$JB$78)*100)))))</f>
        <v/>
      </c>
      <c r="JD64" s="185" t="str">
        <f>IF(JC64="","",(IF(OR(Compositions!AE129="Hydrogen",Compositions!AE129="Helium",Compositions!AE129="Water",Compositions!AE129="Carbon Monoxide",Compositions!AE129="Nitrogen",Compositions!AE129="Oxygen",Compositions!AE129="Hydrogen Sulfide",Compositions!AE129="Argon",Compositions!AE129="Carbon Dioxide",Compositions!AE129="Carbon Disulfide"),0,JC64)))</f>
        <v/>
      </c>
      <c r="JE64" s="187" t="str">
        <f>IF(Compositions!AF129="","",((IV64/100)*((VLOOKUP(Compositions!AE129,'HHV-LHV-MW'!$A$3:$G$40,7,FALSE)))))</f>
        <v/>
      </c>
      <c r="JF64" s="187" t="str">
        <f>IF(IV64="","",(IF(OR(Compositions!AE129="Hydrogen",Compositions!AE129="Carbon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Dioxide",Compositions!AE129="Methane",Compositions!AE129="Ethane"),0,(IV64/100))))</f>
        <v/>
      </c>
      <c r="JG64" s="205" t="str">
        <f>IF(IV64="","",(IF(OR($JF$78=0,$JF$78=""),0,      ((VLOOKUP(Compositions!AE129,'HHV-LHV-MW'!$A$3:$F$40,6,FALSE))*(JF64/$JF$78)))))</f>
        <v/>
      </c>
      <c r="JH64" s="28" t="str">
        <f>IF(Compositions!AG129="","",IF(Compositions!$AG$118="mol%",Compositions!AG129,JI64))</f>
        <v/>
      </c>
      <c r="JI64" s="28" t="str">
        <f t="shared" si="46"/>
        <v/>
      </c>
      <c r="JJ64" s="28" t="str">
        <f>IF(Compositions!AG129="","",(Compositions!AG129/(VLOOKUP(Compositions!AE129,'HHV-LHV-MW'!$A$3:$F$40,6,FALSE))))</f>
        <v/>
      </c>
      <c r="JK64" s="26" t="str">
        <f>IF(JH64="","",((VLOOKUP(Compositions!AE129,'HHV-LHV-MW'!$A$3:$F$40,4,FALSE))*(JH64/100)))</f>
        <v/>
      </c>
      <c r="JL64" s="26" t="str">
        <f>IF(JH64="","",((VLOOKUP(Compositions!AE129,'HHV-LHV-MW'!$A$3:$F$40,5,FALSE))*(JH64/100)))</f>
        <v/>
      </c>
      <c r="JM64" s="26" t="str">
        <f>IF(JH64="","",((VLOOKUP(Compositions!AE129,'HHV-LHV-MW'!$A$3:$F$40,6,FALSE))*(JH64/100)))</f>
        <v/>
      </c>
      <c r="JN64" s="26" t="str">
        <f>IF(Compositions!AG129="","",(Compositions!AG129*(VLOOKUP(Compositions!AE129,'HHV-LHV-MW'!$A$3:$F$40,6,FALSE))))</f>
        <v/>
      </c>
      <c r="JO64" s="297" t="str">
        <f>IF(Compositions!AG129="","",IF(OR(Compositions!$AG$118="wt%",Compositions!$AG$118=""),Compositions!AG129,(IF(JN64="","",((JN64/$JN$78)*100)))))</f>
        <v/>
      </c>
      <c r="JP64" s="39" t="str">
        <f>IF(JO64="","",(IF(OR(Compositions!AE129="Hydrogen",Compositions!AE129="Helium",Compositions!AE129="Water",Compositions!AE129="Carbon Monoxide",Compositions!AE129="Nitrogen",Compositions!AE129="Oxygen",Compositions!AE129="Hydrogen Sulfide",Compositions!AE129="Argon",Compositions!AE129="Carbon Dioxide",Compositions!AE129="Carbon Disulfide"),0,JO64)))</f>
        <v/>
      </c>
      <c r="JQ64" s="186" t="str">
        <f>IF(Compositions!AG129="","",((JH64/100)*((VLOOKUP(Compositions!AE129,'HHV-LHV-MW'!$A$3:$G$40,7,FALSE)))))</f>
        <v/>
      </c>
      <c r="JR64" s="186" t="str">
        <f>IF(JH64="","",(IF(OR(Compositions!AE129="Hydrogen",Compositions!AE129="Carbon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Dioxide",Compositions!AE129="Methane",Compositions!AE129="Ethane"),0,(JH64/100))))</f>
        <v/>
      </c>
      <c r="JS64" s="39" t="str">
        <f>IF(JH64="","",(IF(OR($JR$78=0,$JR$78=""),0,      ((VLOOKUP(Compositions!AE129,'HHV-LHV-MW'!$A$3:$F$40,6,FALSE))*(JR64/$JR$78)))))</f>
        <v/>
      </c>
      <c r="JT64" s="27" t="str">
        <f>IF(Compositions!AH129="","",IF(Compositions!$AH$118="mol%",Compositions!AH129,JU64))</f>
        <v/>
      </c>
      <c r="JU64" s="27" t="str">
        <f t="shared" si="47"/>
        <v/>
      </c>
      <c r="JV64" s="27" t="str">
        <f>IF(Compositions!AH129="","",(Compositions!AH129/(VLOOKUP(Compositions!AE129,'HHV-LHV-MW'!$A$3:$F$40,6,FALSE))))</f>
        <v/>
      </c>
      <c r="JW64" s="25" t="str">
        <f>IF(JT64="","",((VLOOKUP(Compositions!AE129,'HHV-LHV-MW'!$A$3:$F$40,4,FALSE))*(JT64/100)))</f>
        <v/>
      </c>
      <c r="JX64" s="25" t="str">
        <f>IF(JT64="","",((VLOOKUP(Compositions!AE129,'HHV-LHV-MW'!$A$3:$F$40,5,FALSE))*(JT64/100)))</f>
        <v/>
      </c>
      <c r="JY64" s="25" t="str">
        <f>IF(JT64="","",((VLOOKUP(Compositions!AE129,'HHV-LHV-MW'!$A$3:$F$40,6,FALSE))*(JT64/100)))</f>
        <v/>
      </c>
      <c r="JZ64" s="25" t="str">
        <f>IF(Compositions!AH129="","",(Compositions!AH129*(VLOOKUP(Compositions!AE129,'HHV-LHV-MW'!$A$3:$F$40,6,FALSE))))</f>
        <v/>
      </c>
      <c r="KA64" s="298" t="str">
        <f>IF(Compositions!AH129="","",IF(OR(Compositions!$AH$118="wt%",Compositions!$AH$118=""),Compositions!AH129,(IF(JZ64="","",((JZ64/$JZ$78)*100)))))</f>
        <v/>
      </c>
      <c r="KB64" s="185" t="str">
        <f>IF(KA64="","",(IF(OR(Compositions!AE129="Hydrogen",Compositions!AE129="Helium",Compositions!AE129="Water",Compositions!AE129="Carbon Monoxide",Compositions!AE129="Nitrogen",Compositions!AE129="Oxygen",Compositions!AE129="Hydrogen Sulfide",Compositions!AE129="Argon",Compositions!AE129="Carbon Dioxide",Compositions!AE129="Carbon Disulfide"),0,KA64)))</f>
        <v/>
      </c>
      <c r="KC64" s="187" t="str">
        <f>IF(Compositions!AH129="","",((JT64/100)*((VLOOKUP(Compositions!AE129,'HHV-LHV-MW'!$A$3:$G$40,7,FALSE)))))</f>
        <v/>
      </c>
      <c r="KD64" s="187" t="str">
        <f>IF(JT64="","",(IF(OR(Compositions!AE129="Hydrogen",Compositions!AE129="Carbon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Dioxide",Compositions!AE129="Methane",Compositions!AE129="Ethane"),0,(JT64/100))))</f>
        <v/>
      </c>
      <c r="KE64" s="205" t="str">
        <f>IF(JT64="","",(IF(OR($KD$78=0,$KD$78=""),0,      ((VLOOKUP(Compositions!AE129,'HHV-LHV-MW'!$A$3:$F$40,6,FALSE))*(KD64/$KD$78)))))</f>
        <v/>
      </c>
      <c r="KF64" s="28" t="str">
        <f>IF(Compositions!AI129="","",IF(Compositions!$AI$118="mol%",Compositions!AI129,KG64))</f>
        <v/>
      </c>
      <c r="KG64" s="28" t="str">
        <f t="shared" si="48"/>
        <v/>
      </c>
      <c r="KH64" s="28" t="str">
        <f>IF(Compositions!AI129="","",(Compositions!AI129/(VLOOKUP(Compositions!AE129,'HHV-LHV-MW'!$A$3:$F$40,6,FALSE))))</f>
        <v/>
      </c>
      <c r="KI64" s="26" t="str">
        <f>IF(KF64="","",((VLOOKUP(Compositions!AE129,'HHV-LHV-MW'!$A$3:$F$40,4,FALSE))*(KF64/100)))</f>
        <v/>
      </c>
      <c r="KJ64" s="26" t="str">
        <f>IF(KF64="","",((VLOOKUP(Compositions!AE129,'HHV-LHV-MW'!$A$3:$F$40,5,FALSE))*(KF64/100)))</f>
        <v/>
      </c>
      <c r="KK64" s="26" t="str">
        <f>IF(KF64="","",((VLOOKUP(Compositions!AE129,'HHV-LHV-MW'!$A$3:$F$40,6,FALSE))*(KF64/100)))</f>
        <v/>
      </c>
      <c r="KL64" s="26" t="str">
        <f>IF(Compositions!AI129="","",(Compositions!AI129*(VLOOKUP(Compositions!AE129,'HHV-LHV-MW'!$A$3:$F$40,6,FALSE))))</f>
        <v/>
      </c>
      <c r="KM64" s="297" t="str">
        <f>IF(Compositions!AI129="","",IF(OR(Compositions!$AI$118="wt%",Compositions!$AI$118=""),Compositions!AI129,(IF(KL64="","",((KL64/$KL$78)*100)))))</f>
        <v/>
      </c>
      <c r="KN64" s="39" t="str">
        <f>IF(KM64="","",(IF(OR(Compositions!AE129="Hydrogen",Compositions!AE129="Helium",Compositions!AE129="Water",Compositions!AE129="Carbon Monoxide",Compositions!AE129="Nitrogen",Compositions!AE129="Oxygen",Compositions!AE129="Hydrogen Sulfide",Compositions!AE129="Argon",Compositions!AE129="Carbon Dioxide",Compositions!AE129="Carbon Disulfide"),0,KM64)))</f>
        <v/>
      </c>
      <c r="KO64" s="186" t="str">
        <f>IF(Compositions!AI129="","",((KF64/100)*((VLOOKUP(Compositions!AE129,'HHV-LHV-MW'!$A$3:$G$40,7,FALSE)))))</f>
        <v/>
      </c>
      <c r="KP64" s="186" t="str">
        <f>IF(KF64="","",(IF(OR(Compositions!AE129="Hydrogen",Compositions!AE129="Carbon Disulfide",Compositions!AE129="Helium",Compositions!AE129="Water",Compositions!AE129="Carbon Monoxide",Compositions!AE129="Nitrogen",Compositions!AE129="Oxygen",Compositions!AE129="Hydrogen Sulfide",Compositions!AE129="Argon",Compositions!AE129="Carbon Dioxide",Compositions!AE129="Methane",Compositions!AE129="Ethane"),0,(KF64/100))))</f>
        <v/>
      </c>
      <c r="KQ64" s="39" t="str">
        <f>IF(KF64="","",(IF(OR($KP$78=0,$KP$78=""),0,      ((VLOOKUP(Compositions!AE129,'HHV-LHV-MW'!$A$3:$F$40,6,FALSE))*(KP64/$KP$78)))))</f>
        <v/>
      </c>
      <c r="KS64" s="27" t="str">
        <f>IF(Compositions!AL129="","",IF(Compositions!$AL$118="mol%",Compositions!AL129,KT64))</f>
        <v/>
      </c>
      <c r="KT64" s="27" t="str">
        <f t="shared" si="49"/>
        <v/>
      </c>
      <c r="KU64" s="27" t="str">
        <f>IF(Compositions!AL129="","",(Compositions!AL129/(VLOOKUP(Compositions!AK129,'HHV-LHV-MW'!$A$3:$F$40,6,FALSE))))</f>
        <v/>
      </c>
      <c r="KV64" s="185" t="str">
        <f>IF(KS64="","",((VLOOKUP(Compositions!AK129,'HHV-LHV-MW'!$A$3:$F$40,4,FALSE))*(KS64/100)))</f>
        <v/>
      </c>
      <c r="KW64" s="185" t="str">
        <f>IF(KS64="","",((VLOOKUP(Compositions!AK129,'HHV-LHV-MW'!$A$3:$F$40,5,FALSE))*(KS64/100)))</f>
        <v/>
      </c>
      <c r="KX64" s="185" t="str">
        <f>IF(KS64="","",((VLOOKUP(Compositions!AK129,'HHV-LHV-MW'!$A$3:$F$40,6,FALSE))*(KS64/100)))</f>
        <v/>
      </c>
      <c r="KY64" s="185" t="str">
        <f>IF(Compositions!AL129="","",(Compositions!AL129*(VLOOKUP(Compositions!AK129,'HHV-LHV-MW'!$A$3:$F$40,6,FALSE))))</f>
        <v/>
      </c>
      <c r="KZ64" s="298" t="str">
        <f>IF(Compositions!AL129="","",IF(OR(Compositions!$AL$118="wt%",Compositions!$AL$118=""),Compositions!AL129,(IF(KY64="","",((KY64/$KY$78)*100)))))</f>
        <v/>
      </c>
      <c r="LA64" s="185" t="str">
        <f>IF(KZ64="","",(IF(OR(Compositions!AK129="Hydrogen",Compositions!AK129="Helium",Compositions!AK129="Water",Compositions!AK129="Carbon Monoxide",Compositions!AK129="Nitrogen",Compositions!AK129="Oxygen",Compositions!AK129="Hydrogen Sulfide",Compositions!AK129="Argon",Compositions!AK129="Carbon Dioxide",Compositions!AK129="Carbon Disulfide"),0,KZ64)))</f>
        <v/>
      </c>
      <c r="LB64" s="187" t="str">
        <f>IF(Compositions!AL129="","",((KS64/100)*((VLOOKUP(Compositions!AK129,'HHV-LHV-MW'!$A$3:$G$40,7,FALSE)))))</f>
        <v/>
      </c>
      <c r="LC64" s="187" t="str">
        <f>IF(KS64="","",(IF(OR(Compositions!AK129="Hydrogen",Compositions!AK129="Carbon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Dioxide",Compositions!AK129="Methane",Compositions!AK129="Ethane"),0,(KS64/100))))</f>
        <v/>
      </c>
      <c r="LD64" s="205" t="str">
        <f>IF(KS64="","",(IF(OR($LC$78=0,$LC$78=""),0,      ((VLOOKUP(Compositions!AK129,'HHV-LHV-MW'!$A$3:$F$40,6,FALSE))*(LC64/$LC$78)))))</f>
        <v/>
      </c>
      <c r="LE64" s="28" t="str">
        <f>IF(Compositions!AM129="","",IF(Compositions!$AM$118="mol%",Compositions!AM129,LF64))</f>
        <v/>
      </c>
      <c r="LF64" s="28" t="str">
        <f t="shared" si="50"/>
        <v/>
      </c>
      <c r="LG64" s="28" t="str">
        <f>IF(Compositions!AM129="","",(Compositions!AM129/(VLOOKUP(Compositions!AK129,'HHV-LHV-MW'!$A$3:$F$40,6,FALSE))))</f>
        <v/>
      </c>
      <c r="LH64" s="184" t="str">
        <f>IF(LE64="","",((VLOOKUP(Compositions!AK129,'HHV-LHV-MW'!$A$3:$F$40,4,FALSE))*(LE64/100)))</f>
        <v/>
      </c>
      <c r="LI64" s="184" t="str">
        <f>IF(LE64="","",((VLOOKUP(Compositions!AK129,'HHV-LHV-MW'!$A$3:$F$40,5,FALSE))*(LE64/100)))</f>
        <v/>
      </c>
      <c r="LJ64" s="184" t="str">
        <f>IF(LE64="","",((VLOOKUP(Compositions!AK129,'HHV-LHV-MW'!$A$3:$F$40,6,FALSE))*(LE64/100)))</f>
        <v/>
      </c>
      <c r="LK64" s="184" t="str">
        <f>IF(Compositions!AM129="","",(Compositions!AM129*(VLOOKUP(Compositions!AK129,'HHV-LHV-MW'!$A$3:$F$40,6,FALSE))))</f>
        <v/>
      </c>
      <c r="LL64" s="297" t="str">
        <f>IF(Compositions!AM129="","",IF(OR(Compositions!$AM$118="wt%",Compositions!$AM$118=""),Compositions!AM129,(IF(LK64="","",((LK64/$LK$78)*100)))))</f>
        <v/>
      </c>
      <c r="LM64" s="39" t="str">
        <f>IF(LL64="","",(IF(OR(Compositions!AK129="Hydrogen",Compositions!AK129="Helium",Compositions!AK129="Water",Compositions!AK129="Carbon Monoxide",Compositions!AK129="Nitrogen",Compositions!AK129="Oxygen",Compositions!AK129="Hydrogen Sulfide",Compositions!AK129="Argon",Compositions!AK129="Carbon Dioxide",Compositions!AK129="Carbon Disulfide"),0,LL64)))</f>
        <v/>
      </c>
      <c r="LN64" s="186" t="str">
        <f>IF(Compositions!AM129="","",((LE64/100)*((VLOOKUP(Compositions!AK129,'HHV-LHV-MW'!$A$3:$G$40,7,FALSE)))))</f>
        <v/>
      </c>
      <c r="LO64" s="186" t="str">
        <f>IF(LE64="","",(IF(OR(Compositions!AK129="Hydrogen",Compositions!AK129="Carbon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Dioxide",Compositions!AK129="Methane",Compositions!AK129="Ethane"),0,(LE64/100))))</f>
        <v/>
      </c>
      <c r="LP64" s="39" t="str">
        <f>IF(LE64="","",(IF(OR($LO$78=0,$LO$78=""),0,     ((VLOOKUP(Compositions!AK129,'HHV-LHV-MW'!$A$3:$F$40,6,FALSE))*(LO64/$LO$78)))))</f>
        <v/>
      </c>
      <c r="LQ64" s="27" t="str">
        <f>IF(Compositions!AN129="","",IF(Compositions!$AN$118="mol%",Compositions!AN129,LR64))</f>
        <v/>
      </c>
      <c r="LR64" s="27" t="str">
        <f t="shared" si="51"/>
        <v/>
      </c>
      <c r="LS64" s="27" t="str">
        <f>IF(Compositions!AN129="","",(Compositions!AN129/(VLOOKUP(Compositions!AK129,'HHV-LHV-MW'!$A$3:$F$40,6,FALSE))))</f>
        <v/>
      </c>
      <c r="LT64" s="185" t="str">
        <f>IF(LQ64="","",((VLOOKUP(Compositions!AK129,'HHV-LHV-MW'!$A$3:$F$40,4,FALSE))*(LQ64/100)))</f>
        <v/>
      </c>
      <c r="LU64" s="185" t="str">
        <f>IF(LQ64="","",((VLOOKUP(Compositions!AK129,'HHV-LHV-MW'!$A$3:$F$40,5,FALSE))*(LQ64/100)))</f>
        <v/>
      </c>
      <c r="LV64" s="185" t="str">
        <f>IF(LQ64="","",((VLOOKUP(Compositions!AK129,'HHV-LHV-MW'!$A$3:$F$40,6,FALSE))*(LQ64/100)))</f>
        <v/>
      </c>
      <c r="LW64" s="185" t="str">
        <f>IF(Compositions!AN129="","",(Compositions!AN129*(VLOOKUP(Compositions!AK129,'HHV-LHV-MW'!$A$3:$F$40,6,FALSE))))</f>
        <v/>
      </c>
      <c r="LX64" s="298" t="str">
        <f>IF(Compositions!AN129="","",IF(OR(Compositions!$AN$118="wt%",Compositions!$AN$118=""),Compositions!AN129,(IF(LW64="","",((LW64/$LW$78)*100)))))</f>
        <v/>
      </c>
      <c r="LY64" s="185" t="str">
        <f>IF(LX64="","",(IF(OR(Compositions!AK129="Hydrogen",Compositions!AK129="Helium",Compositions!AK129="Water",Compositions!AK129="Carbon Monoxide",Compositions!AK129="Nitrogen",Compositions!AK129="Oxygen",Compositions!AK129="Hydrogen Sulfide",Compositions!AK129="Argon",Compositions!AK129="Carbon Dioxide",Compositions!AK129="Carbon Disulfide"),0,LX64)))</f>
        <v/>
      </c>
      <c r="LZ64" s="187" t="str">
        <f>IF(Compositions!AN129="","",((LQ64/100)*((VLOOKUP(Compositions!AK129,'HHV-LHV-MW'!$A$3:$G$40,7,FALSE)))))</f>
        <v/>
      </c>
      <c r="MA64" s="187" t="str">
        <f>IF(LQ64="","",(IF(OR(Compositions!AK129="Hydrogen",Compositions!AK129="Carbon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Dioxide",Compositions!AK129="Methane",Compositions!AK129="Ethane"),0,(LQ64/100))))</f>
        <v/>
      </c>
      <c r="MB64" s="205" t="str">
        <f>IF(LQ64="","",(IF(OR($MA$78=0,$MA$78=""),0,     ((VLOOKUP(Compositions!AK129,'HHV-LHV-MW'!$A$3:$F$40,6,FALSE))*(MA64/$MA$78)))))</f>
        <v/>
      </c>
      <c r="MC64" s="28" t="str">
        <f>IF(Compositions!AO129="","",IF(Compositions!$AO$118="mol%",Compositions!AO129,MD64))</f>
        <v/>
      </c>
      <c r="MD64" s="28" t="str">
        <f t="shared" si="52"/>
        <v/>
      </c>
      <c r="ME64" s="28" t="str">
        <f>IF(Compositions!AO129="","",(Compositions!AO129/(VLOOKUP(Compositions!AK129,'HHV-LHV-MW'!$A$3:$F$40,6,FALSE))))</f>
        <v/>
      </c>
      <c r="MF64" s="184" t="str">
        <f>IF(MC64="","",((VLOOKUP(Compositions!AK129,'HHV-LHV-MW'!$A$3:$F$40,4,FALSE))*(MC64/100)))</f>
        <v/>
      </c>
      <c r="MG64" s="184" t="str">
        <f>IF(MC64="","",((VLOOKUP(Compositions!AK129,'HHV-LHV-MW'!$A$3:$F$40,5,FALSE))*(MC64/100)))</f>
        <v/>
      </c>
      <c r="MH64" s="184" t="str">
        <f>IF(MC64="","",((VLOOKUP(Compositions!AK129,'HHV-LHV-MW'!$A$3:$F$40,6,FALSE))*(MC64/100)))</f>
        <v/>
      </c>
      <c r="MI64" s="184" t="str">
        <f>IF(Compositions!AO129="","",(Compositions!AO129*(VLOOKUP(Compositions!AK129,'HHV-LHV-MW'!$A$3:$F$40,6,FALSE))))</f>
        <v/>
      </c>
      <c r="MJ64" s="297" t="str">
        <f>IF(Compositions!AO129="","",IF(OR(Compositions!$AO$118="wt%",Compositions!$AO$118=""),Compositions!AO129,(IF(MI64="","",((MI64/$MI$78)*100)))))</f>
        <v/>
      </c>
      <c r="MK64" s="39" t="str">
        <f>IF(MJ64="","",(IF(OR(Compositions!AK129="Hydrogen",Compositions!AK129="Helium",Compositions!AK129="Water",Compositions!AK129="Carbon Monoxide",Compositions!AK129="Nitrogen",Compositions!AK129="Oxygen",Compositions!AK129="Hydrogen Sulfide",Compositions!AK129="Argon",Compositions!AK129="Carbon Dioxide",Compositions!AK129="Carbon Disulfide"),0,MJ64)))</f>
        <v/>
      </c>
      <c r="ML64" s="186" t="str">
        <f>IF(Compositions!AO129="","",((MC64/100)*((VLOOKUP(Compositions!AK129,'HHV-LHV-MW'!$A$3:$G$40,7,FALSE)))))</f>
        <v/>
      </c>
      <c r="MM64" s="186" t="str">
        <f>IF(MC64="","",(IF(OR(Compositions!AK129="Hydrogen",Compositions!AK129="Carbon Disulfide",Compositions!AK129="Helium",Compositions!AK129="Water",Compositions!AK129="Carbon Monoxide",Compositions!AK129="Nitrogen",Compositions!AK129="Oxygen",Compositions!AK129="Hydrogen Sulfide",Compositions!AK129="Argon",Compositions!AK129="Carbon Dioxide",Compositions!AK129="Methane",Compositions!AK129="Ethane"),0,(MC64/100))))</f>
        <v/>
      </c>
      <c r="MN64" s="39" t="str">
        <f>IF(MC64="","",(IF(OR($MM$78=0,$MM$78=""),0,     ((VLOOKUP(Compositions!AK129,'HHV-LHV-MW'!$A$3:$F$40,6,FALSE))*(MM64/$MM$78)))))</f>
        <v/>
      </c>
      <c r="MP64" s="27" t="str">
        <f>IF(Compositions!AR129="","",IF(Compositions!$AR$118="mol%",Compositions!AR129,MQ64))</f>
        <v/>
      </c>
      <c r="MQ64" s="27" t="str">
        <f t="shared" si="53"/>
        <v/>
      </c>
      <c r="MR64" s="27" t="str">
        <f>IF(Compositions!AR129="","",(Compositions!AR129/(VLOOKUP(Compositions!AQ129,'HHV-LHV-MW'!$A$3:$F$40,6,FALSE))))</f>
        <v/>
      </c>
      <c r="MS64" s="185" t="str">
        <f>IF(MP64="","",((VLOOKUP(Compositions!AQ129,'HHV-LHV-MW'!$A$3:$F$40,4,FALSE))*(MP64/100)))</f>
        <v/>
      </c>
      <c r="MT64" s="185" t="str">
        <f>IF(MP64="","",((VLOOKUP(Compositions!AQ129,'HHV-LHV-MW'!$A$3:$F$40,5,FALSE))*(MP64/100)))</f>
        <v/>
      </c>
      <c r="MU64" s="185" t="str">
        <f>IF(MP64="","",((VLOOKUP(Compositions!AQ129,'HHV-LHV-MW'!$A$3:$F$40,6,FALSE))*(MP64/100)))</f>
        <v/>
      </c>
      <c r="MV64" s="185" t="str">
        <f>IF(Compositions!AR129="","",(Compositions!AR129*(VLOOKUP(Compositions!AQ129,'HHV-LHV-MW'!$A$3:$F$40,6,FALSE))))</f>
        <v/>
      </c>
      <c r="MW64" s="298" t="str">
        <f>IF(Compositions!AR129="","",IF(OR(Compositions!$AR$118="wt%",Compositions!$AR$118=""),Compositions!AR129,(IF(MV64="","",((MV64/$MV$78)*100)))))</f>
        <v/>
      </c>
      <c r="MX64" s="185" t="str">
        <f>IF(MW64="","",(IF(OR(Compositions!AQ129="Hydrogen",Compositions!AQ129="Helium",Compositions!AQ129="Water",Compositions!AQ129="Carbon Monoxide",Compositions!AQ129="Nitrogen",Compositions!AQ129="Oxygen",Compositions!AQ129="Hydrogen Sulfide",Compositions!AQ129="Argon",Compositions!AQ129="Carbon Dioxide",Compositions!AQ129="Carbon Disulfide"),0,MW64)))</f>
        <v/>
      </c>
      <c r="MY64" s="187" t="str">
        <f>IF(Compositions!AR129="","",((MP64/100)*((VLOOKUP(Compositions!AQ129,'HHV-LHV-MW'!$A$3:$G$40,7,FALSE)))))</f>
        <v/>
      </c>
      <c r="MZ64" s="187" t="str">
        <f>IF(MP64="","",(IF(OR(Compositions!AQ129="Hydrogen",Compositions!AQ129="Carbon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Dioxide",Compositions!AQ129="Methane",Compositions!AQ129="Ethane"),0,(MP64/100))))</f>
        <v/>
      </c>
      <c r="NA64" s="205" t="str">
        <f>IF(MP64="","",(IF(OR($MZ$78=0,$MZ$78=""),0,     ((VLOOKUP(Compositions!AQ129,'HHV-LHV-MW'!$A$3:$F$40,6,FALSE))*(MZ64/$MZ$78)))))</f>
        <v/>
      </c>
      <c r="NB64" s="28" t="str">
        <f>IF(Compositions!AS129="","",IF(Compositions!$AS$118="mol%",Compositions!AS129,NC64))</f>
        <v/>
      </c>
      <c r="NC64" s="28" t="str">
        <f t="shared" si="54"/>
        <v/>
      </c>
      <c r="ND64" s="28" t="str">
        <f>IF(Compositions!AS129="","",(Compositions!AS129/(VLOOKUP(Compositions!AQ129,'HHV-LHV-MW'!$A$3:$F$40,6,FALSE))))</f>
        <v/>
      </c>
      <c r="NE64" s="184" t="str">
        <f>IF(NB64="","",((VLOOKUP(Compositions!AQ129,'HHV-LHV-MW'!$A$3:$F$40,4,FALSE))*(NB64/100)))</f>
        <v/>
      </c>
      <c r="NF64" s="184" t="str">
        <f>IF(NB64="","",((VLOOKUP(Compositions!AQ129,'HHV-LHV-MW'!$A$3:$F$40,5,FALSE))*(NB64/100)))</f>
        <v/>
      </c>
      <c r="NG64" s="184" t="str">
        <f>IF(NB64="","",((VLOOKUP(Compositions!AQ129,'HHV-LHV-MW'!$A$3:$F$40,6,FALSE))*(NB64/100)))</f>
        <v/>
      </c>
      <c r="NH64" s="184" t="str">
        <f>IF(Compositions!AS129="","",(Compositions!AS129*(VLOOKUP(Compositions!AQ129,'HHV-LHV-MW'!$A$3:$F$40,6,FALSE))))</f>
        <v/>
      </c>
      <c r="NI64" s="297" t="str">
        <f>IF(Compositions!AS129="","",IF(OR(Compositions!$AS$118="wt%",Compositions!$AS$118=""),Compositions!AS129,(IF(NH64="","",((NH64/$NH$78)*100)))))</f>
        <v/>
      </c>
      <c r="NJ64" s="39" t="str">
        <f>IF(NI64="","",(IF(OR(Compositions!AQ129="Hydrogen",Compositions!AQ129="Helium",Compositions!AQ129="Water",Compositions!AQ129="Carbon Monoxide",Compositions!AQ129="Nitrogen",Compositions!AQ129="Oxygen",Compositions!AQ129="Hydrogen Sulfide",Compositions!AQ129="Argon",Compositions!AQ129="Carbon Dioxide",Compositions!AQ129="Carbon Disulfide"),0,NI64)))</f>
        <v/>
      </c>
      <c r="NK64" s="186" t="str">
        <f>IF(Compositions!AS129="","",((NB64/100)*((VLOOKUP(Compositions!AQ129,'HHV-LHV-MW'!$A$3:$G$40,7,FALSE)))))</f>
        <v/>
      </c>
      <c r="NL64" s="186" t="str">
        <f>IF(NB64="","",(IF(OR(Compositions!AQ129="Hydrogen",Compositions!AQ129="Carbon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Dioxide",Compositions!AQ129="Methane",Compositions!AQ129="Ethane"),0,(NB64/100))))</f>
        <v/>
      </c>
      <c r="NM64" s="39" t="str">
        <f>IF(NB64="","",(IF(OR($NL$78=0,$NL$78=""),0,     ((VLOOKUP(Compositions!AQ129,'HHV-LHV-MW'!$A$3:$F$40,6,FALSE))*(NL64/$NL$78)))))</f>
        <v/>
      </c>
      <c r="NN64" s="27" t="str">
        <f>IF(Compositions!AT129="","",IF(Compositions!$AT$118="mol%",Compositions!AT129,NO64))</f>
        <v/>
      </c>
      <c r="NO64" s="27" t="str">
        <f t="shared" si="55"/>
        <v/>
      </c>
      <c r="NP64" s="27" t="str">
        <f>IF(Compositions!AT129="","",(Compositions!AT129/(VLOOKUP(Compositions!AQ129,'HHV-LHV-MW'!$A$3:$F$40,6,FALSE))))</f>
        <v/>
      </c>
      <c r="NQ64" s="185" t="str">
        <f>IF(NN64="","",((VLOOKUP(Compositions!AQ129,'HHV-LHV-MW'!$A$3:$F$40,4,FALSE))*(NN64/100)))</f>
        <v/>
      </c>
      <c r="NR64" s="185" t="str">
        <f>IF(NN64="","",((VLOOKUP(Compositions!AQ129,'HHV-LHV-MW'!$A$3:$F$40,5,FALSE))*(NN64/100)))</f>
        <v/>
      </c>
      <c r="NS64" s="185" t="str">
        <f>IF(NN64="","",((VLOOKUP(Compositions!AQ129,'HHV-LHV-MW'!$A$3:$F$40,6,FALSE))*(NN64/100)))</f>
        <v/>
      </c>
      <c r="NT64" s="185" t="str">
        <f>IF(Compositions!AT129="","",(Compositions!AT129*(VLOOKUP(Compositions!AQ129,'HHV-LHV-MW'!$A$3:$F$40,6,FALSE))))</f>
        <v/>
      </c>
      <c r="NU64" s="298" t="str">
        <f>IF(Compositions!AT129="","",IF(OR(Compositions!$AT$118="wt%",Compositions!$AT$118=""),Compositions!AT129,(IF(NT64="","",((NT64/$NT$78)*100)))))</f>
        <v/>
      </c>
      <c r="NV64" s="185" t="str">
        <f>IF(NU64="","",(IF(OR(Compositions!AQ129="Hydrogen",Compositions!AQ129="Helium",Compositions!AQ129="Water",Compositions!AQ129="Carbon Monoxide",Compositions!AQ129="Nitrogen",Compositions!AQ129="Oxygen",Compositions!AQ129="Hydrogen Sulfide",Compositions!AQ129="Argon",Compositions!AQ129="Carbon Dioxide",Compositions!AQ129="Carbon Disulfide"),0,NU64)))</f>
        <v/>
      </c>
      <c r="NW64" s="187" t="str">
        <f>IF(Compositions!AT129="","",((NN64/100)*((VLOOKUP(Compositions!AQ129,'HHV-LHV-MW'!$A$3:$G$40,7,FALSE)))))</f>
        <v/>
      </c>
      <c r="NX64" s="187" t="str">
        <f>IF(NN64="","",(IF(OR(Compositions!AQ129="Hydrogen",Compositions!AQ129="Carbon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Dioxide",Compositions!AQ129="Methane",Compositions!AQ129="Ethane"),0,(NN64/100))))</f>
        <v/>
      </c>
      <c r="NY64" s="205" t="str">
        <f>IF(NN64="","",(IF(OR($NX$78=0,$NX$78=""),0,     ((VLOOKUP(Compositions!AQ129,'HHV-LHV-MW'!$A$3:$F$40,6,FALSE))*(NX64/$NX$78)))))</f>
        <v/>
      </c>
      <c r="NZ64" s="28" t="str">
        <f>IF(Compositions!AU129="","",IF(Compositions!$AU$118="mol%",Compositions!AU129,OA64))</f>
        <v/>
      </c>
      <c r="OA64" s="28" t="str">
        <f t="shared" si="56"/>
        <v/>
      </c>
      <c r="OB64" s="28" t="str">
        <f>IF(Compositions!AU129="","",(Compositions!AU129/(VLOOKUP(Compositions!AQ129,'HHV-LHV-MW'!$A$3:$F$40,6,FALSE))))</f>
        <v/>
      </c>
      <c r="OC64" s="184" t="str">
        <f>IF(NZ64="","",((VLOOKUP(Compositions!AQ129,'HHV-LHV-MW'!$A$3:$F$40,4,FALSE))*(NZ64/100)))</f>
        <v/>
      </c>
      <c r="OD64" s="184" t="str">
        <f>IF(NZ64="","",((VLOOKUP(Compositions!AQ129,'HHV-LHV-MW'!$A$3:$F$40,5,FALSE))*(NZ64/100)))</f>
        <v/>
      </c>
      <c r="OE64" s="184" t="str">
        <f>IF(NZ64="","",((VLOOKUP(Compositions!AQ129,'HHV-LHV-MW'!$A$3:$F$40,6,FALSE))*(NZ64/100)))</f>
        <v/>
      </c>
      <c r="OF64" s="184" t="str">
        <f>IF(Compositions!AU129="","",(Compositions!AU129*(VLOOKUP(Compositions!AQ129,'HHV-LHV-MW'!$A$3:$F$40,6,FALSE))))</f>
        <v/>
      </c>
      <c r="OG64" s="297" t="str">
        <f>IF(Compositions!AU129="","",IF(OR(Compositions!$AU$118="wt%",Compositions!$AU$118=""),Compositions!AU129,(IF(OF64="","",((OF64/$OF$78)*100)))))</f>
        <v/>
      </c>
      <c r="OH64" s="39" t="str">
        <f>IF(OG64="","",(IF(OR(Compositions!AQ129="Hydrogen",Compositions!AQ129="Helium",Compositions!AQ129="Water",Compositions!AQ129="Carbon Monoxide",Compositions!AQ129="Nitrogen",Compositions!AQ129="Oxygen",Compositions!AQ129="Hydrogen Sulfide",Compositions!AQ129="Argon",Compositions!AQ129="Carbon Dioxide",Compositions!AQ129="Carbon Disulfide"),0,OG64)))</f>
        <v/>
      </c>
      <c r="OI64" s="186" t="str">
        <f>IF(Compositions!AU129="","",((NZ64/100)*((VLOOKUP(Compositions!AQ129,'HHV-LHV-MW'!$A$3:$G$40,7,FALSE)))))</f>
        <v/>
      </c>
      <c r="OJ64" s="186" t="str">
        <f>IF(NZ64="","",(IF(OR(Compositions!AQ129="Hydrogen",Compositions!AQ129="Carbon Disulfide",Compositions!AQ129="Helium",Compositions!AQ129="Water",Compositions!AQ129="Carbon Monoxide",Compositions!AQ129="Nitrogen",Compositions!AQ129="Oxygen",Compositions!AQ129="Hydrogen Sulfide",Compositions!AQ129="Argon",Compositions!AQ129="Carbon Dioxide",Compositions!AQ129="Methane",Compositions!AQ129="Ethane"),0,(NZ64/100))))</f>
        <v/>
      </c>
      <c r="OK64" s="39" t="str">
        <f>IF(NZ64="","",(IF(OR($OJ$78=0,$OJ$78=""),0,     ((VLOOKUP(Compositions!AQ129,'HHV-LHV-MW'!$A$3:$F$40,6,FALSE))*(OJ64/$OJ$78)))))</f>
        <v/>
      </c>
      <c r="ON64" s="27" t="str">
        <f>IF(Compositions!AX129="","",IF(Compositions!$AX$118="mol%",Compositions!AX129,OO64))</f>
        <v/>
      </c>
      <c r="OO64" s="27" t="str">
        <f t="shared" si="57"/>
        <v/>
      </c>
      <c r="OP64" s="27" t="str">
        <f>IF(Compositions!AX129="","",(Compositions!AX129/(VLOOKUP(Compositions!AW129,'HHV-LHV-MW'!$A$3:$F$40,6,FALSE))))</f>
        <v/>
      </c>
      <c r="OQ64" s="185" t="str">
        <f>IF(ON64="","",((VLOOKUP(Compositions!AW129,'HHV-LHV-MW'!$A$3:$F$40,4,FALSE))*(ON64/100)))</f>
        <v/>
      </c>
      <c r="OR64" s="185" t="str">
        <f>IF(ON64="","",((VLOOKUP(Compositions!AW129,'HHV-LHV-MW'!$A$3:$F$40,5,FALSE))*(ON64/100)))</f>
        <v/>
      </c>
      <c r="OS64" s="185" t="str">
        <f>IF(ON64="","",((VLOOKUP(Compositions!AW129,'HHV-LHV-MW'!$A$3:$F$40,6,FALSE))*(ON64/100)))</f>
        <v/>
      </c>
      <c r="OT64" s="185" t="str">
        <f>IF(Compositions!AX129="","",(Compositions!AX129*(VLOOKUP(Compositions!AW129,'HHV-LHV-MW'!$A$3:$F$40,6,FALSE))))</f>
        <v/>
      </c>
      <c r="OU64" s="298" t="str">
        <f>IF(Compositions!AX129="","",IF(OR(Compositions!$AX$118="wt%",Compositions!$AX$118=""),Compositions!AX129,(IF(OT64="","",((OT64/$OT$78)*100)))))</f>
        <v/>
      </c>
      <c r="OV64" s="185" t="str">
        <f>IF(OU64="","",(IF(OR(Compositions!AW129="Hydrogen",Compositions!AW129="Helium",Compositions!AW129="Water",Compositions!AW129="Carbon Monoxide",Compositions!AW129="Nitrogen",Compositions!AW129="Oxygen",Compositions!AW129="Hydrogen Sulfide",Compositions!AW129="Argon",Compositions!AW129="Carbon Dioxide",Compositions!AW129="Carbon Disulfide"),0,OU64)))</f>
        <v/>
      </c>
      <c r="OW64" s="187" t="str">
        <f>IF(Compositions!AX129="","",((ON64/100)*((VLOOKUP(Compositions!AW129,'HHV-LHV-MW'!$A$3:$G$40,7,FALSE)))))</f>
        <v/>
      </c>
      <c r="OX64" s="187" t="str">
        <f>IF(ON64="","",(IF(OR(Compositions!AW129="Hydrogen",Compositions!AW129="Carbon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Dioxide",Compositions!AW129="Methane",Compositions!AW129="Ethane"),0,(ON64/100))))</f>
        <v/>
      </c>
      <c r="OY64" s="205" t="str">
        <f>IF(ON64="","",(IF(OR($OX$78=0,$OX$78=""),0,     ((VLOOKUP(Compositions!AW129,'HHV-LHV-MW'!$A$3:$F$40,6,FALSE))*(OX64/$OX$78)))))</f>
        <v/>
      </c>
      <c r="OZ64" s="28" t="str">
        <f>IF(Compositions!AY129="","",IF(Compositions!$AY$118="mol%",Compositions!AY129,PA64))</f>
        <v/>
      </c>
      <c r="PA64" s="28" t="str">
        <f t="shared" si="64"/>
        <v/>
      </c>
      <c r="PB64" s="28" t="str">
        <f>IF(Compositions!AY129="","",(Compositions!AY129/(VLOOKUP(Compositions!AW129,'HHV-LHV-MW'!$A$3:$F$40,6,FALSE))))</f>
        <v/>
      </c>
      <c r="PC64" s="184" t="str">
        <f>IF(OZ64="","",((VLOOKUP(Compositions!AW129,'HHV-LHV-MW'!$A$3:$F$40,4,FALSE))*(OZ64/100)))</f>
        <v/>
      </c>
      <c r="PD64" s="184" t="str">
        <f>IF(OZ64="","",((VLOOKUP(Compositions!AW129,'HHV-LHV-MW'!$A$3:$F$40,5,FALSE))*(OZ64/100)))</f>
        <v/>
      </c>
      <c r="PE64" s="184" t="str">
        <f>IF(OZ64="","",((VLOOKUP(Compositions!AW129,'HHV-LHV-MW'!$A$3:$F$40,6,FALSE))*(OZ64/100)))</f>
        <v/>
      </c>
      <c r="PF64" s="184" t="str">
        <f>IF(Compositions!AY129="","",(Compositions!AY129*(VLOOKUP(Compositions!AW129,'HHV-LHV-MW'!$A$3:$F$40,6,FALSE))))</f>
        <v/>
      </c>
      <c r="PG64" s="297" t="str">
        <f>IF(Compositions!AY129="","",IF(OR(Compositions!$AY$118="wt%",Compositions!$AY$118=""),Compositions!AY129,(IF(PF64="","",((PF64/$PF$78)*100)))))</f>
        <v/>
      </c>
      <c r="PH64" s="39" t="str">
        <f>IF(PG64="","",(IF(OR(Compositions!AW129="Hydrogen",Compositions!AW129="Helium",Compositions!AW129="Water",Compositions!AW129="Carbon Monoxide",Compositions!AW129="Nitrogen",Compositions!AW129="Oxygen",Compositions!AW129="Hydrogen Sulfide",Compositions!AW129="Argon",Compositions!AW129="Carbon Dioxide",Compositions!AW129="Carbon Disulfide"),0,PG64)))</f>
        <v/>
      </c>
      <c r="PI64" s="186" t="str">
        <f>IF(Compositions!AY129="","",((OZ64/100)*((VLOOKUP(Compositions!AW129,'HHV-LHV-MW'!$A$3:$G$40,7,FALSE)))))</f>
        <v/>
      </c>
      <c r="PJ64" s="186" t="str">
        <f>IF(OZ64="","",(IF(OR(Compositions!AW129="Hydrogen",Compositions!AW129="Carbon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Dioxide",Compositions!AW129="Methane",Compositions!AW129="Ethane"),0,(OZ64/100))))</f>
        <v/>
      </c>
      <c r="PK64" s="39" t="str">
        <f>IF(OZ64="","",(IF(OR($PJ$78=0,$PJ$78=""),0,     ((VLOOKUP(Compositions!AW129,'HHV-LHV-MW'!$A$3:$F$40,6,FALSE))*(PJ64/$PJ$78)))))</f>
        <v/>
      </c>
      <c r="PL64" s="27" t="str">
        <f>IF(Compositions!AZ129="","",IF(Compositions!$AZ$118="mol%",Compositions!AZ129,PM64))</f>
        <v/>
      </c>
      <c r="PM64" s="27" t="str">
        <f t="shared" si="58"/>
        <v/>
      </c>
      <c r="PN64" s="27" t="str">
        <f>IF(Compositions!AZ129="","",(Compositions!AZ129/(VLOOKUP(Compositions!AW129,'HHV-LHV-MW'!$A$3:$F$40,6,FALSE))))</f>
        <v/>
      </c>
      <c r="PO64" s="185" t="str">
        <f>IF(PL64="","",((VLOOKUP(Compositions!AW129,'HHV-LHV-MW'!$A$3:$F$40,4,FALSE))*(PL64/100)))</f>
        <v/>
      </c>
      <c r="PP64" s="185" t="str">
        <f>IF(PL64="","",((VLOOKUP(Compositions!AW129,'HHV-LHV-MW'!$A$3:$F$40,5,FALSE))*(PL64/100)))</f>
        <v/>
      </c>
      <c r="PQ64" s="185" t="str">
        <f>IF(PL64="","",((VLOOKUP(Compositions!AW129,'HHV-LHV-MW'!$A$3:$F$40,6,FALSE))*(PL64/100)))</f>
        <v/>
      </c>
      <c r="PR64" s="185" t="str">
        <f>IF(Compositions!AZ129="","",(Compositions!AZ129*(VLOOKUP(Compositions!AW129,'HHV-LHV-MW'!$A$3:$F$40,6,FALSE))))</f>
        <v/>
      </c>
      <c r="PS64" s="298" t="str">
        <f>IF(Compositions!AZ129="","",IF(OR(Compositions!$AZ$118="wt%",Compositions!$AZ$118=""),Compositions!AZ129,(IF(PR64="","",((PR64/$PR$78)*100)))))</f>
        <v/>
      </c>
      <c r="PT64" s="185" t="str">
        <f>IF(PS64="","",(IF(OR(Compositions!AW129="Hydrogen",Compositions!AW129="Helium",Compositions!AW129="Water",Compositions!AW129="Carbon Monoxide",Compositions!AW129="Nitrogen",Compositions!AW129="Oxygen",Compositions!AW129="Hydrogen Sulfide",Compositions!AW129="Argon",Compositions!AW129="Carbon Dioxide",Compositions!AW129="Carbon Disulfide"),0,PS64)))</f>
        <v/>
      </c>
      <c r="PU64" s="187" t="str">
        <f>IF(Compositions!AZ129="","",((PL64/100)*((VLOOKUP(Compositions!AW129,'HHV-LHV-MW'!$A$3:$G$40,7,FALSE)))))</f>
        <v/>
      </c>
      <c r="PV64" s="187" t="str">
        <f>IF(PL64="","",(IF(OR(Compositions!AW129="Hydrogen",Compositions!AW129="Carbon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Dioxide",Compositions!AW129="Methane",Compositions!AW129="Ethane"),0,(PL64/100))))</f>
        <v/>
      </c>
      <c r="PW64" s="205" t="str">
        <f>IF(PL64="","",(IF(OR($PV$78=0,$PV$78=""),0,     ((VLOOKUP(Compositions!AW129,'HHV-LHV-MW'!$A$3:$F$40,6,FALSE))*(PV64/$PV$78)))))</f>
        <v/>
      </c>
      <c r="PX64" s="28" t="str">
        <f>IF(Compositions!BA129="","",IF(Compositions!$BA$118="mol%",Compositions!BA129,PY64))</f>
        <v/>
      </c>
      <c r="PY64" s="28" t="str">
        <f t="shared" si="59"/>
        <v/>
      </c>
      <c r="PZ64" s="28" t="str">
        <f>IF(Compositions!BA129="","",(Compositions!BA129/(VLOOKUP(Compositions!AW129,'HHV-LHV-MW'!$A$3:$F$40,6,FALSE))))</f>
        <v/>
      </c>
      <c r="QA64" s="184" t="str">
        <f>IF(PX64="","",((VLOOKUP(Compositions!AW129,'HHV-LHV-MW'!$A$3:$F$40,4,FALSE))*(PX64/100)))</f>
        <v/>
      </c>
      <c r="QB64" s="184" t="str">
        <f>IF(PX64="","",((VLOOKUP(Compositions!AW129,'HHV-LHV-MW'!$A$3:$F$40,5,FALSE))*(PX64/100)))</f>
        <v/>
      </c>
      <c r="QC64" s="184" t="str">
        <f>IF(PX64="","",((VLOOKUP(Compositions!AW129,'HHV-LHV-MW'!$A$3:$F$40,6,FALSE))*(PX64/100)))</f>
        <v/>
      </c>
      <c r="QD64" s="184" t="str">
        <f>IF(Compositions!BA129="","",(Compositions!BA129*(VLOOKUP(Compositions!AW129,'HHV-LHV-MW'!$A$3:$F$40,6,FALSE))))</f>
        <v/>
      </c>
      <c r="QE64" s="297" t="str">
        <f>IF(Compositions!BA129="","",IF(OR(Compositions!$BA$118="wt%",Compositions!$BA$118=""),Compositions!BA129,(IF(QD64="","",((QD64/$QD$78)*100)))))</f>
        <v/>
      </c>
      <c r="QF64" s="39" t="str">
        <f>IF(QE64="","",(IF(OR(Compositions!AW129="Hydrogen",Compositions!AW129="Helium",Compositions!AW129="Water",Compositions!AW129="Carbon Monoxide",Compositions!AW129="Nitrogen",Compositions!AW129="Oxygen",Compositions!AW129="Hydrogen Sulfide",Compositions!AW129="Argon",Compositions!AW129="Carbon Dioxide",Compositions!AW129="Carbon Disulfide"),0,QE64)))</f>
        <v/>
      </c>
      <c r="QG64" s="186" t="str">
        <f>IF(Compositions!BA129="","",((PX64/100)*((VLOOKUP(Compositions!AW129,'HHV-LHV-MW'!$A$3:$G$40,7,FALSE)))))</f>
        <v/>
      </c>
      <c r="QH64" s="186" t="str">
        <f>IF(PX64="","",(IF(OR(Compositions!AW129="Hydrogen",Compositions!AW129="Carbon Disulfide",Compositions!AW129="Helium",Compositions!AW129="Water",Compositions!AW129="Carbon Monoxide",Compositions!AW129="Nitrogen",Compositions!AW129="Oxygen",Compositions!AW129="Hydrogen Sulfide",Compositions!AW129="Argon",Compositions!AW129="Carbon Dioxide",Compositions!AW129="Methane",Compositions!AW129="Ethane"),0,(PX64/100))))</f>
        <v/>
      </c>
      <c r="QI64" s="39" t="str">
        <f>IF(PX64="","",(IF(OR($QH$78=0,$QH$78=""),0,     ((VLOOKUP(Compositions!AW129,'HHV-LHV-MW'!$A$3:$F$40,6,FALSE))*(QH64/$QH$78)))))</f>
        <v/>
      </c>
      <c r="QK64" s="27" t="str">
        <f>IF(Compositions!BD129="","",IF(Compositions!$BD$118="mol%",Compositions!BD129,QL64))</f>
        <v/>
      </c>
      <c r="QL64" s="27" t="str">
        <f t="shared" si="60"/>
        <v/>
      </c>
      <c r="QM64" s="27" t="str">
        <f>IF(Compositions!BD129="","",(Compositions!BD129/(VLOOKUP(Compositions!BC129,'HHV-LHV-MW'!$A$3:$F$40,6,FALSE))))</f>
        <v/>
      </c>
      <c r="QN64" s="185" t="str">
        <f>IF(QK64="","",((VLOOKUP(Compositions!BC129,'HHV-LHV-MW'!$A$3:$F$40,4,FALSE))*(QK64/100)))</f>
        <v/>
      </c>
      <c r="QO64" s="185" t="str">
        <f>IF(QK64="","",((VLOOKUP(Compositions!BC129,'HHV-LHV-MW'!$A$3:$F$40,5,FALSE))*(QK64/100)))</f>
        <v/>
      </c>
      <c r="QP64" s="185" t="str">
        <f>IF(QK64="","",((VLOOKUP(Compositions!BC129,'HHV-LHV-MW'!$A$3:$F$40,6,FALSE))*(QK64/100)))</f>
        <v/>
      </c>
      <c r="QQ64" s="185" t="str">
        <f>IF(Compositions!BD129="","",(Compositions!BD129*(VLOOKUP(Compositions!BC129,'HHV-LHV-MW'!$A$3:$F$40,6,FALSE))))</f>
        <v/>
      </c>
      <c r="QR64" s="298" t="str">
        <f>IF(Compositions!BD129="","",IF(OR(Compositions!$BD$118="wt%",Compositions!$BD$118=""),Compositions!BD129,(IF(QQ64="","",((QQ64/$QQ$78)*100)))))</f>
        <v/>
      </c>
      <c r="QS64" s="185" t="str">
        <f>IF(QR64="","",(IF(OR(Compositions!BC129="Hydrogen",Compositions!BC129="Helium",Compositions!BC129="Water",Compositions!BC129="Carbon Monoxide",Compositions!BC129="Nitrogen",Compositions!BC129="Oxygen",Compositions!BC129="Hydrogen Sulfide",Compositions!BC129="Argon",Compositions!BC129="Carbon Dioxide",Compositions!BC129="Carbon Disulfide"),0,QR64)))</f>
        <v/>
      </c>
      <c r="QT64" s="187" t="str">
        <f>IF(Compositions!BD129="","",((QK64/100)*((VLOOKUP(Compositions!BC129,'HHV-LHV-MW'!$A$3:$G$40,7,FALSE)))))</f>
        <v/>
      </c>
      <c r="QU64" s="187" t="str">
        <f>IF(QK64="","",(IF(OR(Compositions!BC129="Hydrogen",Compositions!BC129="Carbon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Dioxide",Compositions!BC129="Methane",Compositions!BC129="Ethane"),0,(QK64/100))))</f>
        <v/>
      </c>
      <c r="QV64" s="205" t="str">
        <f>IF(QK64="","",(IF(OR($QU$78=0,$QU$78=""),0,     ((VLOOKUP(Compositions!BC129,'HHV-LHV-MW'!$A$3:$F$40,6,FALSE))*(QU64/$QU$78)))))</f>
        <v/>
      </c>
      <c r="QW64" s="28" t="str">
        <f>IF(Compositions!BE129="","",IF(Compositions!$BE$118="mol%",Compositions!BE129,QX64))</f>
        <v/>
      </c>
      <c r="QX64" s="28" t="str">
        <f t="shared" si="61"/>
        <v/>
      </c>
      <c r="QY64" s="28" t="str">
        <f>IF(Compositions!BE129="","",(Compositions!BE129/(VLOOKUP(Compositions!BC129,'HHV-LHV-MW'!$A$3:$F$40,6,FALSE))))</f>
        <v/>
      </c>
      <c r="QZ64" s="184" t="str">
        <f>IF(QW64="","",((VLOOKUP(Compositions!BC129,'HHV-LHV-MW'!$A$3:$F$40,4,FALSE))*(QW64/100)))</f>
        <v/>
      </c>
      <c r="RA64" s="184" t="str">
        <f>IF(QW64="","",((VLOOKUP(Compositions!BC129,'HHV-LHV-MW'!$A$3:$F$40,5,FALSE))*(QW64/100)))</f>
        <v/>
      </c>
      <c r="RB64" s="184" t="str">
        <f>IF(QW64="","",((VLOOKUP(Compositions!BC129,'HHV-LHV-MW'!$A$3:$F$40,6,FALSE))*(QW64/100)))</f>
        <v/>
      </c>
      <c r="RC64" s="184" t="str">
        <f>IF(Compositions!BE129="","",(Compositions!BE129*(VLOOKUP(Compositions!BC129,'HHV-LHV-MW'!$A$3:$F$40,6,FALSE))))</f>
        <v/>
      </c>
      <c r="RD64" s="297" t="str">
        <f>IF(Compositions!BE129="","",IF(OR(Compositions!$BE$118="wt%",Compositions!$BE$118=""),Compositions!BE129,(IF(RC64="","",((RC64/$RC$78)*100)))))</f>
        <v/>
      </c>
      <c r="RE64" s="39" t="str">
        <f>IF(RD64="","",(IF(OR(Compositions!BC129="Hydrogen",Compositions!BC129="Helium",Compositions!BC129="Water",Compositions!BC129="Carbon Monoxide",Compositions!BC129="Nitrogen",Compositions!BC129="Oxygen",Compositions!BC129="Hydrogen Sulfide",Compositions!BC129="Argon",Compositions!BC129="Carbon Dioxide",Compositions!BC129="Carbon Disulfide"),0,RD64)))</f>
        <v/>
      </c>
      <c r="RF64" s="186" t="str">
        <f>IF(Compositions!BE129="","",((QW64/100)*((VLOOKUP(Compositions!BC129,'HHV-LHV-MW'!$A$3:$G$40,7,FALSE)))))</f>
        <v/>
      </c>
      <c r="RG64" s="186" t="str">
        <f>IF(QW64="","",(IF(OR(Compositions!BC129="Hydrogen",Compositions!BC129="Carbon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Dioxide",Compositions!BC129="Methane",Compositions!BC129="Ethane"),0,(QW64/100))))</f>
        <v/>
      </c>
      <c r="RH64" s="39" t="str">
        <f>IF(QW64="","",(IF(OR($RG$78=0,$RG$78=""),0,     ((VLOOKUP(Compositions!BC129,'HHV-LHV-MW'!$A$3:$F$40,6,FALSE))*(RG64/$RG$78)))))</f>
        <v/>
      </c>
      <c r="RI64" s="27" t="str">
        <f>IF(Compositions!BF129="","",IF(Compositions!$BF$118="mol%",Compositions!BF129,RJ64))</f>
        <v/>
      </c>
      <c r="RJ64" s="27" t="str">
        <f t="shared" si="62"/>
        <v/>
      </c>
      <c r="RK64" s="27" t="str">
        <f>IF(Compositions!BF129="","",(Compositions!BF129/(VLOOKUP(Compositions!BC129,'HHV-LHV-MW'!$A$3:$F$40,6,FALSE))))</f>
        <v/>
      </c>
      <c r="RL64" s="185" t="str">
        <f>IF(RI64="","",((VLOOKUP(Compositions!BC129,'HHV-LHV-MW'!$A$3:$F$40,4,FALSE))*(RI64/100)))</f>
        <v/>
      </c>
      <c r="RM64" s="185" t="str">
        <f>IF(RI64="","",((VLOOKUP(Compositions!BC129,'HHV-LHV-MW'!$A$3:$F$40,5,FALSE))*(RI64/100)))</f>
        <v/>
      </c>
      <c r="RN64" s="185" t="str">
        <f>IF(RI64="","",((VLOOKUP(Compositions!BC129,'HHV-LHV-MW'!$A$3:$F$40,6,FALSE))*(RI64/100)))</f>
        <v/>
      </c>
      <c r="RO64" s="185" t="str">
        <f>IF(Compositions!BF129="","",(Compositions!BF129*(VLOOKUP(Compositions!BC129,'HHV-LHV-MW'!$A$3:$F$40,6,FALSE))))</f>
        <v/>
      </c>
      <c r="RP64" s="298" t="str">
        <f>IF(Compositions!BF129="","",IF(OR(Compositions!$BF$118="wt%",Compositions!$BF$118=""),Compositions!BF129,(IF(RO64="","",((RO64/$RO$78)*100)))))</f>
        <v/>
      </c>
      <c r="RQ64" s="185" t="str">
        <f>IF(RP64="","",(IF(OR(Compositions!BC129="Hydrogen",Compositions!BC129="Helium",Compositions!BC129="Water",Compositions!BC129="Carbon Monoxide",Compositions!BC129="Nitrogen",Compositions!BC129="Oxygen",Compositions!BC129="Hydrogen Sulfide",Compositions!BC129="Argon",Compositions!BC129="Carbon Dioxide",Compositions!BC129="Carbon Disulfide"),0,RP64)))</f>
        <v/>
      </c>
      <c r="RR64" s="187" t="str">
        <f>IF(Compositions!BF129="","",((RI64/100)*((VLOOKUP(Compositions!BC129,'HHV-LHV-MW'!$A$3:$G$40,7,FALSE)))))</f>
        <v/>
      </c>
      <c r="RS64" s="187" t="str">
        <f>IF(RI64="","",(IF(OR(Compositions!BC129="Hydrogen",Compositions!BC129="Carbon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Dioxide",Compositions!BC129="Methane",Compositions!BC129="Ethane"),0,(RI64/100))))</f>
        <v/>
      </c>
      <c r="RT64" s="205" t="str">
        <f>IF(RI64="","",(IF(OR($RS$78=0,$RS$78=""),0,     ((VLOOKUP(Compositions!BC129,'HHV-LHV-MW'!$A$3:$F$40,6,FALSE))*(RS64/$RS$78)))))</f>
        <v/>
      </c>
      <c r="RU64" s="28" t="str">
        <f>IF(Compositions!BG129="","",IF(Compositions!$BG$118="mol%",Compositions!BG129,RV64))</f>
        <v/>
      </c>
      <c r="RV64" s="28" t="str">
        <f t="shared" si="63"/>
        <v/>
      </c>
      <c r="RW64" s="28" t="str">
        <f>IF(Compositions!BG129="","",(Compositions!BG129/(VLOOKUP(Compositions!BC129,'HHV-LHV-MW'!$A$3:$F$40,6,FALSE))))</f>
        <v/>
      </c>
      <c r="RX64" s="184" t="str">
        <f>IF(RU64="","",((VLOOKUP(Compositions!BC129,'HHV-LHV-MW'!$A$3:$F$40,4,FALSE))*(RU64/100)))</f>
        <v/>
      </c>
      <c r="RY64" s="184" t="str">
        <f>IF(RU64="","",((VLOOKUP(Compositions!BC129,'HHV-LHV-MW'!$A$3:$F$40,5,FALSE))*(RU64/100)))</f>
        <v/>
      </c>
      <c r="RZ64" s="184" t="str">
        <f>IF(RU64="","",((VLOOKUP(Compositions!BC129,'HHV-LHV-MW'!$A$3:$F$40,6,FALSE))*(RU64/100)))</f>
        <v/>
      </c>
      <c r="SA64" s="184" t="str">
        <f>IF(Compositions!BG129="","",(Compositions!BG129*(VLOOKUP(Compositions!BC129,'HHV-LHV-MW'!$A$3:$F$40,6,FALSE))))</f>
        <v/>
      </c>
      <c r="SB64" s="297" t="str">
        <f>IF(Compositions!BG129="","",IF(OR(Compositions!$BG$118="wt%",Compositions!$BG$118=""),Compositions!BG129,(IF(SA64="","",((SA64/$SA$78)*100)))))</f>
        <v/>
      </c>
      <c r="SC64" s="39" t="str">
        <f>IF(SB64="","",(IF(OR(Compositions!BC129="Hydrogen",Compositions!BC129="Helium",Compositions!BC129="Water",Compositions!BC129="Carbon Monoxide",Compositions!BC129="Nitrogen",Compositions!BC129="Oxygen",Compositions!BC129="Hydrogen Sulfide",Compositions!BC129="Argon",Compositions!BC129="Carbon Dioxide",Compositions!BC129="Carbon Disulfide"),0,SB64)))</f>
        <v/>
      </c>
      <c r="SD64" s="186" t="str">
        <f>IF(Compositions!BG129="","",((RU64/100)*((VLOOKUP(Compositions!BC129,'HHV-LHV-MW'!$A$3:$G$40,7,FALSE)))))</f>
        <v/>
      </c>
      <c r="SE64" s="186" t="str">
        <f>IF(RU64="","",(IF(OR(Compositions!BC129="Hydrogen",Compositions!BC129="Carbon Disulfide",Compositions!BC129="Helium",Compositions!BC129="Water",Compositions!BC129="Carbon Monoxide",Compositions!BC129="Nitrogen",Compositions!BC129="Oxygen",Compositions!BC129="Hydrogen Sulfide",Compositions!BC129="Argon",Compositions!BC129="Carbon Dioxide",Compositions!BC129="Methane",Compositions!BC129="Ethane"),0,(RU64/100))))</f>
        <v/>
      </c>
      <c r="SF64" s="39" t="str">
        <f>IF(RU64="","",(IF(OR($SE$78=0,$SE$78=""),0,     ((VLOOKUP(Compositions!BC129,'HHV-LHV-MW'!$A$3:$F$40,6,FALSE))*(SE64/$SE$78)))))</f>
        <v/>
      </c>
    </row>
    <row r="65" spans="1:500" ht="15.6">
      <c r="A65" s="173" t="s">
        <v>195</v>
      </c>
      <c r="B65" s="19" t="s">
        <v>194</v>
      </c>
      <c r="C65" s="20">
        <v>7</v>
      </c>
      <c r="D65" s="20">
        <v>4.8589000000000002</v>
      </c>
      <c r="E65" s="20">
        <v>4.5019</v>
      </c>
      <c r="F65" s="20">
        <v>100.20404000000001</v>
      </c>
      <c r="G65" s="20">
        <v>0</v>
      </c>
      <c r="H65" s="170"/>
      <c r="I65" s="170"/>
      <c r="K65" s="27" t="str">
        <f>IF(Compositions!B130="","",IF(Compositions!$B$118="mol%",Compositions!B130,L65))</f>
        <v/>
      </c>
      <c r="L65" s="27" t="str">
        <f t="shared" si="25"/>
        <v/>
      </c>
      <c r="M65" s="27" t="str">
        <f>IF(Compositions!B130="","",(Compositions!B130/(VLOOKUP(Compositions!A130,'HHV-LHV-MW'!$A$3:$F$40,6,FALSE))))</f>
        <v/>
      </c>
      <c r="N65" s="25" t="str">
        <f>IF(K65="","",((VLOOKUP(Compositions!A130,'HHV-LHV-MW'!$A$3:$F$40,4,FALSE))*(K65/100)))</f>
        <v/>
      </c>
      <c r="O65" s="25" t="str">
        <f>IF(K65="","",((VLOOKUP(Compositions!A130,'HHV-LHV-MW'!$A$3:$F$40,5,FALSE))*(K65/100)))</f>
        <v/>
      </c>
      <c r="P65" s="25" t="str">
        <f>IF(K65="","",((VLOOKUP(Compositions!A130,'HHV-LHV-MW'!$A$3:$F$40,6,FALSE))*(K65/100)))</f>
        <v/>
      </c>
      <c r="Q65" s="25" t="str">
        <f>IF(Compositions!B130="","",(Compositions!B130*(VLOOKUP(Compositions!A130,'HHV-LHV-MW'!$A$3:$F$40,6,FALSE))))</f>
        <v/>
      </c>
      <c r="R65" s="188" t="str">
        <f>IF(Compositions!B130="","",IF(OR(Compositions!$B$118="wt%",Compositions!$B$118=""),Compositions!B130,(IF(Q65="","",((Q65/$Q$78)*100)))))</f>
        <v/>
      </c>
      <c r="S65" s="185" t="str">
        <f>IF(R65="","",(IF(OR(Compositions!A130="Hydrogen",Compositions!A130="Helium",Compositions!A130="Water",Compositions!A130="Carbon Monoxide",Compositions!A130="Nitrogen",Compositions!A130="Oxygen",Compositions!A130="Hydrogen Sulfide",Compositions!A130="Argon",Compositions!A130="Carbon Dioxide",Compositions!A130="Carbon Disulfide"),0,R65)))</f>
        <v/>
      </c>
      <c r="T65" s="169" t="str">
        <f>IF(Compositions!B130="","",((K65/100)*((VLOOKUP(Compositions!A130,'HHV-LHV-MW'!$A$3:$G$40,7,FALSE)))))</f>
        <v/>
      </c>
      <c r="U65" s="187" t="str">
        <f>IF(K65="","",(IF(OR(Compositions!A130="Hydrogen",Compositions!A130="Carbon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Dioxide",Compositions!A130="Methane",Compositions!A130="Ethane"),0,(K65/100))))</f>
        <v/>
      </c>
      <c r="V65" s="188" t="str">
        <f>IF(K65="","", (IF(OR($U$78=0,$U$78=""),0,((VLOOKUP(Compositions!A130,'HHV-LHV-MW'!$A$3:$F$40,6,FALSE))*(U65/$U$78))   ))   )</f>
        <v/>
      </c>
      <c r="W65" s="28" t="str">
        <f>IF(Compositions!C130="","",IF(Compositions!$C$118="mol%",Compositions!C130,X65))</f>
        <v/>
      </c>
      <c r="X65" s="28" t="str">
        <f t="shared" si="26"/>
        <v/>
      </c>
      <c r="Y65" s="28" t="str">
        <f>IF(Compositions!C130="","",(Compositions!C130/(VLOOKUP(Compositions!A130,'HHV-LHV-MW'!$A$3:$F$40,6,FALSE))))</f>
        <v/>
      </c>
      <c r="Z65" s="26" t="str">
        <f>IF(W65="","",((VLOOKUP(Compositions!A130,'HHV-LHV-MW'!$A$3:$F$40,4,FALSE))*(W65/100)))</f>
        <v/>
      </c>
      <c r="AA65" s="26" t="str">
        <f>IF(W65="","",((VLOOKUP(Compositions!A130,'HHV-LHV-MW'!$A$3:$F$40,5,FALSE))*(W65/100)))</f>
        <v/>
      </c>
      <c r="AB65" s="26" t="str">
        <f>IF(W65="","",((VLOOKUP(Compositions!A130,'HHV-LHV-MW'!$A$3:$F$40,6,FALSE))*(W65/100)))</f>
        <v/>
      </c>
      <c r="AC65" s="26" t="str">
        <f>IF(Compositions!C130="","",(Compositions!C130*(VLOOKUP(Compositions!A130,'HHV-LHV-MW'!$A$3:$F$40,6,FALSE))))</f>
        <v/>
      </c>
      <c r="AD65" s="296" t="str">
        <f>IF(Compositions!C130="","",IF(OR(Compositions!$C$118="wt%",Compositions!$C$118=""),Compositions!C130,(IF(AC65="","",((AC65/$AC$78)*100)))))</f>
        <v/>
      </c>
      <c r="AE65" s="39" t="str">
        <f>IF(AD65="","",(IF(OR(Compositions!A130="Hydrogen",Compositions!A130="Helium",Compositions!A130="Water",Compositions!A130="Carbon Monoxide",Compositions!A130="Nitrogen",Compositions!A130="Oxygen",Compositions!A130="Hydrogen Sulfide",Compositions!A130="Argon",Compositions!A130="Carbon Dioxide",Compositions!A130="Carbon Disulfide"),0,AD65)))</f>
        <v/>
      </c>
      <c r="AF65" s="186" t="str">
        <f>IF(Compositions!C130="","",((W65/100)*((VLOOKUP(Compositions!A130,'HHV-LHV-MW'!$A$3:$G$40,7,FALSE)))))</f>
        <v/>
      </c>
      <c r="AG65" s="186" t="str">
        <f>IF(W65="","",(IF(OR(Compositions!A130="Hydrogen",Compositions!A130="Carbon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Dioxide",Compositions!A130="Methane",Compositions!A130="Ethane"),0,(W65/100))))</f>
        <v/>
      </c>
      <c r="AH65" s="39" t="str">
        <f>IF(W65="","", (IF(OR($AG$78=0,$AG$78=""),0,   ((VLOOKUP(Compositions!A130,'HHV-LHV-MW'!$A$3:$F$40,6,FALSE))*(AG65/$AG$78)))))</f>
        <v/>
      </c>
      <c r="AI65" s="27" t="str">
        <f>IF(Compositions!D130="","",IF(Compositions!$D$118="mol%",Compositions!D130,AJ65))</f>
        <v/>
      </c>
      <c r="AJ65" s="27" t="str">
        <f t="shared" si="27"/>
        <v/>
      </c>
      <c r="AK65" s="27" t="str">
        <f>IF(Compositions!D130="","",(Compositions!D130/(VLOOKUP(Compositions!A130,'HHV-LHV-MW'!$A$3:$F$40,6,FALSE))))</f>
        <v/>
      </c>
      <c r="AL65" s="25" t="str">
        <f>IF(AI65="","",((VLOOKUP(Compositions!A130,'HHV-LHV-MW'!$A$3:$F$40,4,FALSE))*(AI65/100)))</f>
        <v/>
      </c>
      <c r="AM65" s="25" t="str">
        <f>IF(AI65="","",((VLOOKUP(Compositions!A130,'HHV-LHV-MW'!$A$3:$F$40,5,FALSE))*(AI65/100)))</f>
        <v/>
      </c>
      <c r="AN65" s="25" t="str">
        <f>IF(AI65="","",((VLOOKUP(Compositions!A130,'HHV-LHV-MW'!$A$3:$F$40,6,FALSE))*(AI65/100)))</f>
        <v/>
      </c>
      <c r="AO65" s="25" t="str">
        <f>IF(Compositions!D130="","",(Compositions!D130*(VLOOKUP(Compositions!A130,'HHV-LHV-MW'!$A$3:$F$40,6,FALSE))))</f>
        <v/>
      </c>
      <c r="AP65" s="295" t="str">
        <f>IF(Compositions!D130="","",IF(OR(Compositions!$D$118="wt%",Compositions!$D$118=""),Compositions!D130,(IF(AO65="","",((AO65/$AO$78)*100)))))</f>
        <v/>
      </c>
      <c r="AQ65" s="185" t="str">
        <f>IF(AP65="","",(IF(OR(Compositions!A130="Hydrogen",Compositions!A130="Helium",Compositions!A130="Water",Compositions!A130="Carbon Monoxide",Compositions!A130="Nitrogen",Compositions!A130="Oxygen",Compositions!A130="Hydrogen Sulfide",Compositions!A130="Argon",Compositions!A130="Carbon Dioxide",Compositions!A130="Carbon Disulfide"),0,AP65)))</f>
        <v/>
      </c>
      <c r="AR65" s="187" t="str">
        <f>IF(Compositions!D130="","",((AI65/100)*((VLOOKUP(Compositions!A130,'HHV-LHV-MW'!$A$3:$G$40,7,FALSE)))))</f>
        <v/>
      </c>
      <c r="AS65" s="187" t="str">
        <f>IF(AI65="","",(IF(OR(Compositions!A130="Hydrogen",Compositions!A130="Carbon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Dioxide",Compositions!A130="Methane",Compositions!A130="Ethane"),0,(AI65/100))))</f>
        <v/>
      </c>
      <c r="AT65" s="205" t="str">
        <f>IF(AI65="","",(IF(OR($AS$78=0,$AS$78=""),0,      ((VLOOKUP(Compositions!A130,'HHV-LHV-MW'!$A$3:$F$40,6,FALSE))*(AS65/$AS$78)))))</f>
        <v/>
      </c>
      <c r="AU65" s="28" t="str">
        <f>IF(Compositions!E130="","",IF(Compositions!$E$118="mol%",Compositions!E130,AV65))</f>
        <v/>
      </c>
      <c r="AV65" s="28" t="str">
        <f t="shared" si="28"/>
        <v/>
      </c>
      <c r="AW65" s="28" t="str">
        <f>IF(Compositions!E130="","",(Compositions!E130/(VLOOKUP(Compositions!A130,'HHV-LHV-MW'!$A$3:$F$40,6,FALSE))))</f>
        <v/>
      </c>
      <c r="AX65" s="26" t="str">
        <f>IF(AU65="","",((VLOOKUP(Compositions!A130,'HHV-LHV-MW'!$A$3:$F$40,4,FALSE))*(AU65/100)))</f>
        <v/>
      </c>
      <c r="AY65" s="26" t="str">
        <f>IF(AU65="","",((VLOOKUP(Compositions!A130,'HHV-LHV-MW'!$A$3:$F$40,5,FALSE))*(AU65/100)))</f>
        <v/>
      </c>
      <c r="AZ65" s="26" t="str">
        <f>IF(AU65="","",((VLOOKUP(Compositions!A130,'HHV-LHV-MW'!$A$3:$F$40,6,FALSE))*(AU65/100)))</f>
        <v/>
      </c>
      <c r="BA65" s="26" t="str">
        <f>IF(Compositions!E130="","",(Compositions!E130*(VLOOKUP(Compositions!A130,'HHV-LHV-MW'!$A$3:$F$40,6,FALSE))))</f>
        <v/>
      </c>
      <c r="BB65" s="296" t="str">
        <f>IF(Compositions!E130="","",IF(OR(Compositions!$E$118="wt%",Compositions!$E$118=""),Compositions!E130,(IF(BA65="","",((BA65/$BA$78)*100)))))</f>
        <v/>
      </c>
      <c r="BC65" s="39" t="str">
        <f>IF(BB65="","",(IF(OR(Compositions!A130="Hydrogen",Compositions!A130="Helium",Compositions!A130="Water",Compositions!A130="Carbon Monoxide",Compositions!A130="Nitrogen",Compositions!A130="Oxygen",Compositions!A130="Hydrogen Sulfide",Compositions!A130="Argon",Compositions!A130="Carbon Dioxide",Compositions!A130="Carbon Disulfide"),0,BB65)))</f>
        <v/>
      </c>
      <c r="BD65" s="186" t="str">
        <f>IF(Compositions!E130="","",((AU65/100)*((VLOOKUP(Compositions!A130,'HHV-LHV-MW'!$A$3:$G$40,7,FALSE)))))</f>
        <v/>
      </c>
      <c r="BE65" s="186" t="str">
        <f>IF(AU65="","",(IF(OR(Compositions!A130="Hydrogen",Compositions!A130="Carbon Disulfide",Compositions!A130="Helium",Compositions!A130="Water",Compositions!A130="Carbon Monoxide",Compositions!A130="Nitrogen",Compositions!A130="Oxygen",Compositions!A130="Hydrogen Sulfide",Compositions!A130="Argon",Compositions!A130="Carbon Dioxide",Compositions!A130="Methane",Compositions!A130="Ethane"),0,(AU65/100))))</f>
        <v/>
      </c>
      <c r="BF65" s="39" t="str">
        <f>IF(AU65="","",(IF(OR($BE$78=0,$BE$78=""),0,     ((VLOOKUP(Compositions!A130,'HHV-LHV-MW'!$A$3:$F$40,6,FALSE))*(BE65/$BE$78)))))</f>
        <v/>
      </c>
      <c r="BH65" s="27" t="str">
        <f>IF(Compositions!H130="","",IF(Compositions!$H$118="mol%",Compositions!H130,BI65))</f>
        <v/>
      </c>
      <c r="BI65" s="27" t="str">
        <f t="shared" si="29"/>
        <v/>
      </c>
      <c r="BJ65" s="27" t="str">
        <f>IF(Compositions!H130="","",(Compositions!H130/(VLOOKUP(Compositions!G130,'HHV-LHV-MW'!$A$3:$F$40,6,FALSE))))</f>
        <v/>
      </c>
      <c r="BK65" s="25" t="str">
        <f>IF(BH65="","",((VLOOKUP(Compositions!G130,'HHV-LHV-MW'!$A$3:$F$40,4,FALSE))*(BH65/100)))</f>
        <v/>
      </c>
      <c r="BL65" s="25" t="str">
        <f>IF(BH65="","",((VLOOKUP(Compositions!G130,'HHV-LHV-MW'!$A$3:$F$40,5,FALSE))*(BH65/100)))</f>
        <v/>
      </c>
      <c r="BM65" s="25" t="str">
        <f>IF(BH65="","",((VLOOKUP(Compositions!G130,'HHV-LHV-MW'!$A$3:$F$40,6,FALSE))*(BH65/100)))</f>
        <v/>
      </c>
      <c r="BN65" s="25" t="str">
        <f>IF(Compositions!H130="","",(Compositions!H130*(VLOOKUP(Compositions!G130,'HHV-LHV-MW'!$A$3:$F$40,6,FALSE))))</f>
        <v/>
      </c>
      <c r="BO65" s="295" t="str">
        <f>IF(Compositions!H130="","",IF(OR(Compositions!$H$118="wt%",Compositions!$H$118=""),Compositions!H130,(IF(BN65="","",((BN65/$BN$78)*100)))))</f>
        <v/>
      </c>
      <c r="BP65" s="185" t="str">
        <f>IF(BO65="","",(IF(OR(Compositions!G130="Hydrogen",Compositions!G130="Helium",Compositions!G130="Water",Compositions!G130="Carbon Monoxide",Compositions!G130="Nitrogen",Compositions!G130="Oxygen",Compositions!G130="Hydrogen Sulfide",Compositions!G130="Argon",Compositions!G130="Carbon Dioxide",Compositions!G130="Carbon Disulfide"),0,BO65)))</f>
        <v/>
      </c>
      <c r="BQ65" s="187" t="str">
        <f>IF(Compositions!H130="","",((BH65/100)*((VLOOKUP(Compositions!G130,'HHV-LHV-MW'!$A$3:$G$40,7,FALSE)))))</f>
        <v/>
      </c>
      <c r="BR65" s="187" t="str">
        <f>IF(BH65="","",(IF(OR(Compositions!G130="Hydrogen",Compositions!G130="Carbon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Dioxide",Compositions!G130="Methane",Compositions!G130="Ethane"),0,(BH65/100))))</f>
        <v/>
      </c>
      <c r="BS65" s="205" t="str">
        <f>IF(BH65="","",(IF(OR($BR$78=0,$BR$78=""),0,    ((VLOOKUP(Compositions!G130,'HHV-LHV-MW'!$A$3:$F$40,6,FALSE))*(BR65/$BR$78)))))</f>
        <v/>
      </c>
      <c r="BT65" s="28" t="str">
        <f>IF(Compositions!I130="","",IF(Compositions!$I$118="mol%",Compositions!I130,BU65))</f>
        <v/>
      </c>
      <c r="BU65" s="28" t="str">
        <f t="shared" si="30"/>
        <v/>
      </c>
      <c r="BV65" s="28" t="str">
        <f>IF(Compositions!I130="","",(Compositions!I130/(VLOOKUP(Compositions!G130,'HHV-LHV-MW'!$A$3:$F$40,6,FALSE))))</f>
        <v/>
      </c>
      <c r="BW65" s="26" t="str">
        <f>IF(BT65="","",((VLOOKUP(Compositions!G130,'HHV-LHV-MW'!$A$3:$F$40,4,FALSE))*(BT65/100)))</f>
        <v/>
      </c>
      <c r="BX65" s="26" t="str">
        <f>IF(BT65="","",((VLOOKUP(Compositions!G130,'HHV-LHV-MW'!$A$3:$F$40,5,FALSE))*(BT65/100)))</f>
        <v/>
      </c>
      <c r="BY65" s="26" t="str">
        <f>IF(BT65="","",((VLOOKUP(Compositions!G130,'HHV-LHV-MW'!$A$3:$F$40,6,FALSE))*(BT65/100)))</f>
        <v/>
      </c>
      <c r="BZ65" s="26" t="str">
        <f>IF(Compositions!I130="","",(Compositions!I130*(VLOOKUP(Compositions!G130,'HHV-LHV-MW'!$A$3:$F$40,6,FALSE))))</f>
        <v/>
      </c>
      <c r="CA65" s="296" t="str">
        <f>IF(Compositions!I130="","",IF(OR(Compositions!$I$118="wt%",Compositions!$I$118=""),Compositions!I130,(IF(BZ65="","",((BZ65/$BZ$78)*100)))))</f>
        <v/>
      </c>
      <c r="CB65" s="39" t="str">
        <f>IF(CA65="","",(IF(OR(Compositions!G130="Hydrogen",Compositions!G130="Helium",Compositions!G130="Water",Compositions!G130="Carbon Monoxide",Compositions!G130="Nitrogen",Compositions!G130="Oxygen",Compositions!G130="Hydrogen Sulfide",Compositions!G130="Argon",Compositions!G130="Carbon Dioxide",Compositions!G130="Carbon Disulfide"),0,CA65)))</f>
        <v/>
      </c>
      <c r="CC65" s="186" t="str">
        <f>IF(Compositions!I130="","",((BT65/100)*((VLOOKUP(Compositions!G130,'HHV-LHV-MW'!$A$3:$G$40,7,FALSE)))))</f>
        <v/>
      </c>
      <c r="CD65" s="186" t="str">
        <f>IF(BT65="","",(IF(OR(Compositions!G130="Hydrogen",Compositions!G130="Carbon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Dioxide",Compositions!G130="Methane",Compositions!G130="Ethane"),0,(BT65/100))))</f>
        <v/>
      </c>
      <c r="CE65" s="39" t="str">
        <f>IF(BT65="","",(IF(OR($CD$78=0,$CD$78=""),0,       ((VLOOKUP(Compositions!G130,'HHV-LHV-MW'!$A$3:$F$40,6,FALSE))*(CD65/$CD$78)))))</f>
        <v/>
      </c>
      <c r="CF65" s="27" t="str">
        <f>IF(Compositions!J130="","",IF(Compositions!$J$118="mol%",Compositions!J130,CG65))</f>
        <v/>
      </c>
      <c r="CG65" s="27" t="str">
        <f t="shared" si="31"/>
        <v/>
      </c>
      <c r="CH65" s="27" t="str">
        <f>IF(Compositions!J130="","",(Compositions!J130/(VLOOKUP(Compositions!G130,'HHV-LHV-MW'!$A$3:$F$40,6,FALSE))))</f>
        <v/>
      </c>
      <c r="CI65" s="25" t="str">
        <f>IF(CF65="","",((VLOOKUP(Compositions!G130,'HHV-LHV-MW'!$A$3:$F$40,4,FALSE))*(CF65/100)))</f>
        <v/>
      </c>
      <c r="CJ65" s="25" t="str">
        <f>IF(CF65="","",((VLOOKUP(Compositions!G130,'HHV-LHV-MW'!$A$3:$F$40,5,FALSE))*(CF65/100)))</f>
        <v/>
      </c>
      <c r="CK65" s="25" t="str">
        <f>IF(CF65="","",((VLOOKUP(Compositions!G130,'HHV-LHV-MW'!$A$3:$F$40,6,FALSE))*(CF65/100)))</f>
        <v/>
      </c>
      <c r="CL65" s="25" t="str">
        <f>IF(Compositions!J130="","",(Compositions!J130*(VLOOKUP(Compositions!G130,'HHV-LHV-MW'!$A$3:$F$40,6,FALSE))))</f>
        <v/>
      </c>
      <c r="CM65" s="295" t="str">
        <f>IF(Compositions!J130="","",IF(OR(Compositions!$J$118="wt%",Compositions!$J$118=""),Compositions!J130,(IF(CL65="","",((CL65/$CL$78)*100)))))</f>
        <v/>
      </c>
      <c r="CN65" s="185" t="str">
        <f>IF(CM65="","",(IF(OR(Compositions!G130="Hydrogen",Compositions!G130="Helium",Compositions!G130="Water",Compositions!G130="Carbon Monoxide",Compositions!G130="Nitrogen",Compositions!G130="Oxygen",Compositions!G130="Hydrogen Sulfide",Compositions!G130="Argon",Compositions!G130="Carbon Dioxide",Compositions!G130="Carbon Disulfide"),0,CM65)))</f>
        <v/>
      </c>
      <c r="CO65" s="187" t="str">
        <f>IF(Compositions!J130="","",((CF65/100)*((VLOOKUP(Compositions!G130,'HHV-LHV-MW'!$A$3:$G$40,7,FALSE)))))</f>
        <v/>
      </c>
      <c r="CP65" s="187" t="str">
        <f>IF(CF65="","",(IF(OR(Compositions!G130="Hydrogen",Compositions!G130="Carbon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Dioxide",Compositions!G130="Methane",Compositions!G130="Ethane"),0,(CF65/100))))</f>
        <v/>
      </c>
      <c r="CQ65" s="205" t="str">
        <f>IF(CF65="","",(IF(OR($CP$78=0,$CP$78=""),0,       ((VLOOKUP(Compositions!G130,'HHV-LHV-MW'!$A$3:$F$40,6,FALSE))*(CP65/$CP$78)))))</f>
        <v/>
      </c>
      <c r="CR65" s="28" t="str">
        <f>IF(Compositions!K130="","",IF(Compositions!$K$118="mol%",Compositions!K130,CS65))</f>
        <v/>
      </c>
      <c r="CS65" s="28" t="str">
        <f t="shared" si="32"/>
        <v/>
      </c>
      <c r="CT65" s="28" t="str">
        <f>IF(Compositions!K130="","",(Compositions!K130/(VLOOKUP(Compositions!G130,'HHV-LHV-MW'!$A$3:$F$40,6,FALSE))))</f>
        <v/>
      </c>
      <c r="CU65" s="26" t="str">
        <f>IF(CR65="","",((VLOOKUP(Compositions!G130,'HHV-LHV-MW'!$A$3:$F$40,4,FALSE))*(CR65/100)))</f>
        <v/>
      </c>
      <c r="CV65" s="26" t="str">
        <f>IF(CR65="","",((VLOOKUP(Compositions!G130,'HHV-LHV-MW'!$A$3:$F$40,5,FALSE))*(CR65/100)))</f>
        <v/>
      </c>
      <c r="CW65" s="26" t="str">
        <f>IF(CR65="","",((VLOOKUP(Compositions!G130,'HHV-LHV-MW'!$A$3:$F$40,6,FALSE))*(CR65/100)))</f>
        <v/>
      </c>
      <c r="CX65" s="26" t="str">
        <f>IF(Compositions!K130="","",(Compositions!K130*(VLOOKUP(Compositions!G130,'HHV-LHV-MW'!$A$3:$F$40,6,FALSE))))</f>
        <v/>
      </c>
      <c r="CY65" s="296" t="str">
        <f>IF(Compositions!K130="","",IF(OR(Compositions!$K$118="wt%",Compositions!$K$118=""),Compositions!K130,(IF(CX65="","",((CX65/$CX$78)*100)))))</f>
        <v/>
      </c>
      <c r="CZ65" s="39" t="str">
        <f>IF(CY65="","",(IF(OR(Compositions!G130="Hydrogen",Compositions!G130="Helium",Compositions!G130="Water",Compositions!G130="Carbon Monoxide",Compositions!G130="Nitrogen",Compositions!G130="Oxygen",Compositions!G130="Hydrogen Sulfide",Compositions!G130="Argon",Compositions!G130="Carbon Dioxide",Compositions!G130="Carbon Disulfide"),0,CY65)))</f>
        <v/>
      </c>
      <c r="DA65" s="186" t="str">
        <f>IF(Compositions!K130="","",((CR65/100)*((VLOOKUP(Compositions!G130,'HHV-LHV-MW'!$A$3:$G$40,7,FALSE)))))</f>
        <v/>
      </c>
      <c r="DB65" s="186" t="str">
        <f>IF(CR65="","",(IF(OR(Compositions!G130="Hydrogen",Compositions!G130="Carbon Disulfide",Compositions!G130="Helium",Compositions!G130="Water",Compositions!G130="Carbon Monoxide",Compositions!G130="Nitrogen",Compositions!G130="Oxygen",Compositions!G130="Hydrogen Sulfide",Compositions!G130="Argon",Compositions!G130="Carbon Dioxide",Compositions!G130="Methane",Compositions!G130="Ethane"),0,(CR65/100))))</f>
        <v/>
      </c>
      <c r="DC65" s="39" t="str">
        <f>IF(CR65="","",(IF(OR($DB$78=0,$DB$78=""),0,       ((VLOOKUP(Compositions!G130,'HHV-LHV-MW'!$A$3:$F$40,6,FALSE))*(DB65/$DB$78)))))</f>
        <v/>
      </c>
      <c r="DE65" s="27" t="str">
        <f>IF(Compositions!N130="","",IF(Compositions!$N$118="mol%",Compositions!N130,DF65))</f>
        <v/>
      </c>
      <c r="DF65" s="27" t="str">
        <f t="shared" si="33"/>
        <v/>
      </c>
      <c r="DG65" s="27" t="str">
        <f>IF(Compositions!N130="","",(Compositions!N130/(VLOOKUP(Compositions!M130,'HHV-LHV-MW'!$A$3:$F$40,6,FALSE))))</f>
        <v/>
      </c>
      <c r="DH65" s="25" t="str">
        <f>IF(DE65="","",((VLOOKUP(Compositions!M130,'HHV-LHV-MW'!$A$3:$F$40,4,FALSE))*(DE65/100)))</f>
        <v/>
      </c>
      <c r="DI65" s="25" t="str">
        <f>IF(DE65="","",((VLOOKUP(Compositions!M130,'HHV-LHV-MW'!$A$3:$F$40,5,FALSE))*(DE65/100)))</f>
        <v/>
      </c>
      <c r="DJ65" s="25" t="str">
        <f>IF(DE65="","",((VLOOKUP(Compositions!M130,'HHV-LHV-MW'!$A$3:$F$40,6,FALSE))*(DE65/100)))</f>
        <v/>
      </c>
      <c r="DK65" s="25" t="str">
        <f>IF(Compositions!N130="","",(Compositions!N130*(VLOOKUP(Compositions!M130,'HHV-LHV-MW'!$A$3:$F$40,6,FALSE))))</f>
        <v/>
      </c>
      <c r="DL65" s="295" t="str">
        <f>IF(Compositions!N130="","",IF(OR(Compositions!$N$118="wt%",Compositions!$N$118=""),Compositions!N130,(IF(DK65="","",((DK65/$DK$78)*100)))))</f>
        <v/>
      </c>
      <c r="DM65" s="185" t="str">
        <f>IF(DL65="","",(IF(OR(Compositions!M130="Hydrogen",Compositions!M130="Helium",Compositions!M130="Water",Compositions!M130="Carbon Monoxide",Compositions!M130="Nitrogen",Compositions!M130="Oxygen",Compositions!M130="Hydrogen Sulfide",Compositions!M130="Argon",Compositions!M130="Carbon Dioxide",Compositions!M130="Carbon Disulfide"),0,DL65)))</f>
        <v/>
      </c>
      <c r="DN65" s="187" t="str">
        <f>IF(Compositions!N130="","",((DE65/100)*((VLOOKUP(Compositions!M130,'HHV-LHV-MW'!$A$3:$G$40,7,FALSE)))))</f>
        <v/>
      </c>
      <c r="DO65" s="187" t="str">
        <f>IF(DE65="","",(IF(OR(Compositions!M130="Hydrogen",Compositions!M130="Carbon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Dioxide",Compositions!M130="Methane",Compositions!M130="Ethane"),0,(DE65/100))))</f>
        <v/>
      </c>
      <c r="DP65" s="205" t="str">
        <f>IF(DE65="","",(IF(OR($DO$78=0,$DO$78=""),0,       ((VLOOKUP(Compositions!M130,'HHV-LHV-MW'!$A$3:$F$40,6,FALSE))*(DO65/$DO$78)))))</f>
        <v/>
      </c>
      <c r="DQ65" s="28" t="str">
        <f>IF(Compositions!O130="","",IF(Compositions!$O$118="mol%",Compositions!O130,DR65))</f>
        <v/>
      </c>
      <c r="DR65" s="28" t="str">
        <f t="shared" si="34"/>
        <v/>
      </c>
      <c r="DS65" s="28" t="str">
        <f>IF(Compositions!O130="","",(Compositions!O130/(VLOOKUP(Compositions!M130,'HHV-LHV-MW'!$A$3:$F$40,6,FALSE))))</f>
        <v/>
      </c>
      <c r="DT65" s="26" t="str">
        <f>IF(DQ65="","",((VLOOKUP(Compositions!M130,'HHV-LHV-MW'!$A$3:$F$40,4,FALSE))*(DQ65/100)))</f>
        <v/>
      </c>
      <c r="DU65" s="26" t="str">
        <f>IF(DQ65="","",((VLOOKUP(Compositions!M130,'HHV-LHV-MW'!$A$3:$F$40,5,FALSE))*(DQ65/100)))</f>
        <v/>
      </c>
      <c r="DV65" s="26" t="str">
        <f>IF(DQ65="","",((VLOOKUP(Compositions!M130,'HHV-LHV-MW'!$A$3:$F$40,6,FALSE))*(DQ65/100)))</f>
        <v/>
      </c>
      <c r="DW65" s="26" t="str">
        <f>IF(Compositions!O130="","",(Compositions!O130*(VLOOKUP(Compositions!M130,'HHV-LHV-MW'!$A$3:$F$40,6,FALSE))))</f>
        <v/>
      </c>
      <c r="DX65" s="296" t="str">
        <f>IF(Compositions!O130="","",IF(OR(Compositions!$O$118="wt%",Compositions!$O$118=""),Compositions!O130,(IF(DW65="","",((DW65/$DW$78)*100)))))</f>
        <v/>
      </c>
      <c r="DY65" s="39" t="str">
        <f>IF(DX65="","",(IF(OR(Compositions!M130="Hydrogen",Compositions!M130="Helium",Compositions!M130="Water",Compositions!M130="Carbon Monoxide",Compositions!M130="Nitrogen",Compositions!M130="Oxygen",Compositions!M130="Hydrogen Sulfide",Compositions!M130="Argon",Compositions!M130="Carbon Dioxide",Compositions!M130="Carbon Disulfide"),0,DX65)))</f>
        <v/>
      </c>
      <c r="DZ65" s="186" t="str">
        <f>IF(Compositions!O130="","",((DQ65/100)*((VLOOKUP(Compositions!M130,'HHV-LHV-MW'!$A$3:$G$40,7,FALSE)))))</f>
        <v/>
      </c>
      <c r="EA65" s="186" t="str">
        <f>IF(DQ65="","",(IF(OR(Compositions!M130="Hydrogen",Compositions!M130="Carbon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Dioxide",Compositions!M130="Methane",Compositions!M130="Ethane"),0,(DQ65/100))))</f>
        <v/>
      </c>
      <c r="EB65" s="39" t="str">
        <f>IF(DQ65="","",(IF(OR($EA$78=0,$EA$78=""),0,       ((VLOOKUP(Compositions!M130,'HHV-LHV-MW'!$A$3:$F$40,6,FALSE))*(EA65/$EA$78)))))</f>
        <v/>
      </c>
      <c r="EC65" s="27" t="str">
        <f>IF(Compositions!P130="","",IF(Compositions!$P$118="mol%",Compositions!P130,ED65))</f>
        <v/>
      </c>
      <c r="ED65" s="27" t="str">
        <f t="shared" si="35"/>
        <v/>
      </c>
      <c r="EE65" s="27" t="str">
        <f>IF(Compositions!P130="","",(Compositions!P130/(VLOOKUP(Compositions!M130,'HHV-LHV-MW'!$A$3:$F$40,6,FALSE))))</f>
        <v/>
      </c>
      <c r="EF65" s="25" t="str">
        <f>IF(EC65="","",((VLOOKUP(Compositions!M130,'HHV-LHV-MW'!$A$3:$F$40,4,FALSE))*(EC65/100)))</f>
        <v/>
      </c>
      <c r="EG65" s="25" t="str">
        <f>IF(EC65="","",((VLOOKUP(Compositions!M130,'HHV-LHV-MW'!$A$3:$F$40,5,FALSE))*(EC65/100)))</f>
        <v/>
      </c>
      <c r="EH65" s="25" t="str">
        <f>IF(EC65="","",((VLOOKUP(Compositions!M130,'HHV-LHV-MW'!$A$3:$F$40,6,FALSE))*(EC65/100)))</f>
        <v/>
      </c>
      <c r="EI65" s="25" t="str">
        <f>IF(Compositions!P130="","",(Compositions!P130*(VLOOKUP(Compositions!M130,'HHV-LHV-MW'!$A$3:$F$40,6,FALSE))))</f>
        <v/>
      </c>
      <c r="EJ65" s="295" t="str">
        <f>IF(Compositions!P130="","",IF(OR(Compositions!$P$118="wt%",Compositions!$P$118=""),Compositions!P130,(IF(EI65="","",((EI65/$EI$78)*100)))))</f>
        <v/>
      </c>
      <c r="EK65" s="185" t="str">
        <f>IF(EJ65="","",(IF(OR(Compositions!M130="Hydrogen",Compositions!M130="Helium",Compositions!M130="Water",Compositions!M130="Carbon Monoxide",Compositions!M130="Nitrogen",Compositions!M130="Oxygen",Compositions!M130="Hydrogen Sulfide",Compositions!M130="Argon",Compositions!M130="Carbon Dioxide",Compositions!M130="Carbon Disulfide"),0,EJ65)))</f>
        <v/>
      </c>
      <c r="EL65" s="187" t="str">
        <f>IF(Compositions!P130="","",((EC65/100)*((VLOOKUP(Compositions!M130,'HHV-LHV-MW'!$A$3:$G$40,7,FALSE)))))</f>
        <v/>
      </c>
      <c r="EM65" s="187" t="str">
        <f>IF(EC65="","",(IF(OR(Compositions!M130="Hydrogen",Compositions!M130="Carbon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Dioxide",Compositions!M130="Methane",Compositions!M130="Ethane"),0,(EC65/100))))</f>
        <v/>
      </c>
      <c r="EN65" s="205" t="str">
        <f>IF(EC65="","",(IF(OR($EM$78=0,$EM$78=""),0,       ((VLOOKUP(Compositions!M130,'HHV-LHV-MW'!$A$3:$F$40,6,FALSE))*(EM65/$EM$78)))))</f>
        <v/>
      </c>
      <c r="EO65" s="28" t="str">
        <f>IF(Compositions!Q130="","",IF(Compositions!$Q$118="mol%",Compositions!Q130,EP65))</f>
        <v/>
      </c>
      <c r="EP65" s="28" t="str">
        <f t="shared" si="36"/>
        <v/>
      </c>
      <c r="EQ65" s="28" t="str">
        <f>IF(Compositions!Q130="","",(Compositions!Q130/(VLOOKUP(Compositions!M130,'HHV-LHV-MW'!$A$3:$F$40,6,FALSE))))</f>
        <v/>
      </c>
      <c r="ER65" s="26" t="str">
        <f>IF(EO65="","",((VLOOKUP(Compositions!M130,'HHV-LHV-MW'!$A$3:$F$40,4,FALSE))*(EO65/100)))</f>
        <v/>
      </c>
      <c r="ES65" s="26" t="str">
        <f>IF(EO65="","",((VLOOKUP(Compositions!M130,'HHV-LHV-MW'!$A$3:$F$40,5,FALSE))*(EO65/100)))</f>
        <v/>
      </c>
      <c r="ET65" s="26" t="str">
        <f>IF(EO65="","",((VLOOKUP(Compositions!M130,'HHV-LHV-MW'!$A$3:$F$40,6,FALSE))*(EO65/100)))</f>
        <v/>
      </c>
      <c r="EU65" s="26" t="str">
        <f>IF(Compositions!Q130="","",(Compositions!Q130*(VLOOKUP(Compositions!M130,'HHV-LHV-MW'!$A$3:$F$40,6,FALSE))))</f>
        <v/>
      </c>
      <c r="EV65" s="296" t="str">
        <f>IF(Compositions!Q130="","",IF(OR(Compositions!$Q$118="wt%",Compositions!$Q$118=""),Compositions!Q130,(IF(EU65="","",((EU65/$EU$78)*100)))))</f>
        <v/>
      </c>
      <c r="EW65" s="39" t="str">
        <f>IF(EV65="","",(IF(OR(Compositions!M130="Hydrogen",Compositions!M130="Helium",Compositions!M130="Water",Compositions!M130="Carbon Monoxide",Compositions!M130="Nitrogen",Compositions!M130="Oxygen",Compositions!M130="Hydrogen Sulfide",Compositions!M130="Argon",Compositions!M130="Carbon Dioxide",Compositions!M130="Carbon Disulfide"),0,EV65)))</f>
        <v/>
      </c>
      <c r="EX65" s="186" t="str">
        <f>IF(Compositions!Q130="","",((EO65/100)*((VLOOKUP(Compositions!M130,'HHV-LHV-MW'!$A$3:$G$40,7,FALSE)))))</f>
        <v/>
      </c>
      <c r="EY65" s="186" t="str">
        <f>IF(EO65="","",(IF(OR(Compositions!M130="Hydrogen",Compositions!M130="Carbon Disulfide",Compositions!M130="Helium",Compositions!M130="Water",Compositions!M130="Carbon Monoxide",Compositions!M130="Nitrogen",Compositions!M130="Oxygen",Compositions!M130="Hydrogen Sulfide",Compositions!M130="Argon",Compositions!M130="Carbon Dioxide",Compositions!M130="Methane",Compositions!M130="Ethane"),0,(EO65/100))))</f>
        <v/>
      </c>
      <c r="EZ65" s="39" t="str">
        <f>IF(EO65="","",(IF(OR($EY$78=0,$EY$78=""),0,       ((VLOOKUP(Compositions!M130,'HHV-LHV-MW'!$A$3:$F$40,6,FALSE))*(EY65/$EY$78)))))</f>
        <v/>
      </c>
      <c r="FB65" s="27" t="str">
        <f>IF(Compositions!T130="","",IF(Compositions!$T$118="mol%",Compositions!T130,FC65))</f>
        <v/>
      </c>
      <c r="FC65" s="27" t="str">
        <f t="shared" si="37"/>
        <v/>
      </c>
      <c r="FD65" s="27" t="str">
        <f>IF(Compositions!T130="","",(Compositions!T130/(VLOOKUP(Compositions!S130,'HHV-LHV-MW'!$A$3:$F$40,6,FALSE))))</f>
        <v/>
      </c>
      <c r="FE65" s="25" t="str">
        <f>IF(FB65="","",((VLOOKUP(Compositions!S130,'HHV-LHV-MW'!$A$3:$F$40,4,FALSE))*(FB65/100)))</f>
        <v/>
      </c>
      <c r="FF65" s="25" t="str">
        <f>IF(FB65="","",((VLOOKUP(Compositions!S130,'HHV-LHV-MW'!$A$3:$F$40,5,FALSE))*(FB65/100)))</f>
        <v/>
      </c>
      <c r="FG65" s="25" t="str">
        <f>IF(FB65="","",((VLOOKUP(Compositions!S130,'HHV-LHV-MW'!$A$3:$F$40,6,FALSE))*(FB65/100)))</f>
        <v/>
      </c>
      <c r="FH65" s="25" t="str">
        <f>IF(Compositions!T130="","",(Compositions!T130*(VLOOKUP(Compositions!S130,'HHV-LHV-MW'!$A$3:$F$40,6,FALSE))))</f>
        <v/>
      </c>
      <c r="FI65" s="295" t="str">
        <f>IF(Compositions!T130="","",IF(OR(Compositions!$T$118="wt%",Compositions!$T$118=""),Compositions!T130,(IF(FH65="","",((FH65/$FH$78)*100)))))</f>
        <v/>
      </c>
      <c r="FJ65" s="185" t="str">
        <f>IF(FI65="","",(IF(OR(Compositions!S130="Hydrogen",Compositions!S130="Helium",Compositions!S130="Water",Compositions!S130="Carbon Monoxide",Compositions!S130="Nitrogen",Compositions!S130="Oxygen",Compositions!S130="Hydrogen Sulfide",Compositions!S130="Argon",Compositions!S130="Carbon Dioxide",Compositions!S130="Carbon Disulfide"),0,FI65)))</f>
        <v/>
      </c>
      <c r="FK65" s="187" t="str">
        <f>IF(Compositions!T130="","",((FB65/100)*((VLOOKUP(Compositions!S130,'HHV-LHV-MW'!$A$3:$G$40,7,FALSE)))))</f>
        <v/>
      </c>
      <c r="FL65" s="187" t="str">
        <f>IF(FB65="","",(IF(OR(Compositions!S130="Hydrogen",Compositions!S130="Carbon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Dioxide",Compositions!S130="Methane",Compositions!S130="Ethane"),0,(FB65/100))))</f>
        <v/>
      </c>
      <c r="FM65" s="205" t="str">
        <f>IF(FB65="","",(IF(OR($FL$78=0,$FL$78=""),0,       ((VLOOKUP(Compositions!S130,'HHV-LHV-MW'!$A$3:$F$40,6,FALSE))*(FL65/$FL$78)))))</f>
        <v/>
      </c>
      <c r="FN65" s="28" t="str">
        <f>IF(Compositions!U130="","",IF(Compositions!$U$118="mol%",Compositions!U130,FO65))</f>
        <v/>
      </c>
      <c r="FO65" s="28" t="str">
        <f t="shared" si="38"/>
        <v/>
      </c>
      <c r="FP65" s="28" t="str">
        <f>IF(Compositions!U130="","",(Compositions!U130/(VLOOKUP(Compositions!S130,'HHV-LHV-MW'!$A$3:$F$40,6,FALSE))))</f>
        <v/>
      </c>
      <c r="FQ65" s="26" t="str">
        <f>IF(FN65="","",((VLOOKUP(Compositions!S130,'HHV-LHV-MW'!$A$3:$F$40,4,FALSE))*(FN65/100)))</f>
        <v/>
      </c>
      <c r="FR65" s="26" t="str">
        <f>IF(FN65="","",((VLOOKUP(Compositions!S130,'HHV-LHV-MW'!$A$3:$F$40,5,FALSE))*(FN65/100)))</f>
        <v/>
      </c>
      <c r="FS65" s="26" t="str">
        <f>IF(FN65="","",((VLOOKUP(Compositions!S130,'HHV-LHV-MW'!$A$3:$F$40,6,FALSE))*(FN65/100)))</f>
        <v/>
      </c>
      <c r="FT65" s="26" t="str">
        <f>IF(Compositions!U130="","",(Compositions!U130*(VLOOKUP(Compositions!S130,'HHV-LHV-MW'!$A$3:$F$40,6,FALSE))))</f>
        <v/>
      </c>
      <c r="FU65" s="296" t="str">
        <f>IF(Compositions!U130="","",IF(OR(Compositions!$U$118="wt%",Compositions!$U$118=""),Compositions!U130,(IF(FT65="","",((FT65/$FT$78)*100)))))</f>
        <v/>
      </c>
      <c r="FV65" s="39" t="str">
        <f>IF(FU65="","",(IF(OR(Compositions!S130="Hydrogen",Compositions!S130="Helium",Compositions!S130="Water",Compositions!S130="Carbon Monoxide",Compositions!S130="Nitrogen",Compositions!S130="Oxygen",Compositions!S130="Hydrogen Sulfide",Compositions!S130="Argon",Compositions!S130="Carbon Dioxide",Compositions!S130="Carbon Disulfide"),0,FU65)))</f>
        <v/>
      </c>
      <c r="FW65" s="186" t="str">
        <f>IF(Compositions!U130="","",((FN65/100)*((VLOOKUP(Compositions!S130,'HHV-LHV-MW'!$A$3:$G$40,7,FALSE)))))</f>
        <v/>
      </c>
      <c r="FX65" s="186" t="str">
        <f>IF(FN65="","",(IF(OR(Compositions!S130="Hydrogen",Compositions!S130="Carbon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Dioxide",Compositions!S130="Methane",Compositions!S130="Ethane"),0,(FN65/100))))</f>
        <v/>
      </c>
      <c r="FY65" s="39" t="str">
        <f>IF(FN65="","",(IF(OR($FX$78=0,$FX$78=""),0,       ((VLOOKUP(Compositions!S130,'HHV-LHV-MW'!$A$3:$F$40,6,FALSE))*(FX65/$FX$78)))))</f>
        <v/>
      </c>
      <c r="FZ65" s="27" t="str">
        <f>IF(Compositions!V130="","",IF(Compositions!$V$118="mol%",Compositions!V130,GA65))</f>
        <v/>
      </c>
      <c r="GA65" s="27" t="str">
        <f t="shared" si="39"/>
        <v/>
      </c>
      <c r="GB65" s="27" t="str">
        <f>IF(Compositions!V130="","",(Compositions!V130/(VLOOKUP(Compositions!S130,'HHV-LHV-MW'!$A$3:$F$40,6,FALSE))))</f>
        <v/>
      </c>
      <c r="GC65" s="25" t="str">
        <f>IF(FZ65="","",((VLOOKUP(Compositions!S130,'HHV-LHV-MW'!$A$3:$F$40,4,FALSE))*(FZ65/100)))</f>
        <v/>
      </c>
      <c r="GD65" s="25" t="str">
        <f>IF(FZ65="","",((VLOOKUP(Compositions!S130,'HHV-LHV-MW'!$A$3:$F$40,5,FALSE))*(FZ65/100)))</f>
        <v/>
      </c>
      <c r="GE65" s="25" t="str">
        <f>IF(FZ65="","",((VLOOKUP(Compositions!S130,'HHV-LHV-MW'!$A$3:$F$40,6,FALSE))*(FZ65/100)))</f>
        <v/>
      </c>
      <c r="GF65" s="25" t="str">
        <f>IF(Compositions!V130="","",(Compositions!V130*(VLOOKUP(Compositions!S130,'HHV-LHV-MW'!$A$3:$F$40,6,FALSE))))</f>
        <v/>
      </c>
      <c r="GG65" s="295" t="str">
        <f>IF(Compositions!V130="","",IF(OR(Compositions!$V$118="wt%",Compositions!$V$118=""),Compositions!V130,(IF(GF65="","",((GF65/$GF$78)*100)))))</f>
        <v/>
      </c>
      <c r="GH65" s="185" t="str">
        <f>IF(GG65="","",(IF(OR(Compositions!S130="Hydrogen",Compositions!S130="Helium",Compositions!S130="Water",Compositions!S130="Carbon Monoxide",Compositions!S130="Nitrogen",Compositions!S130="Oxygen",Compositions!S130="Hydrogen Sulfide",Compositions!S130="Argon",Compositions!S130="Carbon Dioxide",Compositions!S130="Carbon Disulfide"),0,GG65)))</f>
        <v/>
      </c>
      <c r="GI65" s="187" t="str">
        <f>IF(Compositions!V130="","",((FZ65/100)*((VLOOKUP(Compositions!S130,'HHV-LHV-MW'!$A$3:$G$40,7,FALSE)))))</f>
        <v/>
      </c>
      <c r="GJ65" s="187" t="str">
        <f>IF(FZ65="","",(IF(OR(Compositions!S130="Hydrogen",Compositions!S130="Carbon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Dioxide",Compositions!S130="Methane",Compositions!S130="Ethane"),0,(FZ65/100))))</f>
        <v/>
      </c>
      <c r="GK65" s="205" t="str">
        <f>IF(FZ65="","",(IF(OR($GJ$78=0,$GJ$78=""),0,       ((VLOOKUP(Compositions!S130,'HHV-LHV-MW'!$A$3:$F$40,6,FALSE))*(GJ65/$GJ$78)))))</f>
        <v/>
      </c>
      <c r="GL65" s="28" t="str">
        <f>IF(Compositions!W130="","",IF(Compositions!$W$118="mol%",Compositions!W130,GM65))</f>
        <v/>
      </c>
      <c r="GM65" s="28" t="str">
        <f t="shared" si="40"/>
        <v/>
      </c>
      <c r="GN65" s="28" t="str">
        <f>IF(Compositions!W130="","",(Compositions!W130/(VLOOKUP(Compositions!S130,'HHV-LHV-MW'!$A$3:$F$40,6,FALSE))))</f>
        <v/>
      </c>
      <c r="GO65" s="26" t="str">
        <f>IF(GL65="","",((VLOOKUP(Compositions!S130,'HHV-LHV-MW'!$A$3:$F$40,4,FALSE))*(GL65/100)))</f>
        <v/>
      </c>
      <c r="GP65" s="26" t="str">
        <f>IF(GL65="","",((VLOOKUP(Compositions!S130,'HHV-LHV-MW'!$A$3:$F$40,5,FALSE))*(GL65/100)))</f>
        <v/>
      </c>
      <c r="GQ65" s="26" t="str">
        <f>IF(GL65="","",((VLOOKUP(Compositions!S130,'HHV-LHV-MW'!$A$3:$F$40,6,FALSE))*(GL65/100)))</f>
        <v/>
      </c>
      <c r="GR65" s="26" t="str">
        <f>IF(Compositions!W130="","",(Compositions!W130*(VLOOKUP(Compositions!S130,'HHV-LHV-MW'!$A$3:$F$40,6,FALSE))))</f>
        <v/>
      </c>
      <c r="GS65" s="296" t="str">
        <f>IF(Compositions!W130="","",IF(OR(Compositions!$W$118="wt%",Compositions!$W$118=""),Compositions!W130,(IF(GR65="","",((GR65/$GR$78)*100)))))</f>
        <v/>
      </c>
      <c r="GT65" s="39" t="str">
        <f>IF(GS65="","",(IF(OR(Compositions!S130="Hydrogen",Compositions!S130="Helium",Compositions!S130="Water",Compositions!S130="Carbon Monoxide",Compositions!S130="Nitrogen",Compositions!S130="Oxygen",Compositions!S130="Hydrogen Sulfide",Compositions!S130="Argon",Compositions!S130="Carbon Dioxide",Compositions!S130="Carbon Disulfide"),0,GS65)))</f>
        <v/>
      </c>
      <c r="GU65" s="186" t="str">
        <f>IF(Compositions!W130="","",((GL65/100)*((VLOOKUP(Compositions!S130,'HHV-LHV-MW'!$A$3:$G$40,7,FALSE)))))</f>
        <v/>
      </c>
      <c r="GV65" s="186" t="str">
        <f>IF(GL65="","",(IF(OR(Compositions!S130="Hydrogen",Compositions!S130="Carbon Disulfide",Compositions!S130="Helium",Compositions!S130="Water",Compositions!S130="Carbon Monoxide",Compositions!S130="Nitrogen",Compositions!S130="Oxygen",Compositions!S130="Hydrogen Sulfide",Compositions!S130="Argon",Compositions!S130="Carbon Dioxide",Compositions!S130="Methane",Compositions!S130="Ethane"),0,(GL65/100))))</f>
        <v/>
      </c>
      <c r="GW65" s="39" t="str">
        <f>IF(GL65="","",(IF(OR($GV$78=0,$GV$78=""),0,       ((VLOOKUP(Compositions!S130,'HHV-LHV-MW'!$A$3:$F$40,6,FALSE))*(GV65/$GV$78)))))</f>
        <v/>
      </c>
      <c r="GY65" s="27" t="str">
        <f>IF(Compositions!Z130="","",IF(Compositions!$Z$118="mol%",Compositions!Z130,GZ65))</f>
        <v/>
      </c>
      <c r="GZ65" s="27" t="str">
        <f t="shared" si="41"/>
        <v/>
      </c>
      <c r="HA65" s="27" t="str">
        <f>IF(Compositions!Z130="","",(Compositions!Z130/(VLOOKUP(Compositions!Y130,'HHV-LHV-MW'!$A$3:$F$40,6,FALSE))))</f>
        <v/>
      </c>
      <c r="HB65" s="25" t="str">
        <f>IF(GY65="","",((VLOOKUP(Compositions!Y130,'HHV-LHV-MW'!$A$3:$F$40,4,FALSE))*(GY65/100)))</f>
        <v/>
      </c>
      <c r="HC65" s="25" t="str">
        <f>IF(GY65="","",((VLOOKUP(Compositions!Y130,'HHV-LHV-MW'!$A$3:$F$40,5,FALSE))*(GY65/100)))</f>
        <v/>
      </c>
      <c r="HD65" s="25" t="str">
        <f>IF(GY65="","",((VLOOKUP(Compositions!Y130,'HHV-LHV-MW'!$A$3:$F$40,6,FALSE))*(GY65/100)))</f>
        <v/>
      </c>
      <c r="HE65" s="25" t="str">
        <f>IF(Compositions!Z130="","",(Compositions!Z130*(VLOOKUP(Compositions!Y130,'HHV-LHV-MW'!$A$3:$F$40,6,FALSE))))</f>
        <v/>
      </c>
      <c r="HF65" s="295" t="str">
        <f>IF(Compositions!Z130="","",IF(OR(Compositions!$Z$118="wt%",Compositions!$Z$118=""),Compositions!Z130,(IF(HE65="","",((HE65/$HE$78)*100)))))</f>
        <v/>
      </c>
      <c r="HG65" s="185" t="str">
        <f>IF(HF65="","",(IF(OR(Compositions!Y130="Hydrogen",Compositions!Y130="Helium",Compositions!Y130="Water",Compositions!Y130="Carbon Monoxide",Compositions!Y130="Nitrogen",Compositions!Y130="Oxygen",Compositions!Y130="Hydrogen Sulfide",Compositions!Y130="Argon",Compositions!Y130="Carbon Dioxide",Compositions!Y130="Carbon Disulfide"),0,HF65)))</f>
        <v/>
      </c>
      <c r="HH65" s="187" t="str">
        <f>IF(Compositions!Z130="","",((GY65/100)*((VLOOKUP(Compositions!Y130,'HHV-LHV-MW'!$A$3:$G$40,7,FALSE)))))</f>
        <v/>
      </c>
      <c r="HI65" s="187" t="str">
        <f>IF(GY65="","",(IF(OR(Compositions!Y130="Hydrogen",Compositions!Y130="Carbon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Dioxide",Compositions!Y130="Methane",Compositions!Y130="Ethane"),0,(GY65/100))))</f>
        <v/>
      </c>
      <c r="HJ65" s="205" t="str">
        <f>IF(GY65="","",(IF(OR($HI$78=0,$HI$78=""),0,       ((VLOOKUP(Compositions!Y130,'HHV-LHV-MW'!$A$3:$F$40,6,FALSE))*(HI65/$HI$78)))))</f>
        <v/>
      </c>
      <c r="HK65" s="28" t="str">
        <f>IF(Compositions!AA130="","",IF(Compositions!$AA$118="mol%",Compositions!AA130,HL65))</f>
        <v/>
      </c>
      <c r="HL65" s="28" t="str">
        <f t="shared" si="42"/>
        <v/>
      </c>
      <c r="HM65" s="28" t="str">
        <f>IF(Compositions!AA130="","",(Compositions!AA130/(VLOOKUP(Compositions!Y130,'HHV-LHV-MW'!$A$3:$F$40,6,FALSE))))</f>
        <v/>
      </c>
      <c r="HN65" s="26" t="str">
        <f>IF(HK65="","",((VLOOKUP(Compositions!Y130,'HHV-LHV-MW'!$A$3:$F$40,4,FALSE))*(HK65/100)))</f>
        <v/>
      </c>
      <c r="HO65" s="26" t="str">
        <f>IF(HK65="","",((VLOOKUP(Compositions!Y130,'HHV-LHV-MW'!$A$3:$F$40,5,FALSE))*(HK65/100)))</f>
        <v/>
      </c>
      <c r="HP65" s="26" t="str">
        <f>IF(HK65="","",((VLOOKUP(Compositions!Y130,'HHV-LHV-MW'!$A$3:$F$40,6,FALSE))*(HK65/100)))</f>
        <v/>
      </c>
      <c r="HQ65" s="26" t="str">
        <f>IF(Compositions!AA130="","",(Compositions!AA130*(VLOOKUP(Compositions!Y130,'HHV-LHV-MW'!$A$3:$F$40,6,FALSE))))</f>
        <v/>
      </c>
      <c r="HR65" s="296" t="str">
        <f>IF(Compositions!AA130="","",IF(OR(Compositions!$AA$118="wt%",Compositions!$AA$118=""),Compositions!AA130,(IF(HQ65="","",((HQ65/$HQ$78)*100)))))</f>
        <v/>
      </c>
      <c r="HS65" s="39" t="str">
        <f>IF(HR65="","",(IF(OR(Compositions!Y130="Hydrogen",Compositions!Y130="Helium",Compositions!Y130="Water",Compositions!Y130="Carbon Monoxide",Compositions!Y130="Nitrogen",Compositions!Y130="Oxygen",Compositions!Y130="Hydrogen Sulfide",Compositions!Y130="Argon",Compositions!Y130="Carbon Dioxide",Compositions!Y130="Carbon Disulfide"),0,HR65)))</f>
        <v/>
      </c>
      <c r="HT65" s="186" t="str">
        <f>IF(Compositions!AA130="","",((HK65/100)*((VLOOKUP(Compositions!Y130,'HHV-LHV-MW'!$A$3:$G$40,7,FALSE)))))</f>
        <v/>
      </c>
      <c r="HU65" s="186" t="str">
        <f>IF(HK65="","",(IF(OR(Compositions!Y130="Hydrogen",Compositions!Y130="Carbon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Dioxide",Compositions!Y130="Methane",Compositions!Y130="Ethane"),0,(HK65/100))))</f>
        <v/>
      </c>
      <c r="HV65" s="39" t="str">
        <f>IF(HK65="","",(IF(OR($HU$78=0,$HU$78=""),0,       ((VLOOKUP(Compositions!Y130,'HHV-LHV-MW'!$A$3:$F$40,6,FALSE))*(HU65/$HU$78)))))</f>
        <v/>
      </c>
      <c r="HW65" s="27" t="str">
        <f>IF(Compositions!AB130="","",IF(Compositions!$AB$118="mol%",Compositions!AB130,HX65))</f>
        <v/>
      </c>
      <c r="HX65" s="27" t="str">
        <f t="shared" si="43"/>
        <v/>
      </c>
      <c r="HY65" s="27" t="str">
        <f>IF(Compositions!AB130="","",(Compositions!AB130/(VLOOKUP(Compositions!Y130,'HHV-LHV-MW'!$A$3:$F$40,6,FALSE))))</f>
        <v/>
      </c>
      <c r="HZ65" s="25" t="str">
        <f>IF(HW65="","",((VLOOKUP(Compositions!Y130,'HHV-LHV-MW'!$A$3:$F$40,4,FALSE))*(HW65/100)))</f>
        <v/>
      </c>
      <c r="IA65" s="25" t="str">
        <f>IF(HW65="","",((VLOOKUP(Compositions!Y130,'HHV-LHV-MW'!$A$3:$F$40,5,FALSE))*(HW65/100)))</f>
        <v/>
      </c>
      <c r="IB65" s="25" t="str">
        <f>IF(HW65="","",((VLOOKUP(Compositions!Y130,'HHV-LHV-MW'!$A$3:$F$40,6,FALSE))*(HW65/100)))</f>
        <v/>
      </c>
      <c r="IC65" s="25" t="str">
        <f>IF(Compositions!AB130="","",(Compositions!AB130*(VLOOKUP(Compositions!Y130,'HHV-LHV-MW'!$A$3:$F$40,6,FALSE))))</f>
        <v/>
      </c>
      <c r="ID65" s="295" t="str">
        <f>IF(Compositions!AB130="","",IF(OR(Compositions!$AB$118="wt%",Compositions!$AB$118=""),Compositions!AB130,(IF(IC65="","",((IC65/$IC$78)*100)))))</f>
        <v/>
      </c>
      <c r="IE65" s="185" t="str">
        <f>IF(ID65="","",(IF(OR(Compositions!Y130="Hydrogen",Compositions!Y130="Helium",Compositions!Y130="Water",Compositions!Y130="Carbon Monoxide",Compositions!Y130="Nitrogen",Compositions!Y130="Oxygen",Compositions!Y130="Hydrogen Sulfide",Compositions!Y130="Argon",Compositions!Y130="Carbon Dioxide",Compositions!Y130="Carbon Disulfide"),0,ID65)))</f>
        <v/>
      </c>
      <c r="IF65" s="187" t="str">
        <f>IF(Compositions!AB130="","",((HW65/100)*((VLOOKUP(Compositions!Y130,'HHV-LHV-MW'!$A$3:$G$40,7,FALSE)))))</f>
        <v/>
      </c>
      <c r="IG65" s="187" t="str">
        <f>IF(HW65="","",(IF(OR(Compositions!Y130="Hydrogen",Compositions!Y130="Carbon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Dioxide",Compositions!Y130="Methane",Compositions!Y130="Ethane"),0,(HW65/100))))</f>
        <v/>
      </c>
      <c r="IH65" s="205" t="str">
        <f>IF(HW65="","",(IF(OR($IG$78=0,$IG$78=""),0,       ((VLOOKUP(Compositions!Y130,'HHV-LHV-MW'!$A$3:$F$40,6,FALSE))*(IG65/$IG$78)))))</f>
        <v/>
      </c>
      <c r="II65" s="28" t="str">
        <f>IF(Compositions!AC130="","",IF(Compositions!$AC$118="mol%",Compositions!AC130,IJ65))</f>
        <v/>
      </c>
      <c r="IJ65" s="28" t="str">
        <f t="shared" si="44"/>
        <v/>
      </c>
      <c r="IK65" s="28" t="str">
        <f>IF(Compositions!AC130="","",(Compositions!AC130/(VLOOKUP(Compositions!Y130,'HHV-LHV-MW'!$A$3:$F$40,6,FALSE))))</f>
        <v/>
      </c>
      <c r="IL65" s="26" t="str">
        <f>IF(II65="","",((VLOOKUP(Compositions!Y130,'HHV-LHV-MW'!$A$3:$F$40,4,FALSE))*(II65/100)))</f>
        <v/>
      </c>
      <c r="IM65" s="26" t="str">
        <f>IF(II65="","",((VLOOKUP(Compositions!Y130,'HHV-LHV-MW'!$A$3:$F$40,5,FALSE))*(II65/100)))</f>
        <v/>
      </c>
      <c r="IN65" s="26" t="str">
        <f>IF(II65="","",((VLOOKUP(Compositions!Y130,'HHV-LHV-MW'!$A$3:$F$40,6,FALSE))*(II65/100)))</f>
        <v/>
      </c>
      <c r="IO65" s="26" t="str">
        <f>IF(Compositions!AC130="","",(Compositions!AC130*(VLOOKUP(Compositions!Y130,'HHV-LHV-MW'!$A$3:$F$40,6,FALSE))))</f>
        <v/>
      </c>
      <c r="IP65" s="296" t="str">
        <f>IF(Compositions!AC130="","",IF(OR(Compositions!$AC$118="wt%",Compositions!$AC$118=""),Compositions!AC130,(IF(IO65="","",((IO65/$IO$78)*100)))))</f>
        <v/>
      </c>
      <c r="IQ65" s="39" t="str">
        <f>IF(IP65="","",(IF(OR(Compositions!Y130="Hydrogen",Compositions!Y130="Helium",Compositions!Y130="Water",Compositions!Y130="Carbon Monoxide",Compositions!Y130="Nitrogen",Compositions!Y130="Oxygen",Compositions!Y130="Hydrogen Sulfide",Compositions!Y130="Argon",Compositions!Y130="Carbon Dioxide",Compositions!Y130="Carbon Disulfide"),0,IP65)))</f>
        <v/>
      </c>
      <c r="IR65" s="186" t="str">
        <f>IF(Compositions!AC130="","",((II65/100)*((VLOOKUP(Compositions!Y130,'HHV-LHV-MW'!$A$3:$G$40,7,FALSE)))))</f>
        <v/>
      </c>
      <c r="IS65" s="186" t="str">
        <f>IF(II65="","",(IF(OR(Compositions!Y130="Hydrogen",Compositions!Y130="Carbon Disulfide",Compositions!Y130="Helium",Compositions!Y130="Water",Compositions!Y130="Carbon Monoxide",Compositions!Y130="Nitrogen",Compositions!Y130="Oxygen",Compositions!Y130="Hydrogen Sulfide",Compositions!Y130="Argon",Compositions!Y130="Carbon Dioxide",Compositions!Y130="Methane",Compositions!Y130="Ethane"),0,(II65/100))))</f>
        <v/>
      </c>
      <c r="IT65" s="39" t="str">
        <f>IF(II65="","",(IF(OR($IS$78=0,$IS$78=""),0,      ((VLOOKUP(Compositions!Y130,'HHV-LHV-MW'!$A$3:$F$40,6,FALSE))*(IS65/$IS$78)))))</f>
        <v/>
      </c>
      <c r="IV65" s="27" t="str">
        <f>IF(Compositions!AF130="","",IF(Compositions!$AF$118="mol%",Compositions!AF130,IW65))</f>
        <v/>
      </c>
      <c r="IW65" s="27" t="str">
        <f t="shared" si="45"/>
        <v/>
      </c>
      <c r="IX65" s="27" t="str">
        <f>IF(Compositions!AF130="","",(Compositions!AF130/(VLOOKUP(Compositions!AE130,'HHV-LHV-MW'!$A$3:$F$40,6,FALSE))))</f>
        <v/>
      </c>
      <c r="IY65" s="25" t="str">
        <f>IF(IV65="","",((VLOOKUP(Compositions!AE130,'HHV-LHV-MW'!$A$3:$F$40,4,FALSE))*(IV65/100)))</f>
        <v/>
      </c>
      <c r="IZ65" s="25" t="str">
        <f>IF(IV65="","",((VLOOKUP(Compositions!AE130,'HHV-LHV-MW'!$A$3:$F$40,5,FALSE))*(IV65/100)))</f>
        <v/>
      </c>
      <c r="JA65" s="25" t="str">
        <f>IF(IV65="","",((VLOOKUP(Compositions!AE130,'HHV-LHV-MW'!$A$3:$F$40,6,FALSE))*(IV65/100)))</f>
        <v/>
      </c>
      <c r="JB65" s="25" t="str">
        <f>IF(Compositions!AF130="","",(Compositions!AF130*(VLOOKUP(Compositions!AE130,'HHV-LHV-MW'!$A$3:$F$40,6,FALSE))))</f>
        <v/>
      </c>
      <c r="JC65" s="298" t="str">
        <f>IF(Compositions!AF130="","",IF(OR(Compositions!$AF$118="wt%",Compositions!$AF$118=""),Compositions!AF130,(IF(JB65="","",((JB65/$JB$78)*100)))))</f>
        <v/>
      </c>
      <c r="JD65" s="185" t="str">
        <f>IF(JC65="","",(IF(OR(Compositions!AE130="Hydrogen",Compositions!AE130="Helium",Compositions!AE130="Water",Compositions!AE130="Carbon Monoxide",Compositions!AE130="Nitrogen",Compositions!AE130="Oxygen",Compositions!AE130="Hydrogen Sulfide",Compositions!AE130="Argon",Compositions!AE130="Carbon Dioxide",Compositions!AE130="Carbon Disulfide"),0,JC65)))</f>
        <v/>
      </c>
      <c r="JE65" s="187" t="str">
        <f>IF(Compositions!AF130="","",((IV65/100)*((VLOOKUP(Compositions!AE130,'HHV-LHV-MW'!$A$3:$G$40,7,FALSE)))))</f>
        <v/>
      </c>
      <c r="JF65" s="187" t="str">
        <f>IF(IV65="","",(IF(OR(Compositions!AE130="Hydrogen",Compositions!AE130="Carbon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Dioxide",Compositions!AE130="Methane",Compositions!AE130="Ethane"),0,(IV65/100))))</f>
        <v/>
      </c>
      <c r="JG65" s="205" t="str">
        <f>IF(IV65="","",(IF(OR($JF$78=0,$JF$78=""),0,      ((VLOOKUP(Compositions!AE130,'HHV-LHV-MW'!$A$3:$F$40,6,FALSE))*(JF65/$JF$78)))))</f>
        <v/>
      </c>
      <c r="JH65" s="28" t="str">
        <f>IF(Compositions!AG130="","",IF(Compositions!$AG$118="mol%",Compositions!AG130,JI65))</f>
        <v/>
      </c>
      <c r="JI65" s="28" t="str">
        <f t="shared" si="46"/>
        <v/>
      </c>
      <c r="JJ65" s="28" t="str">
        <f>IF(Compositions!AG130="","",(Compositions!AG130/(VLOOKUP(Compositions!AE130,'HHV-LHV-MW'!$A$3:$F$40,6,FALSE))))</f>
        <v/>
      </c>
      <c r="JK65" s="26" t="str">
        <f>IF(JH65="","",((VLOOKUP(Compositions!AE130,'HHV-LHV-MW'!$A$3:$F$40,4,FALSE))*(JH65/100)))</f>
        <v/>
      </c>
      <c r="JL65" s="26" t="str">
        <f>IF(JH65="","",((VLOOKUP(Compositions!AE130,'HHV-LHV-MW'!$A$3:$F$40,5,FALSE))*(JH65/100)))</f>
        <v/>
      </c>
      <c r="JM65" s="26" t="str">
        <f>IF(JH65="","",((VLOOKUP(Compositions!AE130,'HHV-LHV-MW'!$A$3:$F$40,6,FALSE))*(JH65/100)))</f>
        <v/>
      </c>
      <c r="JN65" s="26" t="str">
        <f>IF(Compositions!AG130="","",(Compositions!AG130*(VLOOKUP(Compositions!AE130,'HHV-LHV-MW'!$A$3:$F$40,6,FALSE))))</f>
        <v/>
      </c>
      <c r="JO65" s="297" t="str">
        <f>IF(Compositions!AG130="","",IF(OR(Compositions!$AG$118="wt%",Compositions!$AG$118=""),Compositions!AG130,(IF(JN65="","",((JN65/$JN$78)*100)))))</f>
        <v/>
      </c>
      <c r="JP65" s="39" t="str">
        <f>IF(JO65="","",(IF(OR(Compositions!AE130="Hydrogen",Compositions!AE130="Helium",Compositions!AE130="Water",Compositions!AE130="Carbon Monoxide",Compositions!AE130="Nitrogen",Compositions!AE130="Oxygen",Compositions!AE130="Hydrogen Sulfide",Compositions!AE130="Argon",Compositions!AE130="Carbon Dioxide",Compositions!AE130="Carbon Disulfide"),0,JO65)))</f>
        <v/>
      </c>
      <c r="JQ65" s="186" t="str">
        <f>IF(Compositions!AG130="","",((JH65/100)*((VLOOKUP(Compositions!AE130,'HHV-LHV-MW'!$A$3:$G$40,7,FALSE)))))</f>
        <v/>
      </c>
      <c r="JR65" s="186" t="str">
        <f>IF(JH65="","",(IF(OR(Compositions!AE130="Hydrogen",Compositions!AE130="Carbon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Dioxide",Compositions!AE130="Methane",Compositions!AE130="Ethane"),0,(JH65/100))))</f>
        <v/>
      </c>
      <c r="JS65" s="39" t="str">
        <f>IF(JH65="","",(IF(OR($JR$78=0,$JR$78=""),0,      ((VLOOKUP(Compositions!AE130,'HHV-LHV-MW'!$A$3:$F$40,6,FALSE))*(JR65/$JR$78)))))</f>
        <v/>
      </c>
      <c r="JT65" s="27" t="str">
        <f>IF(Compositions!AH130="","",IF(Compositions!$AH$118="mol%",Compositions!AH130,JU65))</f>
        <v/>
      </c>
      <c r="JU65" s="27" t="str">
        <f t="shared" si="47"/>
        <v/>
      </c>
      <c r="JV65" s="27" t="str">
        <f>IF(Compositions!AH130="","",(Compositions!AH130/(VLOOKUP(Compositions!AE130,'HHV-LHV-MW'!$A$3:$F$40,6,FALSE))))</f>
        <v/>
      </c>
      <c r="JW65" s="25" t="str">
        <f>IF(JT65="","",((VLOOKUP(Compositions!AE130,'HHV-LHV-MW'!$A$3:$F$40,4,FALSE))*(JT65/100)))</f>
        <v/>
      </c>
      <c r="JX65" s="25" t="str">
        <f>IF(JT65="","",((VLOOKUP(Compositions!AE130,'HHV-LHV-MW'!$A$3:$F$40,5,FALSE))*(JT65/100)))</f>
        <v/>
      </c>
      <c r="JY65" s="25" t="str">
        <f>IF(JT65="","",((VLOOKUP(Compositions!AE130,'HHV-LHV-MW'!$A$3:$F$40,6,FALSE))*(JT65/100)))</f>
        <v/>
      </c>
      <c r="JZ65" s="25" t="str">
        <f>IF(Compositions!AH130="","",(Compositions!AH130*(VLOOKUP(Compositions!AE130,'HHV-LHV-MW'!$A$3:$F$40,6,FALSE))))</f>
        <v/>
      </c>
      <c r="KA65" s="298" t="str">
        <f>IF(Compositions!AH130="","",IF(OR(Compositions!$AH$118="wt%",Compositions!$AH$118=""),Compositions!AH130,(IF(JZ65="","",((JZ65/$JZ$78)*100)))))</f>
        <v/>
      </c>
      <c r="KB65" s="185" t="str">
        <f>IF(KA65="","",(IF(OR(Compositions!AE130="Hydrogen",Compositions!AE130="Helium",Compositions!AE130="Water",Compositions!AE130="Carbon Monoxide",Compositions!AE130="Nitrogen",Compositions!AE130="Oxygen",Compositions!AE130="Hydrogen Sulfide",Compositions!AE130="Argon",Compositions!AE130="Carbon Dioxide",Compositions!AE130="Carbon Disulfide"),0,KA65)))</f>
        <v/>
      </c>
      <c r="KC65" s="187" t="str">
        <f>IF(Compositions!AH130="","",((JT65/100)*((VLOOKUP(Compositions!AE130,'HHV-LHV-MW'!$A$3:$G$40,7,FALSE)))))</f>
        <v/>
      </c>
      <c r="KD65" s="187" t="str">
        <f>IF(JT65="","",(IF(OR(Compositions!AE130="Hydrogen",Compositions!AE130="Carbon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Dioxide",Compositions!AE130="Methane",Compositions!AE130="Ethane"),0,(JT65/100))))</f>
        <v/>
      </c>
      <c r="KE65" s="205" t="str">
        <f>IF(JT65="","",(IF(OR($KD$78=0,$KD$78=""),0,      ((VLOOKUP(Compositions!AE130,'HHV-LHV-MW'!$A$3:$F$40,6,FALSE))*(KD65/$KD$78)))))</f>
        <v/>
      </c>
      <c r="KF65" s="28" t="str">
        <f>IF(Compositions!AI130="","",IF(Compositions!$AI$118="mol%",Compositions!AI130,KG65))</f>
        <v/>
      </c>
      <c r="KG65" s="28" t="str">
        <f t="shared" si="48"/>
        <v/>
      </c>
      <c r="KH65" s="28" t="str">
        <f>IF(Compositions!AI130="","",(Compositions!AI130/(VLOOKUP(Compositions!AE130,'HHV-LHV-MW'!$A$3:$F$40,6,FALSE))))</f>
        <v/>
      </c>
      <c r="KI65" s="26" t="str">
        <f>IF(KF65="","",((VLOOKUP(Compositions!AE130,'HHV-LHV-MW'!$A$3:$F$40,4,FALSE))*(KF65/100)))</f>
        <v/>
      </c>
      <c r="KJ65" s="26" t="str">
        <f>IF(KF65="","",((VLOOKUP(Compositions!AE130,'HHV-LHV-MW'!$A$3:$F$40,5,FALSE))*(KF65/100)))</f>
        <v/>
      </c>
      <c r="KK65" s="26" t="str">
        <f>IF(KF65="","",((VLOOKUP(Compositions!AE130,'HHV-LHV-MW'!$A$3:$F$40,6,FALSE))*(KF65/100)))</f>
        <v/>
      </c>
      <c r="KL65" s="26" t="str">
        <f>IF(Compositions!AI130="","",(Compositions!AI130*(VLOOKUP(Compositions!AE130,'HHV-LHV-MW'!$A$3:$F$40,6,FALSE))))</f>
        <v/>
      </c>
      <c r="KM65" s="297" t="str">
        <f>IF(Compositions!AI130="","",IF(OR(Compositions!$AI$118="wt%",Compositions!$AI$118=""),Compositions!AI130,(IF(KL65="","",((KL65/$KL$78)*100)))))</f>
        <v/>
      </c>
      <c r="KN65" s="39" t="str">
        <f>IF(KM65="","",(IF(OR(Compositions!AE130="Hydrogen",Compositions!AE130="Helium",Compositions!AE130="Water",Compositions!AE130="Carbon Monoxide",Compositions!AE130="Nitrogen",Compositions!AE130="Oxygen",Compositions!AE130="Hydrogen Sulfide",Compositions!AE130="Argon",Compositions!AE130="Carbon Dioxide",Compositions!AE130="Carbon Disulfide"),0,KM65)))</f>
        <v/>
      </c>
      <c r="KO65" s="186" t="str">
        <f>IF(Compositions!AI130="","",((KF65/100)*((VLOOKUP(Compositions!AE130,'HHV-LHV-MW'!$A$3:$G$40,7,FALSE)))))</f>
        <v/>
      </c>
      <c r="KP65" s="186" t="str">
        <f>IF(KF65="","",(IF(OR(Compositions!AE130="Hydrogen",Compositions!AE130="Carbon Disulfide",Compositions!AE130="Helium",Compositions!AE130="Water",Compositions!AE130="Carbon Monoxide",Compositions!AE130="Nitrogen",Compositions!AE130="Oxygen",Compositions!AE130="Hydrogen Sulfide",Compositions!AE130="Argon",Compositions!AE130="Carbon Dioxide",Compositions!AE130="Methane",Compositions!AE130="Ethane"),0,(KF65/100))))</f>
        <v/>
      </c>
      <c r="KQ65" s="39" t="str">
        <f>IF(KF65="","",(IF(OR($KP$78=0,$KP$78=""),0,      ((VLOOKUP(Compositions!AE130,'HHV-LHV-MW'!$A$3:$F$40,6,FALSE))*(KP65/$KP$78)))))</f>
        <v/>
      </c>
      <c r="KS65" s="27" t="str">
        <f>IF(Compositions!AL130="","",IF(Compositions!$AL$118="mol%",Compositions!AL130,KT65))</f>
        <v/>
      </c>
      <c r="KT65" s="27" t="str">
        <f t="shared" si="49"/>
        <v/>
      </c>
      <c r="KU65" s="27" t="str">
        <f>IF(Compositions!AL130="","",(Compositions!AL130/(VLOOKUP(Compositions!AK130,'HHV-LHV-MW'!$A$3:$F$40,6,FALSE))))</f>
        <v/>
      </c>
      <c r="KV65" s="185" t="str">
        <f>IF(KS65="","",((VLOOKUP(Compositions!AK130,'HHV-LHV-MW'!$A$3:$F$40,4,FALSE))*(KS65/100)))</f>
        <v/>
      </c>
      <c r="KW65" s="185" t="str">
        <f>IF(KS65="","",((VLOOKUP(Compositions!AK130,'HHV-LHV-MW'!$A$3:$F$40,5,FALSE))*(KS65/100)))</f>
        <v/>
      </c>
      <c r="KX65" s="185" t="str">
        <f>IF(KS65="","",((VLOOKUP(Compositions!AK130,'HHV-LHV-MW'!$A$3:$F$40,6,FALSE))*(KS65/100)))</f>
        <v/>
      </c>
      <c r="KY65" s="185" t="str">
        <f>IF(Compositions!AL130="","",(Compositions!AL130*(VLOOKUP(Compositions!AK130,'HHV-LHV-MW'!$A$3:$F$40,6,FALSE))))</f>
        <v/>
      </c>
      <c r="KZ65" s="298" t="str">
        <f>IF(Compositions!AL130="","",IF(OR(Compositions!$AL$118="wt%",Compositions!$AL$118=""),Compositions!AL130,(IF(KY65="","",((KY65/$KY$78)*100)))))</f>
        <v/>
      </c>
      <c r="LA65" s="185" t="str">
        <f>IF(KZ65="","",(IF(OR(Compositions!AK130="Hydrogen",Compositions!AK130="Helium",Compositions!AK130="Water",Compositions!AK130="Carbon Monoxide",Compositions!AK130="Nitrogen",Compositions!AK130="Oxygen",Compositions!AK130="Hydrogen Sulfide",Compositions!AK130="Argon",Compositions!AK130="Carbon Dioxide",Compositions!AK130="Carbon Disulfide"),0,KZ65)))</f>
        <v/>
      </c>
      <c r="LB65" s="187" t="str">
        <f>IF(Compositions!AL130="","",((KS65/100)*((VLOOKUP(Compositions!AK130,'HHV-LHV-MW'!$A$3:$G$40,7,FALSE)))))</f>
        <v/>
      </c>
      <c r="LC65" s="187" t="str">
        <f>IF(KS65="","",(IF(OR(Compositions!AK130="Hydrogen",Compositions!AK130="Carbon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Dioxide",Compositions!AK130="Methane",Compositions!AK130="Ethane"),0,(KS65/100))))</f>
        <v/>
      </c>
      <c r="LD65" s="205" t="str">
        <f>IF(KS65="","",(IF(OR($LC$78=0,$LC$78=""),0,      ((VLOOKUP(Compositions!AK130,'HHV-LHV-MW'!$A$3:$F$40,6,FALSE))*(LC65/$LC$78)))))</f>
        <v/>
      </c>
      <c r="LE65" s="28" t="str">
        <f>IF(Compositions!AM130="","",IF(Compositions!$AM$118="mol%",Compositions!AM130,LF65))</f>
        <v/>
      </c>
      <c r="LF65" s="28" t="str">
        <f t="shared" si="50"/>
        <v/>
      </c>
      <c r="LG65" s="28" t="str">
        <f>IF(Compositions!AM130="","",(Compositions!AM130/(VLOOKUP(Compositions!AK130,'HHV-LHV-MW'!$A$3:$F$40,6,FALSE))))</f>
        <v/>
      </c>
      <c r="LH65" s="184" t="str">
        <f>IF(LE65="","",((VLOOKUP(Compositions!AK130,'HHV-LHV-MW'!$A$3:$F$40,4,FALSE))*(LE65/100)))</f>
        <v/>
      </c>
      <c r="LI65" s="184" t="str">
        <f>IF(LE65="","",((VLOOKUP(Compositions!AK130,'HHV-LHV-MW'!$A$3:$F$40,5,FALSE))*(LE65/100)))</f>
        <v/>
      </c>
      <c r="LJ65" s="184" t="str">
        <f>IF(LE65="","",((VLOOKUP(Compositions!AK130,'HHV-LHV-MW'!$A$3:$F$40,6,FALSE))*(LE65/100)))</f>
        <v/>
      </c>
      <c r="LK65" s="184" t="str">
        <f>IF(Compositions!AM130="","",(Compositions!AM130*(VLOOKUP(Compositions!AK130,'HHV-LHV-MW'!$A$3:$F$40,6,FALSE))))</f>
        <v/>
      </c>
      <c r="LL65" s="297" t="str">
        <f>IF(Compositions!AM130="","",IF(OR(Compositions!$AM$118="wt%",Compositions!$AM$118=""),Compositions!AM130,(IF(LK65="","",((LK65/$LK$78)*100)))))</f>
        <v/>
      </c>
      <c r="LM65" s="39" t="str">
        <f>IF(LL65="","",(IF(OR(Compositions!AK130="Hydrogen",Compositions!AK130="Helium",Compositions!AK130="Water",Compositions!AK130="Carbon Monoxide",Compositions!AK130="Nitrogen",Compositions!AK130="Oxygen",Compositions!AK130="Hydrogen Sulfide",Compositions!AK130="Argon",Compositions!AK130="Carbon Dioxide",Compositions!AK130="Carbon Disulfide"),0,LL65)))</f>
        <v/>
      </c>
      <c r="LN65" s="186" t="str">
        <f>IF(Compositions!AM130="","",((LE65/100)*((VLOOKUP(Compositions!AK130,'HHV-LHV-MW'!$A$3:$G$40,7,FALSE)))))</f>
        <v/>
      </c>
      <c r="LO65" s="186" t="str">
        <f>IF(LE65="","",(IF(OR(Compositions!AK130="Hydrogen",Compositions!AK130="Carbon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Dioxide",Compositions!AK130="Methane",Compositions!AK130="Ethane"),0,(LE65/100))))</f>
        <v/>
      </c>
      <c r="LP65" s="39" t="str">
        <f>IF(LE65="","",(IF(OR($LO$78=0,$LO$78=""),0,     ((VLOOKUP(Compositions!AK130,'HHV-LHV-MW'!$A$3:$F$40,6,FALSE))*(LO65/$LO$78)))))</f>
        <v/>
      </c>
      <c r="LQ65" s="27" t="str">
        <f>IF(Compositions!AN130="","",IF(Compositions!$AN$118="mol%",Compositions!AN130,LR65))</f>
        <v/>
      </c>
      <c r="LR65" s="27" t="str">
        <f t="shared" si="51"/>
        <v/>
      </c>
      <c r="LS65" s="27" t="str">
        <f>IF(Compositions!AN130="","",(Compositions!AN130/(VLOOKUP(Compositions!AK130,'HHV-LHV-MW'!$A$3:$F$40,6,FALSE))))</f>
        <v/>
      </c>
      <c r="LT65" s="185" t="str">
        <f>IF(LQ65="","",((VLOOKUP(Compositions!AK130,'HHV-LHV-MW'!$A$3:$F$40,4,FALSE))*(LQ65/100)))</f>
        <v/>
      </c>
      <c r="LU65" s="185" t="str">
        <f>IF(LQ65="","",((VLOOKUP(Compositions!AK130,'HHV-LHV-MW'!$A$3:$F$40,5,FALSE))*(LQ65/100)))</f>
        <v/>
      </c>
      <c r="LV65" s="185" t="str">
        <f>IF(LQ65="","",((VLOOKUP(Compositions!AK130,'HHV-LHV-MW'!$A$3:$F$40,6,FALSE))*(LQ65/100)))</f>
        <v/>
      </c>
      <c r="LW65" s="185" t="str">
        <f>IF(Compositions!AN130="","",(Compositions!AN130*(VLOOKUP(Compositions!AK130,'HHV-LHV-MW'!$A$3:$F$40,6,FALSE))))</f>
        <v/>
      </c>
      <c r="LX65" s="298" t="str">
        <f>IF(Compositions!AN130="","",IF(OR(Compositions!$AN$118="wt%",Compositions!$AN$118=""),Compositions!AN130,(IF(LW65="","",((LW65/$LW$78)*100)))))</f>
        <v/>
      </c>
      <c r="LY65" s="185" t="str">
        <f>IF(LX65="","",(IF(OR(Compositions!AK130="Hydrogen",Compositions!AK130="Helium",Compositions!AK130="Water",Compositions!AK130="Carbon Monoxide",Compositions!AK130="Nitrogen",Compositions!AK130="Oxygen",Compositions!AK130="Hydrogen Sulfide",Compositions!AK130="Argon",Compositions!AK130="Carbon Dioxide",Compositions!AK130="Carbon Disulfide"),0,LX65)))</f>
        <v/>
      </c>
      <c r="LZ65" s="187" t="str">
        <f>IF(Compositions!AN130="","",((LQ65/100)*((VLOOKUP(Compositions!AK130,'HHV-LHV-MW'!$A$3:$G$40,7,FALSE)))))</f>
        <v/>
      </c>
      <c r="MA65" s="187" t="str">
        <f>IF(LQ65="","",(IF(OR(Compositions!AK130="Hydrogen",Compositions!AK130="Carbon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Dioxide",Compositions!AK130="Methane",Compositions!AK130="Ethane"),0,(LQ65/100))))</f>
        <v/>
      </c>
      <c r="MB65" s="205" t="str">
        <f>IF(LQ65="","",(IF(OR($MA$78=0,$MA$78=""),0,     ((VLOOKUP(Compositions!AK130,'HHV-LHV-MW'!$A$3:$F$40,6,FALSE))*(MA65/$MA$78)))))</f>
        <v/>
      </c>
      <c r="MC65" s="28" t="str">
        <f>IF(Compositions!AO130="","",IF(Compositions!$AO$118="mol%",Compositions!AO130,MD65))</f>
        <v/>
      </c>
      <c r="MD65" s="28" t="str">
        <f t="shared" si="52"/>
        <v/>
      </c>
      <c r="ME65" s="28" t="str">
        <f>IF(Compositions!AO130="","",(Compositions!AO130/(VLOOKUP(Compositions!AK130,'HHV-LHV-MW'!$A$3:$F$40,6,FALSE))))</f>
        <v/>
      </c>
      <c r="MF65" s="184" t="str">
        <f>IF(MC65="","",((VLOOKUP(Compositions!AK130,'HHV-LHV-MW'!$A$3:$F$40,4,FALSE))*(MC65/100)))</f>
        <v/>
      </c>
      <c r="MG65" s="184" t="str">
        <f>IF(MC65="","",((VLOOKUP(Compositions!AK130,'HHV-LHV-MW'!$A$3:$F$40,5,FALSE))*(MC65/100)))</f>
        <v/>
      </c>
      <c r="MH65" s="184" t="str">
        <f>IF(MC65="","",((VLOOKUP(Compositions!AK130,'HHV-LHV-MW'!$A$3:$F$40,6,FALSE))*(MC65/100)))</f>
        <v/>
      </c>
      <c r="MI65" s="184" t="str">
        <f>IF(Compositions!AO130="","",(Compositions!AO130*(VLOOKUP(Compositions!AK130,'HHV-LHV-MW'!$A$3:$F$40,6,FALSE))))</f>
        <v/>
      </c>
      <c r="MJ65" s="297" t="str">
        <f>IF(Compositions!AO130="","",IF(OR(Compositions!$AO$118="wt%",Compositions!$AO$118=""),Compositions!AO130,(IF(MI65="","",((MI65/$MI$78)*100)))))</f>
        <v/>
      </c>
      <c r="MK65" s="39" t="str">
        <f>IF(MJ65="","",(IF(OR(Compositions!AK130="Hydrogen",Compositions!AK130="Helium",Compositions!AK130="Water",Compositions!AK130="Carbon Monoxide",Compositions!AK130="Nitrogen",Compositions!AK130="Oxygen",Compositions!AK130="Hydrogen Sulfide",Compositions!AK130="Argon",Compositions!AK130="Carbon Dioxide",Compositions!AK130="Carbon Disulfide"),0,MJ65)))</f>
        <v/>
      </c>
      <c r="ML65" s="186" t="str">
        <f>IF(Compositions!AO130="","",((MC65/100)*((VLOOKUP(Compositions!AK130,'HHV-LHV-MW'!$A$3:$G$40,7,FALSE)))))</f>
        <v/>
      </c>
      <c r="MM65" s="186" t="str">
        <f>IF(MC65="","",(IF(OR(Compositions!AK130="Hydrogen",Compositions!AK130="Carbon Disulfide",Compositions!AK130="Helium",Compositions!AK130="Water",Compositions!AK130="Carbon Monoxide",Compositions!AK130="Nitrogen",Compositions!AK130="Oxygen",Compositions!AK130="Hydrogen Sulfide",Compositions!AK130="Argon",Compositions!AK130="Carbon Dioxide",Compositions!AK130="Methane",Compositions!AK130="Ethane"),0,(MC65/100))))</f>
        <v/>
      </c>
      <c r="MN65" s="39" t="str">
        <f>IF(MC65="","",(IF(OR($MM$78=0,$MM$78=""),0,     ((VLOOKUP(Compositions!AK130,'HHV-LHV-MW'!$A$3:$F$40,6,FALSE))*(MM65/$MM$78)))))</f>
        <v/>
      </c>
      <c r="MP65" s="27" t="str">
        <f>IF(Compositions!AR130="","",IF(Compositions!$AR$118="mol%",Compositions!AR130,MQ65))</f>
        <v/>
      </c>
      <c r="MQ65" s="27" t="str">
        <f t="shared" si="53"/>
        <v/>
      </c>
      <c r="MR65" s="27" t="str">
        <f>IF(Compositions!AR130="","",(Compositions!AR130/(VLOOKUP(Compositions!AQ130,'HHV-LHV-MW'!$A$3:$F$40,6,FALSE))))</f>
        <v/>
      </c>
      <c r="MS65" s="185" t="str">
        <f>IF(MP65="","",((VLOOKUP(Compositions!AQ130,'HHV-LHV-MW'!$A$3:$F$40,4,FALSE))*(MP65/100)))</f>
        <v/>
      </c>
      <c r="MT65" s="185" t="str">
        <f>IF(MP65="","",((VLOOKUP(Compositions!AQ130,'HHV-LHV-MW'!$A$3:$F$40,5,FALSE))*(MP65/100)))</f>
        <v/>
      </c>
      <c r="MU65" s="185" t="str">
        <f>IF(MP65="","",((VLOOKUP(Compositions!AQ130,'HHV-LHV-MW'!$A$3:$F$40,6,FALSE))*(MP65/100)))</f>
        <v/>
      </c>
      <c r="MV65" s="185" t="str">
        <f>IF(Compositions!AR130="","",(Compositions!AR130*(VLOOKUP(Compositions!AQ130,'HHV-LHV-MW'!$A$3:$F$40,6,FALSE))))</f>
        <v/>
      </c>
      <c r="MW65" s="298" t="str">
        <f>IF(Compositions!AR130="","",IF(OR(Compositions!$AR$118="wt%",Compositions!$AR$118=""),Compositions!AR130,(IF(MV65="","",((MV65/$MV$78)*100)))))</f>
        <v/>
      </c>
      <c r="MX65" s="185" t="str">
        <f>IF(MW65="","",(IF(OR(Compositions!AQ130="Hydrogen",Compositions!AQ130="Helium",Compositions!AQ130="Water",Compositions!AQ130="Carbon Monoxide",Compositions!AQ130="Nitrogen",Compositions!AQ130="Oxygen",Compositions!AQ130="Hydrogen Sulfide",Compositions!AQ130="Argon",Compositions!AQ130="Carbon Dioxide",Compositions!AQ130="Carbon Disulfide"),0,MW65)))</f>
        <v/>
      </c>
      <c r="MY65" s="187" t="str">
        <f>IF(Compositions!AR130="","",((MP65/100)*((VLOOKUP(Compositions!AQ130,'HHV-LHV-MW'!$A$3:$G$40,7,FALSE)))))</f>
        <v/>
      </c>
      <c r="MZ65" s="187" t="str">
        <f>IF(MP65="","",(IF(OR(Compositions!AQ130="Hydrogen",Compositions!AQ130="Carbon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Dioxide",Compositions!AQ130="Methane",Compositions!AQ130="Ethane"),0,(MP65/100))))</f>
        <v/>
      </c>
      <c r="NA65" s="205" t="str">
        <f>IF(MP65="","",(IF(OR($MZ$78=0,$MZ$78=""),0,     ((VLOOKUP(Compositions!AQ130,'HHV-LHV-MW'!$A$3:$F$40,6,FALSE))*(MZ65/$MZ$78)))))</f>
        <v/>
      </c>
      <c r="NB65" s="28" t="str">
        <f>IF(Compositions!AS130="","",IF(Compositions!$AS$118="mol%",Compositions!AS130,NC65))</f>
        <v/>
      </c>
      <c r="NC65" s="28" t="str">
        <f t="shared" si="54"/>
        <v/>
      </c>
      <c r="ND65" s="28" t="str">
        <f>IF(Compositions!AS130="","",(Compositions!AS130/(VLOOKUP(Compositions!AQ130,'HHV-LHV-MW'!$A$3:$F$40,6,FALSE))))</f>
        <v/>
      </c>
      <c r="NE65" s="184" t="str">
        <f>IF(NB65="","",((VLOOKUP(Compositions!AQ130,'HHV-LHV-MW'!$A$3:$F$40,4,FALSE))*(NB65/100)))</f>
        <v/>
      </c>
      <c r="NF65" s="184" t="str">
        <f>IF(NB65="","",((VLOOKUP(Compositions!AQ130,'HHV-LHV-MW'!$A$3:$F$40,5,FALSE))*(NB65/100)))</f>
        <v/>
      </c>
      <c r="NG65" s="184" t="str">
        <f>IF(NB65="","",((VLOOKUP(Compositions!AQ130,'HHV-LHV-MW'!$A$3:$F$40,6,FALSE))*(NB65/100)))</f>
        <v/>
      </c>
      <c r="NH65" s="184" t="str">
        <f>IF(Compositions!AS130="","",(Compositions!AS130*(VLOOKUP(Compositions!AQ130,'HHV-LHV-MW'!$A$3:$F$40,6,FALSE))))</f>
        <v/>
      </c>
      <c r="NI65" s="297" t="str">
        <f>IF(Compositions!AS130="","",IF(OR(Compositions!$AS$118="wt%",Compositions!$AS$118=""),Compositions!AS130,(IF(NH65="","",((NH65/$NH$78)*100)))))</f>
        <v/>
      </c>
      <c r="NJ65" s="39" t="str">
        <f>IF(NI65="","",(IF(OR(Compositions!AQ130="Hydrogen",Compositions!AQ130="Helium",Compositions!AQ130="Water",Compositions!AQ130="Carbon Monoxide",Compositions!AQ130="Nitrogen",Compositions!AQ130="Oxygen",Compositions!AQ130="Hydrogen Sulfide",Compositions!AQ130="Argon",Compositions!AQ130="Carbon Dioxide",Compositions!AQ130="Carbon Disulfide"),0,NI65)))</f>
        <v/>
      </c>
      <c r="NK65" s="186" t="str">
        <f>IF(Compositions!AS130="","",((NB65/100)*((VLOOKUP(Compositions!AQ130,'HHV-LHV-MW'!$A$3:$G$40,7,FALSE)))))</f>
        <v/>
      </c>
      <c r="NL65" s="186" t="str">
        <f>IF(NB65="","",(IF(OR(Compositions!AQ130="Hydrogen",Compositions!AQ130="Carbon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Dioxide",Compositions!AQ130="Methane",Compositions!AQ130="Ethane"),0,(NB65/100))))</f>
        <v/>
      </c>
      <c r="NM65" s="39" t="str">
        <f>IF(NB65="","",(IF(OR($NL$78=0,$NL$78=""),0,     ((VLOOKUP(Compositions!AQ130,'HHV-LHV-MW'!$A$3:$F$40,6,FALSE))*(NL65/$NL$78)))))</f>
        <v/>
      </c>
      <c r="NN65" s="27" t="str">
        <f>IF(Compositions!AT130="","",IF(Compositions!$AT$118="mol%",Compositions!AT130,NO65))</f>
        <v/>
      </c>
      <c r="NO65" s="27" t="str">
        <f t="shared" si="55"/>
        <v/>
      </c>
      <c r="NP65" s="27" t="str">
        <f>IF(Compositions!AT130="","",(Compositions!AT130/(VLOOKUP(Compositions!AQ130,'HHV-LHV-MW'!$A$3:$F$40,6,FALSE))))</f>
        <v/>
      </c>
      <c r="NQ65" s="185" t="str">
        <f>IF(NN65="","",((VLOOKUP(Compositions!AQ130,'HHV-LHV-MW'!$A$3:$F$40,4,FALSE))*(NN65/100)))</f>
        <v/>
      </c>
      <c r="NR65" s="185" t="str">
        <f>IF(NN65="","",((VLOOKUP(Compositions!AQ130,'HHV-LHV-MW'!$A$3:$F$40,5,FALSE))*(NN65/100)))</f>
        <v/>
      </c>
      <c r="NS65" s="185" t="str">
        <f>IF(NN65="","",((VLOOKUP(Compositions!AQ130,'HHV-LHV-MW'!$A$3:$F$40,6,FALSE))*(NN65/100)))</f>
        <v/>
      </c>
      <c r="NT65" s="185" t="str">
        <f>IF(Compositions!AT130="","",(Compositions!AT130*(VLOOKUP(Compositions!AQ130,'HHV-LHV-MW'!$A$3:$F$40,6,FALSE))))</f>
        <v/>
      </c>
      <c r="NU65" s="298" t="str">
        <f>IF(Compositions!AT130="","",IF(OR(Compositions!$AT$118="wt%",Compositions!$AT$118=""),Compositions!AT130,(IF(NT65="","",((NT65/$NT$78)*100)))))</f>
        <v/>
      </c>
      <c r="NV65" s="185" t="str">
        <f>IF(NU65="","",(IF(OR(Compositions!AQ130="Hydrogen",Compositions!AQ130="Helium",Compositions!AQ130="Water",Compositions!AQ130="Carbon Monoxide",Compositions!AQ130="Nitrogen",Compositions!AQ130="Oxygen",Compositions!AQ130="Hydrogen Sulfide",Compositions!AQ130="Argon",Compositions!AQ130="Carbon Dioxide",Compositions!AQ130="Carbon Disulfide"),0,NU65)))</f>
        <v/>
      </c>
      <c r="NW65" s="187" t="str">
        <f>IF(Compositions!AT130="","",((NN65/100)*((VLOOKUP(Compositions!AQ130,'HHV-LHV-MW'!$A$3:$G$40,7,FALSE)))))</f>
        <v/>
      </c>
      <c r="NX65" s="187" t="str">
        <f>IF(NN65="","",(IF(OR(Compositions!AQ130="Hydrogen",Compositions!AQ130="Carbon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Dioxide",Compositions!AQ130="Methane",Compositions!AQ130="Ethane"),0,(NN65/100))))</f>
        <v/>
      </c>
      <c r="NY65" s="205" t="str">
        <f>IF(NN65="","",(IF(OR($NX$78=0,$NX$78=""),0,     ((VLOOKUP(Compositions!AQ130,'HHV-LHV-MW'!$A$3:$F$40,6,FALSE))*(NX65/$NX$78)))))</f>
        <v/>
      </c>
      <c r="NZ65" s="28" t="str">
        <f>IF(Compositions!AU130="","",IF(Compositions!$AU$118="mol%",Compositions!AU130,OA65))</f>
        <v/>
      </c>
      <c r="OA65" s="28" t="str">
        <f t="shared" si="56"/>
        <v/>
      </c>
      <c r="OB65" s="28" t="str">
        <f>IF(Compositions!AU130="","",(Compositions!AU130/(VLOOKUP(Compositions!AQ130,'HHV-LHV-MW'!$A$3:$F$40,6,FALSE))))</f>
        <v/>
      </c>
      <c r="OC65" s="184" t="str">
        <f>IF(NZ65="","",((VLOOKUP(Compositions!AQ130,'HHV-LHV-MW'!$A$3:$F$40,4,FALSE))*(NZ65/100)))</f>
        <v/>
      </c>
      <c r="OD65" s="184" t="str">
        <f>IF(NZ65="","",((VLOOKUP(Compositions!AQ130,'HHV-LHV-MW'!$A$3:$F$40,5,FALSE))*(NZ65/100)))</f>
        <v/>
      </c>
      <c r="OE65" s="184" t="str">
        <f>IF(NZ65="","",((VLOOKUP(Compositions!AQ130,'HHV-LHV-MW'!$A$3:$F$40,6,FALSE))*(NZ65/100)))</f>
        <v/>
      </c>
      <c r="OF65" s="184" t="str">
        <f>IF(Compositions!AU130="","",(Compositions!AU130*(VLOOKUP(Compositions!AQ130,'HHV-LHV-MW'!$A$3:$F$40,6,FALSE))))</f>
        <v/>
      </c>
      <c r="OG65" s="297" t="str">
        <f>IF(Compositions!AU130="","",IF(OR(Compositions!$AU$118="wt%",Compositions!$AU$118=""),Compositions!AU130,(IF(OF65="","",((OF65/$OF$78)*100)))))</f>
        <v/>
      </c>
      <c r="OH65" s="39" t="str">
        <f>IF(OG65="","",(IF(OR(Compositions!AQ130="Hydrogen",Compositions!AQ130="Helium",Compositions!AQ130="Water",Compositions!AQ130="Carbon Monoxide",Compositions!AQ130="Nitrogen",Compositions!AQ130="Oxygen",Compositions!AQ130="Hydrogen Sulfide",Compositions!AQ130="Argon",Compositions!AQ130="Carbon Dioxide",Compositions!AQ130="Carbon Disulfide"),0,OG65)))</f>
        <v/>
      </c>
      <c r="OI65" s="186" t="str">
        <f>IF(Compositions!AU130="","",((NZ65/100)*((VLOOKUP(Compositions!AQ130,'HHV-LHV-MW'!$A$3:$G$40,7,FALSE)))))</f>
        <v/>
      </c>
      <c r="OJ65" s="186" t="str">
        <f>IF(NZ65="","",(IF(OR(Compositions!AQ130="Hydrogen",Compositions!AQ130="Carbon Disulfide",Compositions!AQ130="Helium",Compositions!AQ130="Water",Compositions!AQ130="Carbon Monoxide",Compositions!AQ130="Nitrogen",Compositions!AQ130="Oxygen",Compositions!AQ130="Hydrogen Sulfide",Compositions!AQ130="Argon",Compositions!AQ130="Carbon Dioxide",Compositions!AQ130="Methane",Compositions!AQ130="Ethane"),0,(NZ65/100))))</f>
        <v/>
      </c>
      <c r="OK65" s="39" t="str">
        <f>IF(NZ65="","",(IF(OR($OJ$78=0,$OJ$78=""),0,     ((VLOOKUP(Compositions!AQ130,'HHV-LHV-MW'!$A$3:$F$40,6,FALSE))*(OJ65/$OJ$78)))))</f>
        <v/>
      </c>
      <c r="ON65" s="27" t="str">
        <f>IF(Compositions!AX130="","",IF(Compositions!$AX$118="mol%",Compositions!AX130,OO65))</f>
        <v/>
      </c>
      <c r="OO65" s="27" t="str">
        <f t="shared" si="57"/>
        <v/>
      </c>
      <c r="OP65" s="27" t="str">
        <f>IF(Compositions!AX130="","",(Compositions!AX130/(VLOOKUP(Compositions!AW130,'HHV-LHV-MW'!$A$3:$F$40,6,FALSE))))</f>
        <v/>
      </c>
      <c r="OQ65" s="185" t="str">
        <f>IF(ON65="","",((VLOOKUP(Compositions!AW130,'HHV-LHV-MW'!$A$3:$F$40,4,FALSE))*(ON65/100)))</f>
        <v/>
      </c>
      <c r="OR65" s="185" t="str">
        <f>IF(ON65="","",((VLOOKUP(Compositions!AW130,'HHV-LHV-MW'!$A$3:$F$40,5,FALSE))*(ON65/100)))</f>
        <v/>
      </c>
      <c r="OS65" s="185" t="str">
        <f>IF(ON65="","",((VLOOKUP(Compositions!AW130,'HHV-LHV-MW'!$A$3:$F$40,6,FALSE))*(ON65/100)))</f>
        <v/>
      </c>
      <c r="OT65" s="185" t="str">
        <f>IF(Compositions!AX130="","",(Compositions!AX130*(VLOOKUP(Compositions!AW130,'HHV-LHV-MW'!$A$3:$F$40,6,FALSE))))</f>
        <v/>
      </c>
      <c r="OU65" s="298" t="str">
        <f>IF(Compositions!AX130="","",IF(OR(Compositions!$AX$118="wt%",Compositions!$AX$118=""),Compositions!AX130,(IF(OT65="","",((OT65/$OT$78)*100)))))</f>
        <v/>
      </c>
      <c r="OV65" s="185" t="str">
        <f>IF(OU65="","",(IF(OR(Compositions!AW130="Hydrogen",Compositions!AW130="Helium",Compositions!AW130="Water",Compositions!AW130="Carbon Monoxide",Compositions!AW130="Nitrogen",Compositions!AW130="Oxygen",Compositions!AW130="Hydrogen Sulfide",Compositions!AW130="Argon",Compositions!AW130="Carbon Dioxide",Compositions!AW130="Carbon Disulfide"),0,OU65)))</f>
        <v/>
      </c>
      <c r="OW65" s="187" t="str">
        <f>IF(Compositions!AX130="","",((ON65/100)*((VLOOKUP(Compositions!AW130,'HHV-LHV-MW'!$A$3:$G$40,7,FALSE)))))</f>
        <v/>
      </c>
      <c r="OX65" s="187" t="str">
        <f>IF(ON65="","",(IF(OR(Compositions!AW130="Hydrogen",Compositions!AW130="Carbon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Dioxide",Compositions!AW130="Methane",Compositions!AW130="Ethane"),0,(ON65/100))))</f>
        <v/>
      </c>
      <c r="OY65" s="205" t="str">
        <f>IF(ON65="","",(IF(OR($OX$78=0,$OX$78=""),0,     ((VLOOKUP(Compositions!AW130,'HHV-LHV-MW'!$A$3:$F$40,6,FALSE))*(OX65/$OX$78)))))</f>
        <v/>
      </c>
      <c r="OZ65" s="28" t="str">
        <f>IF(Compositions!AY130="","",IF(Compositions!$AY$118="mol%",Compositions!AY130,PA65))</f>
        <v/>
      </c>
      <c r="PA65" s="28" t="str">
        <f t="shared" si="64"/>
        <v/>
      </c>
      <c r="PB65" s="28" t="str">
        <f>IF(Compositions!AY130="","",(Compositions!AY130/(VLOOKUP(Compositions!AW130,'HHV-LHV-MW'!$A$3:$F$40,6,FALSE))))</f>
        <v/>
      </c>
      <c r="PC65" s="184" t="str">
        <f>IF(OZ65="","",((VLOOKUP(Compositions!AW130,'HHV-LHV-MW'!$A$3:$F$40,4,FALSE))*(OZ65/100)))</f>
        <v/>
      </c>
      <c r="PD65" s="184" t="str">
        <f>IF(OZ65="","",((VLOOKUP(Compositions!AW130,'HHV-LHV-MW'!$A$3:$F$40,5,FALSE))*(OZ65/100)))</f>
        <v/>
      </c>
      <c r="PE65" s="184" t="str">
        <f>IF(OZ65="","",((VLOOKUP(Compositions!AW130,'HHV-LHV-MW'!$A$3:$F$40,6,FALSE))*(OZ65/100)))</f>
        <v/>
      </c>
      <c r="PF65" s="184" t="str">
        <f>IF(Compositions!AY130="","",(Compositions!AY130*(VLOOKUP(Compositions!AW130,'HHV-LHV-MW'!$A$3:$F$40,6,FALSE))))</f>
        <v/>
      </c>
      <c r="PG65" s="297" t="str">
        <f>IF(Compositions!AY130="","",IF(OR(Compositions!$AY$118="wt%",Compositions!$AY$118=""),Compositions!AY130,(IF(PF65="","",((PF65/$PF$78)*100)))))</f>
        <v/>
      </c>
      <c r="PH65" s="39" t="str">
        <f>IF(PG65="","",(IF(OR(Compositions!AW130="Hydrogen",Compositions!AW130="Helium",Compositions!AW130="Water",Compositions!AW130="Carbon Monoxide",Compositions!AW130="Nitrogen",Compositions!AW130="Oxygen",Compositions!AW130="Hydrogen Sulfide",Compositions!AW130="Argon",Compositions!AW130="Carbon Dioxide",Compositions!AW130="Carbon Disulfide"),0,PG65)))</f>
        <v/>
      </c>
      <c r="PI65" s="186" t="str">
        <f>IF(Compositions!AY130="","",((OZ65/100)*((VLOOKUP(Compositions!AW130,'HHV-LHV-MW'!$A$3:$G$40,7,FALSE)))))</f>
        <v/>
      </c>
      <c r="PJ65" s="186" t="str">
        <f>IF(OZ65="","",(IF(OR(Compositions!AW130="Hydrogen",Compositions!AW130="Carbon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Dioxide",Compositions!AW130="Methane",Compositions!AW130="Ethane"),0,(OZ65/100))))</f>
        <v/>
      </c>
      <c r="PK65" s="39" t="str">
        <f>IF(OZ65="","",(IF(OR($PJ$78=0,$PJ$78=""),0,     ((VLOOKUP(Compositions!AW130,'HHV-LHV-MW'!$A$3:$F$40,6,FALSE))*(PJ65/$PJ$78)))))</f>
        <v/>
      </c>
      <c r="PL65" s="27" t="str">
        <f>IF(Compositions!AZ130="","",IF(Compositions!$AZ$118="mol%",Compositions!AZ130,PM65))</f>
        <v/>
      </c>
      <c r="PM65" s="27" t="str">
        <f>IF(PN65="","",((PN65/$PN$78)*100))</f>
        <v/>
      </c>
      <c r="PN65" s="27" t="str">
        <f>IF(Compositions!AZ130="","",(Compositions!AZ130/(VLOOKUP(Compositions!AW130,'HHV-LHV-MW'!$A$3:$F$40,6,FALSE))))</f>
        <v/>
      </c>
      <c r="PO65" s="185" t="str">
        <f>IF(PL65="","",((VLOOKUP(Compositions!AW130,'HHV-LHV-MW'!$A$3:$F$40,4,FALSE))*(PL65/100)))</f>
        <v/>
      </c>
      <c r="PP65" s="185" t="str">
        <f>IF(PL65="","",((VLOOKUP(Compositions!AW130,'HHV-LHV-MW'!$A$3:$F$40,5,FALSE))*(PL65/100)))</f>
        <v/>
      </c>
      <c r="PQ65" s="185" t="str">
        <f>IF(PL65="","",((VLOOKUP(Compositions!AW130,'HHV-LHV-MW'!$A$3:$F$40,6,FALSE))*(PL65/100)))</f>
        <v/>
      </c>
      <c r="PR65" s="185" t="str">
        <f>IF(Compositions!AZ130="","",(Compositions!AZ130*(VLOOKUP(Compositions!AW130,'HHV-LHV-MW'!$A$3:$F$40,6,FALSE))))</f>
        <v/>
      </c>
      <c r="PS65" s="298" t="str">
        <f>IF(Compositions!AZ130="","",IF(OR(Compositions!$AZ$118="wt%",Compositions!$AZ$118=""),Compositions!AZ130,(IF(PR65="","",((PR65/$PR$78)*100)))))</f>
        <v/>
      </c>
      <c r="PT65" s="185" t="str">
        <f>IF(PS65="","",(IF(OR(Compositions!AW130="Hydrogen",Compositions!AW130="Helium",Compositions!AW130="Water",Compositions!AW130="Carbon Monoxide",Compositions!AW130="Nitrogen",Compositions!AW130="Oxygen",Compositions!AW130="Hydrogen Sulfide",Compositions!AW130="Argon",Compositions!AW130="Carbon Dioxide",Compositions!AW130="Carbon Disulfide"),0,PS65)))</f>
        <v/>
      </c>
      <c r="PU65" s="187" t="str">
        <f>IF(Compositions!AZ130="","",((PL65/100)*((VLOOKUP(Compositions!AW130,'HHV-LHV-MW'!$A$3:$G$40,7,FALSE)))))</f>
        <v/>
      </c>
      <c r="PV65" s="187" t="str">
        <f>IF(PL65="","",(IF(OR(Compositions!AW130="Hydrogen",Compositions!AW130="Carbon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Dioxide",Compositions!AW130="Methane",Compositions!AW130="Ethane"),0,(PL65/100))))</f>
        <v/>
      </c>
      <c r="PW65" s="205" t="str">
        <f>IF(PL65="","",(IF(OR($PV$78=0,$PV$78=""),0,     ((VLOOKUP(Compositions!AW130,'HHV-LHV-MW'!$A$3:$F$40,6,FALSE))*(PV65/$PV$78)))))</f>
        <v/>
      </c>
      <c r="PX65" s="28" t="str">
        <f>IF(Compositions!BA130="","",IF(Compositions!$BA$118="mol%",Compositions!BA130,PY65))</f>
        <v/>
      </c>
      <c r="PY65" s="28" t="str">
        <f t="shared" si="59"/>
        <v/>
      </c>
      <c r="PZ65" s="28" t="str">
        <f>IF(Compositions!BA130="","",(Compositions!BA130/(VLOOKUP(Compositions!AW130,'HHV-LHV-MW'!$A$3:$F$40,6,FALSE))))</f>
        <v/>
      </c>
      <c r="QA65" s="184" t="str">
        <f>IF(PX65="","",((VLOOKUP(Compositions!AW130,'HHV-LHV-MW'!$A$3:$F$40,4,FALSE))*(PX65/100)))</f>
        <v/>
      </c>
      <c r="QB65" s="184" t="str">
        <f>IF(PX65="","",((VLOOKUP(Compositions!AW130,'HHV-LHV-MW'!$A$3:$F$40,5,FALSE))*(PX65/100)))</f>
        <v/>
      </c>
      <c r="QC65" s="184" t="str">
        <f>IF(PX65="","",((VLOOKUP(Compositions!AW130,'HHV-LHV-MW'!$A$3:$F$40,6,FALSE))*(PX65/100)))</f>
        <v/>
      </c>
      <c r="QD65" s="184" t="str">
        <f>IF(Compositions!BA130="","",(Compositions!BA130*(VLOOKUP(Compositions!AW130,'HHV-LHV-MW'!$A$3:$F$40,6,FALSE))))</f>
        <v/>
      </c>
      <c r="QE65" s="297" t="str">
        <f>IF(Compositions!BA130="","",IF(OR(Compositions!$BA$118="wt%",Compositions!$BA$118=""),Compositions!BA130,(IF(QD65="","",((QD65/$QD$78)*100)))))</f>
        <v/>
      </c>
      <c r="QF65" s="39" t="str">
        <f>IF(QE65="","",(IF(OR(Compositions!AW130="Hydrogen",Compositions!AW130="Helium",Compositions!AW130="Water",Compositions!AW130="Carbon Monoxide",Compositions!AW130="Nitrogen",Compositions!AW130="Oxygen",Compositions!AW130="Hydrogen Sulfide",Compositions!AW130="Argon",Compositions!AW130="Carbon Dioxide",Compositions!AW130="Carbon Disulfide"),0,QE65)))</f>
        <v/>
      </c>
      <c r="QG65" s="186" t="str">
        <f>IF(Compositions!BA130="","",((PX65/100)*((VLOOKUP(Compositions!AW130,'HHV-LHV-MW'!$A$3:$G$40,7,FALSE)))))</f>
        <v/>
      </c>
      <c r="QH65" s="186" t="str">
        <f>IF(PX65="","",(IF(OR(Compositions!AW130="Hydrogen",Compositions!AW130="Carbon Disulfide",Compositions!AW130="Helium",Compositions!AW130="Water",Compositions!AW130="Carbon Monoxide",Compositions!AW130="Nitrogen",Compositions!AW130="Oxygen",Compositions!AW130="Hydrogen Sulfide",Compositions!AW130="Argon",Compositions!AW130="Carbon Dioxide",Compositions!AW130="Methane",Compositions!AW130="Ethane"),0,(PX65/100))))</f>
        <v/>
      </c>
      <c r="QI65" s="39" t="str">
        <f>IF(PX65="","",(IF(OR($QH$78=0,$QH$78=""),0,     ((VLOOKUP(Compositions!AW130,'HHV-LHV-MW'!$A$3:$F$40,6,FALSE))*(QH65/$QH$78)))))</f>
        <v/>
      </c>
      <c r="QK65" s="27" t="str">
        <f>IF(Compositions!BD130="","",IF(Compositions!$BD$118="mol%",Compositions!BD130,QL65))</f>
        <v/>
      </c>
      <c r="QL65" s="27" t="str">
        <f t="shared" si="60"/>
        <v/>
      </c>
      <c r="QM65" s="27" t="str">
        <f>IF(Compositions!BD130="","",(Compositions!BD130/(VLOOKUP(Compositions!BC130,'HHV-LHV-MW'!$A$3:$F$40,6,FALSE))))</f>
        <v/>
      </c>
      <c r="QN65" s="185" t="str">
        <f>IF(QK65="","",((VLOOKUP(Compositions!BC130,'HHV-LHV-MW'!$A$3:$F$40,4,FALSE))*(QK65/100)))</f>
        <v/>
      </c>
      <c r="QO65" s="185" t="str">
        <f>IF(QK65="","",((VLOOKUP(Compositions!BC130,'HHV-LHV-MW'!$A$3:$F$40,5,FALSE))*(QK65/100)))</f>
        <v/>
      </c>
      <c r="QP65" s="185" t="str">
        <f>IF(QK65="","",((VLOOKUP(Compositions!BC130,'HHV-LHV-MW'!$A$3:$F$40,6,FALSE))*(QK65/100)))</f>
        <v/>
      </c>
      <c r="QQ65" s="185" t="str">
        <f>IF(Compositions!BD130="","",(Compositions!BD130*(VLOOKUP(Compositions!BC130,'HHV-LHV-MW'!$A$3:$F$40,6,FALSE))))</f>
        <v/>
      </c>
      <c r="QR65" s="298" t="str">
        <f>IF(Compositions!BD130="","",IF(OR(Compositions!$BD$118="wt%",Compositions!$BD$118=""),Compositions!BD130,(IF(QQ65="","",((QQ65/$QQ$78)*100)))))</f>
        <v/>
      </c>
      <c r="QS65" s="185" t="str">
        <f>IF(QR65="","",(IF(OR(Compositions!BC130="Hydrogen",Compositions!BC130="Helium",Compositions!BC130="Water",Compositions!BC130="Carbon Monoxide",Compositions!BC130="Nitrogen",Compositions!BC130="Oxygen",Compositions!BC130="Hydrogen Sulfide",Compositions!BC130="Argon",Compositions!BC130="Carbon Dioxide",Compositions!BC130="Carbon Disulfide"),0,QR65)))</f>
        <v/>
      </c>
      <c r="QT65" s="187" t="str">
        <f>IF(Compositions!BD130="","",((QK65/100)*((VLOOKUP(Compositions!BC130,'HHV-LHV-MW'!$A$3:$G$40,7,FALSE)))))</f>
        <v/>
      </c>
      <c r="QU65" s="187" t="str">
        <f>IF(QK65="","",(IF(OR(Compositions!BC130="Hydrogen",Compositions!BC130="Carbon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Dioxide",Compositions!BC130="Methane",Compositions!BC130="Ethane"),0,(QK65/100))))</f>
        <v/>
      </c>
      <c r="QV65" s="205" t="str">
        <f>IF(QK65="","",(IF(OR($QU$78=0,$QU$78=""),0,     ((VLOOKUP(Compositions!BC130,'HHV-LHV-MW'!$A$3:$F$40,6,FALSE))*(QU65/$QU$78)))))</f>
        <v/>
      </c>
      <c r="QW65" s="28" t="str">
        <f>IF(Compositions!BE130="","",IF(Compositions!$BE$118="mol%",Compositions!BE130,QX65))</f>
        <v/>
      </c>
      <c r="QX65" s="28" t="str">
        <f t="shared" si="61"/>
        <v/>
      </c>
      <c r="QY65" s="28" t="str">
        <f>IF(Compositions!BE130="","",(Compositions!BE130/(VLOOKUP(Compositions!BC130,'HHV-LHV-MW'!$A$3:$F$40,6,FALSE))))</f>
        <v/>
      </c>
      <c r="QZ65" s="184" t="str">
        <f>IF(QW65="","",((VLOOKUP(Compositions!BC130,'HHV-LHV-MW'!$A$3:$F$40,4,FALSE))*(QW65/100)))</f>
        <v/>
      </c>
      <c r="RA65" s="184" t="str">
        <f>IF(QW65="","",((VLOOKUP(Compositions!BC130,'HHV-LHV-MW'!$A$3:$F$40,5,FALSE))*(QW65/100)))</f>
        <v/>
      </c>
      <c r="RB65" s="184" t="str">
        <f>IF(QW65="","",((VLOOKUP(Compositions!BC130,'HHV-LHV-MW'!$A$3:$F$40,6,FALSE))*(QW65/100)))</f>
        <v/>
      </c>
      <c r="RC65" s="184" t="str">
        <f>IF(Compositions!BE130="","",(Compositions!BE130*(VLOOKUP(Compositions!BC130,'HHV-LHV-MW'!$A$3:$F$40,6,FALSE))))</f>
        <v/>
      </c>
      <c r="RD65" s="297" t="str">
        <f>IF(Compositions!BE130="","",IF(OR(Compositions!$BE$118="wt%",Compositions!$BE$118=""),Compositions!BE130,(IF(RC65="","",((RC65/$RC$78)*100)))))</f>
        <v/>
      </c>
      <c r="RE65" s="39" t="str">
        <f>IF(RD65="","",(IF(OR(Compositions!BC130="Hydrogen",Compositions!BC130="Helium",Compositions!BC130="Water",Compositions!BC130="Carbon Monoxide",Compositions!BC130="Nitrogen",Compositions!BC130="Oxygen",Compositions!BC130="Hydrogen Sulfide",Compositions!BC130="Argon",Compositions!BC130="Carbon Dioxide",Compositions!BC130="Carbon Disulfide"),0,RD65)))</f>
        <v/>
      </c>
      <c r="RF65" s="186" t="str">
        <f>IF(Compositions!BE130="","",((QW65/100)*((VLOOKUP(Compositions!BC130,'HHV-LHV-MW'!$A$3:$G$40,7,FALSE)))))</f>
        <v/>
      </c>
      <c r="RG65" s="186" t="str">
        <f>IF(QW65="","",(IF(OR(Compositions!BC130="Hydrogen",Compositions!BC130="Carbon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Dioxide",Compositions!BC130="Methane",Compositions!BC130="Ethane"),0,(QW65/100))))</f>
        <v/>
      </c>
      <c r="RH65" s="39" t="str">
        <f>IF(QW65="","",(IF(OR($RG$78=0,$RG$78=""),0,     ((VLOOKUP(Compositions!BC130,'HHV-LHV-MW'!$A$3:$F$40,6,FALSE))*(RG65/$RG$78)))))</f>
        <v/>
      </c>
      <c r="RI65" s="27" t="str">
        <f>IF(Compositions!BF130="","",IF(Compositions!$BF$118="mol%",Compositions!BF130,RJ65))</f>
        <v/>
      </c>
      <c r="RJ65" s="27" t="str">
        <f t="shared" si="62"/>
        <v/>
      </c>
      <c r="RK65" s="27" t="str">
        <f>IF(Compositions!BF130="","",(Compositions!BF130/(VLOOKUP(Compositions!BC130,'HHV-LHV-MW'!$A$3:$F$40,6,FALSE))))</f>
        <v/>
      </c>
      <c r="RL65" s="185" t="str">
        <f>IF(RI65="","",((VLOOKUP(Compositions!BC130,'HHV-LHV-MW'!$A$3:$F$40,4,FALSE))*(RI65/100)))</f>
        <v/>
      </c>
      <c r="RM65" s="185" t="str">
        <f>IF(RI65="","",((VLOOKUP(Compositions!BC130,'HHV-LHV-MW'!$A$3:$F$40,5,FALSE))*(RI65/100)))</f>
        <v/>
      </c>
      <c r="RN65" s="185" t="str">
        <f>IF(RI65="","",((VLOOKUP(Compositions!BC130,'HHV-LHV-MW'!$A$3:$F$40,6,FALSE))*(RI65/100)))</f>
        <v/>
      </c>
      <c r="RO65" s="185" t="str">
        <f>IF(Compositions!BF130="","",(Compositions!BF130*(VLOOKUP(Compositions!BC130,'HHV-LHV-MW'!$A$3:$F$40,6,FALSE))))</f>
        <v/>
      </c>
      <c r="RP65" s="298" t="str">
        <f>IF(Compositions!BF130="","",IF(OR(Compositions!$BF$118="wt%",Compositions!$BF$118=""),Compositions!BF130,(IF(RO65="","",((RO65/$RO$78)*100)))))</f>
        <v/>
      </c>
      <c r="RQ65" s="185" t="str">
        <f>IF(RP65="","",(IF(OR(Compositions!BC130="Hydrogen",Compositions!BC130="Helium",Compositions!BC130="Water",Compositions!BC130="Carbon Monoxide",Compositions!BC130="Nitrogen",Compositions!BC130="Oxygen",Compositions!BC130="Hydrogen Sulfide",Compositions!BC130="Argon",Compositions!BC130="Carbon Dioxide",Compositions!BC130="Carbon Disulfide"),0,RP65)))</f>
        <v/>
      </c>
      <c r="RR65" s="187" t="str">
        <f>IF(Compositions!BF130="","",((RI65/100)*((VLOOKUP(Compositions!BC130,'HHV-LHV-MW'!$A$3:$G$40,7,FALSE)))))</f>
        <v/>
      </c>
      <c r="RS65" s="187" t="str">
        <f>IF(RI65="","",(IF(OR(Compositions!BC130="Hydrogen",Compositions!BC130="Carbon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Dioxide",Compositions!BC130="Methane",Compositions!BC130="Ethane"),0,(RI65/100))))</f>
        <v/>
      </c>
      <c r="RT65" s="205" t="str">
        <f>IF(RI65="","",(IF(OR($RS$78=0,$RS$78=""),0,     ((VLOOKUP(Compositions!BC130,'HHV-LHV-MW'!$A$3:$F$40,6,FALSE))*(RS65/$RS$78)))))</f>
        <v/>
      </c>
      <c r="RU65" s="28" t="str">
        <f>IF(Compositions!BG130="","",IF(Compositions!$BG$118="mol%",Compositions!BG130,RV65))</f>
        <v/>
      </c>
      <c r="RV65" s="28" t="str">
        <f t="shared" si="63"/>
        <v/>
      </c>
      <c r="RW65" s="28" t="str">
        <f>IF(Compositions!BG130="","",(Compositions!BG130/(VLOOKUP(Compositions!BC130,'HHV-LHV-MW'!$A$3:$F$40,6,FALSE))))</f>
        <v/>
      </c>
      <c r="RX65" s="184" t="str">
        <f>IF(RU65="","",((VLOOKUP(Compositions!BC130,'HHV-LHV-MW'!$A$3:$F$40,4,FALSE))*(RU65/100)))</f>
        <v/>
      </c>
      <c r="RY65" s="184" t="str">
        <f>IF(RU65="","",((VLOOKUP(Compositions!BC130,'HHV-LHV-MW'!$A$3:$F$40,5,FALSE))*(RU65/100)))</f>
        <v/>
      </c>
      <c r="RZ65" s="184" t="str">
        <f>IF(RU65="","",((VLOOKUP(Compositions!BC130,'HHV-LHV-MW'!$A$3:$F$40,6,FALSE))*(RU65/100)))</f>
        <v/>
      </c>
      <c r="SA65" s="184" t="str">
        <f>IF(Compositions!BG130="","",(Compositions!BG130*(VLOOKUP(Compositions!BC130,'HHV-LHV-MW'!$A$3:$F$40,6,FALSE))))</f>
        <v/>
      </c>
      <c r="SB65" s="297" t="str">
        <f>IF(Compositions!BG130="","",IF(OR(Compositions!$BG$118="wt%",Compositions!$BG$118=""),Compositions!BG130,(IF(SA65="","",((SA65/$SA$78)*100)))))</f>
        <v/>
      </c>
      <c r="SC65" s="39" t="str">
        <f>IF(SB65="","",(IF(OR(Compositions!BC130="Hydrogen",Compositions!BC130="Helium",Compositions!BC130="Water",Compositions!BC130="Carbon Monoxide",Compositions!BC130="Nitrogen",Compositions!BC130="Oxygen",Compositions!BC130="Hydrogen Sulfide",Compositions!BC130="Argon",Compositions!BC130="Carbon Dioxide",Compositions!BC130="Carbon Disulfide"),0,SB65)))</f>
        <v/>
      </c>
      <c r="SD65" s="186" t="str">
        <f>IF(Compositions!BG130="","",((RU65/100)*((VLOOKUP(Compositions!BC130,'HHV-LHV-MW'!$A$3:$G$40,7,FALSE)))))</f>
        <v/>
      </c>
      <c r="SE65" s="186" t="str">
        <f>IF(RU65="","",(IF(OR(Compositions!BC130="Hydrogen",Compositions!BC130="Carbon Disulfide",Compositions!BC130="Helium",Compositions!BC130="Water",Compositions!BC130="Carbon Monoxide",Compositions!BC130="Nitrogen",Compositions!BC130="Oxygen",Compositions!BC130="Hydrogen Sulfide",Compositions!BC130="Argon",Compositions!BC130="Carbon Dioxide",Compositions!BC130="Methane",Compositions!BC130="Ethane"),0,(RU65/100))))</f>
        <v/>
      </c>
      <c r="SF65" s="39" t="str">
        <f>IF(RU65="","",(IF(OR($SE$78=0,$SE$78=""),0,     ((VLOOKUP(Compositions!BC130,'HHV-LHV-MW'!$A$3:$F$40,6,FALSE))*(SE65/$SE$78)))))</f>
        <v/>
      </c>
    </row>
    <row r="66" spans="1:500" ht="15.6">
      <c r="A66" s="173" t="s">
        <v>197</v>
      </c>
      <c r="B66" s="19" t="s">
        <v>196</v>
      </c>
      <c r="C66" s="20">
        <v>8</v>
      </c>
      <c r="D66" s="20">
        <v>5.5179999999999998</v>
      </c>
      <c r="E66" s="20">
        <v>5.1162000000000001</v>
      </c>
      <c r="F66" s="20">
        <v>114.23092</v>
      </c>
      <c r="G66" s="20">
        <v>0</v>
      </c>
      <c r="H66" s="170"/>
      <c r="I66" s="170"/>
      <c r="J66" s="40"/>
      <c r="K66" s="27" t="str">
        <f>IF(Compositions!B131="","",IF(Compositions!$B$118="mol%",Compositions!B131,L66))</f>
        <v/>
      </c>
      <c r="L66" s="27" t="str">
        <f t="shared" si="25"/>
        <v/>
      </c>
      <c r="M66" s="27" t="str">
        <f>IF(Compositions!B131="","",(Compositions!B131/(VLOOKUP(Compositions!A131,'HHV-LHV-MW'!$A$3:$F$40,6,FALSE))))</f>
        <v/>
      </c>
      <c r="N66" s="25" t="str">
        <f>IF(K66="","",((VLOOKUP(Compositions!A131,'HHV-LHV-MW'!$A$3:$F$40,4,FALSE))*(K66/100)))</f>
        <v/>
      </c>
      <c r="O66" s="25" t="str">
        <f>IF(K66="","",((VLOOKUP(Compositions!A131,'HHV-LHV-MW'!$A$3:$F$40,5,FALSE))*(K66/100)))</f>
        <v/>
      </c>
      <c r="P66" s="25" t="str">
        <f>IF(K66="","",((VLOOKUP(Compositions!A131,'HHV-LHV-MW'!$A$3:$F$40,6,FALSE))*(K66/100)))</f>
        <v/>
      </c>
      <c r="Q66" s="25" t="str">
        <f>IF(Compositions!B131="","",(Compositions!B131*(VLOOKUP(Compositions!A131,'HHV-LHV-MW'!$A$3:$F$40,6,FALSE))))</f>
        <v/>
      </c>
      <c r="R66" s="188" t="str">
        <f>IF(Compositions!B131="","",IF(OR(Compositions!$B$118="wt%",Compositions!$B$118=""),Compositions!B131,(IF(Q66="","",((Q66/$Q$78)*100)))))</f>
        <v/>
      </c>
      <c r="S66" s="185" t="str">
        <f>IF(R66="","",(IF(OR(Compositions!A131="Hydrogen",Compositions!A131="Helium",Compositions!A131="Water",Compositions!A131="Carbon Monoxide",Compositions!A131="Nitrogen",Compositions!A131="Oxygen",Compositions!A131="Hydrogen Sulfide",Compositions!A131="Argon",Compositions!A131="Carbon Dioxide",Compositions!A131="Carbon Disulfide"),0,R66)))</f>
        <v/>
      </c>
      <c r="T66" s="169" t="str">
        <f>IF(Compositions!B131="","",((K66/100)*((VLOOKUP(Compositions!A131,'HHV-LHV-MW'!$A$3:$G$40,7,FALSE)))))</f>
        <v/>
      </c>
      <c r="U66" s="187" t="str">
        <f>IF(K66="","",(IF(OR(Compositions!A131="Hydrogen",Compositions!A131="Carbon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Dioxide",Compositions!A131="Methane",Compositions!A131="Ethane"),0,(K66/100))))</f>
        <v/>
      </c>
      <c r="V66" s="188" t="str">
        <f>IF(K66="","", (IF(OR($U$78=0,$U$78=""),0,((VLOOKUP(Compositions!A131,'HHV-LHV-MW'!$A$3:$F$40,6,FALSE))*(U66/$U$78))   ))   )</f>
        <v/>
      </c>
      <c r="W66" s="28" t="str">
        <f>IF(Compositions!C131="","",IF(Compositions!$C$118="mol%",Compositions!C131,X66))</f>
        <v/>
      </c>
      <c r="X66" s="28" t="str">
        <f t="shared" si="26"/>
        <v/>
      </c>
      <c r="Y66" s="28" t="str">
        <f>IF(Compositions!C131="","",(Compositions!C131/(VLOOKUP(Compositions!A131,'HHV-LHV-MW'!$A$3:$F$40,6,FALSE))))</f>
        <v/>
      </c>
      <c r="Z66" s="26" t="str">
        <f>IF(W66="","",((VLOOKUP(Compositions!A131,'HHV-LHV-MW'!$A$3:$F$40,4,FALSE))*(W66/100)))</f>
        <v/>
      </c>
      <c r="AA66" s="26" t="str">
        <f>IF(W66="","",((VLOOKUP(Compositions!A131,'HHV-LHV-MW'!$A$3:$F$40,5,FALSE))*(W66/100)))</f>
        <v/>
      </c>
      <c r="AB66" s="26" t="str">
        <f>IF(W66="","",((VLOOKUP(Compositions!A131,'HHV-LHV-MW'!$A$3:$F$40,6,FALSE))*(W66/100)))</f>
        <v/>
      </c>
      <c r="AC66" s="26" t="str">
        <f>IF(Compositions!C131="","",(Compositions!C131*(VLOOKUP(Compositions!A131,'HHV-LHV-MW'!$A$3:$F$40,6,FALSE))))</f>
        <v/>
      </c>
      <c r="AD66" s="296" t="str">
        <f>IF(Compositions!C131="","",IF(OR(Compositions!$C$118="wt%",Compositions!$C$118=""),Compositions!C131,(IF(AC66="","",((AC66/$AC$78)*100)))))</f>
        <v/>
      </c>
      <c r="AE66" s="39" t="str">
        <f>IF(AD66="","",(IF(OR(Compositions!A131="Hydrogen",Compositions!A131="Helium",Compositions!A131="Water",Compositions!A131="Carbon Monoxide",Compositions!A131="Nitrogen",Compositions!A131="Oxygen",Compositions!A131="Hydrogen Sulfide",Compositions!A131="Argon",Compositions!A131="Carbon Dioxide",Compositions!A131="Carbon Disulfide"),0,AD66)))</f>
        <v/>
      </c>
      <c r="AF66" s="186" t="str">
        <f>IF(Compositions!C131="","",((W66/100)*((VLOOKUP(Compositions!A131,'HHV-LHV-MW'!$A$3:$G$40,7,FALSE)))))</f>
        <v/>
      </c>
      <c r="AG66" s="186" t="str">
        <f>IF(W66="","",(IF(OR(Compositions!A131="Hydrogen",Compositions!A131="Carbon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Dioxide",Compositions!A131="Methane",Compositions!A131="Ethane"),0,(W66/100))))</f>
        <v/>
      </c>
      <c r="AH66" s="39" t="str">
        <f>IF(W66="","", (IF(OR($AG$78=0,$AG$78=""),0,   ((VLOOKUP(Compositions!A131,'HHV-LHV-MW'!$A$3:$F$40,6,FALSE))*(AG66/$AG$78)))))</f>
        <v/>
      </c>
      <c r="AI66" s="27" t="str">
        <f>IF(Compositions!D131="","",IF(Compositions!$D$118="mol%",Compositions!D131,AJ66))</f>
        <v/>
      </c>
      <c r="AJ66" s="27" t="str">
        <f t="shared" si="27"/>
        <v/>
      </c>
      <c r="AK66" s="27" t="str">
        <f>IF(Compositions!D131="","",(Compositions!D131/(VLOOKUP(Compositions!A131,'HHV-LHV-MW'!$A$3:$F$40,6,FALSE))))</f>
        <v/>
      </c>
      <c r="AL66" s="25" t="str">
        <f>IF(AI66="","",((VLOOKUP(Compositions!A131,'HHV-LHV-MW'!$A$3:$F$40,4,FALSE))*(AI66/100)))</f>
        <v/>
      </c>
      <c r="AM66" s="25" t="str">
        <f>IF(AI66="","",((VLOOKUP(Compositions!A131,'HHV-LHV-MW'!$A$3:$F$40,5,FALSE))*(AI66/100)))</f>
        <v/>
      </c>
      <c r="AN66" s="25" t="str">
        <f>IF(AI66="","",((VLOOKUP(Compositions!A131,'HHV-LHV-MW'!$A$3:$F$40,6,FALSE))*(AI66/100)))</f>
        <v/>
      </c>
      <c r="AO66" s="25" t="str">
        <f>IF(Compositions!D131="","",(Compositions!D131*(VLOOKUP(Compositions!A131,'HHV-LHV-MW'!$A$3:$F$40,6,FALSE))))</f>
        <v/>
      </c>
      <c r="AP66" s="295" t="str">
        <f>IF(Compositions!D131="","",IF(OR(Compositions!$D$118="wt%",Compositions!$D$118=""),Compositions!D131,(IF(AO66="","",((AO66/$AO$78)*100)))))</f>
        <v/>
      </c>
      <c r="AQ66" s="185" t="str">
        <f>IF(AP66="","",(IF(OR(Compositions!A131="Hydrogen",Compositions!A131="Helium",Compositions!A131="Water",Compositions!A131="Carbon Monoxide",Compositions!A131="Nitrogen",Compositions!A131="Oxygen",Compositions!A131="Hydrogen Sulfide",Compositions!A131="Argon",Compositions!A131="Carbon Dioxide",Compositions!A131="Carbon Disulfide"),0,AP66)))</f>
        <v/>
      </c>
      <c r="AR66" s="187" t="str">
        <f>IF(Compositions!D131="","",((AI66/100)*((VLOOKUP(Compositions!A131,'HHV-LHV-MW'!$A$3:$G$40,7,FALSE)))))</f>
        <v/>
      </c>
      <c r="AS66" s="187" t="str">
        <f>IF(AI66="","",(IF(OR(Compositions!A131="Hydrogen",Compositions!A131="Carbon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Dioxide",Compositions!A131="Methane",Compositions!A131="Ethane"),0,(AI66/100))))</f>
        <v/>
      </c>
      <c r="AT66" s="205" t="str">
        <f>IF(AI66="","",(IF(OR($AS$78=0,$AS$78=""),0,      ((VLOOKUP(Compositions!A131,'HHV-LHV-MW'!$A$3:$F$40,6,FALSE))*(AS66/$AS$78)))))</f>
        <v/>
      </c>
      <c r="AU66" s="28" t="str">
        <f>IF(Compositions!E131="","",IF(Compositions!$E$118="mol%",Compositions!E131,AV66))</f>
        <v/>
      </c>
      <c r="AV66" s="28" t="str">
        <f t="shared" si="28"/>
        <v/>
      </c>
      <c r="AW66" s="28" t="str">
        <f>IF(Compositions!E131="","",(Compositions!E131/(VLOOKUP(Compositions!A131,'HHV-LHV-MW'!$A$3:$F$40,6,FALSE))))</f>
        <v/>
      </c>
      <c r="AX66" s="26" t="str">
        <f>IF(AU66="","",((VLOOKUP(Compositions!A131,'HHV-LHV-MW'!$A$3:$F$40,4,FALSE))*(AU66/100)))</f>
        <v/>
      </c>
      <c r="AY66" s="26" t="str">
        <f>IF(AU66="","",((VLOOKUP(Compositions!A131,'HHV-LHV-MW'!$A$3:$F$40,5,FALSE))*(AU66/100)))</f>
        <v/>
      </c>
      <c r="AZ66" s="26" t="str">
        <f>IF(AU66="","",((VLOOKUP(Compositions!A131,'HHV-LHV-MW'!$A$3:$F$40,6,FALSE))*(AU66/100)))</f>
        <v/>
      </c>
      <c r="BA66" s="26" t="str">
        <f>IF(Compositions!E131="","",(Compositions!E131*(VLOOKUP(Compositions!A131,'HHV-LHV-MW'!$A$3:$F$40,6,FALSE))))</f>
        <v/>
      </c>
      <c r="BB66" s="296" t="str">
        <f>IF(Compositions!E131="","",IF(OR(Compositions!$E$118="wt%",Compositions!$E$118=""),Compositions!E131,(IF(BA66="","",((BA66/$BA$78)*100)))))</f>
        <v/>
      </c>
      <c r="BC66" s="39" t="str">
        <f>IF(BB66="","",(IF(OR(Compositions!A131="Hydrogen",Compositions!A131="Helium",Compositions!A131="Water",Compositions!A131="Carbon Monoxide",Compositions!A131="Nitrogen",Compositions!A131="Oxygen",Compositions!A131="Hydrogen Sulfide",Compositions!A131="Argon",Compositions!A131="Carbon Dioxide",Compositions!A131="Carbon Disulfide"),0,BB66)))</f>
        <v/>
      </c>
      <c r="BD66" s="186" t="str">
        <f>IF(Compositions!E131="","",((AU66/100)*((VLOOKUP(Compositions!A131,'HHV-LHV-MW'!$A$3:$G$40,7,FALSE)))))</f>
        <v/>
      </c>
      <c r="BE66" s="186" t="str">
        <f>IF(AU66="","",(IF(OR(Compositions!A131="Hydrogen",Compositions!A131="Carbon Disulfide",Compositions!A131="Helium",Compositions!A131="Water",Compositions!A131="Carbon Monoxide",Compositions!A131="Nitrogen",Compositions!A131="Oxygen",Compositions!A131="Hydrogen Sulfide",Compositions!A131="Argon",Compositions!A131="Carbon Dioxide",Compositions!A131="Methane",Compositions!A131="Ethane"),0,(AU66/100))))</f>
        <v/>
      </c>
      <c r="BF66" s="39" t="str">
        <f>IF(AU66="","",(IF(OR($BE$78=0,$BE$78=""),0,     ((VLOOKUP(Compositions!A131,'HHV-LHV-MW'!$A$3:$F$40,6,FALSE))*(BE66/$BE$78)))))</f>
        <v/>
      </c>
      <c r="BH66" s="27" t="str">
        <f>IF(Compositions!H131="","",IF(Compositions!$H$118="mol%",Compositions!H131,BI66))</f>
        <v/>
      </c>
      <c r="BI66" s="27" t="str">
        <f t="shared" si="29"/>
        <v/>
      </c>
      <c r="BJ66" s="27" t="str">
        <f>IF(Compositions!H131="","",(Compositions!H131/(VLOOKUP(Compositions!G131,'HHV-LHV-MW'!$A$3:$F$40,6,FALSE))))</f>
        <v/>
      </c>
      <c r="BK66" s="25" t="str">
        <f>IF(BH66="","",((VLOOKUP(Compositions!G131,'HHV-LHV-MW'!$A$3:$F$40,4,FALSE))*(BH66/100)))</f>
        <v/>
      </c>
      <c r="BL66" s="25" t="str">
        <f>IF(BH66="","",((VLOOKUP(Compositions!G131,'HHV-LHV-MW'!$A$3:$F$40,5,FALSE))*(BH66/100)))</f>
        <v/>
      </c>
      <c r="BM66" s="25" t="str">
        <f>IF(BH66="","",((VLOOKUP(Compositions!G131,'HHV-LHV-MW'!$A$3:$F$40,6,FALSE))*(BH66/100)))</f>
        <v/>
      </c>
      <c r="BN66" s="25" t="str">
        <f>IF(Compositions!H131="","",(Compositions!H131*(VLOOKUP(Compositions!G131,'HHV-LHV-MW'!$A$3:$F$40,6,FALSE))))</f>
        <v/>
      </c>
      <c r="BO66" s="295" t="str">
        <f>IF(Compositions!H131="","",IF(OR(Compositions!$H$118="wt%",Compositions!$H$118=""),Compositions!H131,(IF(BN66="","",((BN66/$BN$78)*100)))))</f>
        <v/>
      </c>
      <c r="BP66" s="185" t="str">
        <f>IF(BO66="","",(IF(OR(Compositions!G131="Hydrogen",Compositions!G131="Helium",Compositions!G131="Water",Compositions!G131="Carbon Monoxide",Compositions!G131="Nitrogen",Compositions!G131="Oxygen",Compositions!G131="Hydrogen Sulfide",Compositions!G131="Argon",Compositions!G131="Carbon Dioxide",Compositions!G131="Carbon Disulfide"),0,BO66)))</f>
        <v/>
      </c>
      <c r="BQ66" s="187" t="str">
        <f>IF(Compositions!H131="","",((BH66/100)*((VLOOKUP(Compositions!G131,'HHV-LHV-MW'!$A$3:$G$40,7,FALSE)))))</f>
        <v/>
      </c>
      <c r="BR66" s="187" t="str">
        <f>IF(BH66="","",(IF(OR(Compositions!G131="Hydrogen",Compositions!G131="Carbon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Dioxide",Compositions!G131="Methane",Compositions!G131="Ethane"),0,(BH66/100))))</f>
        <v/>
      </c>
      <c r="BS66" s="205" t="str">
        <f>IF(BH66="","",(IF(OR($BR$78=0,$BR$78=""),0,    ((VLOOKUP(Compositions!G131,'HHV-LHV-MW'!$A$3:$F$40,6,FALSE))*(BR66/$BR$78)))))</f>
        <v/>
      </c>
      <c r="BT66" s="28" t="str">
        <f>IF(Compositions!I131="","",IF(Compositions!$I$118="mol%",Compositions!I131,BU66))</f>
        <v/>
      </c>
      <c r="BU66" s="28" t="str">
        <f t="shared" si="30"/>
        <v/>
      </c>
      <c r="BV66" s="28" t="str">
        <f>IF(Compositions!I131="","",(Compositions!I131/(VLOOKUP(Compositions!G131,'HHV-LHV-MW'!$A$3:$F$40,6,FALSE))))</f>
        <v/>
      </c>
      <c r="BW66" s="26" t="str">
        <f>IF(BT66="","",((VLOOKUP(Compositions!G131,'HHV-LHV-MW'!$A$3:$F$40,4,FALSE))*(BT66/100)))</f>
        <v/>
      </c>
      <c r="BX66" s="26" t="str">
        <f>IF(BT66="","",((VLOOKUP(Compositions!G131,'HHV-LHV-MW'!$A$3:$F$40,5,FALSE))*(BT66/100)))</f>
        <v/>
      </c>
      <c r="BY66" s="26" t="str">
        <f>IF(BT66="","",((VLOOKUP(Compositions!G131,'HHV-LHV-MW'!$A$3:$F$40,6,FALSE))*(BT66/100)))</f>
        <v/>
      </c>
      <c r="BZ66" s="26" t="str">
        <f>IF(Compositions!I131="","",(Compositions!I131*(VLOOKUP(Compositions!G131,'HHV-LHV-MW'!$A$3:$F$40,6,FALSE))))</f>
        <v/>
      </c>
      <c r="CA66" s="296" t="str">
        <f>IF(Compositions!I131="","",IF(OR(Compositions!$I$118="wt%",Compositions!$I$118=""),Compositions!I131,(IF(BZ66="","",((BZ66/$BZ$78)*100)))))</f>
        <v/>
      </c>
      <c r="CB66" s="39" t="str">
        <f>IF(CA66="","",(IF(OR(Compositions!G131="Hydrogen",Compositions!G131="Helium",Compositions!G131="Water",Compositions!G131="Carbon Monoxide",Compositions!G131="Nitrogen",Compositions!G131="Oxygen",Compositions!G131="Hydrogen Sulfide",Compositions!G131="Argon",Compositions!G131="Carbon Dioxide",Compositions!G131="Carbon Disulfide"),0,CA66)))</f>
        <v/>
      </c>
      <c r="CC66" s="186" t="str">
        <f>IF(Compositions!I131="","",((BT66/100)*((VLOOKUP(Compositions!G131,'HHV-LHV-MW'!$A$3:$G$40,7,FALSE)))))</f>
        <v/>
      </c>
      <c r="CD66" s="186" t="str">
        <f>IF(BT66="","",(IF(OR(Compositions!G131="Hydrogen",Compositions!G131="Carbon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Dioxide",Compositions!G131="Methane",Compositions!G131="Ethane"),0,(BT66/100))))</f>
        <v/>
      </c>
      <c r="CE66" s="39" t="str">
        <f>IF(BT66="","",(IF(OR($CD$78=0,$CD$78=""),0,       ((VLOOKUP(Compositions!G131,'HHV-LHV-MW'!$A$3:$F$40,6,FALSE))*(CD66/$CD$78)))))</f>
        <v/>
      </c>
      <c r="CF66" s="27" t="str">
        <f>IF(Compositions!J131="","",IF(Compositions!$J$118="mol%",Compositions!J131,CG66))</f>
        <v/>
      </c>
      <c r="CG66" s="27" t="str">
        <f t="shared" si="31"/>
        <v/>
      </c>
      <c r="CH66" s="27" t="str">
        <f>IF(Compositions!J131="","",(Compositions!J131/(VLOOKUP(Compositions!G131,'HHV-LHV-MW'!$A$3:$F$40,6,FALSE))))</f>
        <v/>
      </c>
      <c r="CI66" s="25" t="str">
        <f>IF(CF66="","",((VLOOKUP(Compositions!G131,'HHV-LHV-MW'!$A$3:$F$40,4,FALSE))*(CF66/100)))</f>
        <v/>
      </c>
      <c r="CJ66" s="25" t="str">
        <f>IF(CF66="","",((VLOOKUP(Compositions!G131,'HHV-LHV-MW'!$A$3:$F$40,5,FALSE))*(CF66/100)))</f>
        <v/>
      </c>
      <c r="CK66" s="25" t="str">
        <f>IF(CF66="","",((VLOOKUP(Compositions!G131,'HHV-LHV-MW'!$A$3:$F$40,6,FALSE))*(CF66/100)))</f>
        <v/>
      </c>
      <c r="CL66" s="25" t="str">
        <f>IF(Compositions!J131="","",(Compositions!J131*(VLOOKUP(Compositions!G131,'HHV-LHV-MW'!$A$3:$F$40,6,FALSE))))</f>
        <v/>
      </c>
      <c r="CM66" s="295" t="str">
        <f>IF(Compositions!J131="","",IF(OR(Compositions!$J$118="wt%",Compositions!$J$118=""),Compositions!J131,(IF(CL66="","",((CL66/$CL$78)*100)))))</f>
        <v/>
      </c>
      <c r="CN66" s="185" t="str">
        <f>IF(CM66="","",(IF(OR(Compositions!G131="Hydrogen",Compositions!G131="Helium",Compositions!G131="Water",Compositions!G131="Carbon Monoxide",Compositions!G131="Nitrogen",Compositions!G131="Oxygen",Compositions!G131="Hydrogen Sulfide",Compositions!G131="Argon",Compositions!G131="Carbon Dioxide",Compositions!G131="Carbon Disulfide"),0,CM66)))</f>
        <v/>
      </c>
      <c r="CO66" s="187" t="str">
        <f>IF(Compositions!J131="","",((CF66/100)*((VLOOKUP(Compositions!G131,'HHV-LHV-MW'!$A$3:$G$40,7,FALSE)))))</f>
        <v/>
      </c>
      <c r="CP66" s="187" t="str">
        <f>IF(CF66="","",(IF(OR(Compositions!G131="Hydrogen",Compositions!G131="Carbon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Dioxide",Compositions!G131="Methane",Compositions!G131="Ethane"),0,(CF66/100))))</f>
        <v/>
      </c>
      <c r="CQ66" s="205" t="str">
        <f>IF(CF66="","",(IF(OR($CP$78=0,$CP$78=""),0,       ((VLOOKUP(Compositions!G131,'HHV-LHV-MW'!$A$3:$F$40,6,FALSE))*(CP66/$CP$78)))))</f>
        <v/>
      </c>
      <c r="CR66" s="28" t="str">
        <f>IF(Compositions!K131="","",IF(Compositions!$K$118="mol%",Compositions!K131,CS66))</f>
        <v/>
      </c>
      <c r="CS66" s="28" t="str">
        <f t="shared" si="32"/>
        <v/>
      </c>
      <c r="CT66" s="28" t="str">
        <f>IF(Compositions!K131="","",(Compositions!K131/(VLOOKUP(Compositions!G131,'HHV-LHV-MW'!$A$3:$F$40,6,FALSE))))</f>
        <v/>
      </c>
      <c r="CU66" s="26" t="str">
        <f>IF(CR66="","",((VLOOKUP(Compositions!G131,'HHV-LHV-MW'!$A$3:$F$40,4,FALSE))*(CR66/100)))</f>
        <v/>
      </c>
      <c r="CV66" s="26" t="str">
        <f>IF(CR66="","",((VLOOKUP(Compositions!G131,'HHV-LHV-MW'!$A$3:$F$40,5,FALSE))*(CR66/100)))</f>
        <v/>
      </c>
      <c r="CW66" s="26" t="str">
        <f>IF(CR66="","",((VLOOKUP(Compositions!G131,'HHV-LHV-MW'!$A$3:$F$40,6,FALSE))*(CR66/100)))</f>
        <v/>
      </c>
      <c r="CX66" s="26" t="str">
        <f>IF(Compositions!K131="","",(Compositions!K131*(VLOOKUP(Compositions!G131,'HHV-LHV-MW'!$A$3:$F$40,6,FALSE))))</f>
        <v/>
      </c>
      <c r="CY66" s="296" t="str">
        <f>IF(Compositions!K131="","",IF(OR(Compositions!$K$118="wt%",Compositions!$K$118=""),Compositions!K131,(IF(CX66="","",((CX66/$CX$78)*100)))))</f>
        <v/>
      </c>
      <c r="CZ66" s="39" t="str">
        <f>IF(CY66="","",(IF(OR(Compositions!G131="Hydrogen",Compositions!G131="Helium",Compositions!G131="Water",Compositions!G131="Carbon Monoxide",Compositions!G131="Nitrogen",Compositions!G131="Oxygen",Compositions!G131="Hydrogen Sulfide",Compositions!G131="Argon",Compositions!G131="Carbon Dioxide",Compositions!G131="Carbon Disulfide"),0,CY66)))</f>
        <v/>
      </c>
      <c r="DA66" s="186" t="str">
        <f>IF(Compositions!K131="","",((CR66/100)*((VLOOKUP(Compositions!G131,'HHV-LHV-MW'!$A$3:$G$40,7,FALSE)))))</f>
        <v/>
      </c>
      <c r="DB66" s="186" t="str">
        <f>IF(CR66="","",(IF(OR(Compositions!G131="Hydrogen",Compositions!G131="Carbon Disulfide",Compositions!G131="Helium",Compositions!G131="Water",Compositions!G131="Carbon Monoxide",Compositions!G131="Nitrogen",Compositions!G131="Oxygen",Compositions!G131="Hydrogen Sulfide",Compositions!G131="Argon",Compositions!G131="Carbon Dioxide",Compositions!G131="Methane",Compositions!G131="Ethane"),0,(CR66/100))))</f>
        <v/>
      </c>
      <c r="DC66" s="39" t="str">
        <f>IF(CR66="","",(IF(OR($DB$78=0,$DB$78=""),0,       ((VLOOKUP(Compositions!G131,'HHV-LHV-MW'!$A$3:$F$40,6,FALSE))*(DB66/$DB$78)))))</f>
        <v/>
      </c>
      <c r="DE66" s="27" t="str">
        <f>IF(Compositions!N131="","",IF(Compositions!$N$118="mol%",Compositions!N131,DF66))</f>
        <v/>
      </c>
      <c r="DF66" s="27" t="str">
        <f t="shared" si="33"/>
        <v/>
      </c>
      <c r="DG66" s="27" t="str">
        <f>IF(Compositions!N131="","",(Compositions!N131/(VLOOKUP(Compositions!M131,'HHV-LHV-MW'!$A$3:$F$40,6,FALSE))))</f>
        <v/>
      </c>
      <c r="DH66" s="25" t="str">
        <f>IF(DE66="","",((VLOOKUP(Compositions!M131,'HHV-LHV-MW'!$A$3:$F$40,4,FALSE))*(DE66/100)))</f>
        <v/>
      </c>
      <c r="DI66" s="25" t="str">
        <f>IF(DE66="","",((VLOOKUP(Compositions!M131,'HHV-LHV-MW'!$A$3:$F$40,5,FALSE))*(DE66/100)))</f>
        <v/>
      </c>
      <c r="DJ66" s="25" t="str">
        <f>IF(DE66="","",((VLOOKUP(Compositions!M131,'HHV-LHV-MW'!$A$3:$F$40,6,FALSE))*(DE66/100)))</f>
        <v/>
      </c>
      <c r="DK66" s="25" t="str">
        <f>IF(Compositions!N131="","",(Compositions!N131*(VLOOKUP(Compositions!M131,'HHV-LHV-MW'!$A$3:$F$40,6,FALSE))))</f>
        <v/>
      </c>
      <c r="DL66" s="295" t="str">
        <f>IF(Compositions!N131="","",IF(OR(Compositions!$N$118="wt%",Compositions!$N$118=""),Compositions!N131,(IF(DK66="","",((DK66/$DK$78)*100)))))</f>
        <v/>
      </c>
      <c r="DM66" s="185" t="str">
        <f>IF(DL66="","",(IF(OR(Compositions!M131="Hydrogen",Compositions!M131="Helium",Compositions!M131="Water",Compositions!M131="Carbon Monoxide",Compositions!M131="Nitrogen",Compositions!M131="Oxygen",Compositions!M131="Hydrogen Sulfide",Compositions!M131="Argon",Compositions!M131="Carbon Dioxide",Compositions!M131="Carbon Disulfide"),0,DL66)))</f>
        <v/>
      </c>
      <c r="DN66" s="187" t="str">
        <f>IF(Compositions!N131="","",((DE66/100)*((VLOOKUP(Compositions!M131,'HHV-LHV-MW'!$A$3:$G$40,7,FALSE)))))</f>
        <v/>
      </c>
      <c r="DO66" s="187" t="str">
        <f>IF(DE66="","",(IF(OR(Compositions!M131="Hydrogen",Compositions!M131="Carbon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Dioxide",Compositions!M131="Methane",Compositions!M131="Ethane"),0,(DE66/100))))</f>
        <v/>
      </c>
      <c r="DP66" s="205" t="str">
        <f>IF(DE66="","",(IF(OR($DO$78=0,$DO$78=""),0,       ((VLOOKUP(Compositions!M131,'HHV-LHV-MW'!$A$3:$F$40,6,FALSE))*(DO66/$DO$78)))))</f>
        <v/>
      </c>
      <c r="DQ66" s="28" t="str">
        <f>IF(Compositions!O131="","",IF(Compositions!$O$118="mol%",Compositions!O131,DR66))</f>
        <v/>
      </c>
      <c r="DR66" s="28" t="str">
        <f t="shared" si="34"/>
        <v/>
      </c>
      <c r="DS66" s="28" t="str">
        <f>IF(Compositions!O131="","",(Compositions!O131/(VLOOKUP(Compositions!M131,'HHV-LHV-MW'!$A$3:$F$40,6,FALSE))))</f>
        <v/>
      </c>
      <c r="DT66" s="26" t="str">
        <f>IF(DQ66="","",((VLOOKUP(Compositions!M131,'HHV-LHV-MW'!$A$3:$F$40,4,FALSE))*(DQ66/100)))</f>
        <v/>
      </c>
      <c r="DU66" s="26" t="str">
        <f>IF(DQ66="","",((VLOOKUP(Compositions!M131,'HHV-LHV-MW'!$A$3:$F$40,5,FALSE))*(DQ66/100)))</f>
        <v/>
      </c>
      <c r="DV66" s="26" t="str">
        <f>IF(DQ66="","",((VLOOKUP(Compositions!M131,'HHV-LHV-MW'!$A$3:$F$40,6,FALSE))*(DQ66/100)))</f>
        <v/>
      </c>
      <c r="DW66" s="26" t="str">
        <f>IF(Compositions!O131="","",(Compositions!O131*(VLOOKUP(Compositions!M131,'HHV-LHV-MW'!$A$3:$F$40,6,FALSE))))</f>
        <v/>
      </c>
      <c r="DX66" s="296" t="str">
        <f>IF(Compositions!O131="","",IF(OR(Compositions!$O$118="wt%",Compositions!$O$118=""),Compositions!O131,(IF(DW66="","",((DW66/$DW$78)*100)))))</f>
        <v/>
      </c>
      <c r="DY66" s="39" t="str">
        <f>IF(DX66="","",(IF(OR(Compositions!M131="Hydrogen",Compositions!M131="Helium",Compositions!M131="Water",Compositions!M131="Carbon Monoxide",Compositions!M131="Nitrogen",Compositions!M131="Oxygen",Compositions!M131="Hydrogen Sulfide",Compositions!M131="Argon",Compositions!M131="Carbon Dioxide",Compositions!M131="Carbon Disulfide"),0,DX66)))</f>
        <v/>
      </c>
      <c r="DZ66" s="186" t="str">
        <f>IF(Compositions!O131="","",((DQ66/100)*((VLOOKUP(Compositions!M131,'HHV-LHV-MW'!$A$3:$G$40,7,FALSE)))))</f>
        <v/>
      </c>
      <c r="EA66" s="186" t="str">
        <f>IF(DQ66="","",(IF(OR(Compositions!M131="Hydrogen",Compositions!M131="Carbon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Dioxide",Compositions!M131="Methane",Compositions!M131="Ethane"),0,(DQ66/100))))</f>
        <v/>
      </c>
      <c r="EB66" s="39" t="str">
        <f>IF(DQ66="","",(IF(OR($EA$78=0,$EA$78=""),0,       ((VLOOKUP(Compositions!M131,'HHV-LHV-MW'!$A$3:$F$40,6,FALSE))*(EA66/$EA$78)))))</f>
        <v/>
      </c>
      <c r="EC66" s="27" t="str">
        <f>IF(Compositions!P131="","",IF(Compositions!$P$118="mol%",Compositions!P131,ED66))</f>
        <v/>
      </c>
      <c r="ED66" s="27" t="str">
        <f t="shared" si="35"/>
        <v/>
      </c>
      <c r="EE66" s="27" t="str">
        <f>IF(Compositions!P131="","",(Compositions!P131/(VLOOKUP(Compositions!M131,'HHV-LHV-MW'!$A$3:$F$40,6,FALSE))))</f>
        <v/>
      </c>
      <c r="EF66" s="25" t="str">
        <f>IF(EC66="","",((VLOOKUP(Compositions!M131,'HHV-LHV-MW'!$A$3:$F$40,4,FALSE))*(EC66/100)))</f>
        <v/>
      </c>
      <c r="EG66" s="25" t="str">
        <f>IF(EC66="","",((VLOOKUP(Compositions!M131,'HHV-LHV-MW'!$A$3:$F$40,5,FALSE))*(EC66/100)))</f>
        <v/>
      </c>
      <c r="EH66" s="25" t="str">
        <f>IF(EC66="","",((VLOOKUP(Compositions!M131,'HHV-LHV-MW'!$A$3:$F$40,6,FALSE))*(EC66/100)))</f>
        <v/>
      </c>
      <c r="EI66" s="25" t="str">
        <f>IF(Compositions!P131="","",(Compositions!P131*(VLOOKUP(Compositions!M131,'HHV-LHV-MW'!$A$3:$F$40,6,FALSE))))</f>
        <v/>
      </c>
      <c r="EJ66" s="295" t="str">
        <f>IF(Compositions!P131="","",IF(OR(Compositions!$P$118="wt%",Compositions!$P$118=""),Compositions!P131,(IF(EI66="","",((EI66/$EI$78)*100)))))</f>
        <v/>
      </c>
      <c r="EK66" s="185" t="str">
        <f>IF(EJ66="","",(IF(OR(Compositions!M131="Hydrogen",Compositions!M131="Helium",Compositions!M131="Water",Compositions!M131="Carbon Monoxide",Compositions!M131="Nitrogen",Compositions!M131="Oxygen",Compositions!M131="Hydrogen Sulfide",Compositions!M131="Argon",Compositions!M131="Carbon Dioxide",Compositions!M131="Carbon Disulfide"),0,EJ66)))</f>
        <v/>
      </c>
      <c r="EL66" s="187" t="str">
        <f>IF(Compositions!P131="","",((EC66/100)*((VLOOKUP(Compositions!M131,'HHV-LHV-MW'!$A$3:$G$40,7,FALSE)))))</f>
        <v/>
      </c>
      <c r="EM66" s="187" t="str">
        <f>IF(EC66="","",(IF(OR(Compositions!M131="Hydrogen",Compositions!M131="Carbon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Dioxide",Compositions!M131="Methane",Compositions!M131="Ethane"),0,(EC66/100))))</f>
        <v/>
      </c>
      <c r="EN66" s="205" t="str">
        <f>IF(EC66="","",(IF(OR($EM$78=0,$EM$78=""),0,       ((VLOOKUP(Compositions!M131,'HHV-LHV-MW'!$A$3:$F$40,6,FALSE))*(EM66/$EM$78)))))</f>
        <v/>
      </c>
      <c r="EO66" s="28" t="str">
        <f>IF(Compositions!Q131="","",IF(Compositions!$Q$118="mol%",Compositions!Q131,EP66))</f>
        <v/>
      </c>
      <c r="EP66" s="28" t="str">
        <f t="shared" si="36"/>
        <v/>
      </c>
      <c r="EQ66" s="28" t="str">
        <f>IF(Compositions!Q131="","",(Compositions!Q131/(VLOOKUP(Compositions!M131,'HHV-LHV-MW'!$A$3:$F$40,6,FALSE))))</f>
        <v/>
      </c>
      <c r="ER66" s="26" t="str">
        <f>IF(EO66="","",((VLOOKUP(Compositions!M131,'HHV-LHV-MW'!$A$3:$F$40,4,FALSE))*(EO66/100)))</f>
        <v/>
      </c>
      <c r="ES66" s="26" t="str">
        <f>IF(EO66="","",((VLOOKUP(Compositions!M131,'HHV-LHV-MW'!$A$3:$F$40,5,FALSE))*(EO66/100)))</f>
        <v/>
      </c>
      <c r="ET66" s="26" t="str">
        <f>IF(EO66="","",((VLOOKUP(Compositions!M131,'HHV-LHV-MW'!$A$3:$F$40,6,FALSE))*(EO66/100)))</f>
        <v/>
      </c>
      <c r="EU66" s="26" t="str">
        <f>IF(Compositions!Q131="","",(Compositions!Q131*(VLOOKUP(Compositions!M131,'HHV-LHV-MW'!$A$3:$F$40,6,FALSE))))</f>
        <v/>
      </c>
      <c r="EV66" s="296" t="str">
        <f>IF(Compositions!Q131="","",IF(OR(Compositions!$Q$118="wt%",Compositions!$Q$118=""),Compositions!Q131,(IF(EU66="","",((EU66/$EU$78)*100)))))</f>
        <v/>
      </c>
      <c r="EW66" s="39" t="str">
        <f>IF(EV66="","",(IF(OR(Compositions!M131="Hydrogen",Compositions!M131="Helium",Compositions!M131="Water",Compositions!M131="Carbon Monoxide",Compositions!M131="Nitrogen",Compositions!M131="Oxygen",Compositions!M131="Hydrogen Sulfide",Compositions!M131="Argon",Compositions!M131="Carbon Dioxide",Compositions!M131="Carbon Disulfide"),0,EV66)))</f>
        <v/>
      </c>
      <c r="EX66" s="186" t="str">
        <f>IF(Compositions!Q131="","",((EO66/100)*((VLOOKUP(Compositions!M131,'HHV-LHV-MW'!$A$3:$G$40,7,FALSE)))))</f>
        <v/>
      </c>
      <c r="EY66" s="186" t="str">
        <f>IF(EO66="","",(IF(OR(Compositions!M131="Hydrogen",Compositions!M131="Carbon Disulfide",Compositions!M131="Helium",Compositions!M131="Water",Compositions!M131="Carbon Monoxide",Compositions!M131="Nitrogen",Compositions!M131="Oxygen",Compositions!M131="Hydrogen Sulfide",Compositions!M131="Argon",Compositions!M131="Carbon Dioxide",Compositions!M131="Methane",Compositions!M131="Ethane"),0,(EO66/100))))</f>
        <v/>
      </c>
      <c r="EZ66" s="39" t="str">
        <f>IF(EO66="","",(IF(OR($EY$78=0,$EY$78=""),0,       ((VLOOKUP(Compositions!M131,'HHV-LHV-MW'!$A$3:$F$40,6,FALSE))*(EY66/$EY$78)))))</f>
        <v/>
      </c>
      <c r="FB66" s="27" t="str">
        <f>IF(Compositions!T131="","",IF(Compositions!$T$118="mol%",Compositions!T131,FC66))</f>
        <v/>
      </c>
      <c r="FC66" s="27" t="str">
        <f t="shared" si="37"/>
        <v/>
      </c>
      <c r="FD66" s="27" t="str">
        <f>IF(Compositions!T131="","",(Compositions!T131/(VLOOKUP(Compositions!S131,'HHV-LHV-MW'!$A$3:$F$40,6,FALSE))))</f>
        <v/>
      </c>
      <c r="FE66" s="25" t="str">
        <f>IF(FB66="","",((VLOOKUP(Compositions!S131,'HHV-LHV-MW'!$A$3:$F$40,4,FALSE))*(FB66/100)))</f>
        <v/>
      </c>
      <c r="FF66" s="25" t="str">
        <f>IF(FB66="","",((VLOOKUP(Compositions!S131,'HHV-LHV-MW'!$A$3:$F$40,5,FALSE))*(FB66/100)))</f>
        <v/>
      </c>
      <c r="FG66" s="25" t="str">
        <f>IF(FB66="","",((VLOOKUP(Compositions!S131,'HHV-LHV-MW'!$A$3:$F$40,6,FALSE))*(FB66/100)))</f>
        <v/>
      </c>
      <c r="FH66" s="25" t="str">
        <f>IF(Compositions!T131="","",(Compositions!T131*(VLOOKUP(Compositions!S131,'HHV-LHV-MW'!$A$3:$F$40,6,FALSE))))</f>
        <v/>
      </c>
      <c r="FI66" s="295" t="str">
        <f>IF(Compositions!T131="","",IF(OR(Compositions!$T$118="wt%",Compositions!$T$118=""),Compositions!T131,(IF(FH66="","",((FH66/$FH$78)*100)))))</f>
        <v/>
      </c>
      <c r="FJ66" s="185" t="str">
        <f>IF(FI66="","",(IF(OR(Compositions!S131="Hydrogen",Compositions!S131="Helium",Compositions!S131="Water",Compositions!S131="Carbon Monoxide",Compositions!S131="Nitrogen",Compositions!S131="Oxygen",Compositions!S131="Hydrogen Sulfide",Compositions!S131="Argon",Compositions!S131="Carbon Dioxide",Compositions!S131="Carbon Disulfide"),0,FI66)))</f>
        <v/>
      </c>
      <c r="FK66" s="187" t="str">
        <f>IF(Compositions!T131="","",((FB66/100)*((VLOOKUP(Compositions!S131,'HHV-LHV-MW'!$A$3:$G$40,7,FALSE)))))</f>
        <v/>
      </c>
      <c r="FL66" s="187" t="str">
        <f>IF(FB66="","",(IF(OR(Compositions!S131="Hydrogen",Compositions!S131="Carbon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Dioxide",Compositions!S131="Methane",Compositions!S131="Ethane"),0,(FB66/100))))</f>
        <v/>
      </c>
      <c r="FM66" s="205" t="str">
        <f>IF(FB66="","",(IF(OR($FL$78=0,$FL$78=""),0,       ((VLOOKUP(Compositions!S131,'HHV-LHV-MW'!$A$3:$F$40,6,FALSE))*(FL66/$FL$78)))))</f>
        <v/>
      </c>
      <c r="FN66" s="28" t="str">
        <f>IF(Compositions!U131="","",IF(Compositions!$U$118="mol%",Compositions!U131,FO66))</f>
        <v/>
      </c>
      <c r="FO66" s="28" t="str">
        <f t="shared" si="38"/>
        <v/>
      </c>
      <c r="FP66" s="28" t="str">
        <f>IF(Compositions!U131="","",(Compositions!U131/(VLOOKUP(Compositions!S131,'HHV-LHV-MW'!$A$3:$F$40,6,FALSE))))</f>
        <v/>
      </c>
      <c r="FQ66" s="26" t="str">
        <f>IF(FN66="","",((VLOOKUP(Compositions!S131,'HHV-LHV-MW'!$A$3:$F$40,4,FALSE))*(FN66/100)))</f>
        <v/>
      </c>
      <c r="FR66" s="26" t="str">
        <f>IF(FN66="","",((VLOOKUP(Compositions!S131,'HHV-LHV-MW'!$A$3:$F$40,5,FALSE))*(FN66/100)))</f>
        <v/>
      </c>
      <c r="FS66" s="26" t="str">
        <f>IF(FN66="","",((VLOOKUP(Compositions!S131,'HHV-LHV-MW'!$A$3:$F$40,6,FALSE))*(FN66/100)))</f>
        <v/>
      </c>
      <c r="FT66" s="26" t="str">
        <f>IF(Compositions!U131="","",(Compositions!U131*(VLOOKUP(Compositions!S131,'HHV-LHV-MW'!$A$3:$F$40,6,FALSE))))</f>
        <v/>
      </c>
      <c r="FU66" s="296" t="str">
        <f>IF(Compositions!U131="","",IF(OR(Compositions!$U$118="wt%",Compositions!$U$118=""),Compositions!U131,(IF(FT66="","",((FT66/$FT$78)*100)))))</f>
        <v/>
      </c>
      <c r="FV66" s="39" t="str">
        <f>IF(FU66="","",(IF(OR(Compositions!S131="Hydrogen",Compositions!S131="Helium",Compositions!S131="Water",Compositions!S131="Carbon Monoxide",Compositions!S131="Nitrogen",Compositions!S131="Oxygen",Compositions!S131="Hydrogen Sulfide",Compositions!S131="Argon",Compositions!S131="Carbon Dioxide",Compositions!S131="Carbon Disulfide"),0,FU66)))</f>
        <v/>
      </c>
      <c r="FW66" s="186" t="str">
        <f>IF(Compositions!U131="","",((FN66/100)*((VLOOKUP(Compositions!S131,'HHV-LHV-MW'!$A$3:$G$40,7,FALSE)))))</f>
        <v/>
      </c>
      <c r="FX66" s="186" t="str">
        <f>IF(FN66="","",(IF(OR(Compositions!S131="Hydrogen",Compositions!S131="Carbon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Dioxide",Compositions!S131="Methane",Compositions!S131="Ethane"),0,(FN66/100))))</f>
        <v/>
      </c>
      <c r="FY66" s="39" t="str">
        <f>IF(FN66="","",(IF(OR($FX$78=0,$FX$78=""),0,       ((VLOOKUP(Compositions!S131,'HHV-LHV-MW'!$A$3:$F$40,6,FALSE))*(FX66/$FX$78)))))</f>
        <v/>
      </c>
      <c r="FZ66" s="27" t="str">
        <f>IF(Compositions!V131="","",IF(Compositions!$V$118="mol%",Compositions!V131,GA66))</f>
        <v/>
      </c>
      <c r="GA66" s="27" t="str">
        <f t="shared" si="39"/>
        <v/>
      </c>
      <c r="GB66" s="27" t="str">
        <f>IF(Compositions!V131="","",(Compositions!V131/(VLOOKUP(Compositions!S131,'HHV-LHV-MW'!$A$3:$F$40,6,FALSE))))</f>
        <v/>
      </c>
      <c r="GC66" s="25" t="str">
        <f>IF(FZ66="","",((VLOOKUP(Compositions!S131,'HHV-LHV-MW'!$A$3:$F$40,4,FALSE))*(FZ66/100)))</f>
        <v/>
      </c>
      <c r="GD66" s="25" t="str">
        <f>IF(FZ66="","",((VLOOKUP(Compositions!S131,'HHV-LHV-MW'!$A$3:$F$40,5,FALSE))*(FZ66/100)))</f>
        <v/>
      </c>
      <c r="GE66" s="25" t="str">
        <f>IF(FZ66="","",((VLOOKUP(Compositions!S131,'HHV-LHV-MW'!$A$3:$F$40,6,FALSE))*(FZ66/100)))</f>
        <v/>
      </c>
      <c r="GF66" s="25" t="str">
        <f>IF(Compositions!V131="","",(Compositions!V131*(VLOOKUP(Compositions!S131,'HHV-LHV-MW'!$A$3:$F$40,6,FALSE))))</f>
        <v/>
      </c>
      <c r="GG66" s="295" t="str">
        <f>IF(Compositions!V131="","",IF(OR(Compositions!$V$118="wt%",Compositions!$V$118=""),Compositions!V131,(IF(GF66="","",((GF66/$GF$78)*100)))))</f>
        <v/>
      </c>
      <c r="GH66" s="185" t="str">
        <f>IF(GG66="","",(IF(OR(Compositions!S131="Hydrogen",Compositions!S131="Helium",Compositions!S131="Water",Compositions!S131="Carbon Monoxide",Compositions!S131="Nitrogen",Compositions!S131="Oxygen",Compositions!S131="Hydrogen Sulfide",Compositions!S131="Argon",Compositions!S131="Carbon Dioxide",Compositions!S131="Carbon Disulfide"),0,GG66)))</f>
        <v/>
      </c>
      <c r="GI66" s="187" t="str">
        <f>IF(Compositions!V131="","",((FZ66/100)*((VLOOKUP(Compositions!S131,'HHV-LHV-MW'!$A$3:$G$40,7,FALSE)))))</f>
        <v/>
      </c>
      <c r="GJ66" s="187" t="str">
        <f>IF(FZ66="","",(IF(OR(Compositions!S131="Hydrogen",Compositions!S131="Carbon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Dioxide",Compositions!S131="Methane",Compositions!S131="Ethane"),0,(FZ66/100))))</f>
        <v/>
      </c>
      <c r="GK66" s="205" t="str">
        <f>IF(FZ66="","",(IF(OR($GJ$78=0,$GJ$78=""),0,       ((VLOOKUP(Compositions!S131,'HHV-LHV-MW'!$A$3:$F$40,6,FALSE))*(GJ66/$GJ$78)))))</f>
        <v/>
      </c>
      <c r="GL66" s="28" t="str">
        <f>IF(Compositions!W131="","",IF(Compositions!$W$118="mol%",Compositions!W131,GM66))</f>
        <v/>
      </c>
      <c r="GM66" s="28" t="str">
        <f t="shared" si="40"/>
        <v/>
      </c>
      <c r="GN66" s="28" t="str">
        <f>IF(Compositions!W131="","",(Compositions!W131/(VLOOKUP(Compositions!S131,'HHV-LHV-MW'!$A$3:$F$40,6,FALSE))))</f>
        <v/>
      </c>
      <c r="GO66" s="26" t="str">
        <f>IF(GL66="","",((VLOOKUP(Compositions!S131,'HHV-LHV-MW'!$A$3:$F$40,4,FALSE))*(GL66/100)))</f>
        <v/>
      </c>
      <c r="GP66" s="26" t="str">
        <f>IF(GL66="","",((VLOOKUP(Compositions!S131,'HHV-LHV-MW'!$A$3:$F$40,5,FALSE))*(GL66/100)))</f>
        <v/>
      </c>
      <c r="GQ66" s="26" t="str">
        <f>IF(GL66="","",((VLOOKUP(Compositions!S131,'HHV-LHV-MW'!$A$3:$F$40,6,FALSE))*(GL66/100)))</f>
        <v/>
      </c>
      <c r="GR66" s="26" t="str">
        <f>IF(Compositions!W131="","",(Compositions!W131*(VLOOKUP(Compositions!S131,'HHV-LHV-MW'!$A$3:$F$40,6,FALSE))))</f>
        <v/>
      </c>
      <c r="GS66" s="296" t="str">
        <f>IF(Compositions!W131="","",IF(OR(Compositions!$W$118="wt%",Compositions!$W$118=""),Compositions!W131,(IF(GR66="","",((GR66/$GR$78)*100)))))</f>
        <v/>
      </c>
      <c r="GT66" s="39" t="str">
        <f>IF(GS66="","",(IF(OR(Compositions!S131="Hydrogen",Compositions!S131="Helium",Compositions!S131="Water",Compositions!S131="Carbon Monoxide",Compositions!S131="Nitrogen",Compositions!S131="Oxygen",Compositions!S131="Hydrogen Sulfide",Compositions!S131="Argon",Compositions!S131="Carbon Dioxide",Compositions!S131="Carbon Disulfide"),0,GS66)))</f>
        <v/>
      </c>
      <c r="GU66" s="186" t="str">
        <f>IF(Compositions!W131="","",((GL66/100)*((VLOOKUP(Compositions!S131,'HHV-LHV-MW'!$A$3:$G$40,7,FALSE)))))</f>
        <v/>
      </c>
      <c r="GV66" s="186" t="str">
        <f>IF(GL66="","",(IF(OR(Compositions!S131="Hydrogen",Compositions!S131="Carbon Disulfide",Compositions!S131="Helium",Compositions!S131="Water",Compositions!S131="Carbon Monoxide",Compositions!S131="Nitrogen",Compositions!S131="Oxygen",Compositions!S131="Hydrogen Sulfide",Compositions!S131="Argon",Compositions!S131="Carbon Dioxide",Compositions!S131="Methane",Compositions!S131="Ethane"),0,(GL66/100))))</f>
        <v/>
      </c>
      <c r="GW66" s="39" t="str">
        <f>IF(GL66="","",(IF(OR($GV$78=0,$GV$78=""),0,       ((VLOOKUP(Compositions!S131,'HHV-LHV-MW'!$A$3:$F$40,6,FALSE))*(GV66/$GV$78)))))</f>
        <v/>
      </c>
      <c r="GY66" s="27" t="str">
        <f>IF(Compositions!Z131="","",IF(Compositions!$Z$118="mol%",Compositions!Z131,GZ66))</f>
        <v/>
      </c>
      <c r="GZ66" s="27" t="str">
        <f t="shared" si="41"/>
        <v/>
      </c>
      <c r="HA66" s="27" t="str">
        <f>IF(Compositions!Z131="","",(Compositions!Z131/(VLOOKUP(Compositions!Y131,'HHV-LHV-MW'!$A$3:$F$40,6,FALSE))))</f>
        <v/>
      </c>
      <c r="HB66" s="25" t="str">
        <f>IF(GY66="","",((VLOOKUP(Compositions!Y131,'HHV-LHV-MW'!$A$3:$F$40,4,FALSE))*(GY66/100)))</f>
        <v/>
      </c>
      <c r="HC66" s="25" t="str">
        <f>IF(GY66="","",((VLOOKUP(Compositions!Y131,'HHV-LHV-MW'!$A$3:$F$40,5,FALSE))*(GY66/100)))</f>
        <v/>
      </c>
      <c r="HD66" s="25" t="str">
        <f>IF(GY66="","",((VLOOKUP(Compositions!Y131,'HHV-LHV-MW'!$A$3:$F$40,6,FALSE))*(GY66/100)))</f>
        <v/>
      </c>
      <c r="HE66" s="25" t="str">
        <f>IF(Compositions!Z131="","",(Compositions!Z131*(VLOOKUP(Compositions!Y131,'HHV-LHV-MW'!$A$3:$F$40,6,FALSE))))</f>
        <v/>
      </c>
      <c r="HF66" s="295" t="str">
        <f>IF(Compositions!Z131="","",IF(OR(Compositions!$Z$118="wt%",Compositions!$Z$118=""),Compositions!Z131,(IF(HE66="","",((HE66/$HE$78)*100)))))</f>
        <v/>
      </c>
      <c r="HG66" s="185" t="str">
        <f>IF(HF66="","",(IF(OR(Compositions!Y131="Hydrogen",Compositions!Y131="Helium",Compositions!Y131="Water",Compositions!Y131="Carbon Monoxide",Compositions!Y131="Nitrogen",Compositions!Y131="Oxygen",Compositions!Y131="Hydrogen Sulfide",Compositions!Y131="Argon",Compositions!Y131="Carbon Dioxide",Compositions!Y131="Carbon Disulfide"),0,HF66)))</f>
        <v/>
      </c>
      <c r="HH66" s="187" t="str">
        <f>IF(Compositions!Z131="","",((GY66/100)*((VLOOKUP(Compositions!Y131,'HHV-LHV-MW'!$A$3:$G$40,7,FALSE)))))</f>
        <v/>
      </c>
      <c r="HI66" s="187" t="str">
        <f>IF(GY66="","",(IF(OR(Compositions!Y131="Hydrogen",Compositions!Y131="Carbon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Dioxide",Compositions!Y131="Methane",Compositions!Y131="Ethane"),0,(GY66/100))))</f>
        <v/>
      </c>
      <c r="HJ66" s="205" t="str">
        <f>IF(GY66="","",(IF(OR($HI$78=0,$HI$78=""),0,       ((VLOOKUP(Compositions!Y131,'HHV-LHV-MW'!$A$3:$F$40,6,FALSE))*(HI66/$HI$78)))))</f>
        <v/>
      </c>
      <c r="HK66" s="28" t="str">
        <f>IF(Compositions!AA131="","",IF(Compositions!$AA$118="mol%",Compositions!AA131,HL66))</f>
        <v/>
      </c>
      <c r="HL66" s="28" t="str">
        <f t="shared" si="42"/>
        <v/>
      </c>
      <c r="HM66" s="28" t="str">
        <f>IF(Compositions!AA131="","",(Compositions!AA131/(VLOOKUP(Compositions!Y131,'HHV-LHV-MW'!$A$3:$F$40,6,FALSE))))</f>
        <v/>
      </c>
      <c r="HN66" s="26" t="str">
        <f>IF(HK66="","",((VLOOKUP(Compositions!Y131,'HHV-LHV-MW'!$A$3:$F$40,4,FALSE))*(HK66/100)))</f>
        <v/>
      </c>
      <c r="HO66" s="26" t="str">
        <f>IF(HK66="","",((VLOOKUP(Compositions!Y131,'HHV-LHV-MW'!$A$3:$F$40,5,FALSE))*(HK66/100)))</f>
        <v/>
      </c>
      <c r="HP66" s="26" t="str">
        <f>IF(HK66="","",((VLOOKUP(Compositions!Y131,'HHV-LHV-MW'!$A$3:$F$40,6,FALSE))*(HK66/100)))</f>
        <v/>
      </c>
      <c r="HQ66" s="26" t="str">
        <f>IF(Compositions!AA131="","",(Compositions!AA131*(VLOOKUP(Compositions!Y131,'HHV-LHV-MW'!$A$3:$F$40,6,FALSE))))</f>
        <v/>
      </c>
      <c r="HR66" s="296" t="str">
        <f>IF(Compositions!AA131="","",IF(OR(Compositions!$AA$118="wt%",Compositions!$AA$118=""),Compositions!AA131,(IF(HQ66="","",((HQ66/$HQ$78)*100)))))</f>
        <v/>
      </c>
      <c r="HS66" s="39" t="str">
        <f>IF(HR66="","",(IF(OR(Compositions!Y131="Hydrogen",Compositions!Y131="Helium",Compositions!Y131="Water",Compositions!Y131="Carbon Monoxide",Compositions!Y131="Nitrogen",Compositions!Y131="Oxygen",Compositions!Y131="Hydrogen Sulfide",Compositions!Y131="Argon",Compositions!Y131="Carbon Dioxide",Compositions!Y131="Carbon Disulfide"),0,HR66)))</f>
        <v/>
      </c>
      <c r="HT66" s="186" t="str">
        <f>IF(Compositions!AA131="","",((HK66/100)*((VLOOKUP(Compositions!Y131,'HHV-LHV-MW'!$A$3:$G$40,7,FALSE)))))</f>
        <v/>
      </c>
      <c r="HU66" s="186" t="str">
        <f>IF(HK66="","",(IF(OR(Compositions!Y131="Hydrogen",Compositions!Y131="Carbon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Dioxide",Compositions!Y131="Methane",Compositions!Y131="Ethane"),0,(HK66/100))))</f>
        <v/>
      </c>
      <c r="HV66" s="39" t="str">
        <f>IF(HK66="","",(IF(OR($HU$78=0,$HU$78=""),0,       ((VLOOKUP(Compositions!Y131,'HHV-LHV-MW'!$A$3:$F$40,6,FALSE))*(HU66/$HU$78)))))</f>
        <v/>
      </c>
      <c r="HW66" s="27" t="str">
        <f>IF(Compositions!AB131="","",IF(Compositions!$AB$118="mol%",Compositions!AB131,HX66))</f>
        <v/>
      </c>
      <c r="HX66" s="27" t="str">
        <f t="shared" si="43"/>
        <v/>
      </c>
      <c r="HY66" s="27" t="str">
        <f>IF(Compositions!AB131="","",(Compositions!AB131/(VLOOKUP(Compositions!Y131,'HHV-LHV-MW'!$A$3:$F$40,6,FALSE))))</f>
        <v/>
      </c>
      <c r="HZ66" s="25" t="str">
        <f>IF(HW66="","",((VLOOKUP(Compositions!Y131,'HHV-LHV-MW'!$A$3:$F$40,4,FALSE))*(HW66/100)))</f>
        <v/>
      </c>
      <c r="IA66" s="25" t="str">
        <f>IF(HW66="","",((VLOOKUP(Compositions!Y131,'HHV-LHV-MW'!$A$3:$F$40,5,FALSE))*(HW66/100)))</f>
        <v/>
      </c>
      <c r="IB66" s="25" t="str">
        <f>IF(HW66="","",((VLOOKUP(Compositions!Y131,'HHV-LHV-MW'!$A$3:$F$40,6,FALSE))*(HW66/100)))</f>
        <v/>
      </c>
      <c r="IC66" s="25" t="str">
        <f>IF(Compositions!AB131="","",(Compositions!AB131*(VLOOKUP(Compositions!Y131,'HHV-LHV-MW'!$A$3:$F$40,6,FALSE))))</f>
        <v/>
      </c>
      <c r="ID66" s="295" t="str">
        <f>IF(Compositions!AB131="","",IF(OR(Compositions!$AB$118="wt%",Compositions!$AB$118=""),Compositions!AB131,(IF(IC66="","",((IC66/$IC$78)*100)))))</f>
        <v/>
      </c>
      <c r="IE66" s="185" t="str">
        <f>IF(ID66="","",(IF(OR(Compositions!Y131="Hydrogen",Compositions!Y131="Helium",Compositions!Y131="Water",Compositions!Y131="Carbon Monoxide",Compositions!Y131="Nitrogen",Compositions!Y131="Oxygen",Compositions!Y131="Hydrogen Sulfide",Compositions!Y131="Argon",Compositions!Y131="Carbon Dioxide",Compositions!Y131="Carbon Disulfide"),0,ID66)))</f>
        <v/>
      </c>
      <c r="IF66" s="187" t="str">
        <f>IF(Compositions!AB131="","",((HW66/100)*((VLOOKUP(Compositions!Y131,'HHV-LHV-MW'!$A$3:$G$40,7,FALSE)))))</f>
        <v/>
      </c>
      <c r="IG66" s="187" t="str">
        <f>IF(HW66="","",(IF(OR(Compositions!Y131="Hydrogen",Compositions!Y131="Carbon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Dioxide",Compositions!Y131="Methane",Compositions!Y131="Ethane"),0,(HW66/100))))</f>
        <v/>
      </c>
      <c r="IH66" s="205" t="str">
        <f>IF(HW66="","",(IF(OR($IG$78=0,$IG$78=""),0,       ((VLOOKUP(Compositions!Y131,'HHV-LHV-MW'!$A$3:$F$40,6,FALSE))*(IG66/$IG$78)))))</f>
        <v/>
      </c>
      <c r="II66" s="28" t="str">
        <f>IF(Compositions!AC131="","",IF(Compositions!$AC$118="mol%",Compositions!AC131,IJ66))</f>
        <v/>
      </c>
      <c r="IJ66" s="28" t="str">
        <f t="shared" si="44"/>
        <v/>
      </c>
      <c r="IK66" s="28" t="str">
        <f>IF(Compositions!AC131="","",(Compositions!AC131/(VLOOKUP(Compositions!Y131,'HHV-LHV-MW'!$A$3:$F$40,6,FALSE))))</f>
        <v/>
      </c>
      <c r="IL66" s="26" t="str">
        <f>IF(II66="","",((VLOOKUP(Compositions!Y131,'HHV-LHV-MW'!$A$3:$F$40,4,FALSE))*(II66/100)))</f>
        <v/>
      </c>
      <c r="IM66" s="26" t="str">
        <f>IF(II66="","",((VLOOKUP(Compositions!Y131,'HHV-LHV-MW'!$A$3:$F$40,5,FALSE))*(II66/100)))</f>
        <v/>
      </c>
      <c r="IN66" s="26" t="str">
        <f>IF(II66="","",((VLOOKUP(Compositions!Y131,'HHV-LHV-MW'!$A$3:$F$40,6,FALSE))*(II66/100)))</f>
        <v/>
      </c>
      <c r="IO66" s="26" t="str">
        <f>IF(Compositions!AC131="","",(Compositions!AC131*(VLOOKUP(Compositions!Y131,'HHV-LHV-MW'!$A$3:$F$40,6,FALSE))))</f>
        <v/>
      </c>
      <c r="IP66" s="296" t="str">
        <f>IF(Compositions!AC131="","",IF(OR(Compositions!$AC$118="wt%",Compositions!$AC$118=""),Compositions!AC131,(IF(IO66="","",((IO66/$IO$78)*100)))))</f>
        <v/>
      </c>
      <c r="IQ66" s="39" t="str">
        <f>IF(IP66="","",(IF(OR(Compositions!Y131="Hydrogen",Compositions!Y131="Helium",Compositions!Y131="Water",Compositions!Y131="Carbon Monoxide",Compositions!Y131="Nitrogen",Compositions!Y131="Oxygen",Compositions!Y131="Hydrogen Sulfide",Compositions!Y131="Argon",Compositions!Y131="Carbon Dioxide",Compositions!Y131="Carbon Disulfide"),0,IP66)))</f>
        <v/>
      </c>
      <c r="IR66" s="186" t="str">
        <f>IF(Compositions!AC131="","",((II66/100)*((VLOOKUP(Compositions!Y131,'HHV-LHV-MW'!$A$3:$G$40,7,FALSE)))))</f>
        <v/>
      </c>
      <c r="IS66" s="186" t="str">
        <f>IF(II66="","",(IF(OR(Compositions!Y131="Hydrogen",Compositions!Y131="Carbon Disulfide",Compositions!Y131="Helium",Compositions!Y131="Water",Compositions!Y131="Carbon Monoxide",Compositions!Y131="Nitrogen",Compositions!Y131="Oxygen",Compositions!Y131="Hydrogen Sulfide",Compositions!Y131="Argon",Compositions!Y131="Carbon Dioxide",Compositions!Y131="Methane",Compositions!Y131="Ethane"),0,(II66/100))))</f>
        <v/>
      </c>
      <c r="IT66" s="39" t="str">
        <f>IF(II66="","",(IF(OR($IS$78=0,$IS$78=""),0,      ((VLOOKUP(Compositions!Y131,'HHV-LHV-MW'!$A$3:$F$40,6,FALSE))*(IS66/$IS$78)))))</f>
        <v/>
      </c>
      <c r="IV66" s="27" t="str">
        <f>IF(Compositions!AF131="","",IF(Compositions!$AF$118="mol%",Compositions!AF131,IW66))</f>
        <v/>
      </c>
      <c r="IW66" s="27" t="str">
        <f t="shared" si="45"/>
        <v/>
      </c>
      <c r="IX66" s="27" t="str">
        <f>IF(Compositions!AF131="","",(Compositions!AF131/(VLOOKUP(Compositions!AE131,'HHV-LHV-MW'!$A$3:$F$40,6,FALSE))))</f>
        <v/>
      </c>
      <c r="IY66" s="25" t="str">
        <f>IF(IV66="","",((VLOOKUP(Compositions!AE131,'HHV-LHV-MW'!$A$3:$F$40,4,FALSE))*(IV66/100)))</f>
        <v/>
      </c>
      <c r="IZ66" s="25" t="str">
        <f>IF(IV66="","",((VLOOKUP(Compositions!AE131,'HHV-LHV-MW'!$A$3:$F$40,5,FALSE))*(IV66/100)))</f>
        <v/>
      </c>
      <c r="JA66" s="25" t="str">
        <f>IF(IV66="","",((VLOOKUP(Compositions!AE131,'HHV-LHV-MW'!$A$3:$F$40,6,FALSE))*(IV66/100)))</f>
        <v/>
      </c>
      <c r="JB66" s="25" t="str">
        <f>IF(Compositions!AF131="","",(Compositions!AF131*(VLOOKUP(Compositions!AE131,'HHV-LHV-MW'!$A$3:$F$40,6,FALSE))))</f>
        <v/>
      </c>
      <c r="JC66" s="298" t="str">
        <f>IF(Compositions!AF131="","",IF(OR(Compositions!$AF$118="wt%",Compositions!$AF$118=""),Compositions!AF131,(IF(JB66="","",((JB66/$JB$78)*100)))))</f>
        <v/>
      </c>
      <c r="JD66" s="185" t="str">
        <f>IF(JC66="","",(IF(OR(Compositions!AE131="Hydrogen",Compositions!AE131="Helium",Compositions!AE131="Water",Compositions!AE131="Carbon Monoxide",Compositions!AE131="Nitrogen",Compositions!AE131="Oxygen",Compositions!AE131="Hydrogen Sulfide",Compositions!AE131="Argon",Compositions!AE131="Carbon Dioxide",Compositions!AE131="Carbon Disulfide"),0,JC66)))</f>
        <v/>
      </c>
      <c r="JE66" s="187" t="str">
        <f>IF(Compositions!AF131="","",((IV66/100)*((VLOOKUP(Compositions!AE131,'HHV-LHV-MW'!$A$3:$G$40,7,FALSE)))))</f>
        <v/>
      </c>
      <c r="JF66" s="187" t="str">
        <f>IF(IV66="","",(IF(OR(Compositions!AE131="Hydrogen",Compositions!AE131="Carbon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Dioxide",Compositions!AE131="Methane",Compositions!AE131="Ethane"),0,(IV66/100))))</f>
        <v/>
      </c>
      <c r="JG66" s="205" t="str">
        <f>IF(IV66="","",(IF(OR($JF$78=0,$JF$78=""),0,      ((VLOOKUP(Compositions!AE131,'HHV-LHV-MW'!$A$3:$F$40,6,FALSE))*(JF66/$JF$78)))))</f>
        <v/>
      </c>
      <c r="JH66" s="28" t="str">
        <f>IF(Compositions!AG131="","",IF(Compositions!$AG$118="mol%",Compositions!AG131,JI66))</f>
        <v/>
      </c>
      <c r="JI66" s="28" t="str">
        <f t="shared" si="46"/>
        <v/>
      </c>
      <c r="JJ66" s="28" t="str">
        <f>IF(Compositions!AG131="","",(Compositions!AG131/(VLOOKUP(Compositions!AE131,'HHV-LHV-MW'!$A$3:$F$40,6,FALSE))))</f>
        <v/>
      </c>
      <c r="JK66" s="26" t="str">
        <f>IF(JH66="","",((VLOOKUP(Compositions!AE131,'HHV-LHV-MW'!$A$3:$F$40,4,FALSE))*(JH66/100)))</f>
        <v/>
      </c>
      <c r="JL66" s="26" t="str">
        <f>IF(JH66="","",((VLOOKUP(Compositions!AE131,'HHV-LHV-MW'!$A$3:$F$40,5,FALSE))*(JH66/100)))</f>
        <v/>
      </c>
      <c r="JM66" s="26" t="str">
        <f>IF(JH66="","",((VLOOKUP(Compositions!AE131,'HHV-LHV-MW'!$A$3:$F$40,6,FALSE))*(JH66/100)))</f>
        <v/>
      </c>
      <c r="JN66" s="26" t="str">
        <f>IF(Compositions!AG131="","",(Compositions!AG131*(VLOOKUP(Compositions!AE131,'HHV-LHV-MW'!$A$3:$F$40,6,FALSE))))</f>
        <v/>
      </c>
      <c r="JO66" s="297" t="str">
        <f>IF(Compositions!AG131="","",IF(OR(Compositions!$AG$118="wt%",Compositions!$AG$118=""),Compositions!AG131,(IF(JN66="","",((JN66/$JN$78)*100)))))</f>
        <v/>
      </c>
      <c r="JP66" s="39" t="str">
        <f>IF(JO66="","",(IF(OR(Compositions!AE131="Hydrogen",Compositions!AE131="Helium",Compositions!AE131="Water",Compositions!AE131="Carbon Monoxide",Compositions!AE131="Nitrogen",Compositions!AE131="Oxygen",Compositions!AE131="Hydrogen Sulfide",Compositions!AE131="Argon",Compositions!AE131="Carbon Dioxide",Compositions!AE131="Carbon Disulfide"),0,JO66)))</f>
        <v/>
      </c>
      <c r="JQ66" s="186" t="str">
        <f>IF(Compositions!AG131="","",((JH66/100)*((VLOOKUP(Compositions!AE131,'HHV-LHV-MW'!$A$3:$G$40,7,FALSE)))))</f>
        <v/>
      </c>
      <c r="JR66" s="186" t="str">
        <f>IF(JH66="","",(IF(OR(Compositions!AE131="Hydrogen",Compositions!AE131="Carbon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Dioxide",Compositions!AE131="Methane",Compositions!AE131="Ethane"),0,(JH66/100))))</f>
        <v/>
      </c>
      <c r="JS66" s="39" t="str">
        <f>IF(JH66="","",(IF(OR($JR$78=0,$JR$78=""),0,      ((VLOOKUP(Compositions!AE131,'HHV-LHV-MW'!$A$3:$F$40,6,FALSE))*(JR66/$JR$78)))))</f>
        <v/>
      </c>
      <c r="JT66" s="27" t="str">
        <f>IF(Compositions!AH131="","",IF(Compositions!$AH$118="mol%",Compositions!AH131,JU66))</f>
        <v/>
      </c>
      <c r="JU66" s="27" t="str">
        <f t="shared" si="47"/>
        <v/>
      </c>
      <c r="JV66" s="27" t="str">
        <f>IF(Compositions!AH131="","",(Compositions!AH131/(VLOOKUP(Compositions!AE131,'HHV-LHV-MW'!$A$3:$F$40,6,FALSE))))</f>
        <v/>
      </c>
      <c r="JW66" s="25" t="str">
        <f>IF(JT66="","",((VLOOKUP(Compositions!AE131,'HHV-LHV-MW'!$A$3:$F$40,4,FALSE))*(JT66/100)))</f>
        <v/>
      </c>
      <c r="JX66" s="25" t="str">
        <f>IF(JT66="","",((VLOOKUP(Compositions!AE131,'HHV-LHV-MW'!$A$3:$F$40,5,FALSE))*(JT66/100)))</f>
        <v/>
      </c>
      <c r="JY66" s="25" t="str">
        <f>IF(JT66="","",((VLOOKUP(Compositions!AE131,'HHV-LHV-MW'!$A$3:$F$40,6,FALSE))*(JT66/100)))</f>
        <v/>
      </c>
      <c r="JZ66" s="25" t="str">
        <f>IF(Compositions!AH131="","",(Compositions!AH131*(VLOOKUP(Compositions!AE131,'HHV-LHV-MW'!$A$3:$F$40,6,FALSE))))</f>
        <v/>
      </c>
      <c r="KA66" s="298" t="str">
        <f>IF(Compositions!AH131="","",IF(OR(Compositions!$AH$118="wt%",Compositions!$AH$118=""),Compositions!AH131,(IF(JZ66="","",((JZ66/$JZ$78)*100)))))</f>
        <v/>
      </c>
      <c r="KB66" s="185" t="str">
        <f>IF(KA66="","",(IF(OR(Compositions!AE131="Hydrogen",Compositions!AE131="Helium",Compositions!AE131="Water",Compositions!AE131="Carbon Monoxide",Compositions!AE131="Nitrogen",Compositions!AE131="Oxygen",Compositions!AE131="Hydrogen Sulfide",Compositions!AE131="Argon",Compositions!AE131="Carbon Dioxide",Compositions!AE131="Carbon Disulfide"),0,KA66)))</f>
        <v/>
      </c>
      <c r="KC66" s="187" t="str">
        <f>IF(Compositions!AH131="","",((JT66/100)*((VLOOKUP(Compositions!AE131,'HHV-LHV-MW'!$A$3:$G$40,7,FALSE)))))</f>
        <v/>
      </c>
      <c r="KD66" s="187" t="str">
        <f>IF(JT66="","",(IF(OR(Compositions!AE131="Hydrogen",Compositions!AE131="Carbon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Dioxide",Compositions!AE131="Methane",Compositions!AE131="Ethane"),0,(JT66/100))))</f>
        <v/>
      </c>
      <c r="KE66" s="205" t="str">
        <f>IF(JT66="","",(IF(OR($KD$78=0,$KD$78=""),0,      ((VLOOKUP(Compositions!AE131,'HHV-LHV-MW'!$A$3:$F$40,6,FALSE))*(KD66/$KD$78)))))</f>
        <v/>
      </c>
      <c r="KF66" s="28" t="str">
        <f>IF(Compositions!AI131="","",IF(Compositions!$AI$118="mol%",Compositions!AI131,KG66))</f>
        <v/>
      </c>
      <c r="KG66" s="28" t="str">
        <f t="shared" si="48"/>
        <v/>
      </c>
      <c r="KH66" s="28" t="str">
        <f>IF(Compositions!AI131="","",(Compositions!AI131/(VLOOKUP(Compositions!AE131,'HHV-LHV-MW'!$A$3:$F$40,6,FALSE))))</f>
        <v/>
      </c>
      <c r="KI66" s="26" t="str">
        <f>IF(KF66="","",((VLOOKUP(Compositions!AE131,'HHV-LHV-MW'!$A$3:$F$40,4,FALSE))*(KF66/100)))</f>
        <v/>
      </c>
      <c r="KJ66" s="26" t="str">
        <f>IF(KF66="","",((VLOOKUP(Compositions!AE131,'HHV-LHV-MW'!$A$3:$F$40,5,FALSE))*(KF66/100)))</f>
        <v/>
      </c>
      <c r="KK66" s="26" t="str">
        <f>IF(KF66="","",((VLOOKUP(Compositions!AE131,'HHV-LHV-MW'!$A$3:$F$40,6,FALSE))*(KF66/100)))</f>
        <v/>
      </c>
      <c r="KL66" s="26" t="str">
        <f>IF(Compositions!AI131="","",(Compositions!AI131*(VLOOKUP(Compositions!AE131,'HHV-LHV-MW'!$A$3:$F$40,6,FALSE))))</f>
        <v/>
      </c>
      <c r="KM66" s="297" t="str">
        <f>IF(Compositions!AI131="","",IF(OR(Compositions!$AI$118="wt%",Compositions!$AI$118=""),Compositions!AI131,(IF(KL66="","",((KL66/$KL$78)*100)))))</f>
        <v/>
      </c>
      <c r="KN66" s="39" t="str">
        <f>IF(KM66="","",(IF(OR(Compositions!AE131="Hydrogen",Compositions!AE131="Helium",Compositions!AE131="Water",Compositions!AE131="Carbon Monoxide",Compositions!AE131="Nitrogen",Compositions!AE131="Oxygen",Compositions!AE131="Hydrogen Sulfide",Compositions!AE131="Argon",Compositions!AE131="Carbon Dioxide",Compositions!AE131="Carbon Disulfide"),0,KM66)))</f>
        <v/>
      </c>
      <c r="KO66" s="186" t="str">
        <f>IF(Compositions!AI131="","",((KF66/100)*((VLOOKUP(Compositions!AE131,'HHV-LHV-MW'!$A$3:$G$40,7,FALSE)))))</f>
        <v/>
      </c>
      <c r="KP66" s="186" t="str">
        <f>IF(KF66="","",(IF(OR(Compositions!AE131="Hydrogen",Compositions!AE131="Carbon Disulfide",Compositions!AE131="Helium",Compositions!AE131="Water",Compositions!AE131="Carbon Monoxide",Compositions!AE131="Nitrogen",Compositions!AE131="Oxygen",Compositions!AE131="Hydrogen Sulfide",Compositions!AE131="Argon",Compositions!AE131="Carbon Dioxide",Compositions!AE131="Methane",Compositions!AE131="Ethane"),0,(KF66/100))))</f>
        <v/>
      </c>
      <c r="KQ66" s="39" t="str">
        <f>IF(KF66="","",(IF(OR($KP$78=0,$KP$78=""),0,      ((VLOOKUP(Compositions!AE131,'HHV-LHV-MW'!$A$3:$F$40,6,FALSE))*(KP66/$KP$78)))))</f>
        <v/>
      </c>
      <c r="KS66" s="27" t="str">
        <f>IF(Compositions!AL131="","",IF(Compositions!$AL$118="mol%",Compositions!AL131,KT66))</f>
        <v/>
      </c>
      <c r="KT66" s="27" t="str">
        <f t="shared" si="49"/>
        <v/>
      </c>
      <c r="KU66" s="27" t="str">
        <f>IF(Compositions!AL131="","",(Compositions!AL131/(VLOOKUP(Compositions!AK131,'HHV-LHV-MW'!$A$3:$F$40,6,FALSE))))</f>
        <v/>
      </c>
      <c r="KV66" s="185" t="str">
        <f>IF(KS66="","",((VLOOKUP(Compositions!AK131,'HHV-LHV-MW'!$A$3:$F$40,4,FALSE))*(KS66/100)))</f>
        <v/>
      </c>
      <c r="KW66" s="185" t="str">
        <f>IF(KS66="","",((VLOOKUP(Compositions!AK131,'HHV-LHV-MW'!$A$3:$F$40,5,FALSE))*(KS66/100)))</f>
        <v/>
      </c>
      <c r="KX66" s="185" t="str">
        <f>IF(KS66="","",((VLOOKUP(Compositions!AK131,'HHV-LHV-MW'!$A$3:$F$40,6,FALSE))*(KS66/100)))</f>
        <v/>
      </c>
      <c r="KY66" s="185" t="str">
        <f>IF(Compositions!AL131="","",(Compositions!AL131*(VLOOKUP(Compositions!AK131,'HHV-LHV-MW'!$A$3:$F$40,6,FALSE))))</f>
        <v/>
      </c>
      <c r="KZ66" s="298" t="str">
        <f>IF(Compositions!AL131="","",IF(OR(Compositions!$AL$118="wt%",Compositions!$AL$118=""),Compositions!AL131,(IF(KY66="","",((KY66/$KY$78)*100)))))</f>
        <v/>
      </c>
      <c r="LA66" s="185" t="str">
        <f>IF(KZ66="","",(IF(OR(Compositions!AK131="Hydrogen",Compositions!AK131="Helium",Compositions!AK131="Water",Compositions!AK131="Carbon Monoxide",Compositions!AK131="Nitrogen",Compositions!AK131="Oxygen",Compositions!AK131="Hydrogen Sulfide",Compositions!AK131="Argon",Compositions!AK131="Carbon Dioxide",Compositions!AK131="Carbon Disulfide"),0,KZ66)))</f>
        <v/>
      </c>
      <c r="LB66" s="187" t="str">
        <f>IF(Compositions!AL131="","",((KS66/100)*((VLOOKUP(Compositions!AK131,'HHV-LHV-MW'!$A$3:$G$40,7,FALSE)))))</f>
        <v/>
      </c>
      <c r="LC66" s="187" t="str">
        <f>IF(KS66="","",(IF(OR(Compositions!AK131="Hydrogen",Compositions!AK131="Carbon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Dioxide",Compositions!AK131="Methane",Compositions!AK131="Ethane"),0,(KS66/100))))</f>
        <v/>
      </c>
      <c r="LD66" s="205" t="str">
        <f>IF(KS66="","",(IF(OR($LC$78=0,$LC$78=""),0,      ((VLOOKUP(Compositions!AK131,'HHV-LHV-MW'!$A$3:$F$40,6,FALSE))*(LC66/$LC$78)))))</f>
        <v/>
      </c>
      <c r="LE66" s="28" t="str">
        <f>IF(Compositions!AM131="","",IF(Compositions!$AM$118="mol%",Compositions!AM131,LF66))</f>
        <v/>
      </c>
      <c r="LF66" s="28" t="str">
        <f t="shared" si="50"/>
        <v/>
      </c>
      <c r="LG66" s="28" t="str">
        <f>IF(Compositions!AM131="","",(Compositions!AM131/(VLOOKUP(Compositions!AK131,'HHV-LHV-MW'!$A$3:$F$40,6,FALSE))))</f>
        <v/>
      </c>
      <c r="LH66" s="184" t="str">
        <f>IF(LE66="","",((VLOOKUP(Compositions!AK131,'HHV-LHV-MW'!$A$3:$F$40,4,FALSE))*(LE66/100)))</f>
        <v/>
      </c>
      <c r="LI66" s="184" t="str">
        <f>IF(LE66="","",((VLOOKUP(Compositions!AK131,'HHV-LHV-MW'!$A$3:$F$40,5,FALSE))*(LE66/100)))</f>
        <v/>
      </c>
      <c r="LJ66" s="184" t="str">
        <f>IF(LE66="","",((VLOOKUP(Compositions!AK131,'HHV-LHV-MW'!$A$3:$F$40,6,FALSE))*(LE66/100)))</f>
        <v/>
      </c>
      <c r="LK66" s="184" t="str">
        <f>IF(Compositions!AM131="","",(Compositions!AM131*(VLOOKUP(Compositions!AK131,'HHV-LHV-MW'!$A$3:$F$40,6,FALSE))))</f>
        <v/>
      </c>
      <c r="LL66" s="297" t="str">
        <f>IF(Compositions!AM131="","",IF(OR(Compositions!$AM$118="wt%",Compositions!$AM$118=""),Compositions!AM131,(IF(LK66="","",((LK66/$LK$78)*100)))))</f>
        <v/>
      </c>
      <c r="LM66" s="39" t="str">
        <f>IF(LL66="","",(IF(OR(Compositions!AK131="Hydrogen",Compositions!AK131="Helium",Compositions!AK131="Water",Compositions!AK131="Carbon Monoxide",Compositions!AK131="Nitrogen",Compositions!AK131="Oxygen",Compositions!AK131="Hydrogen Sulfide",Compositions!AK131="Argon",Compositions!AK131="Carbon Dioxide",Compositions!AK131="Carbon Disulfide"),0,LL66)))</f>
        <v/>
      </c>
      <c r="LN66" s="186" t="str">
        <f>IF(Compositions!AM131="","",((LE66/100)*((VLOOKUP(Compositions!AK131,'HHV-LHV-MW'!$A$3:$G$40,7,FALSE)))))</f>
        <v/>
      </c>
      <c r="LO66" s="186" t="str">
        <f>IF(LE66="","",(IF(OR(Compositions!AK131="Hydrogen",Compositions!AK131="Carbon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Dioxide",Compositions!AK131="Methane",Compositions!AK131="Ethane"),0,(LE66/100))))</f>
        <v/>
      </c>
      <c r="LP66" s="39" t="str">
        <f>IF(LE66="","",(IF(OR($LO$78=0,$LO$78=""),0,     ((VLOOKUP(Compositions!AK131,'HHV-LHV-MW'!$A$3:$F$40,6,FALSE))*(LO66/$LO$78)))))</f>
        <v/>
      </c>
      <c r="LQ66" s="27" t="str">
        <f>IF(Compositions!AN131="","",IF(Compositions!$AN$118="mol%",Compositions!AN131,LR66))</f>
        <v/>
      </c>
      <c r="LR66" s="27" t="str">
        <f t="shared" si="51"/>
        <v/>
      </c>
      <c r="LS66" s="27" t="str">
        <f>IF(Compositions!AN131="","",(Compositions!AN131/(VLOOKUP(Compositions!AK131,'HHV-LHV-MW'!$A$3:$F$40,6,FALSE))))</f>
        <v/>
      </c>
      <c r="LT66" s="185" t="str">
        <f>IF(LQ66="","",((VLOOKUP(Compositions!AK131,'HHV-LHV-MW'!$A$3:$F$40,4,FALSE))*(LQ66/100)))</f>
        <v/>
      </c>
      <c r="LU66" s="185" t="str">
        <f>IF(LQ66="","",((VLOOKUP(Compositions!AK131,'HHV-LHV-MW'!$A$3:$F$40,5,FALSE))*(LQ66/100)))</f>
        <v/>
      </c>
      <c r="LV66" s="185" t="str">
        <f>IF(LQ66="","",((VLOOKUP(Compositions!AK131,'HHV-LHV-MW'!$A$3:$F$40,6,FALSE))*(LQ66/100)))</f>
        <v/>
      </c>
      <c r="LW66" s="185" t="str">
        <f>IF(Compositions!AN131="","",(Compositions!AN131*(VLOOKUP(Compositions!AK131,'HHV-LHV-MW'!$A$3:$F$40,6,FALSE))))</f>
        <v/>
      </c>
      <c r="LX66" s="298" t="str">
        <f>IF(Compositions!AN131="","",IF(OR(Compositions!$AN$118="wt%",Compositions!$AN$118=""),Compositions!AN131,(IF(LW66="","",((LW66/$LW$78)*100)))))</f>
        <v/>
      </c>
      <c r="LY66" s="185" t="str">
        <f>IF(LX66="","",(IF(OR(Compositions!AK131="Hydrogen",Compositions!AK131="Helium",Compositions!AK131="Water",Compositions!AK131="Carbon Monoxide",Compositions!AK131="Nitrogen",Compositions!AK131="Oxygen",Compositions!AK131="Hydrogen Sulfide",Compositions!AK131="Argon",Compositions!AK131="Carbon Dioxide",Compositions!AK131="Carbon Disulfide"),0,LX66)))</f>
        <v/>
      </c>
      <c r="LZ66" s="187" t="str">
        <f>IF(Compositions!AN131="","",((LQ66/100)*((VLOOKUP(Compositions!AK131,'HHV-LHV-MW'!$A$3:$G$40,7,FALSE)))))</f>
        <v/>
      </c>
      <c r="MA66" s="187" t="str">
        <f>IF(LQ66="","",(IF(OR(Compositions!AK131="Hydrogen",Compositions!AK131="Carbon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Dioxide",Compositions!AK131="Methane",Compositions!AK131="Ethane"),0,(LQ66/100))))</f>
        <v/>
      </c>
      <c r="MB66" s="205" t="str">
        <f>IF(LQ66="","",(IF(OR($MA$78=0,$MA$78=""),0,     ((VLOOKUP(Compositions!AK131,'HHV-LHV-MW'!$A$3:$F$40,6,FALSE))*(MA66/$MA$78)))))</f>
        <v/>
      </c>
      <c r="MC66" s="28" t="str">
        <f>IF(Compositions!AO131="","",IF(Compositions!$AO$118="mol%",Compositions!AO131,MD66))</f>
        <v/>
      </c>
      <c r="MD66" s="28" t="str">
        <f t="shared" si="52"/>
        <v/>
      </c>
      <c r="ME66" s="28" t="str">
        <f>IF(Compositions!AO131="","",(Compositions!AO131/(VLOOKUP(Compositions!AK131,'HHV-LHV-MW'!$A$3:$F$40,6,FALSE))))</f>
        <v/>
      </c>
      <c r="MF66" s="184" t="str">
        <f>IF(MC66="","",((VLOOKUP(Compositions!AK131,'HHV-LHV-MW'!$A$3:$F$40,4,FALSE))*(MC66/100)))</f>
        <v/>
      </c>
      <c r="MG66" s="184" t="str">
        <f>IF(MC66="","",((VLOOKUP(Compositions!AK131,'HHV-LHV-MW'!$A$3:$F$40,5,FALSE))*(MC66/100)))</f>
        <v/>
      </c>
      <c r="MH66" s="184" t="str">
        <f>IF(MC66="","",((VLOOKUP(Compositions!AK131,'HHV-LHV-MW'!$A$3:$F$40,6,FALSE))*(MC66/100)))</f>
        <v/>
      </c>
      <c r="MI66" s="184" t="str">
        <f>IF(Compositions!AO131="","",(Compositions!AO131*(VLOOKUP(Compositions!AK131,'HHV-LHV-MW'!$A$3:$F$40,6,FALSE))))</f>
        <v/>
      </c>
      <c r="MJ66" s="297" t="str">
        <f>IF(Compositions!AO131="","",IF(OR(Compositions!$AO$118="wt%",Compositions!$AO$118=""),Compositions!AO131,(IF(MI66="","",((MI66/$MI$78)*100)))))</f>
        <v/>
      </c>
      <c r="MK66" s="39" t="str">
        <f>IF(MJ66="","",(IF(OR(Compositions!AK131="Hydrogen",Compositions!AK131="Helium",Compositions!AK131="Water",Compositions!AK131="Carbon Monoxide",Compositions!AK131="Nitrogen",Compositions!AK131="Oxygen",Compositions!AK131="Hydrogen Sulfide",Compositions!AK131="Argon",Compositions!AK131="Carbon Dioxide",Compositions!AK131="Carbon Disulfide"),0,MJ66)))</f>
        <v/>
      </c>
      <c r="ML66" s="186" t="str">
        <f>IF(Compositions!AO131="","",((MC66/100)*((VLOOKUP(Compositions!AK131,'HHV-LHV-MW'!$A$3:$G$40,7,FALSE)))))</f>
        <v/>
      </c>
      <c r="MM66" s="186" t="str">
        <f>IF(MC66="","",(IF(OR(Compositions!AK131="Hydrogen",Compositions!AK131="Carbon Disulfide",Compositions!AK131="Helium",Compositions!AK131="Water",Compositions!AK131="Carbon Monoxide",Compositions!AK131="Nitrogen",Compositions!AK131="Oxygen",Compositions!AK131="Hydrogen Sulfide",Compositions!AK131="Argon",Compositions!AK131="Carbon Dioxide",Compositions!AK131="Methane",Compositions!AK131="Ethane"),0,(MC66/100))))</f>
        <v/>
      </c>
      <c r="MN66" s="39" t="str">
        <f>IF(MC66="","",(IF(OR($MM$78=0,$MM$78=""),0,     ((VLOOKUP(Compositions!AK131,'HHV-LHV-MW'!$A$3:$F$40,6,FALSE))*(MM66/$MM$78)))))</f>
        <v/>
      </c>
      <c r="MP66" s="27" t="str">
        <f>IF(Compositions!AR131="","",IF(Compositions!$AR$118="mol%",Compositions!AR131,MQ66))</f>
        <v/>
      </c>
      <c r="MQ66" s="27" t="str">
        <f t="shared" si="53"/>
        <v/>
      </c>
      <c r="MR66" s="27" t="str">
        <f>IF(Compositions!AR131="","",(Compositions!AR131/(VLOOKUP(Compositions!AQ131,'HHV-LHV-MW'!$A$3:$F$40,6,FALSE))))</f>
        <v/>
      </c>
      <c r="MS66" s="185" t="str">
        <f>IF(MP66="","",((VLOOKUP(Compositions!AQ131,'HHV-LHV-MW'!$A$3:$F$40,4,FALSE))*(MP66/100)))</f>
        <v/>
      </c>
      <c r="MT66" s="185" t="str">
        <f>IF(MP66="","",((VLOOKUP(Compositions!AQ131,'HHV-LHV-MW'!$A$3:$F$40,5,FALSE))*(MP66/100)))</f>
        <v/>
      </c>
      <c r="MU66" s="185" t="str">
        <f>IF(MP66="","",((VLOOKUP(Compositions!AQ131,'HHV-LHV-MW'!$A$3:$F$40,6,FALSE))*(MP66/100)))</f>
        <v/>
      </c>
      <c r="MV66" s="185" t="str">
        <f>IF(Compositions!AR131="","",(Compositions!AR131*(VLOOKUP(Compositions!AQ131,'HHV-LHV-MW'!$A$3:$F$40,6,FALSE))))</f>
        <v/>
      </c>
      <c r="MW66" s="298" t="str">
        <f>IF(Compositions!AR131="","",IF(OR(Compositions!$AR$118="wt%",Compositions!$AR$118=""),Compositions!AR131,(IF(MV66="","",((MV66/$MV$78)*100)))))</f>
        <v/>
      </c>
      <c r="MX66" s="185" t="str">
        <f>IF(MW66="","",(IF(OR(Compositions!AQ131="Hydrogen",Compositions!AQ131="Helium",Compositions!AQ131="Water",Compositions!AQ131="Carbon Monoxide",Compositions!AQ131="Nitrogen",Compositions!AQ131="Oxygen",Compositions!AQ131="Hydrogen Sulfide",Compositions!AQ131="Argon",Compositions!AQ131="Carbon Dioxide",Compositions!AQ131="Carbon Disulfide"),0,MW66)))</f>
        <v/>
      </c>
      <c r="MY66" s="187" t="str">
        <f>IF(Compositions!AR131="","",((MP66/100)*((VLOOKUP(Compositions!AQ131,'HHV-LHV-MW'!$A$3:$G$40,7,FALSE)))))</f>
        <v/>
      </c>
      <c r="MZ66" s="187" t="str">
        <f>IF(MP66="","",(IF(OR(Compositions!AQ131="Hydrogen",Compositions!AQ131="Carbon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Dioxide",Compositions!AQ131="Methane",Compositions!AQ131="Ethane"),0,(MP66/100))))</f>
        <v/>
      </c>
      <c r="NA66" s="205" t="str">
        <f>IF(MP66="","",(IF(OR($MZ$78=0,$MZ$78=""),0,     ((VLOOKUP(Compositions!AQ131,'HHV-LHV-MW'!$A$3:$F$40,6,FALSE))*(MZ66/$MZ$78)))))</f>
        <v/>
      </c>
      <c r="NB66" s="28" t="str">
        <f>IF(Compositions!AS131="","",IF(Compositions!$AS$118="mol%",Compositions!AS131,NC66))</f>
        <v/>
      </c>
      <c r="NC66" s="28" t="str">
        <f t="shared" si="54"/>
        <v/>
      </c>
      <c r="ND66" s="28" t="str">
        <f>IF(Compositions!AS131="","",(Compositions!AS131/(VLOOKUP(Compositions!AQ131,'HHV-LHV-MW'!$A$3:$F$40,6,FALSE))))</f>
        <v/>
      </c>
      <c r="NE66" s="184" t="str">
        <f>IF(NB66="","",((VLOOKUP(Compositions!AQ131,'HHV-LHV-MW'!$A$3:$F$40,4,FALSE))*(NB66/100)))</f>
        <v/>
      </c>
      <c r="NF66" s="184" t="str">
        <f>IF(NB66="","",((VLOOKUP(Compositions!AQ131,'HHV-LHV-MW'!$A$3:$F$40,5,FALSE))*(NB66/100)))</f>
        <v/>
      </c>
      <c r="NG66" s="184" t="str">
        <f>IF(NB66="","",((VLOOKUP(Compositions!AQ131,'HHV-LHV-MW'!$A$3:$F$40,6,FALSE))*(NB66/100)))</f>
        <v/>
      </c>
      <c r="NH66" s="184" t="str">
        <f>IF(Compositions!AS131="","",(Compositions!AS131*(VLOOKUP(Compositions!AQ131,'HHV-LHV-MW'!$A$3:$F$40,6,FALSE))))</f>
        <v/>
      </c>
      <c r="NI66" s="297" t="str">
        <f>IF(Compositions!AS131="","",IF(OR(Compositions!$AS$118="wt%",Compositions!$AS$118=""),Compositions!AS131,(IF(NH66="","",((NH66/$NH$78)*100)))))</f>
        <v/>
      </c>
      <c r="NJ66" s="39" t="str">
        <f>IF(NI66="","",(IF(OR(Compositions!AQ131="Hydrogen",Compositions!AQ131="Helium",Compositions!AQ131="Water",Compositions!AQ131="Carbon Monoxide",Compositions!AQ131="Nitrogen",Compositions!AQ131="Oxygen",Compositions!AQ131="Hydrogen Sulfide",Compositions!AQ131="Argon",Compositions!AQ131="Carbon Dioxide",Compositions!AQ131="Carbon Disulfide"),0,NI66)))</f>
        <v/>
      </c>
      <c r="NK66" s="186" t="str">
        <f>IF(Compositions!AS131="","",((NB66/100)*((VLOOKUP(Compositions!AQ131,'HHV-LHV-MW'!$A$3:$G$40,7,FALSE)))))</f>
        <v/>
      </c>
      <c r="NL66" s="186" t="str">
        <f>IF(NB66="","",(IF(OR(Compositions!AQ131="Hydrogen",Compositions!AQ131="Carbon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Dioxide",Compositions!AQ131="Methane",Compositions!AQ131="Ethane"),0,(NB66/100))))</f>
        <v/>
      </c>
      <c r="NM66" s="39" t="str">
        <f>IF(NB66="","",(IF(OR($NL$78=0,$NL$78=""),0,     ((VLOOKUP(Compositions!AQ131,'HHV-LHV-MW'!$A$3:$F$40,6,FALSE))*(NL66/$NL$78)))))</f>
        <v/>
      </c>
      <c r="NN66" s="27" t="str">
        <f>IF(Compositions!AT131="","",IF(Compositions!$AT$118="mol%",Compositions!AT131,NO66))</f>
        <v/>
      </c>
      <c r="NO66" s="27" t="str">
        <f t="shared" si="55"/>
        <v/>
      </c>
      <c r="NP66" s="27" t="str">
        <f>IF(Compositions!AT131="","",(Compositions!AT131/(VLOOKUP(Compositions!AQ131,'HHV-LHV-MW'!$A$3:$F$40,6,FALSE))))</f>
        <v/>
      </c>
      <c r="NQ66" s="185" t="str">
        <f>IF(NN66="","",((VLOOKUP(Compositions!AQ131,'HHV-LHV-MW'!$A$3:$F$40,4,FALSE))*(NN66/100)))</f>
        <v/>
      </c>
      <c r="NR66" s="185" t="str">
        <f>IF(NN66="","",((VLOOKUP(Compositions!AQ131,'HHV-LHV-MW'!$A$3:$F$40,5,FALSE))*(NN66/100)))</f>
        <v/>
      </c>
      <c r="NS66" s="185" t="str">
        <f>IF(NN66="","",((VLOOKUP(Compositions!AQ131,'HHV-LHV-MW'!$A$3:$F$40,6,FALSE))*(NN66/100)))</f>
        <v/>
      </c>
      <c r="NT66" s="185" t="str">
        <f>IF(Compositions!AT131="","",(Compositions!AT131*(VLOOKUP(Compositions!AQ131,'HHV-LHV-MW'!$A$3:$F$40,6,FALSE))))</f>
        <v/>
      </c>
      <c r="NU66" s="298" t="str">
        <f>IF(Compositions!AT131="","",IF(OR(Compositions!$AT$118="wt%",Compositions!$AT$118=""),Compositions!AT131,(IF(NT66="","",((NT66/$NT$78)*100)))))</f>
        <v/>
      </c>
      <c r="NV66" s="185" t="str">
        <f>IF(NU66="","",(IF(OR(Compositions!AQ131="Hydrogen",Compositions!AQ131="Helium",Compositions!AQ131="Water",Compositions!AQ131="Carbon Monoxide",Compositions!AQ131="Nitrogen",Compositions!AQ131="Oxygen",Compositions!AQ131="Hydrogen Sulfide",Compositions!AQ131="Argon",Compositions!AQ131="Carbon Dioxide",Compositions!AQ131="Carbon Disulfide"),0,NU66)))</f>
        <v/>
      </c>
      <c r="NW66" s="187" t="str">
        <f>IF(Compositions!AT131="","",((NN66/100)*((VLOOKUP(Compositions!AQ131,'HHV-LHV-MW'!$A$3:$G$40,7,FALSE)))))</f>
        <v/>
      </c>
      <c r="NX66" s="187" t="str">
        <f>IF(NN66="","",(IF(OR(Compositions!AQ131="Hydrogen",Compositions!AQ131="Carbon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Dioxide",Compositions!AQ131="Methane",Compositions!AQ131="Ethane"),0,(NN66/100))))</f>
        <v/>
      </c>
      <c r="NY66" s="205" t="str">
        <f>IF(NN66="","",(IF(OR($NX$78=0,$NX$78=""),0,     ((VLOOKUP(Compositions!AQ131,'HHV-LHV-MW'!$A$3:$F$40,6,FALSE))*(NX66/$NX$78)))))</f>
        <v/>
      </c>
      <c r="NZ66" s="28" t="str">
        <f>IF(Compositions!AU131="","",IF(Compositions!$AU$118="mol%",Compositions!AU131,OA66))</f>
        <v/>
      </c>
      <c r="OA66" s="28" t="str">
        <f t="shared" si="56"/>
        <v/>
      </c>
      <c r="OB66" s="28" t="str">
        <f>IF(Compositions!AU131="","",(Compositions!AU131/(VLOOKUP(Compositions!AQ131,'HHV-LHV-MW'!$A$3:$F$40,6,FALSE))))</f>
        <v/>
      </c>
      <c r="OC66" s="184" t="str">
        <f>IF(NZ66="","",((VLOOKUP(Compositions!AQ131,'HHV-LHV-MW'!$A$3:$F$40,4,FALSE))*(NZ66/100)))</f>
        <v/>
      </c>
      <c r="OD66" s="184" t="str">
        <f>IF(NZ66="","",((VLOOKUP(Compositions!AQ131,'HHV-LHV-MW'!$A$3:$F$40,5,FALSE))*(NZ66/100)))</f>
        <v/>
      </c>
      <c r="OE66" s="184" t="str">
        <f>IF(NZ66="","",((VLOOKUP(Compositions!AQ131,'HHV-LHV-MW'!$A$3:$F$40,6,FALSE))*(NZ66/100)))</f>
        <v/>
      </c>
      <c r="OF66" s="184" t="str">
        <f>IF(Compositions!AU131="","",(Compositions!AU131*(VLOOKUP(Compositions!AQ131,'HHV-LHV-MW'!$A$3:$F$40,6,FALSE))))</f>
        <v/>
      </c>
      <c r="OG66" s="297" t="str">
        <f>IF(Compositions!AU131="","",IF(OR(Compositions!$AU$118="wt%",Compositions!$AU$118=""),Compositions!AU131,(IF(OF66="","",((OF66/$OF$78)*100)))))</f>
        <v/>
      </c>
      <c r="OH66" s="39" t="str">
        <f>IF(OG66="","",(IF(OR(Compositions!AQ131="Hydrogen",Compositions!AQ131="Helium",Compositions!AQ131="Water",Compositions!AQ131="Carbon Monoxide",Compositions!AQ131="Nitrogen",Compositions!AQ131="Oxygen",Compositions!AQ131="Hydrogen Sulfide",Compositions!AQ131="Argon",Compositions!AQ131="Carbon Dioxide",Compositions!AQ131="Carbon Disulfide"),0,OG66)))</f>
        <v/>
      </c>
      <c r="OI66" s="186" t="str">
        <f>IF(Compositions!AU131="","",((NZ66/100)*((VLOOKUP(Compositions!AQ131,'HHV-LHV-MW'!$A$3:$G$40,7,FALSE)))))</f>
        <v/>
      </c>
      <c r="OJ66" s="186" t="str">
        <f>IF(NZ66="","",(IF(OR(Compositions!AQ131="Hydrogen",Compositions!AQ131="Carbon Disulfide",Compositions!AQ131="Helium",Compositions!AQ131="Water",Compositions!AQ131="Carbon Monoxide",Compositions!AQ131="Nitrogen",Compositions!AQ131="Oxygen",Compositions!AQ131="Hydrogen Sulfide",Compositions!AQ131="Argon",Compositions!AQ131="Carbon Dioxide",Compositions!AQ131="Methane",Compositions!AQ131="Ethane"),0,(NZ66/100))))</f>
        <v/>
      </c>
      <c r="OK66" s="39" t="str">
        <f>IF(NZ66="","",(IF(OR($OJ$78=0,$OJ$78=""),0,     ((VLOOKUP(Compositions!AQ131,'HHV-LHV-MW'!$A$3:$F$40,6,FALSE))*(OJ66/$OJ$78)))))</f>
        <v/>
      </c>
      <c r="ON66" s="27" t="str">
        <f>IF(Compositions!AX131="","",IF(Compositions!$AX$118="mol%",Compositions!AX131,OO66))</f>
        <v/>
      </c>
      <c r="OO66" s="27" t="str">
        <f t="shared" si="57"/>
        <v/>
      </c>
      <c r="OP66" s="27" t="str">
        <f>IF(Compositions!AX131="","",(Compositions!AX131/(VLOOKUP(Compositions!AW131,'HHV-LHV-MW'!$A$3:$F$40,6,FALSE))))</f>
        <v/>
      </c>
      <c r="OQ66" s="185" t="str">
        <f>IF(ON66="","",((VLOOKUP(Compositions!AW131,'HHV-LHV-MW'!$A$3:$F$40,4,FALSE))*(ON66/100)))</f>
        <v/>
      </c>
      <c r="OR66" s="185" t="str">
        <f>IF(ON66="","",((VLOOKUP(Compositions!AW131,'HHV-LHV-MW'!$A$3:$F$40,5,FALSE))*(ON66/100)))</f>
        <v/>
      </c>
      <c r="OS66" s="185" t="str">
        <f>IF(ON66="","",((VLOOKUP(Compositions!AW131,'HHV-LHV-MW'!$A$3:$F$40,6,FALSE))*(ON66/100)))</f>
        <v/>
      </c>
      <c r="OT66" s="185" t="str">
        <f>IF(Compositions!AX131="","",(Compositions!AX131*(VLOOKUP(Compositions!AW131,'HHV-LHV-MW'!$A$3:$F$40,6,FALSE))))</f>
        <v/>
      </c>
      <c r="OU66" s="298" t="str">
        <f>IF(Compositions!AX131="","",IF(OR(Compositions!$AX$118="wt%",Compositions!$AX$118=""),Compositions!AX131,(IF(OT66="","",((OT66/$OT$78)*100)))))</f>
        <v/>
      </c>
      <c r="OV66" s="185" t="str">
        <f>IF(OU66="","",(IF(OR(Compositions!AW131="Hydrogen",Compositions!AW131="Helium",Compositions!AW131="Water",Compositions!AW131="Carbon Monoxide",Compositions!AW131="Nitrogen",Compositions!AW131="Oxygen",Compositions!AW131="Hydrogen Sulfide",Compositions!AW131="Argon",Compositions!AW131="Carbon Dioxide",Compositions!AW131="Carbon Disulfide"),0,OU66)))</f>
        <v/>
      </c>
      <c r="OW66" s="187" t="str">
        <f>IF(Compositions!AX131="","",((ON66/100)*((VLOOKUP(Compositions!AW131,'HHV-LHV-MW'!$A$3:$G$40,7,FALSE)))))</f>
        <v/>
      </c>
      <c r="OX66" s="187" t="str">
        <f>IF(ON66="","",(IF(OR(Compositions!AW131="Hydrogen",Compositions!AW131="Carbon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Dioxide",Compositions!AW131="Methane",Compositions!AW131="Ethane"),0,(ON66/100))))</f>
        <v/>
      </c>
      <c r="OY66" s="205" t="str">
        <f>IF(ON66="","",(IF(OR($OX$78=0,$OX$78=""),0,     ((VLOOKUP(Compositions!AW131,'HHV-LHV-MW'!$A$3:$F$40,6,FALSE))*(OX66/$OX$78)))))</f>
        <v/>
      </c>
      <c r="OZ66" s="28" t="str">
        <f>IF(Compositions!AY131="","",IF(Compositions!$AY$118="mol%",Compositions!AY131,PA66))</f>
        <v/>
      </c>
      <c r="PA66" s="28" t="str">
        <f t="shared" si="64"/>
        <v/>
      </c>
      <c r="PB66" s="28" t="str">
        <f>IF(Compositions!AY131="","",(Compositions!AY131/(VLOOKUP(Compositions!AW131,'HHV-LHV-MW'!$A$3:$F$40,6,FALSE))))</f>
        <v/>
      </c>
      <c r="PC66" s="184" t="str">
        <f>IF(OZ66="","",((VLOOKUP(Compositions!AW131,'HHV-LHV-MW'!$A$3:$F$40,4,FALSE))*(OZ66/100)))</f>
        <v/>
      </c>
      <c r="PD66" s="184" t="str">
        <f>IF(OZ66="","",((VLOOKUP(Compositions!AW131,'HHV-LHV-MW'!$A$3:$F$40,5,FALSE))*(OZ66/100)))</f>
        <v/>
      </c>
      <c r="PE66" s="184" t="str">
        <f>IF(OZ66="","",((VLOOKUP(Compositions!AW131,'HHV-LHV-MW'!$A$3:$F$40,6,FALSE))*(OZ66/100)))</f>
        <v/>
      </c>
      <c r="PF66" s="184" t="str">
        <f>IF(Compositions!AY131="","",(Compositions!AY131*(VLOOKUP(Compositions!AW131,'HHV-LHV-MW'!$A$3:$F$40,6,FALSE))))</f>
        <v/>
      </c>
      <c r="PG66" s="297" t="str">
        <f>IF(Compositions!AY131="","",IF(OR(Compositions!$AY$118="wt%",Compositions!$AY$118=""),Compositions!AY131,(IF(PF66="","",((PF66/$PF$78)*100)))))</f>
        <v/>
      </c>
      <c r="PH66" s="39" t="str">
        <f>IF(PG66="","",(IF(OR(Compositions!AW131="Hydrogen",Compositions!AW131="Helium",Compositions!AW131="Water",Compositions!AW131="Carbon Monoxide",Compositions!AW131="Nitrogen",Compositions!AW131="Oxygen",Compositions!AW131="Hydrogen Sulfide",Compositions!AW131="Argon",Compositions!AW131="Carbon Dioxide",Compositions!AW131="Carbon Disulfide"),0,PG66)))</f>
        <v/>
      </c>
      <c r="PI66" s="186" t="str">
        <f>IF(Compositions!AY131="","",((OZ66/100)*((VLOOKUP(Compositions!AW131,'HHV-LHV-MW'!$A$3:$G$40,7,FALSE)))))</f>
        <v/>
      </c>
      <c r="PJ66" s="186" t="str">
        <f>IF(OZ66="","",(IF(OR(Compositions!AW131="Hydrogen",Compositions!AW131="Carbon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Dioxide",Compositions!AW131="Methane",Compositions!AW131="Ethane"),0,(OZ66/100))))</f>
        <v/>
      </c>
      <c r="PK66" s="39" t="str">
        <f>IF(OZ66="","",(IF(OR($PJ$78=0,$PJ$78=""),0,     ((VLOOKUP(Compositions!AW131,'HHV-LHV-MW'!$A$3:$F$40,6,FALSE))*(PJ66/$PJ$78)))))</f>
        <v/>
      </c>
      <c r="PL66" s="27" t="str">
        <f>IF(Compositions!AZ131="","",IF(Compositions!$AZ$118="mol%",Compositions!AZ131,PM66))</f>
        <v/>
      </c>
      <c r="PM66" s="27" t="str">
        <f t="shared" si="58"/>
        <v/>
      </c>
      <c r="PN66" s="27" t="str">
        <f>IF(Compositions!AZ131="","",(Compositions!AZ131/(VLOOKUP(Compositions!AW131,'HHV-LHV-MW'!$A$3:$F$40,6,FALSE))))</f>
        <v/>
      </c>
      <c r="PO66" s="185" t="str">
        <f>IF(PL66="","",((VLOOKUP(Compositions!AW131,'HHV-LHV-MW'!$A$3:$F$40,4,FALSE))*(PL66/100)))</f>
        <v/>
      </c>
      <c r="PP66" s="185" t="str">
        <f>IF(PL66="","",((VLOOKUP(Compositions!AW131,'HHV-LHV-MW'!$A$3:$F$40,5,FALSE))*(PL66/100)))</f>
        <v/>
      </c>
      <c r="PQ66" s="185" t="str">
        <f>IF(PL66="","",((VLOOKUP(Compositions!AW131,'HHV-LHV-MW'!$A$3:$F$40,6,FALSE))*(PL66/100)))</f>
        <v/>
      </c>
      <c r="PR66" s="185" t="str">
        <f>IF(Compositions!AZ131="","",(Compositions!AZ131*(VLOOKUP(Compositions!AW131,'HHV-LHV-MW'!$A$3:$F$40,6,FALSE))))</f>
        <v/>
      </c>
      <c r="PS66" s="298" t="str">
        <f>IF(Compositions!AZ131="","",IF(OR(Compositions!$AZ$118="wt%",Compositions!$AZ$118=""),Compositions!AZ131,(IF(PR66="","",((PR66/$PR$78)*100)))))</f>
        <v/>
      </c>
      <c r="PT66" s="185" t="str">
        <f>IF(PS66="","",(IF(OR(Compositions!AW131="Hydrogen",Compositions!AW131="Helium",Compositions!AW131="Water",Compositions!AW131="Carbon Monoxide",Compositions!AW131="Nitrogen",Compositions!AW131="Oxygen",Compositions!AW131="Hydrogen Sulfide",Compositions!AW131="Argon",Compositions!AW131="Carbon Dioxide",Compositions!AW131="Carbon Disulfide"),0,PS66)))</f>
        <v/>
      </c>
      <c r="PU66" s="187" t="str">
        <f>IF(Compositions!AZ131="","",((PL66/100)*((VLOOKUP(Compositions!AW131,'HHV-LHV-MW'!$A$3:$G$40,7,FALSE)))))</f>
        <v/>
      </c>
      <c r="PV66" s="187" t="str">
        <f>IF(PL66="","",(IF(OR(Compositions!AW131="Hydrogen",Compositions!AW131="Carbon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Dioxide",Compositions!AW131="Methane",Compositions!AW131="Ethane"),0,(PL66/100))))</f>
        <v/>
      </c>
      <c r="PW66" s="205" t="str">
        <f>IF(PL66="","",(IF(OR($PV$78=0,$PV$78=""),0,     ((VLOOKUP(Compositions!AW131,'HHV-LHV-MW'!$A$3:$F$40,6,FALSE))*(PV66/$PV$78)))))</f>
        <v/>
      </c>
      <c r="PX66" s="28" t="str">
        <f>IF(Compositions!BA131="","",IF(Compositions!$BA$118="mol%",Compositions!BA131,PY66))</f>
        <v/>
      </c>
      <c r="PY66" s="28" t="str">
        <f t="shared" si="59"/>
        <v/>
      </c>
      <c r="PZ66" s="28" t="str">
        <f>IF(Compositions!BA131="","",(Compositions!BA131/(VLOOKUP(Compositions!AW131,'HHV-LHV-MW'!$A$3:$F$40,6,FALSE))))</f>
        <v/>
      </c>
      <c r="QA66" s="184" t="str">
        <f>IF(PX66="","",((VLOOKUP(Compositions!AW131,'HHV-LHV-MW'!$A$3:$F$40,4,FALSE))*(PX66/100)))</f>
        <v/>
      </c>
      <c r="QB66" s="184" t="str">
        <f>IF(PX66="","",((VLOOKUP(Compositions!AW131,'HHV-LHV-MW'!$A$3:$F$40,5,FALSE))*(PX66/100)))</f>
        <v/>
      </c>
      <c r="QC66" s="184" t="str">
        <f>IF(PX66="","",((VLOOKUP(Compositions!AW131,'HHV-LHV-MW'!$A$3:$F$40,6,FALSE))*(PX66/100)))</f>
        <v/>
      </c>
      <c r="QD66" s="184" t="str">
        <f>IF(Compositions!BA131="","",(Compositions!BA131*(VLOOKUP(Compositions!AW131,'HHV-LHV-MW'!$A$3:$F$40,6,FALSE))))</f>
        <v/>
      </c>
      <c r="QE66" s="297" t="str">
        <f>IF(Compositions!BA131="","",IF(OR(Compositions!$BA$118="wt%",Compositions!$BA$118=""),Compositions!BA131,(IF(QD66="","",((QD66/$QD$78)*100)))))</f>
        <v/>
      </c>
      <c r="QF66" s="39" t="str">
        <f>IF(QE66="","",(IF(OR(Compositions!AW131="Hydrogen",Compositions!AW131="Helium",Compositions!AW131="Water",Compositions!AW131="Carbon Monoxide",Compositions!AW131="Nitrogen",Compositions!AW131="Oxygen",Compositions!AW131="Hydrogen Sulfide",Compositions!AW131="Argon",Compositions!AW131="Carbon Dioxide",Compositions!AW131="Carbon Disulfide"),0,QE66)))</f>
        <v/>
      </c>
      <c r="QG66" s="186" t="str">
        <f>IF(Compositions!BA131="","",((PX66/100)*((VLOOKUP(Compositions!AW131,'HHV-LHV-MW'!$A$3:$G$40,7,FALSE)))))</f>
        <v/>
      </c>
      <c r="QH66" s="186" t="str">
        <f>IF(PX66="","",(IF(OR(Compositions!AW131="Hydrogen",Compositions!AW131="Carbon Disulfide",Compositions!AW131="Helium",Compositions!AW131="Water",Compositions!AW131="Carbon Monoxide",Compositions!AW131="Nitrogen",Compositions!AW131="Oxygen",Compositions!AW131="Hydrogen Sulfide",Compositions!AW131="Argon",Compositions!AW131="Carbon Dioxide",Compositions!AW131="Methane",Compositions!AW131="Ethane"),0,(PX66/100))))</f>
        <v/>
      </c>
      <c r="QI66" s="39" t="str">
        <f>IF(PX66="","",(IF(OR($QH$78=0,$QH$78=""),0,     ((VLOOKUP(Compositions!AW131,'HHV-LHV-MW'!$A$3:$F$40,6,FALSE))*(QH66/$QH$78)))))</f>
        <v/>
      </c>
      <c r="QK66" s="27" t="str">
        <f>IF(Compositions!BD131="","",IF(Compositions!$BD$118="mol%",Compositions!BD131,QL66))</f>
        <v/>
      </c>
      <c r="QL66" s="27" t="str">
        <f t="shared" si="60"/>
        <v/>
      </c>
      <c r="QM66" s="27" t="str">
        <f>IF(Compositions!BD131="","",(Compositions!BD131/(VLOOKUP(Compositions!BC131,'HHV-LHV-MW'!$A$3:$F$40,6,FALSE))))</f>
        <v/>
      </c>
      <c r="QN66" s="185" t="str">
        <f>IF(QK66="","",((VLOOKUP(Compositions!BC131,'HHV-LHV-MW'!$A$3:$F$40,4,FALSE))*(QK66/100)))</f>
        <v/>
      </c>
      <c r="QO66" s="185" t="str">
        <f>IF(QK66="","",((VLOOKUP(Compositions!BC131,'HHV-LHV-MW'!$A$3:$F$40,5,FALSE))*(QK66/100)))</f>
        <v/>
      </c>
      <c r="QP66" s="185" t="str">
        <f>IF(QK66="","",((VLOOKUP(Compositions!BC131,'HHV-LHV-MW'!$A$3:$F$40,6,FALSE))*(QK66/100)))</f>
        <v/>
      </c>
      <c r="QQ66" s="185" t="str">
        <f>IF(Compositions!BD131="","",(Compositions!BD131*(VLOOKUP(Compositions!BC131,'HHV-LHV-MW'!$A$3:$F$40,6,FALSE))))</f>
        <v/>
      </c>
      <c r="QR66" s="298" t="str">
        <f>IF(Compositions!BD131="","",IF(OR(Compositions!$BD$118="wt%",Compositions!$BD$118=""),Compositions!BD131,(IF(QQ66="","",((QQ66/$QQ$78)*100)))))</f>
        <v/>
      </c>
      <c r="QS66" s="185" t="str">
        <f>IF(QR66="","",(IF(OR(Compositions!BC131="Hydrogen",Compositions!BC131="Helium",Compositions!BC131="Water",Compositions!BC131="Carbon Monoxide",Compositions!BC131="Nitrogen",Compositions!BC131="Oxygen",Compositions!BC131="Hydrogen Sulfide",Compositions!BC131="Argon",Compositions!BC131="Carbon Dioxide",Compositions!BC131="Carbon Disulfide"),0,QR66)))</f>
        <v/>
      </c>
      <c r="QT66" s="187" t="str">
        <f>IF(Compositions!BD131="","",((QK66/100)*((VLOOKUP(Compositions!BC131,'HHV-LHV-MW'!$A$3:$G$40,7,FALSE)))))</f>
        <v/>
      </c>
      <c r="QU66" s="187" t="str">
        <f>IF(QK66="","",(IF(OR(Compositions!BC131="Hydrogen",Compositions!BC131="Carbon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Dioxide",Compositions!BC131="Methane",Compositions!BC131="Ethane"),0,(QK66/100))))</f>
        <v/>
      </c>
      <c r="QV66" s="205" t="str">
        <f>IF(QK66="","",(IF(OR($QU$78=0,$QU$78=""),0,     ((VLOOKUP(Compositions!BC131,'HHV-LHV-MW'!$A$3:$F$40,6,FALSE))*(QU66/$QU$78)))))</f>
        <v/>
      </c>
      <c r="QW66" s="28" t="str">
        <f>IF(Compositions!BE131="","",IF(Compositions!$BE$118="mol%",Compositions!BE131,QX66))</f>
        <v/>
      </c>
      <c r="QX66" s="28" t="str">
        <f t="shared" si="61"/>
        <v/>
      </c>
      <c r="QY66" s="28" t="str">
        <f>IF(Compositions!BE131="","",(Compositions!BE131/(VLOOKUP(Compositions!BC131,'HHV-LHV-MW'!$A$3:$F$40,6,FALSE))))</f>
        <v/>
      </c>
      <c r="QZ66" s="184" t="str">
        <f>IF(QW66="","",((VLOOKUP(Compositions!BC131,'HHV-LHV-MW'!$A$3:$F$40,4,FALSE))*(QW66/100)))</f>
        <v/>
      </c>
      <c r="RA66" s="184" t="str">
        <f>IF(QW66="","",((VLOOKUP(Compositions!BC131,'HHV-LHV-MW'!$A$3:$F$40,5,FALSE))*(QW66/100)))</f>
        <v/>
      </c>
      <c r="RB66" s="184" t="str">
        <f>IF(QW66="","",((VLOOKUP(Compositions!BC131,'HHV-LHV-MW'!$A$3:$F$40,6,FALSE))*(QW66/100)))</f>
        <v/>
      </c>
      <c r="RC66" s="184" t="str">
        <f>IF(Compositions!BE131="","",(Compositions!BE131*(VLOOKUP(Compositions!BC131,'HHV-LHV-MW'!$A$3:$F$40,6,FALSE))))</f>
        <v/>
      </c>
      <c r="RD66" s="297" t="str">
        <f>IF(Compositions!BE131="","",IF(OR(Compositions!$BE$118="wt%",Compositions!$BE$118=""),Compositions!BE131,(IF(RC66="","",((RC66/$RC$78)*100)))))</f>
        <v/>
      </c>
      <c r="RE66" s="39" t="str">
        <f>IF(RD66="","",(IF(OR(Compositions!BC131="Hydrogen",Compositions!BC131="Helium",Compositions!BC131="Water",Compositions!BC131="Carbon Monoxide",Compositions!BC131="Nitrogen",Compositions!BC131="Oxygen",Compositions!BC131="Hydrogen Sulfide",Compositions!BC131="Argon",Compositions!BC131="Carbon Dioxide",Compositions!BC131="Carbon Disulfide"),0,RD66)))</f>
        <v/>
      </c>
      <c r="RF66" s="186" t="str">
        <f>IF(Compositions!BE131="","",((QW66/100)*((VLOOKUP(Compositions!BC131,'HHV-LHV-MW'!$A$3:$G$40,7,FALSE)))))</f>
        <v/>
      </c>
      <c r="RG66" s="186" t="str">
        <f>IF(QW66="","",(IF(OR(Compositions!BC131="Hydrogen",Compositions!BC131="Carbon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Dioxide",Compositions!BC131="Methane",Compositions!BC131="Ethane"),0,(QW66/100))))</f>
        <v/>
      </c>
      <c r="RH66" s="39" t="str">
        <f>IF(QW66="","",(IF(OR($RG$78=0,$RG$78=""),0,     ((VLOOKUP(Compositions!BC131,'HHV-LHV-MW'!$A$3:$F$40,6,FALSE))*(RG66/$RG$78)))))</f>
        <v/>
      </c>
      <c r="RI66" s="27" t="str">
        <f>IF(Compositions!BF131="","",IF(Compositions!$BF$118="mol%",Compositions!BF131,RJ66))</f>
        <v/>
      </c>
      <c r="RJ66" s="27" t="str">
        <f t="shared" si="62"/>
        <v/>
      </c>
      <c r="RK66" s="27" t="str">
        <f>IF(Compositions!BF131="","",(Compositions!BF131/(VLOOKUP(Compositions!BC131,'HHV-LHV-MW'!$A$3:$F$40,6,FALSE))))</f>
        <v/>
      </c>
      <c r="RL66" s="185" t="str">
        <f>IF(RI66="","",((VLOOKUP(Compositions!BC131,'HHV-LHV-MW'!$A$3:$F$40,4,FALSE))*(RI66/100)))</f>
        <v/>
      </c>
      <c r="RM66" s="185" t="str">
        <f>IF(RI66="","",((VLOOKUP(Compositions!BC131,'HHV-LHV-MW'!$A$3:$F$40,5,FALSE))*(RI66/100)))</f>
        <v/>
      </c>
      <c r="RN66" s="185" t="str">
        <f>IF(RI66="","",((VLOOKUP(Compositions!BC131,'HHV-LHV-MW'!$A$3:$F$40,6,FALSE))*(RI66/100)))</f>
        <v/>
      </c>
      <c r="RO66" s="185" t="str">
        <f>IF(Compositions!BF131="","",(Compositions!BF131*(VLOOKUP(Compositions!BC131,'HHV-LHV-MW'!$A$3:$F$40,6,FALSE))))</f>
        <v/>
      </c>
      <c r="RP66" s="298" t="str">
        <f>IF(Compositions!BF131="","",IF(OR(Compositions!$BF$118="wt%",Compositions!$BF$118=""),Compositions!BF131,(IF(RO66="","",((RO66/$RO$78)*100)))))</f>
        <v/>
      </c>
      <c r="RQ66" s="185" t="str">
        <f>IF(RP66="","",(IF(OR(Compositions!BC131="Hydrogen",Compositions!BC131="Helium",Compositions!BC131="Water",Compositions!BC131="Carbon Monoxide",Compositions!BC131="Nitrogen",Compositions!BC131="Oxygen",Compositions!BC131="Hydrogen Sulfide",Compositions!BC131="Argon",Compositions!BC131="Carbon Dioxide",Compositions!BC131="Carbon Disulfide"),0,RP66)))</f>
        <v/>
      </c>
      <c r="RR66" s="187" t="str">
        <f>IF(Compositions!BF131="","",((RI66/100)*((VLOOKUP(Compositions!BC131,'HHV-LHV-MW'!$A$3:$G$40,7,FALSE)))))</f>
        <v/>
      </c>
      <c r="RS66" s="187" t="str">
        <f>IF(RI66="","",(IF(OR(Compositions!BC131="Hydrogen",Compositions!BC131="Carbon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Dioxide",Compositions!BC131="Methane",Compositions!BC131="Ethane"),0,(RI66/100))))</f>
        <v/>
      </c>
      <c r="RT66" s="205" t="str">
        <f>IF(RI66="","",(IF(OR($RS$78=0,$RS$78=""),0,     ((VLOOKUP(Compositions!BC131,'HHV-LHV-MW'!$A$3:$F$40,6,FALSE))*(RS66/$RS$78)))))</f>
        <v/>
      </c>
      <c r="RU66" s="28" t="str">
        <f>IF(Compositions!BG131="","",IF(Compositions!$BG$118="mol%",Compositions!BG131,RV66))</f>
        <v/>
      </c>
      <c r="RV66" s="28" t="str">
        <f t="shared" si="63"/>
        <v/>
      </c>
      <c r="RW66" s="28" t="str">
        <f>IF(Compositions!BG131="","",(Compositions!BG131/(VLOOKUP(Compositions!BC131,'HHV-LHV-MW'!$A$3:$F$40,6,FALSE))))</f>
        <v/>
      </c>
      <c r="RX66" s="184" t="str">
        <f>IF(RU66="","",((VLOOKUP(Compositions!BC131,'HHV-LHV-MW'!$A$3:$F$40,4,FALSE))*(RU66/100)))</f>
        <v/>
      </c>
      <c r="RY66" s="184" t="str">
        <f>IF(RU66="","",((VLOOKUP(Compositions!BC131,'HHV-LHV-MW'!$A$3:$F$40,5,FALSE))*(RU66/100)))</f>
        <v/>
      </c>
      <c r="RZ66" s="184" t="str">
        <f>IF(RU66="","",((VLOOKUP(Compositions!BC131,'HHV-LHV-MW'!$A$3:$F$40,6,FALSE))*(RU66/100)))</f>
        <v/>
      </c>
      <c r="SA66" s="184" t="str">
        <f>IF(Compositions!BG131="","",(Compositions!BG131*(VLOOKUP(Compositions!BC131,'HHV-LHV-MW'!$A$3:$F$40,6,FALSE))))</f>
        <v/>
      </c>
      <c r="SB66" s="297" t="str">
        <f>IF(Compositions!BG131="","",IF(OR(Compositions!$BG$118="wt%",Compositions!$BG$118=""),Compositions!BG131,(IF(SA66="","",((SA66/$SA$78)*100)))))</f>
        <v/>
      </c>
      <c r="SC66" s="39" t="str">
        <f>IF(SB66="","",(IF(OR(Compositions!BC131="Hydrogen",Compositions!BC131="Helium",Compositions!BC131="Water",Compositions!BC131="Carbon Monoxide",Compositions!BC131="Nitrogen",Compositions!BC131="Oxygen",Compositions!BC131="Hydrogen Sulfide",Compositions!BC131="Argon",Compositions!BC131="Carbon Dioxide",Compositions!BC131="Carbon Disulfide"),0,SB66)))</f>
        <v/>
      </c>
      <c r="SD66" s="186" t="str">
        <f>IF(Compositions!BG131="","",((RU66/100)*((VLOOKUP(Compositions!BC131,'HHV-LHV-MW'!$A$3:$G$40,7,FALSE)))))</f>
        <v/>
      </c>
      <c r="SE66" s="186" t="str">
        <f>IF(RU66="","",(IF(OR(Compositions!BC131="Hydrogen",Compositions!BC131="Carbon Disulfide",Compositions!BC131="Helium",Compositions!BC131="Water",Compositions!BC131="Carbon Monoxide",Compositions!BC131="Nitrogen",Compositions!BC131="Oxygen",Compositions!BC131="Hydrogen Sulfide",Compositions!BC131="Argon",Compositions!BC131="Carbon Dioxide",Compositions!BC131="Methane",Compositions!BC131="Ethane"),0,(RU66/100))))</f>
        <v/>
      </c>
      <c r="SF66" s="39" t="str">
        <f>IF(RU66="","",(IF(OR($SE$78=0,$SE$78=""),0,     ((VLOOKUP(Compositions!BC131,'HHV-LHV-MW'!$A$3:$F$40,6,FALSE))*(SE66/$SE$78)))))</f>
        <v/>
      </c>
    </row>
    <row r="67" spans="1:500" ht="15.6">
      <c r="A67" s="173" t="s">
        <v>199</v>
      </c>
      <c r="B67" s="19" t="s">
        <v>198</v>
      </c>
      <c r="C67" s="20">
        <v>9</v>
      </c>
      <c r="D67" s="20">
        <v>6.1782000000000004</v>
      </c>
      <c r="E67" s="20">
        <v>5.7317999999999998</v>
      </c>
      <c r="F67" s="20">
        <v>128.2578</v>
      </c>
      <c r="G67" s="20">
        <v>0</v>
      </c>
      <c r="H67" s="170"/>
      <c r="I67" s="170"/>
      <c r="K67" s="27" t="str">
        <f>IF(Compositions!B132="","",IF(Compositions!$B$118="mol%",Compositions!B132,L67))</f>
        <v/>
      </c>
      <c r="L67" s="27" t="str">
        <f t="shared" si="25"/>
        <v/>
      </c>
      <c r="M67" s="27" t="str">
        <f>IF(Compositions!B132="","",(Compositions!B132/(VLOOKUP(Compositions!A132,'HHV-LHV-MW'!$A$3:$F$40,6,FALSE))))</f>
        <v/>
      </c>
      <c r="N67" s="25" t="str">
        <f>IF(K67="","",((VLOOKUP(Compositions!A132,'HHV-LHV-MW'!$A$3:$F$40,4,FALSE))*(K67/100)))</f>
        <v/>
      </c>
      <c r="O67" s="25" t="str">
        <f>IF(K67="","",((VLOOKUP(Compositions!A132,'HHV-LHV-MW'!$A$3:$F$40,5,FALSE))*(K67/100)))</f>
        <v/>
      </c>
      <c r="P67" s="25" t="str">
        <f>IF(K67="","",((VLOOKUP(Compositions!A132,'HHV-LHV-MW'!$A$3:$F$40,6,FALSE))*(K67/100)))</f>
        <v/>
      </c>
      <c r="Q67" s="25" t="str">
        <f>IF(Compositions!B132="","",(Compositions!B132*(VLOOKUP(Compositions!A132,'HHV-LHV-MW'!$A$3:$F$40,6,FALSE))))</f>
        <v/>
      </c>
      <c r="R67" s="188" t="str">
        <f>IF(Compositions!B132="","",IF(OR(Compositions!$B$118="wt%",Compositions!$B$118=""),Compositions!B132,(IF(Q67="","",((Q67/$Q$78)*100)))))</f>
        <v/>
      </c>
      <c r="S67" s="185" t="str">
        <f>IF(R67="","",(IF(OR(Compositions!A132="Hydrogen",Compositions!A132="Helium",Compositions!A132="Water",Compositions!A132="Carbon Monoxide",Compositions!A132="Nitrogen",Compositions!A132="Oxygen",Compositions!A132="Hydrogen Sulfide",Compositions!A132="Argon",Compositions!A132="Carbon Dioxide",Compositions!A132="Carbon Disulfide"),0,R67)))</f>
        <v/>
      </c>
      <c r="T67" s="169" t="str">
        <f>IF(Compositions!B132="","",((K67/100)*((VLOOKUP(Compositions!A132,'HHV-LHV-MW'!$A$3:$G$40,7,FALSE)))))</f>
        <v/>
      </c>
      <c r="U67" s="187" t="str">
        <f>IF(K67="","",(IF(OR(Compositions!A132="Hydrogen",Compositions!A132="Carbon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Dioxide",Compositions!A132="Methane",Compositions!A132="Ethane"),0,(K67/100))))</f>
        <v/>
      </c>
      <c r="V67" s="188" t="str">
        <f>IF(K67="","", (IF(OR($U$78=0,$U$78=""),0,((VLOOKUP(Compositions!A132,'HHV-LHV-MW'!$A$3:$F$40,6,FALSE))*(U67/$U$78))   ))   )</f>
        <v/>
      </c>
      <c r="W67" s="28" t="str">
        <f>IF(Compositions!C132="","",IF(Compositions!$C$118="mol%",Compositions!C132,X67))</f>
        <v/>
      </c>
      <c r="X67" s="28" t="str">
        <f t="shared" si="26"/>
        <v/>
      </c>
      <c r="Y67" s="28" t="str">
        <f>IF(Compositions!C132="","",(Compositions!C132/(VLOOKUP(Compositions!A132,'HHV-LHV-MW'!$A$3:$F$40,6,FALSE))))</f>
        <v/>
      </c>
      <c r="Z67" s="26" t="str">
        <f>IF(W67="","",((VLOOKUP(Compositions!A132,'HHV-LHV-MW'!$A$3:$F$40,4,FALSE))*(W67/100)))</f>
        <v/>
      </c>
      <c r="AA67" s="26" t="str">
        <f>IF(W67="","",((VLOOKUP(Compositions!A132,'HHV-LHV-MW'!$A$3:$F$40,5,FALSE))*(W67/100)))</f>
        <v/>
      </c>
      <c r="AB67" s="26" t="str">
        <f>IF(W67="","",((VLOOKUP(Compositions!A132,'HHV-LHV-MW'!$A$3:$F$40,6,FALSE))*(W67/100)))</f>
        <v/>
      </c>
      <c r="AC67" s="26" t="str">
        <f>IF(Compositions!C132="","",(Compositions!C132*(VLOOKUP(Compositions!A132,'HHV-LHV-MW'!$A$3:$F$40,6,FALSE))))</f>
        <v/>
      </c>
      <c r="AD67" s="296" t="str">
        <f>IF(Compositions!C132="","",IF(OR(Compositions!$C$118="wt%",Compositions!$C$118=""),Compositions!C132,(IF(AC67="","",((AC67/$AC$78)*100)))))</f>
        <v/>
      </c>
      <c r="AE67" s="39" t="str">
        <f>IF(AD67="","",(IF(OR(Compositions!A132="Hydrogen",Compositions!A132="Helium",Compositions!A132="Water",Compositions!A132="Carbon Monoxide",Compositions!A132="Nitrogen",Compositions!A132="Oxygen",Compositions!A132="Hydrogen Sulfide",Compositions!A132="Argon",Compositions!A132="Carbon Dioxide",Compositions!A132="Carbon Disulfide"),0,AD67)))</f>
        <v/>
      </c>
      <c r="AF67" s="186" t="str">
        <f>IF(Compositions!C132="","",((W67/100)*((VLOOKUP(Compositions!A132,'HHV-LHV-MW'!$A$3:$G$40,7,FALSE)))))</f>
        <v/>
      </c>
      <c r="AG67" s="186" t="str">
        <f>IF(W67="","",(IF(OR(Compositions!A132="Hydrogen",Compositions!A132="Carbon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Dioxide",Compositions!A132="Methane",Compositions!A132="Ethane"),0,(W67/100))))</f>
        <v/>
      </c>
      <c r="AH67" s="39" t="str">
        <f>IF(W67="","", (IF(OR($AG$78=0,$AG$78=""),0,   ((VLOOKUP(Compositions!A132,'HHV-LHV-MW'!$A$3:$F$40,6,FALSE))*(AG67/$AG$78)))))</f>
        <v/>
      </c>
      <c r="AI67" s="27" t="str">
        <f>IF(Compositions!D132="","",IF(Compositions!$D$118="mol%",Compositions!D132,AJ67))</f>
        <v/>
      </c>
      <c r="AJ67" s="27" t="str">
        <f t="shared" si="27"/>
        <v/>
      </c>
      <c r="AK67" s="27" t="str">
        <f>IF(Compositions!D132="","",(Compositions!D132/(VLOOKUP(Compositions!A132,'HHV-LHV-MW'!$A$3:$F$40,6,FALSE))))</f>
        <v/>
      </c>
      <c r="AL67" s="25" t="str">
        <f>IF(AI67="","",((VLOOKUP(Compositions!A132,'HHV-LHV-MW'!$A$3:$F$40,4,FALSE))*(AI67/100)))</f>
        <v/>
      </c>
      <c r="AM67" s="25" t="str">
        <f>IF(AI67="","",((VLOOKUP(Compositions!A132,'HHV-LHV-MW'!$A$3:$F$40,5,FALSE))*(AI67/100)))</f>
        <v/>
      </c>
      <c r="AN67" s="25" t="str">
        <f>IF(AI67="","",((VLOOKUP(Compositions!A132,'HHV-LHV-MW'!$A$3:$F$40,6,FALSE))*(AI67/100)))</f>
        <v/>
      </c>
      <c r="AO67" s="25" t="str">
        <f>IF(Compositions!D132="","",(Compositions!D132*(VLOOKUP(Compositions!A132,'HHV-LHV-MW'!$A$3:$F$40,6,FALSE))))</f>
        <v/>
      </c>
      <c r="AP67" s="295" t="str">
        <f>IF(Compositions!D132="","",IF(OR(Compositions!$D$118="wt%",Compositions!$D$118=""),Compositions!D132,(IF(AO67="","",((AO67/$AO$78)*100)))))</f>
        <v/>
      </c>
      <c r="AQ67" s="185" t="str">
        <f>IF(AP67="","",(IF(OR(Compositions!A132="Hydrogen",Compositions!A132="Helium",Compositions!A132="Water",Compositions!A132="Carbon Monoxide",Compositions!A132="Nitrogen",Compositions!A132="Oxygen",Compositions!A132="Hydrogen Sulfide",Compositions!A132="Argon",Compositions!A132="Carbon Dioxide",Compositions!A132="Carbon Disulfide"),0,AP67)))</f>
        <v/>
      </c>
      <c r="AR67" s="187" t="str">
        <f>IF(Compositions!D132="","",((AI67/100)*((VLOOKUP(Compositions!A132,'HHV-LHV-MW'!$A$3:$G$40,7,FALSE)))))</f>
        <v/>
      </c>
      <c r="AS67" s="187" t="str">
        <f>IF(AI67="","",(IF(OR(Compositions!A132="Hydrogen",Compositions!A132="Carbon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Dioxide",Compositions!A132="Methane",Compositions!A132="Ethane"),0,(AI67/100))))</f>
        <v/>
      </c>
      <c r="AT67" s="205" t="str">
        <f>IF(AI67="","",(IF(OR($AS$78=0,$AS$78=""),0,      ((VLOOKUP(Compositions!A132,'HHV-LHV-MW'!$A$3:$F$40,6,FALSE))*(AS67/$AS$78)))))</f>
        <v/>
      </c>
      <c r="AU67" s="28" t="str">
        <f>IF(Compositions!E132="","",IF(Compositions!$E$118="mol%",Compositions!E132,AV67))</f>
        <v/>
      </c>
      <c r="AV67" s="28" t="str">
        <f t="shared" si="28"/>
        <v/>
      </c>
      <c r="AW67" s="28" t="str">
        <f>IF(Compositions!E132="","",(Compositions!E132/(VLOOKUP(Compositions!A132,'HHV-LHV-MW'!$A$3:$F$40,6,FALSE))))</f>
        <v/>
      </c>
      <c r="AX67" s="26" t="str">
        <f>IF(AU67="","",((VLOOKUP(Compositions!A132,'HHV-LHV-MW'!$A$3:$F$40,4,FALSE))*(AU67/100)))</f>
        <v/>
      </c>
      <c r="AY67" s="26" t="str">
        <f>IF(AU67="","",((VLOOKUP(Compositions!A132,'HHV-LHV-MW'!$A$3:$F$40,5,FALSE))*(AU67/100)))</f>
        <v/>
      </c>
      <c r="AZ67" s="26" t="str">
        <f>IF(AU67="","",((VLOOKUP(Compositions!A132,'HHV-LHV-MW'!$A$3:$F$40,6,FALSE))*(AU67/100)))</f>
        <v/>
      </c>
      <c r="BA67" s="26" t="str">
        <f>IF(Compositions!E132="","",(Compositions!E132*(VLOOKUP(Compositions!A132,'HHV-LHV-MW'!$A$3:$F$40,6,FALSE))))</f>
        <v/>
      </c>
      <c r="BB67" s="296" t="str">
        <f>IF(Compositions!E132="","",IF(OR(Compositions!$E$118="wt%",Compositions!$E$118=""),Compositions!E132,(IF(BA67="","",((BA67/$BA$78)*100)))))</f>
        <v/>
      </c>
      <c r="BC67" s="39" t="str">
        <f>IF(BB67="","",(IF(OR(Compositions!A132="Hydrogen",Compositions!A132="Helium",Compositions!A132="Water",Compositions!A132="Carbon Monoxide",Compositions!A132="Nitrogen",Compositions!A132="Oxygen",Compositions!A132="Hydrogen Sulfide",Compositions!A132="Argon",Compositions!A132="Carbon Dioxide",Compositions!A132="Carbon Disulfide"),0,BB67)))</f>
        <v/>
      </c>
      <c r="BD67" s="186" t="str">
        <f>IF(Compositions!E132="","",((AU67/100)*((VLOOKUP(Compositions!A132,'HHV-LHV-MW'!$A$3:$G$40,7,FALSE)))))</f>
        <v/>
      </c>
      <c r="BE67" s="186" t="str">
        <f>IF(AU67="","",(IF(OR(Compositions!A132="Hydrogen",Compositions!A132="Carbon Disulfide",Compositions!A132="Helium",Compositions!A132="Water",Compositions!A132="Carbon Monoxide",Compositions!A132="Nitrogen",Compositions!A132="Oxygen",Compositions!A132="Hydrogen Sulfide",Compositions!A132="Argon",Compositions!A132="Carbon Dioxide",Compositions!A132="Methane",Compositions!A132="Ethane"),0,(AU67/100))))</f>
        <v/>
      </c>
      <c r="BF67" s="39" t="str">
        <f>IF(AU67="","",(IF(OR($BE$78=0,$BE$78=""),0,     ((VLOOKUP(Compositions!A132,'HHV-LHV-MW'!$A$3:$F$40,6,FALSE))*(BE67/$BE$78)))))</f>
        <v/>
      </c>
      <c r="BH67" s="27" t="str">
        <f>IF(Compositions!H132="","",IF(Compositions!$H$118="mol%",Compositions!H132,BI67))</f>
        <v/>
      </c>
      <c r="BI67" s="27" t="str">
        <f t="shared" si="29"/>
        <v/>
      </c>
      <c r="BJ67" s="27" t="str">
        <f>IF(Compositions!H132="","",(Compositions!H132/(VLOOKUP(Compositions!G132,'HHV-LHV-MW'!$A$3:$F$40,6,FALSE))))</f>
        <v/>
      </c>
      <c r="BK67" s="25" t="str">
        <f>IF(BH67="","",((VLOOKUP(Compositions!G132,'HHV-LHV-MW'!$A$3:$F$40,4,FALSE))*(BH67/100)))</f>
        <v/>
      </c>
      <c r="BL67" s="25" t="str">
        <f>IF(BH67="","",((VLOOKUP(Compositions!G132,'HHV-LHV-MW'!$A$3:$F$40,5,FALSE))*(BH67/100)))</f>
        <v/>
      </c>
      <c r="BM67" s="25" t="str">
        <f>IF(BH67="","",((VLOOKUP(Compositions!G132,'HHV-LHV-MW'!$A$3:$F$40,6,FALSE))*(BH67/100)))</f>
        <v/>
      </c>
      <c r="BN67" s="25" t="str">
        <f>IF(Compositions!H132="","",(Compositions!H132*(VLOOKUP(Compositions!G132,'HHV-LHV-MW'!$A$3:$F$40,6,FALSE))))</f>
        <v/>
      </c>
      <c r="BO67" s="295" t="str">
        <f>IF(Compositions!H132="","",IF(OR(Compositions!$H$118="wt%",Compositions!$H$118=""),Compositions!H132,(IF(BN67="","",((BN67/$BN$78)*100)))))</f>
        <v/>
      </c>
      <c r="BP67" s="185" t="str">
        <f>IF(BO67="","",(IF(OR(Compositions!G132="Hydrogen",Compositions!G132="Helium",Compositions!G132="Water",Compositions!G132="Carbon Monoxide",Compositions!G132="Nitrogen",Compositions!G132="Oxygen",Compositions!G132="Hydrogen Sulfide",Compositions!G132="Argon",Compositions!G132="Carbon Dioxide",Compositions!G132="Carbon Disulfide"),0,BO67)))</f>
        <v/>
      </c>
      <c r="BQ67" s="187" t="str">
        <f>IF(Compositions!H132="","",((BH67/100)*((VLOOKUP(Compositions!G132,'HHV-LHV-MW'!$A$3:$G$40,7,FALSE)))))</f>
        <v/>
      </c>
      <c r="BR67" s="187" t="str">
        <f>IF(BH67="","",(IF(OR(Compositions!G132="Hydrogen",Compositions!G132="Carbon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Dioxide",Compositions!G132="Methane",Compositions!G132="Ethane"),0,(BH67/100))))</f>
        <v/>
      </c>
      <c r="BS67" s="205" t="str">
        <f>IF(BH67="","",(IF(OR($BR$78=0,$BR$78=""),0,    ((VLOOKUP(Compositions!G132,'HHV-LHV-MW'!$A$3:$F$40,6,FALSE))*(BR67/$BR$78)))))</f>
        <v/>
      </c>
      <c r="BT67" s="28" t="str">
        <f>IF(Compositions!I132="","",IF(Compositions!$I$118="mol%",Compositions!I132,BU67))</f>
        <v/>
      </c>
      <c r="BU67" s="28" t="str">
        <f t="shared" si="30"/>
        <v/>
      </c>
      <c r="BV67" s="28" t="str">
        <f>IF(Compositions!I132="","",(Compositions!I132/(VLOOKUP(Compositions!G132,'HHV-LHV-MW'!$A$3:$F$40,6,FALSE))))</f>
        <v/>
      </c>
      <c r="BW67" s="26" t="str">
        <f>IF(BT67="","",((VLOOKUP(Compositions!G132,'HHV-LHV-MW'!$A$3:$F$40,4,FALSE))*(BT67/100)))</f>
        <v/>
      </c>
      <c r="BX67" s="26" t="str">
        <f>IF(BT67="","",((VLOOKUP(Compositions!G132,'HHV-LHV-MW'!$A$3:$F$40,5,FALSE))*(BT67/100)))</f>
        <v/>
      </c>
      <c r="BY67" s="26" t="str">
        <f>IF(BT67="","",((VLOOKUP(Compositions!G132,'HHV-LHV-MW'!$A$3:$F$40,6,FALSE))*(BT67/100)))</f>
        <v/>
      </c>
      <c r="BZ67" s="26" t="str">
        <f>IF(Compositions!I132="","",(Compositions!I132*(VLOOKUP(Compositions!G132,'HHV-LHV-MW'!$A$3:$F$40,6,FALSE))))</f>
        <v/>
      </c>
      <c r="CA67" s="296" t="str">
        <f>IF(Compositions!I132="","",IF(OR(Compositions!$I$118="wt%",Compositions!$I$118=""),Compositions!I132,(IF(BZ67="","",((BZ67/$BZ$78)*100)))))</f>
        <v/>
      </c>
      <c r="CB67" s="39" t="str">
        <f>IF(CA67="","",(IF(OR(Compositions!G132="Hydrogen",Compositions!G132="Helium",Compositions!G132="Water",Compositions!G132="Carbon Monoxide",Compositions!G132="Nitrogen",Compositions!G132="Oxygen",Compositions!G132="Hydrogen Sulfide",Compositions!G132="Argon",Compositions!G132="Carbon Dioxide",Compositions!G132="Carbon Disulfide"),0,CA67)))</f>
        <v/>
      </c>
      <c r="CC67" s="186" t="str">
        <f>IF(Compositions!I132="","",((BT67/100)*((VLOOKUP(Compositions!G132,'HHV-LHV-MW'!$A$3:$G$40,7,FALSE)))))</f>
        <v/>
      </c>
      <c r="CD67" s="186" t="str">
        <f>IF(BT67="","",(IF(OR(Compositions!G132="Hydrogen",Compositions!G132="Carbon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Dioxide",Compositions!G132="Methane",Compositions!G132="Ethane"),0,(BT67/100))))</f>
        <v/>
      </c>
      <c r="CE67" s="39" t="str">
        <f>IF(BT67="","",(IF(OR($CD$78=0,$CD$78=""),0,       ((VLOOKUP(Compositions!G132,'HHV-LHV-MW'!$A$3:$F$40,6,FALSE))*(CD67/$CD$78)))))</f>
        <v/>
      </c>
      <c r="CF67" s="27" t="str">
        <f>IF(Compositions!J132="","",IF(Compositions!$J$118="mol%",Compositions!J132,CG67))</f>
        <v/>
      </c>
      <c r="CG67" s="27" t="str">
        <f t="shared" si="31"/>
        <v/>
      </c>
      <c r="CH67" s="27" t="str">
        <f>IF(Compositions!J132="","",(Compositions!J132/(VLOOKUP(Compositions!G132,'HHV-LHV-MW'!$A$3:$F$40,6,FALSE))))</f>
        <v/>
      </c>
      <c r="CI67" s="25" t="str">
        <f>IF(CF67="","",((VLOOKUP(Compositions!G132,'HHV-LHV-MW'!$A$3:$F$40,4,FALSE))*(CF67/100)))</f>
        <v/>
      </c>
      <c r="CJ67" s="25" t="str">
        <f>IF(CF67="","",((VLOOKUP(Compositions!G132,'HHV-LHV-MW'!$A$3:$F$40,5,FALSE))*(CF67/100)))</f>
        <v/>
      </c>
      <c r="CK67" s="25" t="str">
        <f>IF(CF67="","",((VLOOKUP(Compositions!G132,'HHV-LHV-MW'!$A$3:$F$40,6,FALSE))*(CF67/100)))</f>
        <v/>
      </c>
      <c r="CL67" s="25" t="str">
        <f>IF(Compositions!J132="","",(Compositions!J132*(VLOOKUP(Compositions!G132,'HHV-LHV-MW'!$A$3:$F$40,6,FALSE))))</f>
        <v/>
      </c>
      <c r="CM67" s="295" t="str">
        <f>IF(Compositions!J132="","",IF(OR(Compositions!$J$118="wt%",Compositions!$J$118=""),Compositions!J132,(IF(CL67="","",((CL67/$CL$78)*100)))))</f>
        <v/>
      </c>
      <c r="CN67" s="185" t="str">
        <f>IF(CM67="","",(IF(OR(Compositions!G132="Hydrogen",Compositions!G132="Helium",Compositions!G132="Water",Compositions!G132="Carbon Monoxide",Compositions!G132="Nitrogen",Compositions!G132="Oxygen",Compositions!G132="Hydrogen Sulfide",Compositions!G132="Argon",Compositions!G132="Carbon Dioxide",Compositions!G132="Carbon Disulfide"),0,CM67)))</f>
        <v/>
      </c>
      <c r="CO67" s="187" t="str">
        <f>IF(Compositions!J132="","",((CF67/100)*((VLOOKUP(Compositions!G132,'HHV-LHV-MW'!$A$3:$G$40,7,FALSE)))))</f>
        <v/>
      </c>
      <c r="CP67" s="187" t="str">
        <f>IF(CF67="","",(IF(OR(Compositions!G132="Hydrogen",Compositions!G132="Carbon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Dioxide",Compositions!G132="Methane",Compositions!G132="Ethane"),0,(CF67/100))))</f>
        <v/>
      </c>
      <c r="CQ67" s="205" t="str">
        <f>IF(CF67="","",(IF(OR($CP$78=0,$CP$78=""),0,       ((VLOOKUP(Compositions!G132,'HHV-LHV-MW'!$A$3:$F$40,6,FALSE))*(CP67/$CP$78)))))</f>
        <v/>
      </c>
      <c r="CR67" s="28" t="str">
        <f>IF(Compositions!K132="","",IF(Compositions!$K$118="mol%",Compositions!K132,CS67))</f>
        <v/>
      </c>
      <c r="CS67" s="28" t="str">
        <f t="shared" si="32"/>
        <v/>
      </c>
      <c r="CT67" s="28" t="str">
        <f>IF(Compositions!K132="","",(Compositions!K132/(VLOOKUP(Compositions!G132,'HHV-LHV-MW'!$A$3:$F$40,6,FALSE))))</f>
        <v/>
      </c>
      <c r="CU67" s="26" t="str">
        <f>IF(CR67="","",((VLOOKUP(Compositions!G132,'HHV-LHV-MW'!$A$3:$F$40,4,FALSE))*(CR67/100)))</f>
        <v/>
      </c>
      <c r="CV67" s="26" t="str">
        <f>IF(CR67="","",((VLOOKUP(Compositions!G132,'HHV-LHV-MW'!$A$3:$F$40,5,FALSE))*(CR67/100)))</f>
        <v/>
      </c>
      <c r="CW67" s="26" t="str">
        <f>IF(CR67="","",((VLOOKUP(Compositions!G132,'HHV-LHV-MW'!$A$3:$F$40,6,FALSE))*(CR67/100)))</f>
        <v/>
      </c>
      <c r="CX67" s="26" t="str">
        <f>IF(Compositions!K132="","",(Compositions!K132*(VLOOKUP(Compositions!G132,'HHV-LHV-MW'!$A$3:$F$40,6,FALSE))))</f>
        <v/>
      </c>
      <c r="CY67" s="296" t="str">
        <f>IF(Compositions!K132="","",IF(OR(Compositions!$K$118="wt%",Compositions!$K$118=""),Compositions!K132,(IF(CX67="","",((CX67/$CX$78)*100)))))</f>
        <v/>
      </c>
      <c r="CZ67" s="39" t="str">
        <f>IF(CY67="","",(IF(OR(Compositions!G132="Hydrogen",Compositions!G132="Helium",Compositions!G132="Water",Compositions!G132="Carbon Monoxide",Compositions!G132="Nitrogen",Compositions!G132="Oxygen",Compositions!G132="Hydrogen Sulfide",Compositions!G132="Argon",Compositions!G132="Carbon Dioxide",Compositions!G132="Carbon Disulfide"),0,CY67)))</f>
        <v/>
      </c>
      <c r="DA67" s="186" t="str">
        <f>IF(Compositions!K132="","",((CR67/100)*((VLOOKUP(Compositions!G132,'HHV-LHV-MW'!$A$3:$G$40,7,FALSE)))))</f>
        <v/>
      </c>
      <c r="DB67" s="186" t="str">
        <f>IF(CR67="","",(IF(OR(Compositions!G132="Hydrogen",Compositions!G132="Carbon Disulfide",Compositions!G132="Helium",Compositions!G132="Water",Compositions!G132="Carbon Monoxide",Compositions!G132="Nitrogen",Compositions!G132="Oxygen",Compositions!G132="Hydrogen Sulfide",Compositions!G132="Argon",Compositions!G132="Carbon Dioxide",Compositions!G132="Methane",Compositions!G132="Ethane"),0,(CR67/100))))</f>
        <v/>
      </c>
      <c r="DC67" s="39" t="str">
        <f>IF(CR67="","",(IF(OR($DB$78=0,$DB$78=""),0,       ((VLOOKUP(Compositions!G132,'HHV-LHV-MW'!$A$3:$F$40,6,FALSE))*(DB67/$DB$78)))))</f>
        <v/>
      </c>
      <c r="DE67" s="27" t="str">
        <f>IF(Compositions!N132="","",IF(Compositions!$N$118="mol%",Compositions!N132,DF67))</f>
        <v/>
      </c>
      <c r="DF67" s="27" t="str">
        <f t="shared" si="33"/>
        <v/>
      </c>
      <c r="DG67" s="27" t="str">
        <f>IF(Compositions!N132="","",(Compositions!N132/(VLOOKUP(Compositions!M132,'HHV-LHV-MW'!$A$3:$F$40,6,FALSE))))</f>
        <v/>
      </c>
      <c r="DH67" s="25" t="str">
        <f>IF(DE67="","",((VLOOKUP(Compositions!M132,'HHV-LHV-MW'!$A$3:$F$40,4,FALSE))*(DE67/100)))</f>
        <v/>
      </c>
      <c r="DI67" s="25" t="str">
        <f>IF(DE67="","",((VLOOKUP(Compositions!M132,'HHV-LHV-MW'!$A$3:$F$40,5,FALSE))*(DE67/100)))</f>
        <v/>
      </c>
      <c r="DJ67" s="25" t="str">
        <f>IF(DE67="","",((VLOOKUP(Compositions!M132,'HHV-LHV-MW'!$A$3:$F$40,6,FALSE))*(DE67/100)))</f>
        <v/>
      </c>
      <c r="DK67" s="25" t="str">
        <f>IF(Compositions!N132="","",(Compositions!N132*(VLOOKUP(Compositions!M132,'HHV-LHV-MW'!$A$3:$F$40,6,FALSE))))</f>
        <v/>
      </c>
      <c r="DL67" s="295" t="str">
        <f>IF(Compositions!N132="","",IF(OR(Compositions!$N$118="wt%",Compositions!$N$118=""),Compositions!N132,(IF(DK67="","",((DK67/$DK$78)*100)))))</f>
        <v/>
      </c>
      <c r="DM67" s="185" t="str">
        <f>IF(DL67="","",(IF(OR(Compositions!M132="Hydrogen",Compositions!M132="Helium",Compositions!M132="Water",Compositions!M132="Carbon Monoxide",Compositions!M132="Nitrogen",Compositions!M132="Oxygen",Compositions!M132="Hydrogen Sulfide",Compositions!M132="Argon",Compositions!M132="Carbon Dioxide",Compositions!M132="Carbon Disulfide"),0,DL67)))</f>
        <v/>
      </c>
      <c r="DN67" s="187" t="str">
        <f>IF(Compositions!N132="","",((DE67/100)*((VLOOKUP(Compositions!M132,'HHV-LHV-MW'!$A$3:$G$40,7,FALSE)))))</f>
        <v/>
      </c>
      <c r="DO67" s="187" t="str">
        <f>IF(DE67="","",(IF(OR(Compositions!M132="Hydrogen",Compositions!M132="Carbon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Dioxide",Compositions!M132="Methane",Compositions!M132="Ethane"),0,(DE67/100))))</f>
        <v/>
      </c>
      <c r="DP67" s="205" t="str">
        <f>IF(DE67="","",(IF(OR($DO$78=0,$DO$78=""),0,       ((VLOOKUP(Compositions!M132,'HHV-LHV-MW'!$A$3:$F$40,6,FALSE))*(DO67/$DO$78)))))</f>
        <v/>
      </c>
      <c r="DQ67" s="28" t="str">
        <f>IF(Compositions!O132="","",IF(Compositions!$O$118="mol%",Compositions!O132,DR67))</f>
        <v/>
      </c>
      <c r="DR67" s="28" t="str">
        <f t="shared" si="34"/>
        <v/>
      </c>
      <c r="DS67" s="28" t="str">
        <f>IF(Compositions!O132="","",(Compositions!O132/(VLOOKUP(Compositions!M132,'HHV-LHV-MW'!$A$3:$F$40,6,FALSE))))</f>
        <v/>
      </c>
      <c r="DT67" s="26" t="str">
        <f>IF(DQ67="","",((VLOOKUP(Compositions!M132,'HHV-LHV-MW'!$A$3:$F$40,4,FALSE))*(DQ67/100)))</f>
        <v/>
      </c>
      <c r="DU67" s="26" t="str">
        <f>IF(DQ67="","",((VLOOKUP(Compositions!M132,'HHV-LHV-MW'!$A$3:$F$40,5,FALSE))*(DQ67/100)))</f>
        <v/>
      </c>
      <c r="DV67" s="26" t="str">
        <f>IF(DQ67="","",((VLOOKUP(Compositions!M132,'HHV-LHV-MW'!$A$3:$F$40,6,FALSE))*(DQ67/100)))</f>
        <v/>
      </c>
      <c r="DW67" s="26" t="str">
        <f>IF(Compositions!O132="","",(Compositions!O132*(VLOOKUP(Compositions!M132,'HHV-LHV-MW'!$A$3:$F$40,6,FALSE))))</f>
        <v/>
      </c>
      <c r="DX67" s="296" t="str">
        <f>IF(Compositions!O132="","",IF(OR(Compositions!$O$118="wt%",Compositions!$O$118=""),Compositions!O132,(IF(DW67="","",((DW67/$DW$78)*100)))))</f>
        <v/>
      </c>
      <c r="DY67" s="39" t="str">
        <f>IF(DX67="","",(IF(OR(Compositions!M132="Hydrogen",Compositions!M132="Helium",Compositions!M132="Water",Compositions!M132="Carbon Monoxide",Compositions!M132="Nitrogen",Compositions!M132="Oxygen",Compositions!M132="Hydrogen Sulfide",Compositions!M132="Argon",Compositions!M132="Carbon Dioxide",Compositions!M132="Carbon Disulfide"),0,DX67)))</f>
        <v/>
      </c>
      <c r="DZ67" s="186" t="str">
        <f>IF(Compositions!O132="","",((DQ67/100)*((VLOOKUP(Compositions!M132,'HHV-LHV-MW'!$A$3:$G$40,7,FALSE)))))</f>
        <v/>
      </c>
      <c r="EA67" s="186" t="str">
        <f>IF(DQ67="","",(IF(OR(Compositions!M132="Hydrogen",Compositions!M132="Carbon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Dioxide",Compositions!M132="Methane",Compositions!M132="Ethane"),0,(DQ67/100))))</f>
        <v/>
      </c>
      <c r="EB67" s="39" t="str">
        <f>IF(DQ67="","",(IF(OR($EA$78=0,$EA$78=""),0,       ((VLOOKUP(Compositions!M132,'HHV-LHV-MW'!$A$3:$F$40,6,FALSE))*(EA67/$EA$78)))))</f>
        <v/>
      </c>
      <c r="EC67" s="27" t="str">
        <f>IF(Compositions!P132="","",IF(Compositions!$P$118="mol%",Compositions!P132,ED67))</f>
        <v/>
      </c>
      <c r="ED67" s="27" t="str">
        <f t="shared" si="35"/>
        <v/>
      </c>
      <c r="EE67" s="27" t="str">
        <f>IF(Compositions!P132="","",(Compositions!P132/(VLOOKUP(Compositions!M132,'HHV-LHV-MW'!$A$3:$F$40,6,FALSE))))</f>
        <v/>
      </c>
      <c r="EF67" s="25" t="str">
        <f>IF(EC67="","",((VLOOKUP(Compositions!M132,'HHV-LHV-MW'!$A$3:$F$40,4,FALSE))*(EC67/100)))</f>
        <v/>
      </c>
      <c r="EG67" s="25" t="str">
        <f>IF(EC67="","",((VLOOKUP(Compositions!M132,'HHV-LHV-MW'!$A$3:$F$40,5,FALSE))*(EC67/100)))</f>
        <v/>
      </c>
      <c r="EH67" s="25" t="str">
        <f>IF(EC67="","",((VLOOKUP(Compositions!M132,'HHV-LHV-MW'!$A$3:$F$40,6,FALSE))*(EC67/100)))</f>
        <v/>
      </c>
      <c r="EI67" s="25" t="str">
        <f>IF(Compositions!P132="","",(Compositions!P132*(VLOOKUP(Compositions!M132,'HHV-LHV-MW'!$A$3:$F$40,6,FALSE))))</f>
        <v/>
      </c>
      <c r="EJ67" s="295" t="str">
        <f>IF(Compositions!P132="","",IF(OR(Compositions!$P$118="wt%",Compositions!$P$118=""),Compositions!P132,(IF(EI67="","",((EI67/$EI$78)*100)))))</f>
        <v/>
      </c>
      <c r="EK67" s="185" t="str">
        <f>IF(EJ67="","",(IF(OR(Compositions!M132="Hydrogen",Compositions!M132="Helium",Compositions!M132="Water",Compositions!M132="Carbon Monoxide",Compositions!M132="Nitrogen",Compositions!M132="Oxygen",Compositions!M132="Hydrogen Sulfide",Compositions!M132="Argon",Compositions!M132="Carbon Dioxide",Compositions!M132="Carbon Disulfide"),0,EJ67)))</f>
        <v/>
      </c>
      <c r="EL67" s="187" t="str">
        <f>IF(Compositions!P132="","",((EC67/100)*((VLOOKUP(Compositions!M132,'HHV-LHV-MW'!$A$3:$G$40,7,FALSE)))))</f>
        <v/>
      </c>
      <c r="EM67" s="187" t="str">
        <f>IF(EC67="","",(IF(OR(Compositions!M132="Hydrogen",Compositions!M132="Carbon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Dioxide",Compositions!M132="Methane",Compositions!M132="Ethane"),0,(EC67/100))))</f>
        <v/>
      </c>
      <c r="EN67" s="205" t="str">
        <f>IF(EC67="","",(IF(OR($EM$78=0,$EM$78=""),0,       ((VLOOKUP(Compositions!M132,'HHV-LHV-MW'!$A$3:$F$40,6,FALSE))*(EM67/$EM$78)))))</f>
        <v/>
      </c>
      <c r="EO67" s="28" t="str">
        <f>IF(Compositions!Q132="","",IF(Compositions!$Q$118="mol%",Compositions!Q132,EP67))</f>
        <v/>
      </c>
      <c r="EP67" s="28" t="str">
        <f t="shared" si="36"/>
        <v/>
      </c>
      <c r="EQ67" s="28" t="str">
        <f>IF(Compositions!Q132="","",(Compositions!Q132/(VLOOKUP(Compositions!M132,'HHV-LHV-MW'!$A$3:$F$40,6,FALSE))))</f>
        <v/>
      </c>
      <c r="ER67" s="26" t="str">
        <f>IF(EO67="","",((VLOOKUP(Compositions!M132,'HHV-LHV-MW'!$A$3:$F$40,4,FALSE))*(EO67/100)))</f>
        <v/>
      </c>
      <c r="ES67" s="26" t="str">
        <f>IF(EO67="","",((VLOOKUP(Compositions!M132,'HHV-LHV-MW'!$A$3:$F$40,5,FALSE))*(EO67/100)))</f>
        <v/>
      </c>
      <c r="ET67" s="26" t="str">
        <f>IF(EO67="","",((VLOOKUP(Compositions!M132,'HHV-LHV-MW'!$A$3:$F$40,6,FALSE))*(EO67/100)))</f>
        <v/>
      </c>
      <c r="EU67" s="26" t="str">
        <f>IF(Compositions!Q132="","",(Compositions!Q132*(VLOOKUP(Compositions!M132,'HHV-LHV-MW'!$A$3:$F$40,6,FALSE))))</f>
        <v/>
      </c>
      <c r="EV67" s="296" t="str">
        <f>IF(Compositions!Q132="","",IF(OR(Compositions!$Q$118="wt%",Compositions!$Q$118=""),Compositions!Q132,(IF(EU67="","",((EU67/$EU$78)*100)))))</f>
        <v/>
      </c>
      <c r="EW67" s="39" t="str">
        <f>IF(EV67="","",(IF(OR(Compositions!M132="Hydrogen",Compositions!M132="Helium",Compositions!M132="Water",Compositions!M132="Carbon Monoxide",Compositions!M132="Nitrogen",Compositions!M132="Oxygen",Compositions!M132="Hydrogen Sulfide",Compositions!M132="Argon",Compositions!M132="Carbon Dioxide",Compositions!M132="Carbon Disulfide"),0,EV67)))</f>
        <v/>
      </c>
      <c r="EX67" s="186" t="str">
        <f>IF(Compositions!Q132="","",((EO67/100)*((VLOOKUP(Compositions!M132,'HHV-LHV-MW'!$A$3:$G$40,7,FALSE)))))</f>
        <v/>
      </c>
      <c r="EY67" s="186" t="str">
        <f>IF(EO67="","",(IF(OR(Compositions!M132="Hydrogen",Compositions!M132="Carbon Disulfide",Compositions!M132="Helium",Compositions!M132="Water",Compositions!M132="Carbon Monoxide",Compositions!M132="Nitrogen",Compositions!M132="Oxygen",Compositions!M132="Hydrogen Sulfide",Compositions!M132="Argon",Compositions!M132="Carbon Dioxide",Compositions!M132="Methane",Compositions!M132="Ethane"),0,(EO67/100))))</f>
        <v/>
      </c>
      <c r="EZ67" s="39" t="str">
        <f>IF(EO67="","",(IF(OR($EY$78=0,$EY$78=""),0,       ((VLOOKUP(Compositions!M132,'HHV-LHV-MW'!$A$3:$F$40,6,FALSE))*(EY67/$EY$78)))))</f>
        <v/>
      </c>
      <c r="FB67" s="27" t="str">
        <f>IF(Compositions!T132="","",IF(Compositions!$T$118="mol%",Compositions!T132,FC67))</f>
        <v/>
      </c>
      <c r="FC67" s="27" t="str">
        <f t="shared" si="37"/>
        <v/>
      </c>
      <c r="FD67" s="27" t="str">
        <f>IF(Compositions!T132="","",(Compositions!T132/(VLOOKUP(Compositions!S132,'HHV-LHV-MW'!$A$3:$F$40,6,FALSE))))</f>
        <v/>
      </c>
      <c r="FE67" s="25" t="str">
        <f>IF(FB67="","",((VLOOKUP(Compositions!S132,'HHV-LHV-MW'!$A$3:$F$40,4,FALSE))*(FB67/100)))</f>
        <v/>
      </c>
      <c r="FF67" s="25" t="str">
        <f>IF(FB67="","",((VLOOKUP(Compositions!S132,'HHV-LHV-MW'!$A$3:$F$40,5,FALSE))*(FB67/100)))</f>
        <v/>
      </c>
      <c r="FG67" s="25" t="str">
        <f>IF(FB67="","",((VLOOKUP(Compositions!S132,'HHV-LHV-MW'!$A$3:$F$40,6,FALSE))*(FB67/100)))</f>
        <v/>
      </c>
      <c r="FH67" s="25" t="str">
        <f>IF(Compositions!T132="","",(Compositions!T132*(VLOOKUP(Compositions!S132,'HHV-LHV-MW'!$A$3:$F$40,6,FALSE))))</f>
        <v/>
      </c>
      <c r="FI67" s="295" t="str">
        <f>IF(Compositions!T132="","",IF(OR(Compositions!$T$118="wt%",Compositions!$T$118=""),Compositions!T132,(IF(FH67="","",((FH67/$FH$78)*100)))))</f>
        <v/>
      </c>
      <c r="FJ67" s="185" t="str">
        <f>IF(FI67="","",(IF(OR(Compositions!S132="Hydrogen",Compositions!S132="Helium",Compositions!S132="Water",Compositions!S132="Carbon Monoxide",Compositions!S132="Nitrogen",Compositions!S132="Oxygen",Compositions!S132="Hydrogen Sulfide",Compositions!S132="Argon",Compositions!S132="Carbon Dioxide",Compositions!S132="Carbon Disulfide"),0,FI67)))</f>
        <v/>
      </c>
      <c r="FK67" s="187" t="str">
        <f>IF(Compositions!T132="","",((FB67/100)*((VLOOKUP(Compositions!S132,'HHV-LHV-MW'!$A$3:$G$40,7,FALSE)))))</f>
        <v/>
      </c>
      <c r="FL67" s="187" t="str">
        <f>IF(FB67="","",(IF(OR(Compositions!S132="Hydrogen",Compositions!S132="Carbon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Dioxide",Compositions!S132="Methane",Compositions!S132="Ethane"),0,(FB67/100))))</f>
        <v/>
      </c>
      <c r="FM67" s="205" t="str">
        <f>IF(FB67="","",(IF(OR($FL$78=0,$FL$78=""),0,       ((VLOOKUP(Compositions!S132,'HHV-LHV-MW'!$A$3:$F$40,6,FALSE))*(FL67/$FL$78)))))</f>
        <v/>
      </c>
      <c r="FN67" s="28" t="str">
        <f>IF(Compositions!U132="","",IF(Compositions!$U$118="mol%",Compositions!U132,FO67))</f>
        <v/>
      </c>
      <c r="FO67" s="28" t="str">
        <f t="shared" si="38"/>
        <v/>
      </c>
      <c r="FP67" s="28" t="str">
        <f>IF(Compositions!U132="","",(Compositions!U132/(VLOOKUP(Compositions!S132,'HHV-LHV-MW'!$A$3:$F$40,6,FALSE))))</f>
        <v/>
      </c>
      <c r="FQ67" s="26" t="str">
        <f>IF(FN67="","",((VLOOKUP(Compositions!S132,'HHV-LHV-MW'!$A$3:$F$40,4,FALSE))*(FN67/100)))</f>
        <v/>
      </c>
      <c r="FR67" s="26" t="str">
        <f>IF(FN67="","",((VLOOKUP(Compositions!S132,'HHV-LHV-MW'!$A$3:$F$40,5,FALSE))*(FN67/100)))</f>
        <v/>
      </c>
      <c r="FS67" s="26" t="str">
        <f>IF(FN67="","",((VLOOKUP(Compositions!S132,'HHV-LHV-MW'!$A$3:$F$40,6,FALSE))*(FN67/100)))</f>
        <v/>
      </c>
      <c r="FT67" s="26" t="str">
        <f>IF(Compositions!U132="","",(Compositions!U132*(VLOOKUP(Compositions!S132,'HHV-LHV-MW'!$A$3:$F$40,6,FALSE))))</f>
        <v/>
      </c>
      <c r="FU67" s="296" t="str">
        <f>IF(Compositions!U132="","",IF(OR(Compositions!$U$118="wt%",Compositions!$U$118=""),Compositions!U132,(IF(FT67="","",((FT67/$FT$78)*100)))))</f>
        <v/>
      </c>
      <c r="FV67" s="39" t="str">
        <f>IF(FU67="","",(IF(OR(Compositions!S132="Hydrogen",Compositions!S132="Helium",Compositions!S132="Water",Compositions!S132="Carbon Monoxide",Compositions!S132="Nitrogen",Compositions!S132="Oxygen",Compositions!S132="Hydrogen Sulfide",Compositions!S132="Argon",Compositions!S132="Carbon Dioxide",Compositions!S132="Carbon Disulfide"),0,FU67)))</f>
        <v/>
      </c>
      <c r="FW67" s="186" t="str">
        <f>IF(Compositions!U132="","",((FN67/100)*((VLOOKUP(Compositions!S132,'HHV-LHV-MW'!$A$3:$G$40,7,FALSE)))))</f>
        <v/>
      </c>
      <c r="FX67" s="186" t="str">
        <f>IF(FN67="","",(IF(OR(Compositions!S132="Hydrogen",Compositions!S132="Carbon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Dioxide",Compositions!S132="Methane",Compositions!S132="Ethane"),0,(FN67/100))))</f>
        <v/>
      </c>
      <c r="FY67" s="39" t="str">
        <f>IF(FN67="","",(IF(OR($FX$78=0,$FX$78=""),0,       ((VLOOKUP(Compositions!S132,'HHV-LHV-MW'!$A$3:$F$40,6,FALSE))*(FX67/$FX$78)))))</f>
        <v/>
      </c>
      <c r="FZ67" s="27" t="str">
        <f>IF(Compositions!V132="","",IF(Compositions!$V$118="mol%",Compositions!V132,GA67))</f>
        <v/>
      </c>
      <c r="GA67" s="27" t="str">
        <f t="shared" si="39"/>
        <v/>
      </c>
      <c r="GB67" s="27" t="str">
        <f>IF(Compositions!V132="","",(Compositions!V132/(VLOOKUP(Compositions!S132,'HHV-LHV-MW'!$A$3:$F$40,6,FALSE))))</f>
        <v/>
      </c>
      <c r="GC67" s="25" t="str">
        <f>IF(FZ67="","",((VLOOKUP(Compositions!S132,'HHV-LHV-MW'!$A$3:$F$40,4,FALSE))*(FZ67/100)))</f>
        <v/>
      </c>
      <c r="GD67" s="25" t="str">
        <f>IF(FZ67="","",((VLOOKUP(Compositions!S132,'HHV-LHV-MW'!$A$3:$F$40,5,FALSE))*(FZ67/100)))</f>
        <v/>
      </c>
      <c r="GE67" s="25" t="str">
        <f>IF(FZ67="","",((VLOOKUP(Compositions!S132,'HHV-LHV-MW'!$A$3:$F$40,6,FALSE))*(FZ67/100)))</f>
        <v/>
      </c>
      <c r="GF67" s="25" t="str">
        <f>IF(Compositions!V132="","",(Compositions!V132*(VLOOKUP(Compositions!S132,'HHV-LHV-MW'!$A$3:$F$40,6,FALSE))))</f>
        <v/>
      </c>
      <c r="GG67" s="295" t="str">
        <f>IF(Compositions!V132="","",IF(OR(Compositions!$V$118="wt%",Compositions!$V$118=""),Compositions!V132,(IF(GF67="","",((GF67/$GF$78)*100)))))</f>
        <v/>
      </c>
      <c r="GH67" s="185" t="str">
        <f>IF(GG67="","",(IF(OR(Compositions!S132="Hydrogen",Compositions!S132="Helium",Compositions!S132="Water",Compositions!S132="Carbon Monoxide",Compositions!S132="Nitrogen",Compositions!S132="Oxygen",Compositions!S132="Hydrogen Sulfide",Compositions!S132="Argon",Compositions!S132="Carbon Dioxide",Compositions!S132="Carbon Disulfide"),0,GG67)))</f>
        <v/>
      </c>
      <c r="GI67" s="187" t="str">
        <f>IF(Compositions!V132="","",((FZ67/100)*((VLOOKUP(Compositions!S132,'HHV-LHV-MW'!$A$3:$G$40,7,FALSE)))))</f>
        <v/>
      </c>
      <c r="GJ67" s="187" t="str">
        <f>IF(FZ67="","",(IF(OR(Compositions!S132="Hydrogen",Compositions!S132="Carbon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Dioxide",Compositions!S132="Methane",Compositions!S132="Ethane"),0,(FZ67/100))))</f>
        <v/>
      </c>
      <c r="GK67" s="205" t="str">
        <f>IF(FZ67="","",(IF(OR($GJ$78=0,$GJ$78=""),0,       ((VLOOKUP(Compositions!S132,'HHV-LHV-MW'!$A$3:$F$40,6,FALSE))*(GJ67/$GJ$78)))))</f>
        <v/>
      </c>
      <c r="GL67" s="28" t="str">
        <f>IF(Compositions!W132="","",IF(Compositions!$W$118="mol%",Compositions!W132,GM67))</f>
        <v/>
      </c>
      <c r="GM67" s="28" t="str">
        <f t="shared" si="40"/>
        <v/>
      </c>
      <c r="GN67" s="28" t="str">
        <f>IF(Compositions!W132="","",(Compositions!W132/(VLOOKUP(Compositions!S132,'HHV-LHV-MW'!$A$3:$F$40,6,FALSE))))</f>
        <v/>
      </c>
      <c r="GO67" s="26" t="str">
        <f>IF(GL67="","",((VLOOKUP(Compositions!S132,'HHV-LHV-MW'!$A$3:$F$40,4,FALSE))*(GL67/100)))</f>
        <v/>
      </c>
      <c r="GP67" s="26" t="str">
        <f>IF(GL67="","",((VLOOKUP(Compositions!S132,'HHV-LHV-MW'!$A$3:$F$40,5,FALSE))*(GL67/100)))</f>
        <v/>
      </c>
      <c r="GQ67" s="26" t="str">
        <f>IF(GL67="","",((VLOOKUP(Compositions!S132,'HHV-LHV-MW'!$A$3:$F$40,6,FALSE))*(GL67/100)))</f>
        <v/>
      </c>
      <c r="GR67" s="26" t="str">
        <f>IF(Compositions!W132="","",(Compositions!W132*(VLOOKUP(Compositions!S132,'HHV-LHV-MW'!$A$3:$F$40,6,FALSE))))</f>
        <v/>
      </c>
      <c r="GS67" s="296" t="str">
        <f>IF(Compositions!W132="","",IF(OR(Compositions!$W$118="wt%",Compositions!$W$118=""),Compositions!W132,(IF(GR67="","",((GR67/$GR$78)*100)))))</f>
        <v/>
      </c>
      <c r="GT67" s="39" t="str">
        <f>IF(GS67="","",(IF(OR(Compositions!S132="Hydrogen",Compositions!S132="Helium",Compositions!S132="Water",Compositions!S132="Carbon Monoxide",Compositions!S132="Nitrogen",Compositions!S132="Oxygen",Compositions!S132="Hydrogen Sulfide",Compositions!S132="Argon",Compositions!S132="Carbon Dioxide",Compositions!S132="Carbon Disulfide"),0,GS67)))</f>
        <v/>
      </c>
      <c r="GU67" s="186" t="str">
        <f>IF(Compositions!W132="","",((GL67/100)*((VLOOKUP(Compositions!S132,'HHV-LHV-MW'!$A$3:$G$40,7,FALSE)))))</f>
        <v/>
      </c>
      <c r="GV67" s="186" t="str">
        <f>IF(GL67="","",(IF(OR(Compositions!S132="Hydrogen",Compositions!S132="Carbon Disulfide",Compositions!S132="Helium",Compositions!S132="Water",Compositions!S132="Carbon Monoxide",Compositions!S132="Nitrogen",Compositions!S132="Oxygen",Compositions!S132="Hydrogen Sulfide",Compositions!S132="Argon",Compositions!S132="Carbon Dioxide",Compositions!S132="Methane",Compositions!S132="Ethane"),0,(GL67/100))))</f>
        <v/>
      </c>
      <c r="GW67" s="39" t="str">
        <f>IF(GL67="","",(IF(OR($GV$78=0,$GV$78=""),0,       ((VLOOKUP(Compositions!S132,'HHV-LHV-MW'!$A$3:$F$40,6,FALSE))*(GV67/$GV$78)))))</f>
        <v/>
      </c>
      <c r="GY67" s="27" t="str">
        <f>IF(Compositions!Z132="","",IF(Compositions!$Z$118="mol%",Compositions!Z132,GZ67))</f>
        <v/>
      </c>
      <c r="GZ67" s="27" t="str">
        <f t="shared" si="41"/>
        <v/>
      </c>
      <c r="HA67" s="27" t="str">
        <f>IF(Compositions!Z132="","",(Compositions!Z132/(VLOOKUP(Compositions!Y132,'HHV-LHV-MW'!$A$3:$F$40,6,FALSE))))</f>
        <v/>
      </c>
      <c r="HB67" s="25" t="str">
        <f>IF(GY67="","",((VLOOKUP(Compositions!Y132,'HHV-LHV-MW'!$A$3:$F$40,4,FALSE))*(GY67/100)))</f>
        <v/>
      </c>
      <c r="HC67" s="25" t="str">
        <f>IF(GY67="","",((VLOOKUP(Compositions!Y132,'HHV-LHV-MW'!$A$3:$F$40,5,FALSE))*(GY67/100)))</f>
        <v/>
      </c>
      <c r="HD67" s="25" t="str">
        <f>IF(GY67="","",((VLOOKUP(Compositions!Y132,'HHV-LHV-MW'!$A$3:$F$40,6,FALSE))*(GY67/100)))</f>
        <v/>
      </c>
      <c r="HE67" s="25" t="str">
        <f>IF(Compositions!Z132="","",(Compositions!Z132*(VLOOKUP(Compositions!Y132,'HHV-LHV-MW'!$A$3:$F$40,6,FALSE))))</f>
        <v/>
      </c>
      <c r="HF67" s="295" t="str">
        <f>IF(Compositions!Z132="","",IF(OR(Compositions!$Z$118="wt%",Compositions!$Z$118=""),Compositions!Z132,(IF(HE67="","",((HE67/$HE$78)*100)))))</f>
        <v/>
      </c>
      <c r="HG67" s="185" t="str">
        <f>IF(HF67="","",(IF(OR(Compositions!Y132="Hydrogen",Compositions!Y132="Helium",Compositions!Y132="Water",Compositions!Y132="Carbon Monoxide",Compositions!Y132="Nitrogen",Compositions!Y132="Oxygen",Compositions!Y132="Hydrogen Sulfide",Compositions!Y132="Argon",Compositions!Y132="Carbon Dioxide",Compositions!Y132="Carbon Disulfide"),0,HF67)))</f>
        <v/>
      </c>
      <c r="HH67" s="187" t="str">
        <f>IF(Compositions!Z132="","",((GY67/100)*((VLOOKUP(Compositions!Y132,'HHV-LHV-MW'!$A$3:$G$40,7,FALSE)))))</f>
        <v/>
      </c>
      <c r="HI67" s="187" t="str">
        <f>IF(GY67="","",(IF(OR(Compositions!Y132="Hydrogen",Compositions!Y132="Carbon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Dioxide",Compositions!Y132="Methane",Compositions!Y132="Ethane"),0,(GY67/100))))</f>
        <v/>
      </c>
      <c r="HJ67" s="205" t="str">
        <f>IF(GY67="","",(IF(OR($HI$78=0,$HI$78=""),0,       ((VLOOKUP(Compositions!Y132,'HHV-LHV-MW'!$A$3:$F$40,6,FALSE))*(HI67/$HI$78)))))</f>
        <v/>
      </c>
      <c r="HK67" s="28" t="str">
        <f>IF(Compositions!AA132="","",IF(Compositions!$AA$118="mol%",Compositions!AA132,HL67))</f>
        <v/>
      </c>
      <c r="HL67" s="28" t="str">
        <f t="shared" si="42"/>
        <v/>
      </c>
      <c r="HM67" s="28" t="str">
        <f>IF(Compositions!AA132="","",(Compositions!AA132/(VLOOKUP(Compositions!Y132,'HHV-LHV-MW'!$A$3:$F$40,6,FALSE))))</f>
        <v/>
      </c>
      <c r="HN67" s="26" t="str">
        <f>IF(HK67="","",((VLOOKUP(Compositions!Y132,'HHV-LHV-MW'!$A$3:$F$40,4,FALSE))*(HK67/100)))</f>
        <v/>
      </c>
      <c r="HO67" s="26" t="str">
        <f>IF(HK67="","",((VLOOKUP(Compositions!Y132,'HHV-LHV-MW'!$A$3:$F$40,5,FALSE))*(HK67/100)))</f>
        <v/>
      </c>
      <c r="HP67" s="26" t="str">
        <f>IF(HK67="","",((VLOOKUP(Compositions!Y132,'HHV-LHV-MW'!$A$3:$F$40,6,FALSE))*(HK67/100)))</f>
        <v/>
      </c>
      <c r="HQ67" s="26" t="str">
        <f>IF(Compositions!AA132="","",(Compositions!AA132*(VLOOKUP(Compositions!Y132,'HHV-LHV-MW'!$A$3:$F$40,6,FALSE))))</f>
        <v/>
      </c>
      <c r="HR67" s="296" t="str">
        <f>IF(Compositions!AA132="","",IF(OR(Compositions!$AA$118="wt%",Compositions!$AA$118=""),Compositions!AA132,(IF(HQ67="","",((HQ67/$HQ$78)*100)))))</f>
        <v/>
      </c>
      <c r="HS67" s="39" t="str">
        <f>IF(HR67="","",(IF(OR(Compositions!Y132="Hydrogen",Compositions!Y132="Helium",Compositions!Y132="Water",Compositions!Y132="Carbon Monoxide",Compositions!Y132="Nitrogen",Compositions!Y132="Oxygen",Compositions!Y132="Hydrogen Sulfide",Compositions!Y132="Argon",Compositions!Y132="Carbon Dioxide",Compositions!Y132="Carbon Disulfide"),0,HR67)))</f>
        <v/>
      </c>
      <c r="HT67" s="186" t="str">
        <f>IF(Compositions!AA132="","",((HK67/100)*((VLOOKUP(Compositions!Y132,'HHV-LHV-MW'!$A$3:$G$40,7,FALSE)))))</f>
        <v/>
      </c>
      <c r="HU67" s="186" t="str">
        <f>IF(HK67="","",(IF(OR(Compositions!Y132="Hydrogen",Compositions!Y132="Carbon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Dioxide",Compositions!Y132="Methane",Compositions!Y132="Ethane"),0,(HK67/100))))</f>
        <v/>
      </c>
      <c r="HV67" s="39" t="str">
        <f>IF(HK67="","",(IF(OR($HU$78=0,$HU$78=""),0,       ((VLOOKUP(Compositions!Y132,'HHV-LHV-MW'!$A$3:$F$40,6,FALSE))*(HU67/$HU$78)))))</f>
        <v/>
      </c>
      <c r="HW67" s="27" t="str">
        <f>IF(Compositions!AB132="","",IF(Compositions!$AB$118="mol%",Compositions!AB132,HX67))</f>
        <v/>
      </c>
      <c r="HX67" s="27" t="str">
        <f t="shared" si="43"/>
        <v/>
      </c>
      <c r="HY67" s="27" t="str">
        <f>IF(Compositions!AB132="","",(Compositions!AB132/(VLOOKUP(Compositions!Y132,'HHV-LHV-MW'!$A$3:$F$40,6,FALSE))))</f>
        <v/>
      </c>
      <c r="HZ67" s="25" t="str">
        <f>IF(HW67="","",((VLOOKUP(Compositions!Y132,'HHV-LHV-MW'!$A$3:$F$40,4,FALSE))*(HW67/100)))</f>
        <v/>
      </c>
      <c r="IA67" s="25" t="str">
        <f>IF(HW67="","",((VLOOKUP(Compositions!Y132,'HHV-LHV-MW'!$A$3:$F$40,5,FALSE))*(HW67/100)))</f>
        <v/>
      </c>
      <c r="IB67" s="25" t="str">
        <f>IF(HW67="","",((VLOOKUP(Compositions!Y132,'HHV-LHV-MW'!$A$3:$F$40,6,FALSE))*(HW67/100)))</f>
        <v/>
      </c>
      <c r="IC67" s="25" t="str">
        <f>IF(Compositions!AB132="","",(Compositions!AB132*(VLOOKUP(Compositions!Y132,'HHV-LHV-MW'!$A$3:$F$40,6,FALSE))))</f>
        <v/>
      </c>
      <c r="ID67" s="295" t="str">
        <f>IF(Compositions!AB132="","",IF(OR(Compositions!$AB$118="wt%",Compositions!$AB$118=""),Compositions!AB132,(IF(IC67="","",((IC67/$IC$78)*100)))))</f>
        <v/>
      </c>
      <c r="IE67" s="185" t="str">
        <f>IF(ID67="","",(IF(OR(Compositions!Y132="Hydrogen",Compositions!Y132="Helium",Compositions!Y132="Water",Compositions!Y132="Carbon Monoxide",Compositions!Y132="Nitrogen",Compositions!Y132="Oxygen",Compositions!Y132="Hydrogen Sulfide",Compositions!Y132="Argon",Compositions!Y132="Carbon Dioxide",Compositions!Y132="Carbon Disulfide"),0,ID67)))</f>
        <v/>
      </c>
      <c r="IF67" s="187" t="str">
        <f>IF(Compositions!AB132="","",((HW67/100)*((VLOOKUP(Compositions!Y132,'HHV-LHV-MW'!$A$3:$G$40,7,FALSE)))))</f>
        <v/>
      </c>
      <c r="IG67" s="187" t="str">
        <f>IF(HW67="","",(IF(OR(Compositions!Y132="Hydrogen",Compositions!Y132="Carbon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Dioxide",Compositions!Y132="Methane",Compositions!Y132="Ethane"),0,(HW67/100))))</f>
        <v/>
      </c>
      <c r="IH67" s="205" t="str">
        <f>IF(HW67="","",(IF(OR($IG$78=0,$IG$78=""),0,       ((VLOOKUP(Compositions!Y132,'HHV-LHV-MW'!$A$3:$F$40,6,FALSE))*(IG67/$IG$78)))))</f>
        <v/>
      </c>
      <c r="II67" s="28" t="str">
        <f>IF(Compositions!AC132="","",IF(Compositions!$AC$118="mol%",Compositions!AC132,IJ67))</f>
        <v/>
      </c>
      <c r="IJ67" s="28" t="str">
        <f t="shared" si="44"/>
        <v/>
      </c>
      <c r="IK67" s="28" t="str">
        <f>IF(Compositions!AC132="","",(Compositions!AC132/(VLOOKUP(Compositions!Y132,'HHV-LHV-MW'!$A$3:$F$40,6,FALSE))))</f>
        <v/>
      </c>
      <c r="IL67" s="26" t="str">
        <f>IF(II67="","",((VLOOKUP(Compositions!Y132,'HHV-LHV-MW'!$A$3:$F$40,4,FALSE))*(II67/100)))</f>
        <v/>
      </c>
      <c r="IM67" s="26" t="str">
        <f>IF(II67="","",((VLOOKUP(Compositions!Y132,'HHV-LHV-MW'!$A$3:$F$40,5,FALSE))*(II67/100)))</f>
        <v/>
      </c>
      <c r="IN67" s="26" t="str">
        <f>IF(II67="","",((VLOOKUP(Compositions!Y132,'HHV-LHV-MW'!$A$3:$F$40,6,FALSE))*(II67/100)))</f>
        <v/>
      </c>
      <c r="IO67" s="26" t="str">
        <f>IF(Compositions!AC132="","",(Compositions!AC132*(VLOOKUP(Compositions!Y132,'HHV-LHV-MW'!$A$3:$F$40,6,FALSE))))</f>
        <v/>
      </c>
      <c r="IP67" s="296" t="str">
        <f>IF(Compositions!AC132="","",IF(OR(Compositions!$AC$118="wt%",Compositions!$AC$118=""),Compositions!AC132,(IF(IO67="","",((IO67/$IO$78)*100)))))</f>
        <v/>
      </c>
      <c r="IQ67" s="39" t="str">
        <f>IF(IP67="","",(IF(OR(Compositions!Y132="Hydrogen",Compositions!Y132="Helium",Compositions!Y132="Water",Compositions!Y132="Carbon Monoxide",Compositions!Y132="Nitrogen",Compositions!Y132="Oxygen",Compositions!Y132="Hydrogen Sulfide",Compositions!Y132="Argon",Compositions!Y132="Carbon Dioxide",Compositions!Y132="Carbon Disulfide"),0,IP67)))</f>
        <v/>
      </c>
      <c r="IR67" s="186" t="str">
        <f>IF(Compositions!AC132="","",((II67/100)*((VLOOKUP(Compositions!Y132,'HHV-LHV-MW'!$A$3:$G$40,7,FALSE)))))</f>
        <v/>
      </c>
      <c r="IS67" s="186" t="str">
        <f>IF(II67="","",(IF(OR(Compositions!Y132="Hydrogen",Compositions!Y132="Carbon Disulfide",Compositions!Y132="Helium",Compositions!Y132="Water",Compositions!Y132="Carbon Monoxide",Compositions!Y132="Nitrogen",Compositions!Y132="Oxygen",Compositions!Y132="Hydrogen Sulfide",Compositions!Y132="Argon",Compositions!Y132="Carbon Dioxide",Compositions!Y132="Methane",Compositions!Y132="Ethane"),0,(II67/100))))</f>
        <v/>
      </c>
      <c r="IT67" s="39" t="str">
        <f>IF(II67="","",(IF(OR($IS$78=0,$IS$78=""),0,      ((VLOOKUP(Compositions!Y132,'HHV-LHV-MW'!$A$3:$F$40,6,FALSE))*(IS67/$IS$78)))))</f>
        <v/>
      </c>
      <c r="IV67" s="27" t="str">
        <f>IF(Compositions!AF132="","",IF(Compositions!$AF$118="mol%",Compositions!AF132,IW67))</f>
        <v/>
      </c>
      <c r="IW67" s="27" t="str">
        <f t="shared" si="45"/>
        <v/>
      </c>
      <c r="IX67" s="27" t="str">
        <f>IF(Compositions!AF132="","",(Compositions!AF132/(VLOOKUP(Compositions!AE132,'HHV-LHV-MW'!$A$3:$F$40,6,FALSE))))</f>
        <v/>
      </c>
      <c r="IY67" s="25" t="str">
        <f>IF(IV67="","",((VLOOKUP(Compositions!AE132,'HHV-LHV-MW'!$A$3:$F$40,4,FALSE))*(IV67/100)))</f>
        <v/>
      </c>
      <c r="IZ67" s="25" t="str">
        <f>IF(IV67="","",((VLOOKUP(Compositions!AE132,'HHV-LHV-MW'!$A$3:$F$40,5,FALSE))*(IV67/100)))</f>
        <v/>
      </c>
      <c r="JA67" s="25" t="str">
        <f>IF(IV67="","",((VLOOKUP(Compositions!AE132,'HHV-LHV-MW'!$A$3:$F$40,6,FALSE))*(IV67/100)))</f>
        <v/>
      </c>
      <c r="JB67" s="25" t="str">
        <f>IF(Compositions!AF132="","",(Compositions!AF132*(VLOOKUP(Compositions!AE132,'HHV-LHV-MW'!$A$3:$F$40,6,FALSE))))</f>
        <v/>
      </c>
      <c r="JC67" s="298" t="str">
        <f>IF(Compositions!AF132="","",IF(OR(Compositions!$AF$118="wt%",Compositions!$AF$118=""),Compositions!AF132,(IF(JB67="","",((JB67/$JB$78)*100)))))</f>
        <v/>
      </c>
      <c r="JD67" s="185" t="str">
        <f>IF(JC67="","",(IF(OR(Compositions!AE132="Hydrogen",Compositions!AE132="Helium",Compositions!AE132="Water",Compositions!AE132="Carbon Monoxide",Compositions!AE132="Nitrogen",Compositions!AE132="Oxygen",Compositions!AE132="Hydrogen Sulfide",Compositions!AE132="Argon",Compositions!AE132="Carbon Dioxide",Compositions!AE132="Carbon Disulfide"),0,JC67)))</f>
        <v/>
      </c>
      <c r="JE67" s="187" t="str">
        <f>IF(Compositions!AF132="","",((IV67/100)*((VLOOKUP(Compositions!AE132,'HHV-LHV-MW'!$A$3:$G$40,7,FALSE)))))</f>
        <v/>
      </c>
      <c r="JF67" s="187" t="str">
        <f>IF(IV67="","",(IF(OR(Compositions!AE132="Hydrogen",Compositions!AE132="Carbon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Dioxide",Compositions!AE132="Methane",Compositions!AE132="Ethane"),0,(IV67/100))))</f>
        <v/>
      </c>
      <c r="JG67" s="205" t="str">
        <f>IF(IV67="","",(IF(OR($JF$78=0,$JF$78=""),0,      ((VLOOKUP(Compositions!AE132,'HHV-LHV-MW'!$A$3:$F$40,6,FALSE))*(JF67/$JF$78)))))</f>
        <v/>
      </c>
      <c r="JH67" s="28" t="str">
        <f>IF(Compositions!AG132="","",IF(Compositions!$AG$118="mol%",Compositions!AG132,JI67))</f>
        <v/>
      </c>
      <c r="JI67" s="28" t="str">
        <f t="shared" si="46"/>
        <v/>
      </c>
      <c r="JJ67" s="28" t="str">
        <f>IF(Compositions!AG132="","",(Compositions!AG132/(VLOOKUP(Compositions!AE132,'HHV-LHV-MW'!$A$3:$F$40,6,FALSE))))</f>
        <v/>
      </c>
      <c r="JK67" s="26" t="str">
        <f>IF(JH67="","",((VLOOKUP(Compositions!AE132,'HHV-LHV-MW'!$A$3:$F$40,4,FALSE))*(JH67/100)))</f>
        <v/>
      </c>
      <c r="JL67" s="26" t="str">
        <f>IF(JH67="","",((VLOOKUP(Compositions!AE132,'HHV-LHV-MW'!$A$3:$F$40,5,FALSE))*(JH67/100)))</f>
        <v/>
      </c>
      <c r="JM67" s="26" t="str">
        <f>IF(JH67="","",((VLOOKUP(Compositions!AE132,'HHV-LHV-MW'!$A$3:$F$40,6,FALSE))*(JH67/100)))</f>
        <v/>
      </c>
      <c r="JN67" s="26" t="str">
        <f>IF(Compositions!AG132="","",(Compositions!AG132*(VLOOKUP(Compositions!AE132,'HHV-LHV-MW'!$A$3:$F$40,6,FALSE))))</f>
        <v/>
      </c>
      <c r="JO67" s="297" t="str">
        <f>IF(Compositions!AG132="","",IF(OR(Compositions!$AG$118="wt%",Compositions!$AG$118=""),Compositions!AG132,(IF(JN67="","",((JN67/$JN$78)*100)))))</f>
        <v/>
      </c>
      <c r="JP67" s="39" t="str">
        <f>IF(JO67="","",(IF(OR(Compositions!AE132="Hydrogen",Compositions!AE132="Helium",Compositions!AE132="Water",Compositions!AE132="Carbon Monoxide",Compositions!AE132="Nitrogen",Compositions!AE132="Oxygen",Compositions!AE132="Hydrogen Sulfide",Compositions!AE132="Argon",Compositions!AE132="Carbon Dioxide",Compositions!AE132="Carbon Disulfide"),0,JO67)))</f>
        <v/>
      </c>
      <c r="JQ67" s="186" t="str">
        <f>IF(Compositions!AG132="","",((JH67/100)*((VLOOKUP(Compositions!AE132,'HHV-LHV-MW'!$A$3:$G$40,7,FALSE)))))</f>
        <v/>
      </c>
      <c r="JR67" s="186" t="str">
        <f>IF(JH67="","",(IF(OR(Compositions!AE132="Hydrogen",Compositions!AE132="Carbon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Dioxide",Compositions!AE132="Methane",Compositions!AE132="Ethane"),0,(JH67/100))))</f>
        <v/>
      </c>
      <c r="JS67" s="39" t="str">
        <f>IF(JH67="","",(IF(OR($JR$78=0,$JR$78=""),0,      ((VLOOKUP(Compositions!AE132,'HHV-LHV-MW'!$A$3:$F$40,6,FALSE))*(JR67/$JR$78)))))</f>
        <v/>
      </c>
      <c r="JT67" s="27" t="str">
        <f>IF(Compositions!AH132="","",IF(Compositions!$AH$118="mol%",Compositions!AH132,JU67))</f>
        <v/>
      </c>
      <c r="JU67" s="27" t="str">
        <f t="shared" si="47"/>
        <v/>
      </c>
      <c r="JV67" s="27" t="str">
        <f>IF(Compositions!AH132="","",(Compositions!AH132/(VLOOKUP(Compositions!AE132,'HHV-LHV-MW'!$A$3:$F$40,6,FALSE))))</f>
        <v/>
      </c>
      <c r="JW67" s="25" t="str">
        <f>IF(JT67="","",((VLOOKUP(Compositions!AE132,'HHV-LHV-MW'!$A$3:$F$40,4,FALSE))*(JT67/100)))</f>
        <v/>
      </c>
      <c r="JX67" s="25" t="str">
        <f>IF(JT67="","",((VLOOKUP(Compositions!AE132,'HHV-LHV-MW'!$A$3:$F$40,5,FALSE))*(JT67/100)))</f>
        <v/>
      </c>
      <c r="JY67" s="25" t="str">
        <f>IF(JT67="","",((VLOOKUP(Compositions!AE132,'HHV-LHV-MW'!$A$3:$F$40,6,FALSE))*(JT67/100)))</f>
        <v/>
      </c>
      <c r="JZ67" s="25" t="str">
        <f>IF(Compositions!AH132="","",(Compositions!AH132*(VLOOKUP(Compositions!AE132,'HHV-LHV-MW'!$A$3:$F$40,6,FALSE))))</f>
        <v/>
      </c>
      <c r="KA67" s="298" t="str">
        <f>IF(Compositions!AH132="","",IF(OR(Compositions!$AH$118="wt%",Compositions!$AH$118=""),Compositions!AH132,(IF(JZ67="","",((JZ67/$JZ$78)*100)))))</f>
        <v/>
      </c>
      <c r="KB67" s="185" t="str">
        <f>IF(KA67="","",(IF(OR(Compositions!AE132="Hydrogen",Compositions!AE132="Helium",Compositions!AE132="Water",Compositions!AE132="Carbon Monoxide",Compositions!AE132="Nitrogen",Compositions!AE132="Oxygen",Compositions!AE132="Hydrogen Sulfide",Compositions!AE132="Argon",Compositions!AE132="Carbon Dioxide",Compositions!AE132="Carbon Disulfide"),0,KA67)))</f>
        <v/>
      </c>
      <c r="KC67" s="187" t="str">
        <f>IF(Compositions!AH132="","",((JT67/100)*((VLOOKUP(Compositions!AE132,'HHV-LHV-MW'!$A$3:$G$40,7,FALSE)))))</f>
        <v/>
      </c>
      <c r="KD67" s="187" t="str">
        <f>IF(JT67="","",(IF(OR(Compositions!AE132="Hydrogen",Compositions!AE132="Carbon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Dioxide",Compositions!AE132="Methane",Compositions!AE132="Ethane"),0,(JT67/100))))</f>
        <v/>
      </c>
      <c r="KE67" s="205" t="str">
        <f>IF(JT67="","",(IF(OR($KD$78=0,$KD$78=""),0,      ((VLOOKUP(Compositions!AE132,'HHV-LHV-MW'!$A$3:$F$40,6,FALSE))*(KD67/$KD$78)))))</f>
        <v/>
      </c>
      <c r="KF67" s="28" t="str">
        <f>IF(Compositions!AI132="","",IF(Compositions!$AI$118="mol%",Compositions!AI132,KG67))</f>
        <v/>
      </c>
      <c r="KG67" s="28" t="str">
        <f t="shared" si="48"/>
        <v/>
      </c>
      <c r="KH67" s="28" t="str">
        <f>IF(Compositions!AI132="","",(Compositions!AI132/(VLOOKUP(Compositions!AE132,'HHV-LHV-MW'!$A$3:$F$40,6,FALSE))))</f>
        <v/>
      </c>
      <c r="KI67" s="26" t="str">
        <f>IF(KF67="","",((VLOOKUP(Compositions!AE132,'HHV-LHV-MW'!$A$3:$F$40,4,FALSE))*(KF67/100)))</f>
        <v/>
      </c>
      <c r="KJ67" s="26" t="str">
        <f>IF(KF67="","",((VLOOKUP(Compositions!AE132,'HHV-LHV-MW'!$A$3:$F$40,5,FALSE))*(KF67/100)))</f>
        <v/>
      </c>
      <c r="KK67" s="26" t="str">
        <f>IF(KF67="","",((VLOOKUP(Compositions!AE132,'HHV-LHV-MW'!$A$3:$F$40,6,FALSE))*(KF67/100)))</f>
        <v/>
      </c>
      <c r="KL67" s="26" t="str">
        <f>IF(Compositions!AI132="","",(Compositions!AI132*(VLOOKUP(Compositions!AE132,'HHV-LHV-MW'!$A$3:$F$40,6,FALSE))))</f>
        <v/>
      </c>
      <c r="KM67" s="297" t="str">
        <f>IF(Compositions!AI132="","",IF(OR(Compositions!$AI$118="wt%",Compositions!$AI$118=""),Compositions!AI132,(IF(KL67="","",((KL67/$KL$78)*100)))))</f>
        <v/>
      </c>
      <c r="KN67" s="39" t="str">
        <f>IF(KM67="","",(IF(OR(Compositions!AE132="Hydrogen",Compositions!AE132="Helium",Compositions!AE132="Water",Compositions!AE132="Carbon Monoxide",Compositions!AE132="Nitrogen",Compositions!AE132="Oxygen",Compositions!AE132="Hydrogen Sulfide",Compositions!AE132="Argon",Compositions!AE132="Carbon Dioxide",Compositions!AE132="Carbon Disulfide"),0,KM67)))</f>
        <v/>
      </c>
      <c r="KO67" s="186" t="str">
        <f>IF(Compositions!AI132="","",((KF67/100)*((VLOOKUP(Compositions!AE132,'HHV-LHV-MW'!$A$3:$G$40,7,FALSE)))))</f>
        <v/>
      </c>
      <c r="KP67" s="186" t="str">
        <f>IF(KF67="","",(IF(OR(Compositions!AE132="Hydrogen",Compositions!AE132="Carbon Disulfide",Compositions!AE132="Helium",Compositions!AE132="Water",Compositions!AE132="Carbon Monoxide",Compositions!AE132="Nitrogen",Compositions!AE132="Oxygen",Compositions!AE132="Hydrogen Sulfide",Compositions!AE132="Argon",Compositions!AE132="Carbon Dioxide",Compositions!AE132="Methane",Compositions!AE132="Ethane"),0,(KF67/100))))</f>
        <v/>
      </c>
      <c r="KQ67" s="39" t="str">
        <f>IF(KF67="","",(IF(OR($KP$78=0,$KP$78=""),0,      ((VLOOKUP(Compositions!AE132,'HHV-LHV-MW'!$A$3:$F$40,6,FALSE))*(KP67/$KP$78)))))</f>
        <v/>
      </c>
      <c r="KS67" s="27" t="str">
        <f>IF(Compositions!AL132="","",IF(Compositions!$AL$118="mol%",Compositions!AL132,KT67))</f>
        <v/>
      </c>
      <c r="KT67" s="27" t="str">
        <f t="shared" si="49"/>
        <v/>
      </c>
      <c r="KU67" s="27" t="str">
        <f>IF(Compositions!AL132="","",(Compositions!AL132/(VLOOKUP(Compositions!AK132,'HHV-LHV-MW'!$A$3:$F$40,6,FALSE))))</f>
        <v/>
      </c>
      <c r="KV67" s="185" t="str">
        <f>IF(KS67="","",((VLOOKUP(Compositions!AK132,'HHV-LHV-MW'!$A$3:$F$40,4,FALSE))*(KS67/100)))</f>
        <v/>
      </c>
      <c r="KW67" s="185" t="str">
        <f>IF(KS67="","",((VLOOKUP(Compositions!AK132,'HHV-LHV-MW'!$A$3:$F$40,5,FALSE))*(KS67/100)))</f>
        <v/>
      </c>
      <c r="KX67" s="185" t="str">
        <f>IF(KS67="","",((VLOOKUP(Compositions!AK132,'HHV-LHV-MW'!$A$3:$F$40,6,FALSE))*(KS67/100)))</f>
        <v/>
      </c>
      <c r="KY67" s="185" t="str">
        <f>IF(Compositions!AL132="","",(Compositions!AL132*(VLOOKUP(Compositions!AK132,'HHV-LHV-MW'!$A$3:$F$40,6,FALSE))))</f>
        <v/>
      </c>
      <c r="KZ67" s="298" t="str">
        <f>IF(Compositions!AL132="","",IF(OR(Compositions!$AL$118="wt%",Compositions!$AL$118=""),Compositions!AL132,(IF(KY67="","",((KY67/$KY$78)*100)))))</f>
        <v/>
      </c>
      <c r="LA67" s="185" t="str">
        <f>IF(KZ67="","",(IF(OR(Compositions!AK132="Hydrogen",Compositions!AK132="Helium",Compositions!AK132="Water",Compositions!AK132="Carbon Monoxide",Compositions!AK132="Nitrogen",Compositions!AK132="Oxygen",Compositions!AK132="Hydrogen Sulfide",Compositions!AK132="Argon",Compositions!AK132="Carbon Dioxide",Compositions!AK132="Carbon Disulfide"),0,KZ67)))</f>
        <v/>
      </c>
      <c r="LB67" s="187" t="str">
        <f>IF(Compositions!AL132="","",((KS67/100)*((VLOOKUP(Compositions!AK132,'HHV-LHV-MW'!$A$3:$G$40,7,FALSE)))))</f>
        <v/>
      </c>
      <c r="LC67" s="187" t="str">
        <f>IF(KS67="","",(IF(OR(Compositions!AK132="Hydrogen",Compositions!AK132="Carbon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Dioxide",Compositions!AK132="Methane",Compositions!AK132="Ethane"),0,(KS67/100))))</f>
        <v/>
      </c>
      <c r="LD67" s="205" t="str">
        <f>IF(KS67="","",(IF(OR($LC$78=0,$LC$78=""),0,      ((VLOOKUP(Compositions!AK132,'HHV-LHV-MW'!$A$3:$F$40,6,FALSE))*(LC67/$LC$78)))))</f>
        <v/>
      </c>
      <c r="LE67" s="28" t="str">
        <f>IF(Compositions!AM132="","",IF(Compositions!$AM$118="mol%",Compositions!AM132,LF67))</f>
        <v/>
      </c>
      <c r="LF67" s="28" t="str">
        <f t="shared" si="50"/>
        <v/>
      </c>
      <c r="LG67" s="28" t="str">
        <f>IF(Compositions!AM132="","",(Compositions!AM132/(VLOOKUP(Compositions!AK132,'HHV-LHV-MW'!$A$3:$F$40,6,FALSE))))</f>
        <v/>
      </c>
      <c r="LH67" s="184" t="str">
        <f>IF(LE67="","",((VLOOKUP(Compositions!AK132,'HHV-LHV-MW'!$A$3:$F$40,4,FALSE))*(LE67/100)))</f>
        <v/>
      </c>
      <c r="LI67" s="184" t="str">
        <f>IF(LE67="","",((VLOOKUP(Compositions!AK132,'HHV-LHV-MW'!$A$3:$F$40,5,FALSE))*(LE67/100)))</f>
        <v/>
      </c>
      <c r="LJ67" s="184" t="str">
        <f>IF(LE67="","",((VLOOKUP(Compositions!AK132,'HHV-LHV-MW'!$A$3:$F$40,6,FALSE))*(LE67/100)))</f>
        <v/>
      </c>
      <c r="LK67" s="184" t="str">
        <f>IF(Compositions!AM132="","",(Compositions!AM132*(VLOOKUP(Compositions!AK132,'HHV-LHV-MW'!$A$3:$F$40,6,FALSE))))</f>
        <v/>
      </c>
      <c r="LL67" s="297" t="str">
        <f>IF(Compositions!AM132="","",IF(OR(Compositions!$AM$118="wt%",Compositions!$AM$118=""),Compositions!AM132,(IF(LK67="","",((LK67/$LK$78)*100)))))</f>
        <v/>
      </c>
      <c r="LM67" s="39" t="str">
        <f>IF(LL67="","",(IF(OR(Compositions!AK132="Hydrogen",Compositions!AK132="Helium",Compositions!AK132="Water",Compositions!AK132="Carbon Monoxide",Compositions!AK132="Nitrogen",Compositions!AK132="Oxygen",Compositions!AK132="Hydrogen Sulfide",Compositions!AK132="Argon",Compositions!AK132="Carbon Dioxide",Compositions!AK132="Carbon Disulfide"),0,LL67)))</f>
        <v/>
      </c>
      <c r="LN67" s="186" t="str">
        <f>IF(Compositions!AM132="","",((LE67/100)*((VLOOKUP(Compositions!AK132,'HHV-LHV-MW'!$A$3:$G$40,7,FALSE)))))</f>
        <v/>
      </c>
      <c r="LO67" s="186" t="str">
        <f>IF(LE67="","",(IF(OR(Compositions!AK132="Hydrogen",Compositions!AK132="Carbon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Dioxide",Compositions!AK132="Methane",Compositions!AK132="Ethane"),0,(LE67/100))))</f>
        <v/>
      </c>
      <c r="LP67" s="39" t="str">
        <f>IF(LE67="","",(IF(OR($LO$78=0,$LO$78=""),0,     ((VLOOKUP(Compositions!AK132,'HHV-LHV-MW'!$A$3:$F$40,6,FALSE))*(LO67/$LO$78)))))</f>
        <v/>
      </c>
      <c r="LQ67" s="27" t="str">
        <f>IF(Compositions!AN132="","",IF(Compositions!$AN$118="mol%",Compositions!AN132,LR67))</f>
        <v/>
      </c>
      <c r="LR67" s="27" t="str">
        <f t="shared" si="51"/>
        <v/>
      </c>
      <c r="LS67" s="27" t="str">
        <f>IF(Compositions!AN132="","",(Compositions!AN132/(VLOOKUP(Compositions!AK132,'HHV-LHV-MW'!$A$3:$F$40,6,FALSE))))</f>
        <v/>
      </c>
      <c r="LT67" s="185" t="str">
        <f>IF(LQ67="","",((VLOOKUP(Compositions!AK132,'HHV-LHV-MW'!$A$3:$F$40,4,FALSE))*(LQ67/100)))</f>
        <v/>
      </c>
      <c r="LU67" s="185" t="str">
        <f>IF(LQ67="","",((VLOOKUP(Compositions!AK132,'HHV-LHV-MW'!$A$3:$F$40,5,FALSE))*(LQ67/100)))</f>
        <v/>
      </c>
      <c r="LV67" s="185" t="str">
        <f>IF(LQ67="","",((VLOOKUP(Compositions!AK132,'HHV-LHV-MW'!$A$3:$F$40,6,FALSE))*(LQ67/100)))</f>
        <v/>
      </c>
      <c r="LW67" s="185" t="str">
        <f>IF(Compositions!AN132="","",(Compositions!AN132*(VLOOKUP(Compositions!AK132,'HHV-LHV-MW'!$A$3:$F$40,6,FALSE))))</f>
        <v/>
      </c>
      <c r="LX67" s="298" t="str">
        <f>IF(Compositions!AN132="","",IF(OR(Compositions!$AN$118="wt%",Compositions!$AN$118=""),Compositions!AN132,(IF(LW67="","",((LW67/$LW$78)*100)))))</f>
        <v/>
      </c>
      <c r="LY67" s="185" t="str">
        <f>IF(LX67="","",(IF(OR(Compositions!AK132="Hydrogen",Compositions!AK132="Helium",Compositions!AK132="Water",Compositions!AK132="Carbon Monoxide",Compositions!AK132="Nitrogen",Compositions!AK132="Oxygen",Compositions!AK132="Hydrogen Sulfide",Compositions!AK132="Argon",Compositions!AK132="Carbon Dioxide",Compositions!AK132="Carbon Disulfide"),0,LX67)))</f>
        <v/>
      </c>
      <c r="LZ67" s="187" t="str">
        <f>IF(Compositions!AN132="","",((LQ67/100)*((VLOOKUP(Compositions!AK132,'HHV-LHV-MW'!$A$3:$G$40,7,FALSE)))))</f>
        <v/>
      </c>
      <c r="MA67" s="187" t="str">
        <f>IF(LQ67="","",(IF(OR(Compositions!AK132="Hydrogen",Compositions!AK132="Carbon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Dioxide",Compositions!AK132="Methane",Compositions!AK132="Ethane"),0,(LQ67/100))))</f>
        <v/>
      </c>
      <c r="MB67" s="205" t="str">
        <f>IF(LQ67="","",(IF(OR($MA$78=0,$MA$78=""),0,     ((VLOOKUP(Compositions!AK132,'HHV-LHV-MW'!$A$3:$F$40,6,FALSE))*(MA67/$MA$78)))))</f>
        <v/>
      </c>
      <c r="MC67" s="28" t="str">
        <f>IF(Compositions!AO132="","",IF(Compositions!$AO$118="mol%",Compositions!AO132,MD67))</f>
        <v/>
      </c>
      <c r="MD67" s="28" t="str">
        <f t="shared" si="52"/>
        <v/>
      </c>
      <c r="ME67" s="28" t="str">
        <f>IF(Compositions!AO132="","",(Compositions!AO132/(VLOOKUP(Compositions!AK132,'HHV-LHV-MW'!$A$3:$F$40,6,FALSE))))</f>
        <v/>
      </c>
      <c r="MF67" s="184" t="str">
        <f>IF(MC67="","",((VLOOKUP(Compositions!AK132,'HHV-LHV-MW'!$A$3:$F$40,4,FALSE))*(MC67/100)))</f>
        <v/>
      </c>
      <c r="MG67" s="184" t="str">
        <f>IF(MC67="","",((VLOOKUP(Compositions!AK132,'HHV-LHV-MW'!$A$3:$F$40,5,FALSE))*(MC67/100)))</f>
        <v/>
      </c>
      <c r="MH67" s="184" t="str">
        <f>IF(MC67="","",((VLOOKUP(Compositions!AK132,'HHV-LHV-MW'!$A$3:$F$40,6,FALSE))*(MC67/100)))</f>
        <v/>
      </c>
      <c r="MI67" s="184" t="str">
        <f>IF(Compositions!AO132="","",(Compositions!AO132*(VLOOKUP(Compositions!AK132,'HHV-LHV-MW'!$A$3:$F$40,6,FALSE))))</f>
        <v/>
      </c>
      <c r="MJ67" s="297" t="str">
        <f>IF(Compositions!AO132="","",IF(OR(Compositions!$AO$118="wt%",Compositions!$AO$118=""),Compositions!AO132,(IF(MI67="","",((MI67/$MI$78)*100)))))</f>
        <v/>
      </c>
      <c r="MK67" s="39" t="str">
        <f>IF(MJ67="","",(IF(OR(Compositions!AK132="Hydrogen",Compositions!AK132="Helium",Compositions!AK132="Water",Compositions!AK132="Carbon Monoxide",Compositions!AK132="Nitrogen",Compositions!AK132="Oxygen",Compositions!AK132="Hydrogen Sulfide",Compositions!AK132="Argon",Compositions!AK132="Carbon Dioxide",Compositions!AK132="Carbon Disulfide"),0,MJ67)))</f>
        <v/>
      </c>
      <c r="ML67" s="186" t="str">
        <f>IF(Compositions!AO132="","",((MC67/100)*((VLOOKUP(Compositions!AK132,'HHV-LHV-MW'!$A$3:$G$40,7,FALSE)))))</f>
        <v/>
      </c>
      <c r="MM67" s="186" t="str">
        <f>IF(MC67="","",(IF(OR(Compositions!AK132="Hydrogen",Compositions!AK132="Carbon Disulfide",Compositions!AK132="Helium",Compositions!AK132="Water",Compositions!AK132="Carbon Monoxide",Compositions!AK132="Nitrogen",Compositions!AK132="Oxygen",Compositions!AK132="Hydrogen Sulfide",Compositions!AK132="Argon",Compositions!AK132="Carbon Dioxide",Compositions!AK132="Methane",Compositions!AK132="Ethane"),0,(MC67/100))))</f>
        <v/>
      </c>
      <c r="MN67" s="39" t="str">
        <f>IF(MC67="","",(IF(OR($MM$78=0,$MM$78=""),0,     ((VLOOKUP(Compositions!AK132,'HHV-LHV-MW'!$A$3:$F$40,6,FALSE))*(MM67/$MM$78)))))</f>
        <v/>
      </c>
      <c r="MP67" s="27" t="str">
        <f>IF(Compositions!AR132="","",IF(Compositions!$AR$118="mol%",Compositions!AR132,MQ67))</f>
        <v/>
      </c>
      <c r="MQ67" s="27" t="str">
        <f t="shared" si="53"/>
        <v/>
      </c>
      <c r="MR67" s="27" t="str">
        <f>IF(Compositions!AR132="","",(Compositions!AR132/(VLOOKUP(Compositions!AQ132,'HHV-LHV-MW'!$A$3:$F$40,6,FALSE))))</f>
        <v/>
      </c>
      <c r="MS67" s="185" t="str">
        <f>IF(MP67="","",((VLOOKUP(Compositions!AQ132,'HHV-LHV-MW'!$A$3:$F$40,4,FALSE))*(MP67/100)))</f>
        <v/>
      </c>
      <c r="MT67" s="185" t="str">
        <f>IF(MP67="","",((VLOOKUP(Compositions!AQ132,'HHV-LHV-MW'!$A$3:$F$40,5,FALSE))*(MP67/100)))</f>
        <v/>
      </c>
      <c r="MU67" s="185" t="str">
        <f>IF(MP67="","",((VLOOKUP(Compositions!AQ132,'HHV-LHV-MW'!$A$3:$F$40,6,FALSE))*(MP67/100)))</f>
        <v/>
      </c>
      <c r="MV67" s="185" t="str">
        <f>IF(Compositions!AR132="","",(Compositions!AR132*(VLOOKUP(Compositions!AQ132,'HHV-LHV-MW'!$A$3:$F$40,6,FALSE))))</f>
        <v/>
      </c>
      <c r="MW67" s="298" t="str">
        <f>IF(Compositions!AR132="","",IF(OR(Compositions!$AR$118="wt%",Compositions!$AR$118=""),Compositions!AR132,(IF(MV67="","",((MV67/$MV$78)*100)))))</f>
        <v/>
      </c>
      <c r="MX67" s="185" t="str">
        <f>IF(MW67="","",(IF(OR(Compositions!AQ132="Hydrogen",Compositions!AQ132="Helium",Compositions!AQ132="Water",Compositions!AQ132="Carbon Monoxide",Compositions!AQ132="Nitrogen",Compositions!AQ132="Oxygen",Compositions!AQ132="Hydrogen Sulfide",Compositions!AQ132="Argon",Compositions!AQ132="Carbon Dioxide",Compositions!AQ132="Carbon Disulfide"),0,MW67)))</f>
        <v/>
      </c>
      <c r="MY67" s="187" t="str">
        <f>IF(Compositions!AR132="","",((MP67/100)*((VLOOKUP(Compositions!AQ132,'HHV-LHV-MW'!$A$3:$G$40,7,FALSE)))))</f>
        <v/>
      </c>
      <c r="MZ67" s="187" t="str">
        <f>IF(MP67="","",(IF(OR(Compositions!AQ132="Hydrogen",Compositions!AQ132="Carbon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Dioxide",Compositions!AQ132="Methane",Compositions!AQ132="Ethane"),0,(MP67/100))))</f>
        <v/>
      </c>
      <c r="NA67" s="205" t="str">
        <f>IF(MP67="","",(IF(OR($MZ$78=0,$MZ$78=""),0,     ((VLOOKUP(Compositions!AQ132,'HHV-LHV-MW'!$A$3:$F$40,6,FALSE))*(MZ67/$MZ$78)))))</f>
        <v/>
      </c>
      <c r="NB67" s="28" t="str">
        <f>IF(Compositions!AS132="","",IF(Compositions!$AS$118="mol%",Compositions!AS132,NC67))</f>
        <v/>
      </c>
      <c r="NC67" s="28" t="str">
        <f t="shared" si="54"/>
        <v/>
      </c>
      <c r="ND67" s="28" t="str">
        <f>IF(Compositions!AS132="","",(Compositions!AS132/(VLOOKUP(Compositions!AQ132,'HHV-LHV-MW'!$A$3:$F$40,6,FALSE))))</f>
        <v/>
      </c>
      <c r="NE67" s="184" t="str">
        <f>IF(NB67="","",((VLOOKUP(Compositions!AQ132,'HHV-LHV-MW'!$A$3:$F$40,4,FALSE))*(NB67/100)))</f>
        <v/>
      </c>
      <c r="NF67" s="184" t="str">
        <f>IF(NB67="","",((VLOOKUP(Compositions!AQ132,'HHV-LHV-MW'!$A$3:$F$40,5,FALSE))*(NB67/100)))</f>
        <v/>
      </c>
      <c r="NG67" s="184" t="str">
        <f>IF(NB67="","",((VLOOKUP(Compositions!AQ132,'HHV-LHV-MW'!$A$3:$F$40,6,FALSE))*(NB67/100)))</f>
        <v/>
      </c>
      <c r="NH67" s="184" t="str">
        <f>IF(Compositions!AS132="","",(Compositions!AS132*(VLOOKUP(Compositions!AQ132,'HHV-LHV-MW'!$A$3:$F$40,6,FALSE))))</f>
        <v/>
      </c>
      <c r="NI67" s="297" t="str">
        <f>IF(Compositions!AS132="","",IF(OR(Compositions!$AS$118="wt%",Compositions!$AS$118=""),Compositions!AS132,(IF(NH67="","",((NH67/$NH$78)*100)))))</f>
        <v/>
      </c>
      <c r="NJ67" s="39" t="str">
        <f>IF(NI67="","",(IF(OR(Compositions!AQ132="Hydrogen",Compositions!AQ132="Helium",Compositions!AQ132="Water",Compositions!AQ132="Carbon Monoxide",Compositions!AQ132="Nitrogen",Compositions!AQ132="Oxygen",Compositions!AQ132="Hydrogen Sulfide",Compositions!AQ132="Argon",Compositions!AQ132="Carbon Dioxide",Compositions!AQ132="Carbon Disulfide"),0,NI67)))</f>
        <v/>
      </c>
      <c r="NK67" s="186" t="str">
        <f>IF(Compositions!AS132="","",((NB67/100)*((VLOOKUP(Compositions!AQ132,'HHV-LHV-MW'!$A$3:$G$40,7,FALSE)))))</f>
        <v/>
      </c>
      <c r="NL67" s="186" t="str">
        <f>IF(NB67="","",(IF(OR(Compositions!AQ132="Hydrogen",Compositions!AQ132="Carbon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Dioxide",Compositions!AQ132="Methane",Compositions!AQ132="Ethane"),0,(NB67/100))))</f>
        <v/>
      </c>
      <c r="NM67" s="39" t="str">
        <f>IF(NB67="","",(IF(OR($NL$78=0,$NL$78=""),0,     ((VLOOKUP(Compositions!AQ132,'HHV-LHV-MW'!$A$3:$F$40,6,FALSE))*(NL67/$NL$78)))))</f>
        <v/>
      </c>
      <c r="NN67" s="27" t="str">
        <f>IF(Compositions!AT132="","",IF(Compositions!$AT$118="mol%",Compositions!AT132,NO67))</f>
        <v/>
      </c>
      <c r="NO67" s="27" t="str">
        <f t="shared" si="55"/>
        <v/>
      </c>
      <c r="NP67" s="27" t="str">
        <f>IF(Compositions!AT132="","",(Compositions!AT132/(VLOOKUP(Compositions!AQ132,'HHV-LHV-MW'!$A$3:$F$40,6,FALSE))))</f>
        <v/>
      </c>
      <c r="NQ67" s="185" t="str">
        <f>IF(NN67="","",((VLOOKUP(Compositions!AQ132,'HHV-LHV-MW'!$A$3:$F$40,4,FALSE))*(NN67/100)))</f>
        <v/>
      </c>
      <c r="NR67" s="185" t="str">
        <f>IF(NN67="","",((VLOOKUP(Compositions!AQ132,'HHV-LHV-MW'!$A$3:$F$40,5,FALSE))*(NN67/100)))</f>
        <v/>
      </c>
      <c r="NS67" s="185" t="str">
        <f>IF(NN67="","",((VLOOKUP(Compositions!AQ132,'HHV-LHV-MW'!$A$3:$F$40,6,FALSE))*(NN67/100)))</f>
        <v/>
      </c>
      <c r="NT67" s="185" t="str">
        <f>IF(Compositions!AT132="","",(Compositions!AT132*(VLOOKUP(Compositions!AQ132,'HHV-LHV-MW'!$A$3:$F$40,6,FALSE))))</f>
        <v/>
      </c>
      <c r="NU67" s="298" t="str">
        <f>IF(Compositions!AT132="","",IF(OR(Compositions!$AT$118="wt%",Compositions!$AT$118=""),Compositions!AT132,(IF(NT67="","",((NT67/$NT$78)*100)))))</f>
        <v/>
      </c>
      <c r="NV67" s="185" t="str">
        <f>IF(NU67="","",(IF(OR(Compositions!AQ132="Hydrogen",Compositions!AQ132="Helium",Compositions!AQ132="Water",Compositions!AQ132="Carbon Monoxide",Compositions!AQ132="Nitrogen",Compositions!AQ132="Oxygen",Compositions!AQ132="Hydrogen Sulfide",Compositions!AQ132="Argon",Compositions!AQ132="Carbon Dioxide",Compositions!AQ132="Carbon Disulfide"),0,NU67)))</f>
        <v/>
      </c>
      <c r="NW67" s="187" t="str">
        <f>IF(Compositions!AT132="","",((NN67/100)*((VLOOKUP(Compositions!AQ132,'HHV-LHV-MW'!$A$3:$G$40,7,FALSE)))))</f>
        <v/>
      </c>
      <c r="NX67" s="187" t="str">
        <f>IF(NN67="","",(IF(OR(Compositions!AQ132="Hydrogen",Compositions!AQ132="Carbon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Dioxide",Compositions!AQ132="Methane",Compositions!AQ132="Ethane"),0,(NN67/100))))</f>
        <v/>
      </c>
      <c r="NY67" s="205" t="str">
        <f>IF(NN67="","",(IF(OR($NX$78=0,$NX$78=""),0,     ((VLOOKUP(Compositions!AQ132,'HHV-LHV-MW'!$A$3:$F$40,6,FALSE))*(NX67/$NX$78)))))</f>
        <v/>
      </c>
      <c r="NZ67" s="28" t="str">
        <f>IF(Compositions!AU132="","",IF(Compositions!$AU$118="mol%",Compositions!AU132,OA67))</f>
        <v/>
      </c>
      <c r="OA67" s="28" t="str">
        <f t="shared" si="56"/>
        <v/>
      </c>
      <c r="OB67" s="28" t="str">
        <f>IF(Compositions!AU132="","",(Compositions!AU132/(VLOOKUP(Compositions!AQ132,'HHV-LHV-MW'!$A$3:$F$40,6,FALSE))))</f>
        <v/>
      </c>
      <c r="OC67" s="184" t="str">
        <f>IF(NZ67="","",((VLOOKUP(Compositions!AQ132,'HHV-LHV-MW'!$A$3:$F$40,4,FALSE))*(NZ67/100)))</f>
        <v/>
      </c>
      <c r="OD67" s="184" t="str">
        <f>IF(NZ67="","",((VLOOKUP(Compositions!AQ132,'HHV-LHV-MW'!$A$3:$F$40,5,FALSE))*(NZ67/100)))</f>
        <v/>
      </c>
      <c r="OE67" s="184" t="str">
        <f>IF(NZ67="","",((VLOOKUP(Compositions!AQ132,'HHV-LHV-MW'!$A$3:$F$40,6,FALSE))*(NZ67/100)))</f>
        <v/>
      </c>
      <c r="OF67" s="184" t="str">
        <f>IF(Compositions!AU132="","",(Compositions!AU132*(VLOOKUP(Compositions!AQ132,'HHV-LHV-MW'!$A$3:$F$40,6,FALSE))))</f>
        <v/>
      </c>
      <c r="OG67" s="297" t="str">
        <f>IF(Compositions!AU132="","",IF(OR(Compositions!$AU$118="wt%",Compositions!$AU$118=""),Compositions!AU132,(IF(OF67="","",((OF67/$OF$78)*100)))))</f>
        <v/>
      </c>
      <c r="OH67" s="39" t="str">
        <f>IF(OG67="","",(IF(OR(Compositions!AQ132="Hydrogen",Compositions!AQ132="Helium",Compositions!AQ132="Water",Compositions!AQ132="Carbon Monoxide",Compositions!AQ132="Nitrogen",Compositions!AQ132="Oxygen",Compositions!AQ132="Hydrogen Sulfide",Compositions!AQ132="Argon",Compositions!AQ132="Carbon Dioxide",Compositions!AQ132="Carbon Disulfide"),0,OG67)))</f>
        <v/>
      </c>
      <c r="OI67" s="186" t="str">
        <f>IF(Compositions!AU132="","",((NZ67/100)*((VLOOKUP(Compositions!AQ132,'HHV-LHV-MW'!$A$3:$G$40,7,FALSE)))))</f>
        <v/>
      </c>
      <c r="OJ67" s="186" t="str">
        <f>IF(NZ67="","",(IF(OR(Compositions!AQ132="Hydrogen",Compositions!AQ132="Carbon Disulfide",Compositions!AQ132="Helium",Compositions!AQ132="Water",Compositions!AQ132="Carbon Monoxide",Compositions!AQ132="Nitrogen",Compositions!AQ132="Oxygen",Compositions!AQ132="Hydrogen Sulfide",Compositions!AQ132="Argon",Compositions!AQ132="Carbon Dioxide",Compositions!AQ132="Methane",Compositions!AQ132="Ethane"),0,(NZ67/100))))</f>
        <v/>
      </c>
      <c r="OK67" s="39" t="str">
        <f>IF(NZ67="","",(IF(OR($OJ$78=0,$OJ$78=""),0,     ((VLOOKUP(Compositions!AQ132,'HHV-LHV-MW'!$A$3:$F$40,6,FALSE))*(OJ67/$OJ$78)))))</f>
        <v/>
      </c>
      <c r="ON67" s="27" t="str">
        <f>IF(Compositions!AX132="","",IF(Compositions!$AX$118="mol%",Compositions!AX132,OO67))</f>
        <v/>
      </c>
      <c r="OO67" s="27" t="str">
        <f t="shared" si="57"/>
        <v/>
      </c>
      <c r="OP67" s="27" t="str">
        <f>IF(Compositions!AX132="","",(Compositions!AX132/(VLOOKUP(Compositions!AW132,'HHV-LHV-MW'!$A$3:$F$40,6,FALSE))))</f>
        <v/>
      </c>
      <c r="OQ67" s="185" t="str">
        <f>IF(ON67="","",((VLOOKUP(Compositions!AW132,'HHV-LHV-MW'!$A$3:$F$40,4,FALSE))*(ON67/100)))</f>
        <v/>
      </c>
      <c r="OR67" s="185" t="str">
        <f>IF(ON67="","",((VLOOKUP(Compositions!AW132,'HHV-LHV-MW'!$A$3:$F$40,5,FALSE))*(ON67/100)))</f>
        <v/>
      </c>
      <c r="OS67" s="185" t="str">
        <f>IF(ON67="","",((VLOOKUP(Compositions!AW132,'HHV-LHV-MW'!$A$3:$F$40,6,FALSE))*(ON67/100)))</f>
        <v/>
      </c>
      <c r="OT67" s="185" t="str">
        <f>IF(Compositions!AX132="","",(Compositions!AX132*(VLOOKUP(Compositions!AW132,'HHV-LHV-MW'!$A$3:$F$40,6,FALSE))))</f>
        <v/>
      </c>
      <c r="OU67" s="298" t="str">
        <f>IF(Compositions!AX132="","",IF(OR(Compositions!$AX$118="wt%",Compositions!$AX$118=""),Compositions!AX132,(IF(OT67="","",((OT67/$OT$78)*100)))))</f>
        <v/>
      </c>
      <c r="OV67" s="185" t="str">
        <f>IF(OU67="","",(IF(OR(Compositions!AW132="Hydrogen",Compositions!AW132="Helium",Compositions!AW132="Water",Compositions!AW132="Carbon Monoxide",Compositions!AW132="Nitrogen",Compositions!AW132="Oxygen",Compositions!AW132="Hydrogen Sulfide",Compositions!AW132="Argon",Compositions!AW132="Carbon Dioxide",Compositions!AW132="Carbon Disulfide"),0,OU67)))</f>
        <v/>
      </c>
      <c r="OW67" s="187" t="str">
        <f>IF(Compositions!AX132="","",((ON67/100)*((VLOOKUP(Compositions!AW132,'HHV-LHV-MW'!$A$3:$G$40,7,FALSE)))))</f>
        <v/>
      </c>
      <c r="OX67" s="187" t="str">
        <f>IF(ON67="","",(IF(OR(Compositions!AW132="Hydrogen",Compositions!AW132="Carbon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Dioxide",Compositions!AW132="Methane",Compositions!AW132="Ethane"),0,(ON67/100))))</f>
        <v/>
      </c>
      <c r="OY67" s="205" t="str">
        <f>IF(ON67="","",(IF(OR($OX$78=0,$OX$78=""),0,     ((VLOOKUP(Compositions!AW132,'HHV-LHV-MW'!$A$3:$F$40,6,FALSE))*(OX67/$OX$78)))))</f>
        <v/>
      </c>
      <c r="OZ67" s="28" t="str">
        <f>IF(Compositions!AY132="","",IF(Compositions!$AY$118="mol%",Compositions!AY132,PA67))</f>
        <v/>
      </c>
      <c r="PA67" s="28" t="str">
        <f t="shared" si="64"/>
        <v/>
      </c>
      <c r="PB67" s="28" t="str">
        <f>IF(Compositions!AY132="","",(Compositions!AY132/(VLOOKUP(Compositions!AW132,'HHV-LHV-MW'!$A$3:$F$40,6,FALSE))))</f>
        <v/>
      </c>
      <c r="PC67" s="184" t="str">
        <f>IF(OZ67="","",((VLOOKUP(Compositions!AW132,'HHV-LHV-MW'!$A$3:$F$40,4,FALSE))*(OZ67/100)))</f>
        <v/>
      </c>
      <c r="PD67" s="184" t="str">
        <f>IF(OZ67="","",((VLOOKUP(Compositions!AW132,'HHV-LHV-MW'!$A$3:$F$40,5,FALSE))*(OZ67/100)))</f>
        <v/>
      </c>
      <c r="PE67" s="184" t="str">
        <f>IF(OZ67="","",((VLOOKUP(Compositions!AW132,'HHV-LHV-MW'!$A$3:$F$40,6,FALSE))*(OZ67/100)))</f>
        <v/>
      </c>
      <c r="PF67" s="184" t="str">
        <f>IF(Compositions!AY132="","",(Compositions!AY132*(VLOOKUP(Compositions!AW132,'HHV-LHV-MW'!$A$3:$F$40,6,FALSE))))</f>
        <v/>
      </c>
      <c r="PG67" s="297" t="str">
        <f>IF(Compositions!AY132="","",IF(OR(Compositions!$AY$118="wt%",Compositions!$AY$118=""),Compositions!AY132,(IF(PF67="","",((PF67/$PF$78)*100)))))</f>
        <v/>
      </c>
      <c r="PH67" s="39" t="str">
        <f>IF(PG67="","",(IF(OR(Compositions!AW132="Hydrogen",Compositions!AW132="Helium",Compositions!AW132="Water",Compositions!AW132="Carbon Monoxide",Compositions!AW132="Nitrogen",Compositions!AW132="Oxygen",Compositions!AW132="Hydrogen Sulfide",Compositions!AW132="Argon",Compositions!AW132="Carbon Dioxide",Compositions!AW132="Carbon Disulfide"),0,PG67)))</f>
        <v/>
      </c>
      <c r="PI67" s="186" t="str">
        <f>IF(Compositions!AY132="","",((OZ67/100)*((VLOOKUP(Compositions!AW132,'HHV-LHV-MW'!$A$3:$G$40,7,FALSE)))))</f>
        <v/>
      </c>
      <c r="PJ67" s="186" t="str">
        <f>IF(OZ67="","",(IF(OR(Compositions!AW132="Hydrogen",Compositions!AW132="Carbon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Dioxide",Compositions!AW132="Methane",Compositions!AW132="Ethane"),0,(OZ67/100))))</f>
        <v/>
      </c>
      <c r="PK67" s="39" t="str">
        <f>IF(OZ67="","",(IF(OR($PJ$78=0,$PJ$78=""),0,     ((VLOOKUP(Compositions!AW132,'HHV-LHV-MW'!$A$3:$F$40,6,FALSE))*(PJ67/$PJ$78)))))</f>
        <v/>
      </c>
      <c r="PL67" s="27" t="str">
        <f>IF(Compositions!AZ132="","",IF(Compositions!$AZ$118="mol%",Compositions!AZ132,PM67))</f>
        <v/>
      </c>
      <c r="PM67" s="27" t="str">
        <f t="shared" si="58"/>
        <v/>
      </c>
      <c r="PN67" s="27" t="str">
        <f>IF(Compositions!AZ132="","",(Compositions!AZ132/(VLOOKUP(Compositions!AW132,'HHV-LHV-MW'!$A$3:$F$40,6,FALSE))))</f>
        <v/>
      </c>
      <c r="PO67" s="185" t="str">
        <f>IF(PL67="","",((VLOOKUP(Compositions!AW132,'HHV-LHV-MW'!$A$3:$F$40,4,FALSE))*(PL67/100)))</f>
        <v/>
      </c>
      <c r="PP67" s="185" t="str">
        <f>IF(PL67="","",((VLOOKUP(Compositions!AW132,'HHV-LHV-MW'!$A$3:$F$40,5,FALSE))*(PL67/100)))</f>
        <v/>
      </c>
      <c r="PQ67" s="185" t="str">
        <f>IF(PL67="","",((VLOOKUP(Compositions!AW132,'HHV-LHV-MW'!$A$3:$F$40,6,FALSE))*(PL67/100)))</f>
        <v/>
      </c>
      <c r="PR67" s="185" t="str">
        <f>IF(Compositions!AZ132="","",(Compositions!AZ132*(VLOOKUP(Compositions!AW132,'HHV-LHV-MW'!$A$3:$F$40,6,FALSE))))</f>
        <v/>
      </c>
      <c r="PS67" s="298" t="str">
        <f>IF(Compositions!AZ132="","",IF(OR(Compositions!$AZ$118="wt%",Compositions!$AZ$118=""),Compositions!AZ132,(IF(PR67="","",((PR67/$PR$78)*100)))))</f>
        <v/>
      </c>
      <c r="PT67" s="185" t="str">
        <f>IF(PS67="","",(IF(OR(Compositions!AW132="Hydrogen",Compositions!AW132="Helium",Compositions!AW132="Water",Compositions!AW132="Carbon Monoxide",Compositions!AW132="Nitrogen",Compositions!AW132="Oxygen",Compositions!AW132="Hydrogen Sulfide",Compositions!AW132="Argon",Compositions!AW132="Carbon Dioxide",Compositions!AW132="Carbon Disulfide"),0,PS67)))</f>
        <v/>
      </c>
      <c r="PU67" s="187" t="str">
        <f>IF(Compositions!AZ132="","",((PL67/100)*((VLOOKUP(Compositions!AW132,'HHV-LHV-MW'!$A$3:$G$40,7,FALSE)))))</f>
        <v/>
      </c>
      <c r="PV67" s="187" t="str">
        <f>IF(PL67="","",(IF(OR(Compositions!AW132="Hydrogen",Compositions!AW132="Carbon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Dioxide",Compositions!AW132="Methane",Compositions!AW132="Ethane"),0,(PL67/100))))</f>
        <v/>
      </c>
      <c r="PW67" s="205" t="str">
        <f>IF(PL67="","",(IF(OR($PV$78=0,$PV$78=""),0,     ((VLOOKUP(Compositions!AW132,'HHV-LHV-MW'!$A$3:$F$40,6,FALSE))*(PV67/$PV$78)))))</f>
        <v/>
      </c>
      <c r="PX67" s="28" t="str">
        <f>IF(Compositions!BA132="","",IF(Compositions!$BA$118="mol%",Compositions!BA132,PY67))</f>
        <v/>
      </c>
      <c r="PY67" s="28" t="str">
        <f t="shared" si="59"/>
        <v/>
      </c>
      <c r="PZ67" s="28" t="str">
        <f>IF(Compositions!BA132="","",(Compositions!BA132/(VLOOKUP(Compositions!AW132,'HHV-LHV-MW'!$A$3:$F$40,6,FALSE))))</f>
        <v/>
      </c>
      <c r="QA67" s="184" t="str">
        <f>IF(PX67="","",((VLOOKUP(Compositions!AW132,'HHV-LHV-MW'!$A$3:$F$40,4,FALSE))*(PX67/100)))</f>
        <v/>
      </c>
      <c r="QB67" s="184" t="str">
        <f>IF(PX67="","",((VLOOKUP(Compositions!AW132,'HHV-LHV-MW'!$A$3:$F$40,5,FALSE))*(PX67/100)))</f>
        <v/>
      </c>
      <c r="QC67" s="184" t="str">
        <f>IF(PX67="","",((VLOOKUP(Compositions!AW132,'HHV-LHV-MW'!$A$3:$F$40,6,FALSE))*(PX67/100)))</f>
        <v/>
      </c>
      <c r="QD67" s="184" t="str">
        <f>IF(Compositions!BA132="","",(Compositions!BA132*(VLOOKUP(Compositions!AW132,'HHV-LHV-MW'!$A$3:$F$40,6,FALSE))))</f>
        <v/>
      </c>
      <c r="QE67" s="297" t="str">
        <f>IF(Compositions!BA132="","",IF(OR(Compositions!$BA$118="wt%",Compositions!$BA$118=""),Compositions!BA132,(IF(QD67="","",((QD67/$QD$78)*100)))))</f>
        <v/>
      </c>
      <c r="QF67" s="39" t="str">
        <f>IF(QE67="","",(IF(OR(Compositions!AW132="Hydrogen",Compositions!AW132="Helium",Compositions!AW132="Water",Compositions!AW132="Carbon Monoxide",Compositions!AW132="Nitrogen",Compositions!AW132="Oxygen",Compositions!AW132="Hydrogen Sulfide",Compositions!AW132="Argon",Compositions!AW132="Carbon Dioxide",Compositions!AW132="Carbon Disulfide"),0,QE67)))</f>
        <v/>
      </c>
      <c r="QG67" s="186" t="str">
        <f>IF(Compositions!BA132="","",((PX67/100)*((VLOOKUP(Compositions!AW132,'HHV-LHV-MW'!$A$3:$G$40,7,FALSE)))))</f>
        <v/>
      </c>
      <c r="QH67" s="186" t="str">
        <f>IF(PX67="","",(IF(OR(Compositions!AW132="Hydrogen",Compositions!AW132="Carbon Disulfide",Compositions!AW132="Helium",Compositions!AW132="Water",Compositions!AW132="Carbon Monoxide",Compositions!AW132="Nitrogen",Compositions!AW132="Oxygen",Compositions!AW132="Hydrogen Sulfide",Compositions!AW132="Argon",Compositions!AW132="Carbon Dioxide",Compositions!AW132="Methane",Compositions!AW132="Ethane"),0,(PX67/100))))</f>
        <v/>
      </c>
      <c r="QI67" s="39" t="str">
        <f>IF(PX67="","",(IF(OR($QH$78=0,$QH$78=""),0,     ((VLOOKUP(Compositions!AW132,'HHV-LHV-MW'!$A$3:$F$40,6,FALSE))*(QH67/$QH$78)))))</f>
        <v/>
      </c>
      <c r="QK67" s="27" t="str">
        <f>IF(Compositions!BD132="","",IF(Compositions!$BD$118="mol%",Compositions!BD132,QL67))</f>
        <v/>
      </c>
      <c r="QL67" s="27" t="str">
        <f t="shared" si="60"/>
        <v/>
      </c>
      <c r="QM67" s="27" t="str">
        <f>IF(Compositions!BD132="","",(Compositions!BD132/(VLOOKUP(Compositions!BC132,'HHV-LHV-MW'!$A$3:$F$40,6,FALSE))))</f>
        <v/>
      </c>
      <c r="QN67" s="185" t="str">
        <f>IF(QK67="","",((VLOOKUP(Compositions!BC132,'HHV-LHV-MW'!$A$3:$F$40,4,FALSE))*(QK67/100)))</f>
        <v/>
      </c>
      <c r="QO67" s="185" t="str">
        <f>IF(QK67="","",((VLOOKUP(Compositions!BC132,'HHV-LHV-MW'!$A$3:$F$40,5,FALSE))*(QK67/100)))</f>
        <v/>
      </c>
      <c r="QP67" s="185" t="str">
        <f>IF(QK67="","",((VLOOKUP(Compositions!BC132,'HHV-LHV-MW'!$A$3:$F$40,6,FALSE))*(QK67/100)))</f>
        <v/>
      </c>
      <c r="QQ67" s="185" t="str">
        <f>IF(Compositions!BD132="","",(Compositions!BD132*(VLOOKUP(Compositions!BC132,'HHV-LHV-MW'!$A$3:$F$40,6,FALSE))))</f>
        <v/>
      </c>
      <c r="QR67" s="298" t="str">
        <f>IF(Compositions!BD132="","",IF(OR(Compositions!$BD$118="wt%",Compositions!$BD$118=""),Compositions!BD132,(IF(QQ67="","",((QQ67/$QQ$78)*100)))))</f>
        <v/>
      </c>
      <c r="QS67" s="185" t="str">
        <f>IF(QR67="","",(IF(OR(Compositions!BC132="Hydrogen",Compositions!BC132="Helium",Compositions!BC132="Water",Compositions!BC132="Carbon Monoxide",Compositions!BC132="Nitrogen",Compositions!BC132="Oxygen",Compositions!BC132="Hydrogen Sulfide",Compositions!BC132="Argon",Compositions!BC132="Carbon Dioxide",Compositions!BC132="Carbon Disulfide"),0,QR67)))</f>
        <v/>
      </c>
      <c r="QT67" s="187" t="str">
        <f>IF(Compositions!BD132="","",((QK67/100)*((VLOOKUP(Compositions!BC132,'HHV-LHV-MW'!$A$3:$G$40,7,FALSE)))))</f>
        <v/>
      </c>
      <c r="QU67" s="187" t="str">
        <f>IF(QK67="","",(IF(OR(Compositions!BC132="Hydrogen",Compositions!BC132="Carbon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Dioxide",Compositions!BC132="Methane",Compositions!BC132="Ethane"),0,(QK67/100))))</f>
        <v/>
      </c>
      <c r="QV67" s="205" t="str">
        <f>IF(QK67="","",(IF(OR($QU$78=0,$QU$78=""),0,     ((VLOOKUP(Compositions!BC132,'HHV-LHV-MW'!$A$3:$F$40,6,FALSE))*(QU67/$QU$78)))))</f>
        <v/>
      </c>
      <c r="QW67" s="28" t="str">
        <f>IF(Compositions!BE132="","",IF(Compositions!$BE$118="mol%",Compositions!BE132,QX67))</f>
        <v/>
      </c>
      <c r="QX67" s="28" t="str">
        <f t="shared" si="61"/>
        <v/>
      </c>
      <c r="QY67" s="28" t="str">
        <f>IF(Compositions!BE132="","",(Compositions!BE132/(VLOOKUP(Compositions!BC132,'HHV-LHV-MW'!$A$3:$F$40,6,FALSE))))</f>
        <v/>
      </c>
      <c r="QZ67" s="184" t="str">
        <f>IF(QW67="","",((VLOOKUP(Compositions!BC132,'HHV-LHV-MW'!$A$3:$F$40,4,FALSE))*(QW67/100)))</f>
        <v/>
      </c>
      <c r="RA67" s="184" t="str">
        <f>IF(QW67="","",((VLOOKUP(Compositions!BC132,'HHV-LHV-MW'!$A$3:$F$40,5,FALSE))*(QW67/100)))</f>
        <v/>
      </c>
      <c r="RB67" s="184" t="str">
        <f>IF(QW67="","",((VLOOKUP(Compositions!BC132,'HHV-LHV-MW'!$A$3:$F$40,6,FALSE))*(QW67/100)))</f>
        <v/>
      </c>
      <c r="RC67" s="184" t="str">
        <f>IF(Compositions!BE132="","",(Compositions!BE132*(VLOOKUP(Compositions!BC132,'HHV-LHV-MW'!$A$3:$F$40,6,FALSE))))</f>
        <v/>
      </c>
      <c r="RD67" s="297" t="str">
        <f>IF(Compositions!BE132="","",IF(OR(Compositions!$BE$118="wt%",Compositions!$BE$118=""),Compositions!BE132,(IF(RC67="","",((RC67/$RC$78)*100)))))</f>
        <v/>
      </c>
      <c r="RE67" s="39" t="str">
        <f>IF(RD67="","",(IF(OR(Compositions!BC132="Hydrogen",Compositions!BC132="Helium",Compositions!BC132="Water",Compositions!BC132="Carbon Monoxide",Compositions!BC132="Nitrogen",Compositions!BC132="Oxygen",Compositions!BC132="Hydrogen Sulfide",Compositions!BC132="Argon",Compositions!BC132="Carbon Dioxide",Compositions!BC132="Carbon Disulfide"),0,RD67)))</f>
        <v/>
      </c>
      <c r="RF67" s="186" t="str">
        <f>IF(Compositions!BE132="","",((QW67/100)*((VLOOKUP(Compositions!BC132,'HHV-LHV-MW'!$A$3:$G$40,7,FALSE)))))</f>
        <v/>
      </c>
      <c r="RG67" s="186" t="str">
        <f>IF(QW67="","",(IF(OR(Compositions!BC132="Hydrogen",Compositions!BC132="Carbon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Dioxide",Compositions!BC132="Methane",Compositions!BC132="Ethane"),0,(QW67/100))))</f>
        <v/>
      </c>
      <c r="RH67" s="39" t="str">
        <f>IF(QW67="","",(IF(OR($RG$78=0,$RG$78=""),0,     ((VLOOKUP(Compositions!BC132,'HHV-LHV-MW'!$A$3:$F$40,6,FALSE))*(RG67/$RG$78)))))</f>
        <v/>
      </c>
      <c r="RI67" s="27" t="str">
        <f>IF(Compositions!BF132="","",IF(Compositions!$BF$118="mol%",Compositions!BF132,RJ67))</f>
        <v/>
      </c>
      <c r="RJ67" s="27" t="str">
        <f t="shared" si="62"/>
        <v/>
      </c>
      <c r="RK67" s="27" t="str">
        <f>IF(Compositions!BF132="","",(Compositions!BF132/(VLOOKUP(Compositions!BC132,'HHV-LHV-MW'!$A$3:$F$40,6,FALSE))))</f>
        <v/>
      </c>
      <c r="RL67" s="185" t="str">
        <f>IF(RI67="","",((VLOOKUP(Compositions!BC132,'HHV-LHV-MW'!$A$3:$F$40,4,FALSE))*(RI67/100)))</f>
        <v/>
      </c>
      <c r="RM67" s="185" t="str">
        <f>IF(RI67="","",((VLOOKUP(Compositions!BC132,'HHV-LHV-MW'!$A$3:$F$40,5,FALSE))*(RI67/100)))</f>
        <v/>
      </c>
      <c r="RN67" s="185" t="str">
        <f>IF(RI67="","",((VLOOKUP(Compositions!BC132,'HHV-LHV-MW'!$A$3:$F$40,6,FALSE))*(RI67/100)))</f>
        <v/>
      </c>
      <c r="RO67" s="185" t="str">
        <f>IF(Compositions!BF132="","",(Compositions!BF132*(VLOOKUP(Compositions!BC132,'HHV-LHV-MW'!$A$3:$F$40,6,FALSE))))</f>
        <v/>
      </c>
      <c r="RP67" s="298" t="str">
        <f>IF(Compositions!BF132="","",IF(OR(Compositions!$BF$118="wt%",Compositions!$BF$118=""),Compositions!BF132,(IF(RO67="","",((RO67/$RO$78)*100)))))</f>
        <v/>
      </c>
      <c r="RQ67" s="185" t="str">
        <f>IF(RP67="","",(IF(OR(Compositions!BC132="Hydrogen",Compositions!BC132="Helium",Compositions!BC132="Water",Compositions!BC132="Carbon Monoxide",Compositions!BC132="Nitrogen",Compositions!BC132="Oxygen",Compositions!BC132="Hydrogen Sulfide",Compositions!BC132="Argon",Compositions!BC132="Carbon Dioxide",Compositions!BC132="Carbon Disulfide"),0,RP67)))</f>
        <v/>
      </c>
      <c r="RR67" s="187" t="str">
        <f>IF(Compositions!BF132="","",((RI67/100)*((VLOOKUP(Compositions!BC132,'HHV-LHV-MW'!$A$3:$G$40,7,FALSE)))))</f>
        <v/>
      </c>
      <c r="RS67" s="187" t="str">
        <f>IF(RI67="","",(IF(OR(Compositions!BC132="Hydrogen",Compositions!BC132="Carbon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Dioxide",Compositions!BC132="Methane",Compositions!BC132="Ethane"),0,(RI67/100))))</f>
        <v/>
      </c>
      <c r="RT67" s="205" t="str">
        <f>IF(RI67="","",(IF(OR($RS$78=0,$RS$78=""),0,     ((VLOOKUP(Compositions!BC132,'HHV-LHV-MW'!$A$3:$F$40,6,FALSE))*(RS67/$RS$78)))))</f>
        <v/>
      </c>
      <c r="RU67" s="28" t="str">
        <f>IF(Compositions!BG132="","",IF(Compositions!$BG$118="mol%",Compositions!BG132,RV67))</f>
        <v/>
      </c>
      <c r="RV67" s="28" t="str">
        <f t="shared" si="63"/>
        <v/>
      </c>
      <c r="RW67" s="28" t="str">
        <f>IF(Compositions!BG132="","",(Compositions!BG132/(VLOOKUP(Compositions!BC132,'HHV-LHV-MW'!$A$3:$F$40,6,FALSE))))</f>
        <v/>
      </c>
      <c r="RX67" s="184" t="str">
        <f>IF(RU67="","",((VLOOKUP(Compositions!BC132,'HHV-LHV-MW'!$A$3:$F$40,4,FALSE))*(RU67/100)))</f>
        <v/>
      </c>
      <c r="RY67" s="184" t="str">
        <f>IF(RU67="","",((VLOOKUP(Compositions!BC132,'HHV-LHV-MW'!$A$3:$F$40,5,FALSE))*(RU67/100)))</f>
        <v/>
      </c>
      <c r="RZ67" s="184" t="str">
        <f>IF(RU67="","",((VLOOKUP(Compositions!BC132,'HHV-LHV-MW'!$A$3:$F$40,6,FALSE))*(RU67/100)))</f>
        <v/>
      </c>
      <c r="SA67" s="184" t="str">
        <f>IF(Compositions!BG132="","",(Compositions!BG132*(VLOOKUP(Compositions!BC132,'HHV-LHV-MW'!$A$3:$F$40,6,FALSE))))</f>
        <v/>
      </c>
      <c r="SB67" s="297" t="str">
        <f>IF(Compositions!BG132="","",IF(OR(Compositions!$BG$118="wt%",Compositions!$BG$118=""),Compositions!BG132,(IF(SA67="","",((SA67/$SA$78)*100)))))</f>
        <v/>
      </c>
      <c r="SC67" s="39" t="str">
        <f>IF(SB67="","",(IF(OR(Compositions!BC132="Hydrogen",Compositions!BC132="Helium",Compositions!BC132="Water",Compositions!BC132="Carbon Monoxide",Compositions!BC132="Nitrogen",Compositions!BC132="Oxygen",Compositions!BC132="Hydrogen Sulfide",Compositions!BC132="Argon",Compositions!BC132="Carbon Dioxide",Compositions!BC132="Carbon Disulfide"),0,SB67)))</f>
        <v/>
      </c>
      <c r="SD67" s="186" t="str">
        <f>IF(Compositions!BG132="","",((RU67/100)*((VLOOKUP(Compositions!BC132,'HHV-LHV-MW'!$A$3:$G$40,7,FALSE)))))</f>
        <v/>
      </c>
      <c r="SE67" s="186" t="str">
        <f>IF(RU67="","",(IF(OR(Compositions!BC132="Hydrogen",Compositions!BC132="Carbon Disulfide",Compositions!BC132="Helium",Compositions!BC132="Water",Compositions!BC132="Carbon Monoxide",Compositions!BC132="Nitrogen",Compositions!BC132="Oxygen",Compositions!BC132="Hydrogen Sulfide",Compositions!BC132="Argon",Compositions!BC132="Carbon Dioxide",Compositions!BC132="Methane",Compositions!BC132="Ethane"),0,(RU67/100))))</f>
        <v/>
      </c>
      <c r="SF67" s="39" t="str">
        <f>IF(RU67="","",(IF(OR($SE$78=0,$SE$78=""),0,     ((VLOOKUP(Compositions!BC132,'HHV-LHV-MW'!$A$3:$F$40,6,FALSE))*(SE67/$SE$78)))))</f>
        <v/>
      </c>
    </row>
    <row r="68" spans="1:500" ht="15.6">
      <c r="A68" s="173" t="s">
        <v>201</v>
      </c>
      <c r="B68" s="19" t="s">
        <v>200</v>
      </c>
      <c r="C68" s="20">
        <v>10</v>
      </c>
      <c r="D68" s="20">
        <v>6.8372999999999999</v>
      </c>
      <c r="E68" s="20">
        <v>6.3464</v>
      </c>
      <c r="F68" s="20">
        <v>142.28468000000001</v>
      </c>
      <c r="G68" s="20">
        <v>0</v>
      </c>
      <c r="H68" s="170"/>
      <c r="I68" s="170"/>
      <c r="K68" s="27" t="str">
        <f>IF(Compositions!B133="","",IF(Compositions!$B$118="mol%",Compositions!B133,L68))</f>
        <v/>
      </c>
      <c r="L68" s="27" t="str">
        <f t="shared" si="25"/>
        <v/>
      </c>
      <c r="M68" s="27" t="str">
        <f>IF(Compositions!B133="","",(Compositions!B133/(VLOOKUP(Compositions!A133,'HHV-LHV-MW'!$A$3:$F$40,6,FALSE))))</f>
        <v/>
      </c>
      <c r="N68" s="25" t="str">
        <f>IF(K68="","",((VLOOKUP(Compositions!A133,'HHV-LHV-MW'!$A$3:$F$40,4,FALSE))*(K68/100)))</f>
        <v/>
      </c>
      <c r="O68" s="25" t="str">
        <f>IF(K68="","",((VLOOKUP(Compositions!A133,'HHV-LHV-MW'!$A$3:$F$40,5,FALSE))*(K68/100)))</f>
        <v/>
      </c>
      <c r="P68" s="25" t="str">
        <f>IF(K68="","",((VLOOKUP(Compositions!A133,'HHV-LHV-MW'!$A$3:$F$40,6,FALSE))*(K68/100)))</f>
        <v/>
      </c>
      <c r="Q68" s="25" t="str">
        <f>IF(Compositions!B133="","",(Compositions!B133*(VLOOKUP(Compositions!A133,'HHV-LHV-MW'!$A$3:$F$40,6,FALSE))))</f>
        <v/>
      </c>
      <c r="R68" s="188" t="str">
        <f>IF(Compositions!B133="","",IF(OR(Compositions!$B$118="wt%",Compositions!$B$118=""),Compositions!B133,(IF(Q68="","",((Q68/$Q$78)*100)))))</f>
        <v/>
      </c>
      <c r="S68" s="185" t="str">
        <f>IF(R68="","",(IF(OR(Compositions!A133="Hydrogen",Compositions!A133="Helium",Compositions!A133="Water",Compositions!A133="Carbon Monoxide",Compositions!A133="Nitrogen",Compositions!A133="Oxygen",Compositions!A133="Hydrogen Sulfide",Compositions!A133="Argon",Compositions!A133="Carbon Dioxide",Compositions!A133="Carbon Disulfide"),0,R68)))</f>
        <v/>
      </c>
      <c r="T68" s="169" t="str">
        <f>IF(Compositions!B133="","",((K68/100)*((VLOOKUP(Compositions!A133,'HHV-LHV-MW'!$A$3:$G$40,7,FALSE)))))</f>
        <v/>
      </c>
      <c r="U68" s="187" t="str">
        <f>IF(K68="","",(IF(OR(Compositions!A133="Hydrogen",Compositions!A133="Carbon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Dioxide",Compositions!A133="Methane",Compositions!A133="Ethane"),0,(K68/100))))</f>
        <v/>
      </c>
      <c r="V68" s="188" t="str">
        <f>IF(K68="","", (IF(OR($U$78=0,$U$78=""),0,((VLOOKUP(Compositions!A133,'HHV-LHV-MW'!$A$3:$F$40,6,FALSE))*(U68/$U$78))   ))   )</f>
        <v/>
      </c>
      <c r="W68" s="28" t="str">
        <f>IF(Compositions!C133="","",IF(Compositions!$C$118="mol%",Compositions!C133,X68))</f>
        <v/>
      </c>
      <c r="X68" s="28" t="str">
        <f t="shared" si="26"/>
        <v/>
      </c>
      <c r="Y68" s="28" t="str">
        <f>IF(Compositions!C133="","",(Compositions!C133/(VLOOKUP(Compositions!A133,'HHV-LHV-MW'!$A$3:$F$40,6,FALSE))))</f>
        <v/>
      </c>
      <c r="Z68" s="26" t="str">
        <f>IF(W68="","",((VLOOKUP(Compositions!A133,'HHV-LHV-MW'!$A$3:$F$40,4,FALSE))*(W68/100)))</f>
        <v/>
      </c>
      <c r="AA68" s="26" t="str">
        <f>IF(W68="","",((VLOOKUP(Compositions!A133,'HHV-LHV-MW'!$A$3:$F$40,5,FALSE))*(W68/100)))</f>
        <v/>
      </c>
      <c r="AB68" s="26" t="str">
        <f>IF(W68="","",((VLOOKUP(Compositions!A133,'HHV-LHV-MW'!$A$3:$F$40,6,FALSE))*(W68/100)))</f>
        <v/>
      </c>
      <c r="AC68" s="26" t="str">
        <f>IF(Compositions!C133="","",(Compositions!C133*(VLOOKUP(Compositions!A133,'HHV-LHV-MW'!$A$3:$F$40,6,FALSE))))</f>
        <v/>
      </c>
      <c r="AD68" s="296" t="str">
        <f>IF(Compositions!C133="","",IF(OR(Compositions!$C$118="wt%",Compositions!$C$118=""),Compositions!C133,(IF(AC68="","",((AC68/$AC$78)*100)))))</f>
        <v/>
      </c>
      <c r="AE68" s="39" t="str">
        <f>IF(AD68="","",(IF(OR(Compositions!A133="Hydrogen",Compositions!A133="Helium",Compositions!A133="Water",Compositions!A133="Carbon Monoxide",Compositions!A133="Nitrogen",Compositions!A133="Oxygen",Compositions!A133="Hydrogen Sulfide",Compositions!A133="Argon",Compositions!A133="Carbon Dioxide",Compositions!A133="Carbon Disulfide"),0,AD68)))</f>
        <v/>
      </c>
      <c r="AF68" s="186" t="str">
        <f>IF(Compositions!C133="","",((W68/100)*((VLOOKUP(Compositions!A133,'HHV-LHV-MW'!$A$3:$G$40,7,FALSE)))))</f>
        <v/>
      </c>
      <c r="AG68" s="186" t="str">
        <f>IF(W68="","",(IF(OR(Compositions!A133="Hydrogen",Compositions!A133="Carbon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Dioxide",Compositions!A133="Methane",Compositions!A133="Ethane"),0,(W68/100))))</f>
        <v/>
      </c>
      <c r="AH68" s="39" t="str">
        <f>IF(W68="","", (IF(OR($AG$78=0,$AG$78=""),0,   ((VLOOKUP(Compositions!A133,'HHV-LHV-MW'!$A$3:$F$40,6,FALSE))*(AG68/$AG$78)))))</f>
        <v/>
      </c>
      <c r="AI68" s="27" t="str">
        <f>IF(Compositions!D133="","",IF(Compositions!$D$118="mol%",Compositions!D133,AJ68))</f>
        <v/>
      </c>
      <c r="AJ68" s="27" t="str">
        <f t="shared" si="27"/>
        <v/>
      </c>
      <c r="AK68" s="27" t="str">
        <f>IF(Compositions!D133="","",(Compositions!D133/(VLOOKUP(Compositions!A133,'HHV-LHV-MW'!$A$3:$F$40,6,FALSE))))</f>
        <v/>
      </c>
      <c r="AL68" s="25" t="str">
        <f>IF(AI68="","",((VLOOKUP(Compositions!A133,'HHV-LHV-MW'!$A$3:$F$40,4,FALSE))*(AI68/100)))</f>
        <v/>
      </c>
      <c r="AM68" s="25" t="str">
        <f>IF(AI68="","",((VLOOKUP(Compositions!A133,'HHV-LHV-MW'!$A$3:$F$40,5,FALSE))*(AI68/100)))</f>
        <v/>
      </c>
      <c r="AN68" s="25" t="str">
        <f>IF(AI68="","",((VLOOKUP(Compositions!A133,'HHV-LHV-MW'!$A$3:$F$40,6,FALSE))*(AI68/100)))</f>
        <v/>
      </c>
      <c r="AO68" s="25" t="str">
        <f>IF(Compositions!D133="","",(Compositions!D133*(VLOOKUP(Compositions!A133,'HHV-LHV-MW'!$A$3:$F$40,6,FALSE))))</f>
        <v/>
      </c>
      <c r="AP68" s="295" t="str">
        <f>IF(Compositions!D133="","",IF(OR(Compositions!$D$118="wt%",Compositions!$D$118=""),Compositions!D133,(IF(AO68="","",((AO68/$AO$78)*100)))))</f>
        <v/>
      </c>
      <c r="AQ68" s="185" t="str">
        <f>IF(AP68="","",(IF(OR(Compositions!A133="Hydrogen",Compositions!A133="Helium",Compositions!A133="Water",Compositions!A133="Carbon Monoxide",Compositions!A133="Nitrogen",Compositions!A133="Oxygen",Compositions!A133="Hydrogen Sulfide",Compositions!A133="Argon",Compositions!A133="Carbon Dioxide",Compositions!A133="Carbon Disulfide"),0,AP68)))</f>
        <v/>
      </c>
      <c r="AR68" s="187" t="str">
        <f>IF(Compositions!D133="","",((AI68/100)*((VLOOKUP(Compositions!A133,'HHV-LHV-MW'!$A$3:$G$40,7,FALSE)))))</f>
        <v/>
      </c>
      <c r="AS68" s="187" t="str">
        <f>IF(AI68="","",(IF(OR(Compositions!A133="Hydrogen",Compositions!A133="Carbon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Dioxide",Compositions!A133="Methane",Compositions!A133="Ethane"),0,(AI68/100))))</f>
        <v/>
      </c>
      <c r="AT68" s="205" t="str">
        <f>IF(AI68="","",(IF(OR($AS$78=0,$AS$78=""),0,      ((VLOOKUP(Compositions!A133,'HHV-LHV-MW'!$A$3:$F$40,6,FALSE))*(AS68/$AS$78)))))</f>
        <v/>
      </c>
      <c r="AU68" s="28" t="str">
        <f>IF(Compositions!E133="","",IF(Compositions!$E$118="mol%",Compositions!E133,AV68))</f>
        <v/>
      </c>
      <c r="AV68" s="28" t="str">
        <f t="shared" si="28"/>
        <v/>
      </c>
      <c r="AW68" s="28" t="str">
        <f>IF(Compositions!E133="","",(Compositions!E133/(VLOOKUP(Compositions!A133,'HHV-LHV-MW'!$A$3:$F$40,6,FALSE))))</f>
        <v/>
      </c>
      <c r="AX68" s="26" t="str">
        <f>IF(AU68="","",((VLOOKUP(Compositions!A133,'HHV-LHV-MW'!$A$3:$F$40,4,FALSE))*(AU68/100)))</f>
        <v/>
      </c>
      <c r="AY68" s="26" t="str">
        <f>IF(AU68="","",((VLOOKUP(Compositions!A133,'HHV-LHV-MW'!$A$3:$F$40,5,FALSE))*(AU68/100)))</f>
        <v/>
      </c>
      <c r="AZ68" s="26" t="str">
        <f>IF(AU68="","",((VLOOKUP(Compositions!A133,'HHV-LHV-MW'!$A$3:$F$40,6,FALSE))*(AU68/100)))</f>
        <v/>
      </c>
      <c r="BA68" s="26" t="str">
        <f>IF(Compositions!E133="","",(Compositions!E133*(VLOOKUP(Compositions!A133,'HHV-LHV-MW'!$A$3:$F$40,6,FALSE))))</f>
        <v/>
      </c>
      <c r="BB68" s="296" t="str">
        <f>IF(Compositions!E133="","",IF(OR(Compositions!$E$118="wt%",Compositions!$E$118=""),Compositions!E133,(IF(BA68="","",((BA68/$BA$78)*100)))))</f>
        <v/>
      </c>
      <c r="BC68" s="39" t="str">
        <f>IF(BB68="","",(IF(OR(Compositions!A133="Hydrogen",Compositions!A133="Helium",Compositions!A133="Water",Compositions!A133="Carbon Monoxide",Compositions!A133="Nitrogen",Compositions!A133="Oxygen",Compositions!A133="Hydrogen Sulfide",Compositions!A133="Argon",Compositions!A133="Carbon Dioxide",Compositions!A133="Carbon Disulfide"),0,BB68)))</f>
        <v/>
      </c>
      <c r="BD68" s="186" t="str">
        <f>IF(Compositions!E133="","",((AU68/100)*((VLOOKUP(Compositions!A133,'HHV-LHV-MW'!$A$3:$G$40,7,FALSE)))))</f>
        <v/>
      </c>
      <c r="BE68" s="186" t="str">
        <f>IF(AU68="","",(IF(OR(Compositions!A133="Hydrogen",Compositions!A133="Carbon Disulfide",Compositions!A133="Helium",Compositions!A133="Water",Compositions!A133="Carbon Monoxide",Compositions!A133="Nitrogen",Compositions!A133="Oxygen",Compositions!A133="Hydrogen Sulfide",Compositions!A133="Argon",Compositions!A133="Carbon Dioxide",Compositions!A133="Methane",Compositions!A133="Ethane"),0,(AU68/100))))</f>
        <v/>
      </c>
      <c r="BF68" s="39" t="str">
        <f>IF(AU68="","",(IF(OR($BE$78=0,$BE$78=""),0,     ((VLOOKUP(Compositions!A133,'HHV-LHV-MW'!$A$3:$F$40,6,FALSE))*(BE68/$BE$78)))))</f>
        <v/>
      </c>
      <c r="BH68" s="27" t="str">
        <f>IF(Compositions!H133="","",IF(Compositions!$H$118="mol%",Compositions!H133,BI68))</f>
        <v/>
      </c>
      <c r="BI68" s="27" t="str">
        <f t="shared" si="29"/>
        <v/>
      </c>
      <c r="BJ68" s="27" t="str">
        <f>IF(Compositions!H133="","",(Compositions!H133/(VLOOKUP(Compositions!G133,'HHV-LHV-MW'!$A$3:$F$40,6,FALSE))))</f>
        <v/>
      </c>
      <c r="BK68" s="25" t="str">
        <f>IF(BH68="","",((VLOOKUP(Compositions!G133,'HHV-LHV-MW'!$A$3:$F$40,4,FALSE))*(BH68/100)))</f>
        <v/>
      </c>
      <c r="BL68" s="25" t="str">
        <f>IF(BH68="","",((VLOOKUP(Compositions!G133,'HHV-LHV-MW'!$A$3:$F$40,5,FALSE))*(BH68/100)))</f>
        <v/>
      </c>
      <c r="BM68" s="25" t="str">
        <f>IF(BH68="","",((VLOOKUP(Compositions!G133,'HHV-LHV-MW'!$A$3:$F$40,6,FALSE))*(BH68/100)))</f>
        <v/>
      </c>
      <c r="BN68" s="25" t="str">
        <f>IF(Compositions!H133="","",(Compositions!H133*(VLOOKUP(Compositions!G133,'HHV-LHV-MW'!$A$3:$F$40,6,FALSE))))</f>
        <v/>
      </c>
      <c r="BO68" s="295" t="str">
        <f>IF(Compositions!H133="","",IF(OR(Compositions!$H$118="wt%",Compositions!$H$118=""),Compositions!H133,(IF(BN68="","",((BN68/$BN$78)*100)))))</f>
        <v/>
      </c>
      <c r="BP68" s="185" t="str">
        <f>IF(BO68="","",(IF(OR(Compositions!G133="Hydrogen",Compositions!G133="Helium",Compositions!G133="Water",Compositions!G133="Carbon Monoxide",Compositions!G133="Nitrogen",Compositions!G133="Oxygen",Compositions!G133="Hydrogen Sulfide",Compositions!G133="Argon",Compositions!G133="Carbon Dioxide",Compositions!G133="Carbon Disulfide"),0,BO68)))</f>
        <v/>
      </c>
      <c r="BQ68" s="187" t="str">
        <f>IF(Compositions!H133="","",((BH68/100)*((VLOOKUP(Compositions!G133,'HHV-LHV-MW'!$A$3:$G$40,7,FALSE)))))</f>
        <v/>
      </c>
      <c r="BR68" s="187" t="str">
        <f>IF(BH68="","",(IF(OR(Compositions!G133="Hydrogen",Compositions!G133="Carbon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Dioxide",Compositions!G133="Methane",Compositions!G133="Ethane"),0,(BH68/100))))</f>
        <v/>
      </c>
      <c r="BS68" s="205" t="str">
        <f>IF(BH68="","",(IF(OR($BR$78=0,$BR$78=""),0,    ((VLOOKUP(Compositions!G133,'HHV-LHV-MW'!$A$3:$F$40,6,FALSE))*(BR68/$BR$78)))))</f>
        <v/>
      </c>
      <c r="BT68" s="28" t="str">
        <f>IF(Compositions!I133="","",IF(Compositions!$I$118="mol%",Compositions!I133,BU68))</f>
        <v/>
      </c>
      <c r="BU68" s="28" t="str">
        <f t="shared" si="30"/>
        <v/>
      </c>
      <c r="BV68" s="28" t="str">
        <f>IF(Compositions!I133="","",(Compositions!I133/(VLOOKUP(Compositions!G133,'HHV-LHV-MW'!$A$3:$F$40,6,FALSE))))</f>
        <v/>
      </c>
      <c r="BW68" s="26" t="str">
        <f>IF(BT68="","",((VLOOKUP(Compositions!G133,'HHV-LHV-MW'!$A$3:$F$40,4,FALSE))*(BT68/100)))</f>
        <v/>
      </c>
      <c r="BX68" s="26" t="str">
        <f>IF(BT68="","",((VLOOKUP(Compositions!G133,'HHV-LHV-MW'!$A$3:$F$40,5,FALSE))*(BT68/100)))</f>
        <v/>
      </c>
      <c r="BY68" s="26" t="str">
        <f>IF(BT68="","",((VLOOKUP(Compositions!G133,'HHV-LHV-MW'!$A$3:$F$40,6,FALSE))*(BT68/100)))</f>
        <v/>
      </c>
      <c r="BZ68" s="26" t="str">
        <f>IF(Compositions!I133="","",(Compositions!I133*(VLOOKUP(Compositions!G133,'HHV-LHV-MW'!$A$3:$F$40,6,FALSE))))</f>
        <v/>
      </c>
      <c r="CA68" s="296" t="str">
        <f>IF(Compositions!I133="","",IF(OR(Compositions!$I$118="wt%",Compositions!$I$118=""),Compositions!I133,(IF(BZ68="","",((BZ68/$BZ$78)*100)))))</f>
        <v/>
      </c>
      <c r="CB68" s="39" t="str">
        <f>IF(CA68="","",(IF(OR(Compositions!G133="Hydrogen",Compositions!G133="Helium",Compositions!G133="Water",Compositions!G133="Carbon Monoxide",Compositions!G133="Nitrogen",Compositions!G133="Oxygen",Compositions!G133="Hydrogen Sulfide",Compositions!G133="Argon",Compositions!G133="Carbon Dioxide",Compositions!G133="Carbon Disulfide"),0,CA68)))</f>
        <v/>
      </c>
      <c r="CC68" s="186" t="str">
        <f>IF(Compositions!I133="","",((BT68/100)*((VLOOKUP(Compositions!G133,'HHV-LHV-MW'!$A$3:$G$40,7,FALSE)))))</f>
        <v/>
      </c>
      <c r="CD68" s="186" t="str">
        <f>IF(BT68="","",(IF(OR(Compositions!G133="Hydrogen",Compositions!G133="Carbon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Dioxide",Compositions!G133="Methane",Compositions!G133="Ethane"),0,(BT68/100))))</f>
        <v/>
      </c>
      <c r="CE68" s="39" t="str">
        <f>IF(BT68="","",(IF(OR($CD$78=0,$CD$78=""),0,       ((VLOOKUP(Compositions!G133,'HHV-LHV-MW'!$A$3:$F$40,6,FALSE))*(CD68/$CD$78)))))</f>
        <v/>
      </c>
      <c r="CF68" s="27" t="str">
        <f>IF(Compositions!J133="","",IF(Compositions!$J$118="mol%",Compositions!J133,CG68))</f>
        <v/>
      </c>
      <c r="CG68" s="27" t="str">
        <f t="shared" si="31"/>
        <v/>
      </c>
      <c r="CH68" s="27" t="str">
        <f>IF(Compositions!J133="","",(Compositions!J133/(VLOOKUP(Compositions!G133,'HHV-LHV-MW'!$A$3:$F$40,6,FALSE))))</f>
        <v/>
      </c>
      <c r="CI68" s="25" t="str">
        <f>IF(CF68="","",((VLOOKUP(Compositions!G133,'HHV-LHV-MW'!$A$3:$F$40,4,FALSE))*(CF68/100)))</f>
        <v/>
      </c>
      <c r="CJ68" s="25" t="str">
        <f>IF(CF68="","",((VLOOKUP(Compositions!G133,'HHV-LHV-MW'!$A$3:$F$40,5,FALSE))*(CF68/100)))</f>
        <v/>
      </c>
      <c r="CK68" s="25" t="str">
        <f>IF(CF68="","",((VLOOKUP(Compositions!G133,'HHV-LHV-MW'!$A$3:$F$40,6,FALSE))*(CF68/100)))</f>
        <v/>
      </c>
      <c r="CL68" s="25" t="str">
        <f>IF(Compositions!J133="","",(Compositions!J133*(VLOOKUP(Compositions!G133,'HHV-LHV-MW'!$A$3:$F$40,6,FALSE))))</f>
        <v/>
      </c>
      <c r="CM68" s="295" t="str">
        <f>IF(Compositions!J133="","",IF(OR(Compositions!$J$118="wt%",Compositions!$J$118=""),Compositions!J133,(IF(CL68="","",((CL68/$CL$78)*100)))))</f>
        <v/>
      </c>
      <c r="CN68" s="185" t="str">
        <f>IF(CM68="","",(IF(OR(Compositions!G133="Hydrogen",Compositions!G133="Helium",Compositions!G133="Water",Compositions!G133="Carbon Monoxide",Compositions!G133="Nitrogen",Compositions!G133="Oxygen",Compositions!G133="Hydrogen Sulfide",Compositions!G133="Argon",Compositions!G133="Carbon Dioxide",Compositions!G133="Carbon Disulfide"),0,CM68)))</f>
        <v/>
      </c>
      <c r="CO68" s="187" t="str">
        <f>IF(Compositions!J133="","",((CF68/100)*((VLOOKUP(Compositions!G133,'HHV-LHV-MW'!$A$3:$G$40,7,FALSE)))))</f>
        <v/>
      </c>
      <c r="CP68" s="187" t="str">
        <f>IF(CF68="","",(IF(OR(Compositions!G133="Hydrogen",Compositions!G133="Carbon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Dioxide",Compositions!G133="Methane",Compositions!G133="Ethane"),0,(CF68/100))))</f>
        <v/>
      </c>
      <c r="CQ68" s="205" t="str">
        <f>IF(CF68="","",(IF(OR($CP$78=0,$CP$78=""),0,       ((VLOOKUP(Compositions!G133,'HHV-LHV-MW'!$A$3:$F$40,6,FALSE))*(CP68/$CP$78)))))</f>
        <v/>
      </c>
      <c r="CR68" s="28" t="str">
        <f>IF(Compositions!K133="","",IF(Compositions!$K$118="mol%",Compositions!K133,CS68))</f>
        <v/>
      </c>
      <c r="CS68" s="28" t="str">
        <f t="shared" si="32"/>
        <v/>
      </c>
      <c r="CT68" s="28" t="str">
        <f>IF(Compositions!K133="","",(Compositions!K133/(VLOOKUP(Compositions!G133,'HHV-LHV-MW'!$A$3:$F$40,6,FALSE))))</f>
        <v/>
      </c>
      <c r="CU68" s="26" t="str">
        <f>IF(CR68="","",((VLOOKUP(Compositions!G133,'HHV-LHV-MW'!$A$3:$F$40,4,FALSE))*(CR68/100)))</f>
        <v/>
      </c>
      <c r="CV68" s="26" t="str">
        <f>IF(CR68="","",((VLOOKUP(Compositions!G133,'HHV-LHV-MW'!$A$3:$F$40,5,FALSE))*(CR68/100)))</f>
        <v/>
      </c>
      <c r="CW68" s="26" t="str">
        <f>IF(CR68="","",((VLOOKUP(Compositions!G133,'HHV-LHV-MW'!$A$3:$F$40,6,FALSE))*(CR68/100)))</f>
        <v/>
      </c>
      <c r="CX68" s="26" t="str">
        <f>IF(Compositions!K133="","",(Compositions!K133*(VLOOKUP(Compositions!G133,'HHV-LHV-MW'!$A$3:$F$40,6,FALSE))))</f>
        <v/>
      </c>
      <c r="CY68" s="296" t="str">
        <f>IF(Compositions!K133="","",IF(OR(Compositions!$K$118="wt%",Compositions!$K$118=""),Compositions!K133,(IF(CX68="","",((CX68/$CX$78)*100)))))</f>
        <v/>
      </c>
      <c r="CZ68" s="39" t="str">
        <f>IF(CY68="","",(IF(OR(Compositions!G133="Hydrogen",Compositions!G133="Helium",Compositions!G133="Water",Compositions!G133="Carbon Monoxide",Compositions!G133="Nitrogen",Compositions!G133="Oxygen",Compositions!G133="Hydrogen Sulfide",Compositions!G133="Argon",Compositions!G133="Carbon Dioxide",Compositions!G133="Carbon Disulfide"),0,CY68)))</f>
        <v/>
      </c>
      <c r="DA68" s="186" t="str">
        <f>IF(Compositions!K133="","",((CR68/100)*((VLOOKUP(Compositions!G133,'HHV-LHV-MW'!$A$3:$G$40,7,FALSE)))))</f>
        <v/>
      </c>
      <c r="DB68" s="186" t="str">
        <f>IF(CR68="","",(IF(OR(Compositions!G133="Hydrogen",Compositions!G133="Carbon Disulfide",Compositions!G133="Helium",Compositions!G133="Water",Compositions!G133="Carbon Monoxide",Compositions!G133="Nitrogen",Compositions!G133="Oxygen",Compositions!G133="Hydrogen Sulfide",Compositions!G133="Argon",Compositions!G133="Carbon Dioxide",Compositions!G133="Methane",Compositions!G133="Ethane"),0,(CR68/100))))</f>
        <v/>
      </c>
      <c r="DC68" s="39" t="str">
        <f>IF(CR68="","",(IF(OR($DB$78=0,$DB$78=""),0,       ((VLOOKUP(Compositions!G133,'HHV-LHV-MW'!$A$3:$F$40,6,FALSE))*(DB68/$DB$78)))))</f>
        <v/>
      </c>
      <c r="DE68" s="27" t="str">
        <f>IF(Compositions!N133="","",IF(Compositions!$N$118="mol%",Compositions!N133,DF68))</f>
        <v/>
      </c>
      <c r="DF68" s="27" t="str">
        <f t="shared" si="33"/>
        <v/>
      </c>
      <c r="DG68" s="27" t="str">
        <f>IF(Compositions!N133="","",(Compositions!N133/(VLOOKUP(Compositions!M133,'HHV-LHV-MW'!$A$3:$F$40,6,FALSE))))</f>
        <v/>
      </c>
      <c r="DH68" s="25" t="str">
        <f>IF(DE68="","",((VLOOKUP(Compositions!M133,'HHV-LHV-MW'!$A$3:$F$40,4,FALSE))*(DE68/100)))</f>
        <v/>
      </c>
      <c r="DI68" s="25" t="str">
        <f>IF(DE68="","",((VLOOKUP(Compositions!M133,'HHV-LHV-MW'!$A$3:$F$40,5,FALSE))*(DE68/100)))</f>
        <v/>
      </c>
      <c r="DJ68" s="25" t="str">
        <f>IF(DE68="","",((VLOOKUP(Compositions!M133,'HHV-LHV-MW'!$A$3:$F$40,6,FALSE))*(DE68/100)))</f>
        <v/>
      </c>
      <c r="DK68" s="25" t="str">
        <f>IF(Compositions!N133="","",(Compositions!N133*(VLOOKUP(Compositions!M133,'HHV-LHV-MW'!$A$3:$F$40,6,FALSE))))</f>
        <v/>
      </c>
      <c r="DL68" s="295" t="str">
        <f>IF(Compositions!N133="","",IF(OR(Compositions!$N$118="wt%",Compositions!$N$118=""),Compositions!N133,(IF(DK68="","",((DK68/$DK$78)*100)))))</f>
        <v/>
      </c>
      <c r="DM68" s="185" t="str">
        <f>IF(DL68="","",(IF(OR(Compositions!M133="Hydrogen",Compositions!M133="Helium",Compositions!M133="Water",Compositions!M133="Carbon Monoxide",Compositions!M133="Nitrogen",Compositions!M133="Oxygen",Compositions!M133="Hydrogen Sulfide",Compositions!M133="Argon",Compositions!M133="Carbon Dioxide",Compositions!M133="Carbon Disulfide"),0,DL68)))</f>
        <v/>
      </c>
      <c r="DN68" s="187" t="str">
        <f>IF(Compositions!N133="","",((DE68/100)*((VLOOKUP(Compositions!M133,'HHV-LHV-MW'!$A$3:$G$40,7,FALSE)))))</f>
        <v/>
      </c>
      <c r="DO68" s="187" t="str">
        <f>IF(DE68="","",(IF(OR(Compositions!M133="Hydrogen",Compositions!M133="Carbon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Dioxide",Compositions!M133="Methane",Compositions!M133="Ethane"),0,(DE68/100))))</f>
        <v/>
      </c>
      <c r="DP68" s="205" t="str">
        <f>IF(DE68="","",(IF(OR($DO$78=0,$DO$78=""),0,       ((VLOOKUP(Compositions!M133,'HHV-LHV-MW'!$A$3:$F$40,6,FALSE))*(DO68/$DO$78)))))</f>
        <v/>
      </c>
      <c r="DQ68" s="28" t="str">
        <f>IF(Compositions!O133="","",IF(Compositions!$O$118="mol%",Compositions!O133,DR68))</f>
        <v/>
      </c>
      <c r="DR68" s="28" t="str">
        <f t="shared" si="34"/>
        <v/>
      </c>
      <c r="DS68" s="28" t="str">
        <f>IF(Compositions!O133="","",(Compositions!O133/(VLOOKUP(Compositions!M133,'HHV-LHV-MW'!$A$3:$F$40,6,FALSE))))</f>
        <v/>
      </c>
      <c r="DT68" s="26" t="str">
        <f>IF(DQ68="","",((VLOOKUP(Compositions!M133,'HHV-LHV-MW'!$A$3:$F$40,4,FALSE))*(DQ68/100)))</f>
        <v/>
      </c>
      <c r="DU68" s="26" t="str">
        <f>IF(DQ68="","",((VLOOKUP(Compositions!M133,'HHV-LHV-MW'!$A$3:$F$40,5,FALSE))*(DQ68/100)))</f>
        <v/>
      </c>
      <c r="DV68" s="26" t="str">
        <f>IF(DQ68="","",((VLOOKUP(Compositions!M133,'HHV-LHV-MW'!$A$3:$F$40,6,FALSE))*(DQ68/100)))</f>
        <v/>
      </c>
      <c r="DW68" s="26" t="str">
        <f>IF(Compositions!O133="","",(Compositions!O133*(VLOOKUP(Compositions!M133,'HHV-LHV-MW'!$A$3:$F$40,6,FALSE))))</f>
        <v/>
      </c>
      <c r="DX68" s="296" t="str">
        <f>IF(Compositions!O133="","",IF(OR(Compositions!$O$118="wt%",Compositions!$O$118=""),Compositions!O133,(IF(DW68="","",((DW68/$DW$78)*100)))))</f>
        <v/>
      </c>
      <c r="DY68" s="39" t="str">
        <f>IF(DX68="","",(IF(OR(Compositions!M133="Hydrogen",Compositions!M133="Helium",Compositions!M133="Water",Compositions!M133="Carbon Monoxide",Compositions!M133="Nitrogen",Compositions!M133="Oxygen",Compositions!M133="Hydrogen Sulfide",Compositions!M133="Argon",Compositions!M133="Carbon Dioxide",Compositions!M133="Carbon Disulfide"),0,DX68)))</f>
        <v/>
      </c>
      <c r="DZ68" s="186" t="str">
        <f>IF(Compositions!O133="","",((DQ68/100)*((VLOOKUP(Compositions!M133,'HHV-LHV-MW'!$A$3:$G$40,7,FALSE)))))</f>
        <v/>
      </c>
      <c r="EA68" s="186" t="str">
        <f>IF(DQ68="","",(IF(OR(Compositions!M133="Hydrogen",Compositions!M133="Carbon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Dioxide",Compositions!M133="Methane",Compositions!M133="Ethane"),0,(DQ68/100))))</f>
        <v/>
      </c>
      <c r="EB68" s="39" t="str">
        <f>IF(DQ68="","",(IF(OR($EA$78=0,$EA$78=""),0,       ((VLOOKUP(Compositions!M133,'HHV-LHV-MW'!$A$3:$F$40,6,FALSE))*(EA68/$EA$78)))))</f>
        <v/>
      </c>
      <c r="EC68" s="27" t="str">
        <f>IF(Compositions!P133="","",IF(Compositions!$P$118="mol%",Compositions!P133,ED68))</f>
        <v/>
      </c>
      <c r="ED68" s="27" t="str">
        <f t="shared" si="35"/>
        <v/>
      </c>
      <c r="EE68" s="27" t="str">
        <f>IF(Compositions!P133="","",(Compositions!P133/(VLOOKUP(Compositions!M133,'HHV-LHV-MW'!$A$3:$F$40,6,FALSE))))</f>
        <v/>
      </c>
      <c r="EF68" s="25" t="str">
        <f>IF(EC68="","",((VLOOKUP(Compositions!M133,'HHV-LHV-MW'!$A$3:$F$40,4,FALSE))*(EC68/100)))</f>
        <v/>
      </c>
      <c r="EG68" s="25" t="str">
        <f>IF(EC68="","",((VLOOKUP(Compositions!M133,'HHV-LHV-MW'!$A$3:$F$40,5,FALSE))*(EC68/100)))</f>
        <v/>
      </c>
      <c r="EH68" s="25" t="str">
        <f>IF(EC68="","",((VLOOKUP(Compositions!M133,'HHV-LHV-MW'!$A$3:$F$40,6,FALSE))*(EC68/100)))</f>
        <v/>
      </c>
      <c r="EI68" s="25" t="str">
        <f>IF(Compositions!P133="","",(Compositions!P133*(VLOOKUP(Compositions!M133,'HHV-LHV-MW'!$A$3:$F$40,6,FALSE))))</f>
        <v/>
      </c>
      <c r="EJ68" s="295" t="str">
        <f>IF(Compositions!P133="","",IF(OR(Compositions!$P$118="wt%",Compositions!$P$118=""),Compositions!P133,(IF(EI68="","",((EI68/$EI$78)*100)))))</f>
        <v/>
      </c>
      <c r="EK68" s="185" t="str">
        <f>IF(EJ68="","",(IF(OR(Compositions!M133="Hydrogen",Compositions!M133="Helium",Compositions!M133="Water",Compositions!M133="Carbon Monoxide",Compositions!M133="Nitrogen",Compositions!M133="Oxygen",Compositions!M133="Hydrogen Sulfide",Compositions!M133="Argon",Compositions!M133="Carbon Dioxide",Compositions!M133="Carbon Disulfide"),0,EJ68)))</f>
        <v/>
      </c>
      <c r="EL68" s="187" t="str">
        <f>IF(Compositions!P133="","",((EC68/100)*((VLOOKUP(Compositions!M133,'HHV-LHV-MW'!$A$3:$G$40,7,FALSE)))))</f>
        <v/>
      </c>
      <c r="EM68" s="187" t="str">
        <f>IF(EC68="","",(IF(OR(Compositions!M133="Hydrogen",Compositions!M133="Carbon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Dioxide",Compositions!M133="Methane",Compositions!M133="Ethane"),0,(EC68/100))))</f>
        <v/>
      </c>
      <c r="EN68" s="205" t="str">
        <f>IF(EC68="","",(IF(OR($EM$78=0,$EM$78=""),0,       ((VLOOKUP(Compositions!M133,'HHV-LHV-MW'!$A$3:$F$40,6,FALSE))*(EM68/$EM$78)))))</f>
        <v/>
      </c>
      <c r="EO68" s="28" t="str">
        <f>IF(Compositions!Q133="","",IF(Compositions!$Q$118="mol%",Compositions!Q133,EP68))</f>
        <v/>
      </c>
      <c r="EP68" s="28" t="str">
        <f t="shared" si="36"/>
        <v/>
      </c>
      <c r="EQ68" s="28" t="str">
        <f>IF(Compositions!Q133="","",(Compositions!Q133/(VLOOKUP(Compositions!M133,'HHV-LHV-MW'!$A$3:$F$40,6,FALSE))))</f>
        <v/>
      </c>
      <c r="ER68" s="26" t="str">
        <f>IF(EO68="","",((VLOOKUP(Compositions!M133,'HHV-LHV-MW'!$A$3:$F$40,4,FALSE))*(EO68/100)))</f>
        <v/>
      </c>
      <c r="ES68" s="26" t="str">
        <f>IF(EO68="","",((VLOOKUP(Compositions!M133,'HHV-LHV-MW'!$A$3:$F$40,5,FALSE))*(EO68/100)))</f>
        <v/>
      </c>
      <c r="ET68" s="26" t="str">
        <f>IF(EO68="","",((VLOOKUP(Compositions!M133,'HHV-LHV-MW'!$A$3:$F$40,6,FALSE))*(EO68/100)))</f>
        <v/>
      </c>
      <c r="EU68" s="26" t="str">
        <f>IF(Compositions!Q133="","",(Compositions!Q133*(VLOOKUP(Compositions!M133,'HHV-LHV-MW'!$A$3:$F$40,6,FALSE))))</f>
        <v/>
      </c>
      <c r="EV68" s="296" t="str">
        <f>IF(Compositions!Q133="","",IF(OR(Compositions!$Q$118="wt%",Compositions!$Q$118=""),Compositions!Q133,(IF(EU68="","",((EU68/$EU$78)*100)))))</f>
        <v/>
      </c>
      <c r="EW68" s="39" t="str">
        <f>IF(EV68="","",(IF(OR(Compositions!M133="Hydrogen",Compositions!M133="Helium",Compositions!M133="Water",Compositions!M133="Carbon Monoxide",Compositions!M133="Nitrogen",Compositions!M133="Oxygen",Compositions!M133="Hydrogen Sulfide",Compositions!M133="Argon",Compositions!M133="Carbon Dioxide",Compositions!M133="Carbon Disulfide"),0,EV68)))</f>
        <v/>
      </c>
      <c r="EX68" s="186" t="str">
        <f>IF(Compositions!Q133="","",((EO68/100)*((VLOOKUP(Compositions!M133,'HHV-LHV-MW'!$A$3:$G$40,7,FALSE)))))</f>
        <v/>
      </c>
      <c r="EY68" s="186" t="str">
        <f>IF(EO68="","",(IF(OR(Compositions!M133="Hydrogen",Compositions!M133="Carbon Disulfide",Compositions!M133="Helium",Compositions!M133="Water",Compositions!M133="Carbon Monoxide",Compositions!M133="Nitrogen",Compositions!M133="Oxygen",Compositions!M133="Hydrogen Sulfide",Compositions!M133="Argon",Compositions!M133="Carbon Dioxide",Compositions!M133="Methane",Compositions!M133="Ethane"),0,(EO68/100))))</f>
        <v/>
      </c>
      <c r="EZ68" s="39" t="str">
        <f>IF(EO68="","",(IF(OR($EY$78=0,$EY$78=""),0,       ((VLOOKUP(Compositions!M133,'HHV-LHV-MW'!$A$3:$F$40,6,FALSE))*(EY68/$EY$78)))))</f>
        <v/>
      </c>
      <c r="FB68" s="27" t="str">
        <f>IF(Compositions!T133="","",IF(Compositions!$T$118="mol%",Compositions!T133,FC68))</f>
        <v/>
      </c>
      <c r="FC68" s="27" t="str">
        <f t="shared" si="37"/>
        <v/>
      </c>
      <c r="FD68" s="27" t="str">
        <f>IF(Compositions!T133="","",(Compositions!T133/(VLOOKUP(Compositions!S133,'HHV-LHV-MW'!$A$3:$F$40,6,FALSE))))</f>
        <v/>
      </c>
      <c r="FE68" s="25" t="str">
        <f>IF(FB68="","",((VLOOKUP(Compositions!S133,'HHV-LHV-MW'!$A$3:$F$40,4,FALSE))*(FB68/100)))</f>
        <v/>
      </c>
      <c r="FF68" s="25" t="str">
        <f>IF(FB68="","",((VLOOKUP(Compositions!S133,'HHV-LHV-MW'!$A$3:$F$40,5,FALSE))*(FB68/100)))</f>
        <v/>
      </c>
      <c r="FG68" s="25" t="str">
        <f>IF(FB68="","",((VLOOKUP(Compositions!S133,'HHV-LHV-MW'!$A$3:$F$40,6,FALSE))*(FB68/100)))</f>
        <v/>
      </c>
      <c r="FH68" s="25" t="str">
        <f>IF(Compositions!T133="","",(Compositions!T133*(VLOOKUP(Compositions!S133,'HHV-LHV-MW'!$A$3:$F$40,6,FALSE))))</f>
        <v/>
      </c>
      <c r="FI68" s="295" t="str">
        <f>IF(Compositions!T133="","",IF(OR(Compositions!$T$118="wt%",Compositions!$T$118=""),Compositions!T133,(IF(FH68="","",((FH68/$FH$78)*100)))))</f>
        <v/>
      </c>
      <c r="FJ68" s="185" t="str">
        <f>IF(FI68="","",(IF(OR(Compositions!S133="Hydrogen",Compositions!S133="Helium",Compositions!S133="Water",Compositions!S133="Carbon Monoxide",Compositions!S133="Nitrogen",Compositions!S133="Oxygen",Compositions!S133="Hydrogen Sulfide",Compositions!S133="Argon",Compositions!S133="Carbon Dioxide",Compositions!S133="Carbon Disulfide"),0,FI68)))</f>
        <v/>
      </c>
      <c r="FK68" s="187" t="str">
        <f>IF(Compositions!T133="","",((FB68/100)*((VLOOKUP(Compositions!S133,'HHV-LHV-MW'!$A$3:$G$40,7,FALSE)))))</f>
        <v/>
      </c>
      <c r="FL68" s="187" t="str">
        <f>IF(FB68="","",(IF(OR(Compositions!S133="Hydrogen",Compositions!S133="Carbon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Dioxide",Compositions!S133="Methane",Compositions!S133="Ethane"),0,(FB68/100))))</f>
        <v/>
      </c>
      <c r="FM68" s="205" t="str">
        <f>IF(FB68="","",(IF(OR($FL$78=0,$FL$78=""),0,       ((VLOOKUP(Compositions!S133,'HHV-LHV-MW'!$A$3:$F$40,6,FALSE))*(FL68/$FL$78)))))</f>
        <v/>
      </c>
      <c r="FN68" s="28" t="str">
        <f>IF(Compositions!U133="","",IF(Compositions!$U$118="mol%",Compositions!U133,FO68))</f>
        <v/>
      </c>
      <c r="FO68" s="28" t="str">
        <f t="shared" si="38"/>
        <v/>
      </c>
      <c r="FP68" s="28" t="str">
        <f>IF(Compositions!U133="","",(Compositions!U133/(VLOOKUP(Compositions!S133,'HHV-LHV-MW'!$A$3:$F$40,6,FALSE))))</f>
        <v/>
      </c>
      <c r="FQ68" s="26" t="str">
        <f>IF(FN68="","",((VLOOKUP(Compositions!S133,'HHV-LHV-MW'!$A$3:$F$40,4,FALSE))*(FN68/100)))</f>
        <v/>
      </c>
      <c r="FR68" s="26" t="str">
        <f>IF(FN68="","",((VLOOKUP(Compositions!S133,'HHV-LHV-MW'!$A$3:$F$40,5,FALSE))*(FN68/100)))</f>
        <v/>
      </c>
      <c r="FS68" s="26" t="str">
        <f>IF(FN68="","",((VLOOKUP(Compositions!S133,'HHV-LHV-MW'!$A$3:$F$40,6,FALSE))*(FN68/100)))</f>
        <v/>
      </c>
      <c r="FT68" s="26" t="str">
        <f>IF(Compositions!U133="","",(Compositions!U133*(VLOOKUP(Compositions!S133,'HHV-LHV-MW'!$A$3:$F$40,6,FALSE))))</f>
        <v/>
      </c>
      <c r="FU68" s="296" t="str">
        <f>IF(Compositions!U133="","",IF(OR(Compositions!$U$118="wt%",Compositions!$U$118=""),Compositions!U133,(IF(FT68="","",((FT68/$FT$78)*100)))))</f>
        <v/>
      </c>
      <c r="FV68" s="39" t="str">
        <f>IF(FU68="","",(IF(OR(Compositions!S133="Hydrogen",Compositions!S133="Helium",Compositions!S133="Water",Compositions!S133="Carbon Monoxide",Compositions!S133="Nitrogen",Compositions!S133="Oxygen",Compositions!S133="Hydrogen Sulfide",Compositions!S133="Argon",Compositions!S133="Carbon Dioxide",Compositions!S133="Carbon Disulfide"),0,FU68)))</f>
        <v/>
      </c>
      <c r="FW68" s="186" t="str">
        <f>IF(Compositions!U133="","",((FN68/100)*((VLOOKUP(Compositions!S133,'HHV-LHV-MW'!$A$3:$G$40,7,FALSE)))))</f>
        <v/>
      </c>
      <c r="FX68" s="186" t="str">
        <f>IF(FN68="","",(IF(OR(Compositions!S133="Hydrogen",Compositions!S133="Carbon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Dioxide",Compositions!S133="Methane",Compositions!S133="Ethane"),0,(FN68/100))))</f>
        <v/>
      </c>
      <c r="FY68" s="39" t="str">
        <f>IF(FN68="","",(IF(OR($FX$78=0,$FX$78=""),0,       ((VLOOKUP(Compositions!S133,'HHV-LHV-MW'!$A$3:$F$40,6,FALSE))*(FX68/$FX$78)))))</f>
        <v/>
      </c>
      <c r="FZ68" s="27" t="str">
        <f>IF(Compositions!V133="","",IF(Compositions!$V$118="mol%",Compositions!V133,GA68))</f>
        <v/>
      </c>
      <c r="GA68" s="27" t="str">
        <f t="shared" si="39"/>
        <v/>
      </c>
      <c r="GB68" s="27" t="str">
        <f>IF(Compositions!V133="","",(Compositions!V133/(VLOOKUP(Compositions!S133,'HHV-LHV-MW'!$A$3:$F$40,6,FALSE))))</f>
        <v/>
      </c>
      <c r="GC68" s="25" t="str">
        <f>IF(FZ68="","",((VLOOKUP(Compositions!S133,'HHV-LHV-MW'!$A$3:$F$40,4,FALSE))*(FZ68/100)))</f>
        <v/>
      </c>
      <c r="GD68" s="25" t="str">
        <f>IF(FZ68="","",((VLOOKUP(Compositions!S133,'HHV-LHV-MW'!$A$3:$F$40,5,FALSE))*(FZ68/100)))</f>
        <v/>
      </c>
      <c r="GE68" s="25" t="str">
        <f>IF(FZ68="","",((VLOOKUP(Compositions!S133,'HHV-LHV-MW'!$A$3:$F$40,6,FALSE))*(FZ68/100)))</f>
        <v/>
      </c>
      <c r="GF68" s="25" t="str">
        <f>IF(Compositions!V133="","",(Compositions!V133*(VLOOKUP(Compositions!S133,'HHV-LHV-MW'!$A$3:$F$40,6,FALSE))))</f>
        <v/>
      </c>
      <c r="GG68" s="295" t="str">
        <f>IF(Compositions!V133="","",IF(OR(Compositions!$V$118="wt%",Compositions!$V$118=""),Compositions!V133,(IF(GF68="","",((GF68/$GF$78)*100)))))</f>
        <v/>
      </c>
      <c r="GH68" s="185" t="str">
        <f>IF(GG68="","",(IF(OR(Compositions!S133="Hydrogen",Compositions!S133="Helium",Compositions!S133="Water",Compositions!S133="Carbon Monoxide",Compositions!S133="Nitrogen",Compositions!S133="Oxygen",Compositions!S133="Hydrogen Sulfide",Compositions!S133="Argon",Compositions!S133="Carbon Dioxide",Compositions!S133="Carbon Disulfide"),0,GG68)))</f>
        <v/>
      </c>
      <c r="GI68" s="187" t="str">
        <f>IF(Compositions!V133="","",((FZ68/100)*((VLOOKUP(Compositions!S133,'HHV-LHV-MW'!$A$3:$G$40,7,FALSE)))))</f>
        <v/>
      </c>
      <c r="GJ68" s="187" t="str">
        <f>IF(FZ68="","",(IF(OR(Compositions!S133="Hydrogen",Compositions!S133="Carbon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Dioxide",Compositions!S133="Methane",Compositions!S133="Ethane"),0,(FZ68/100))))</f>
        <v/>
      </c>
      <c r="GK68" s="205" t="str">
        <f>IF(FZ68="","",(IF(OR($GJ$78=0,$GJ$78=""),0,       ((VLOOKUP(Compositions!S133,'HHV-LHV-MW'!$A$3:$F$40,6,FALSE))*(GJ68/$GJ$78)))))</f>
        <v/>
      </c>
      <c r="GL68" s="28" t="str">
        <f>IF(Compositions!W133="","",IF(Compositions!$W$118="mol%",Compositions!W133,GM68))</f>
        <v/>
      </c>
      <c r="GM68" s="28" t="str">
        <f t="shared" si="40"/>
        <v/>
      </c>
      <c r="GN68" s="28" t="str">
        <f>IF(Compositions!W133="","",(Compositions!W133/(VLOOKUP(Compositions!S133,'HHV-LHV-MW'!$A$3:$F$40,6,FALSE))))</f>
        <v/>
      </c>
      <c r="GO68" s="26" t="str">
        <f>IF(GL68="","",((VLOOKUP(Compositions!S133,'HHV-LHV-MW'!$A$3:$F$40,4,FALSE))*(GL68/100)))</f>
        <v/>
      </c>
      <c r="GP68" s="26" t="str">
        <f>IF(GL68="","",((VLOOKUP(Compositions!S133,'HHV-LHV-MW'!$A$3:$F$40,5,FALSE))*(GL68/100)))</f>
        <v/>
      </c>
      <c r="GQ68" s="26" t="str">
        <f>IF(GL68="","",((VLOOKUP(Compositions!S133,'HHV-LHV-MW'!$A$3:$F$40,6,FALSE))*(GL68/100)))</f>
        <v/>
      </c>
      <c r="GR68" s="26" t="str">
        <f>IF(Compositions!W133="","",(Compositions!W133*(VLOOKUP(Compositions!S133,'HHV-LHV-MW'!$A$3:$F$40,6,FALSE))))</f>
        <v/>
      </c>
      <c r="GS68" s="296" t="str">
        <f>IF(Compositions!W133="","",IF(OR(Compositions!$W$118="wt%",Compositions!$W$118=""),Compositions!W133,(IF(GR68="","",((GR68/$GR$78)*100)))))</f>
        <v/>
      </c>
      <c r="GT68" s="39" t="str">
        <f>IF(GS68="","",(IF(OR(Compositions!S133="Hydrogen",Compositions!S133="Helium",Compositions!S133="Water",Compositions!S133="Carbon Monoxide",Compositions!S133="Nitrogen",Compositions!S133="Oxygen",Compositions!S133="Hydrogen Sulfide",Compositions!S133="Argon",Compositions!S133="Carbon Dioxide",Compositions!S133="Carbon Disulfide"),0,GS68)))</f>
        <v/>
      </c>
      <c r="GU68" s="186" t="str">
        <f>IF(Compositions!W133="","",((GL68/100)*((VLOOKUP(Compositions!S133,'HHV-LHV-MW'!$A$3:$G$40,7,FALSE)))))</f>
        <v/>
      </c>
      <c r="GV68" s="186" t="str">
        <f>IF(GL68="","",(IF(OR(Compositions!S133="Hydrogen",Compositions!S133="Carbon Disulfide",Compositions!S133="Helium",Compositions!S133="Water",Compositions!S133="Carbon Monoxide",Compositions!S133="Nitrogen",Compositions!S133="Oxygen",Compositions!S133="Hydrogen Sulfide",Compositions!S133="Argon",Compositions!S133="Carbon Dioxide",Compositions!S133="Methane",Compositions!S133="Ethane"),0,(GL68/100))))</f>
        <v/>
      </c>
      <c r="GW68" s="39" t="str">
        <f>IF(GL68="","",(IF(OR($GV$78=0,$GV$78=""),0,       ((VLOOKUP(Compositions!S133,'HHV-LHV-MW'!$A$3:$F$40,6,FALSE))*(GV68/$GV$78)))))</f>
        <v/>
      </c>
      <c r="GY68" s="27" t="str">
        <f>IF(Compositions!Z133="","",IF(Compositions!$Z$118="mol%",Compositions!Z133,GZ68))</f>
        <v/>
      </c>
      <c r="GZ68" s="27" t="str">
        <f t="shared" si="41"/>
        <v/>
      </c>
      <c r="HA68" s="27" t="str">
        <f>IF(Compositions!Z133="","",(Compositions!Z133/(VLOOKUP(Compositions!Y133,'HHV-LHV-MW'!$A$3:$F$40,6,FALSE))))</f>
        <v/>
      </c>
      <c r="HB68" s="25" t="str">
        <f>IF(GY68="","",((VLOOKUP(Compositions!Y133,'HHV-LHV-MW'!$A$3:$F$40,4,FALSE))*(GY68/100)))</f>
        <v/>
      </c>
      <c r="HC68" s="25" t="str">
        <f>IF(GY68="","",((VLOOKUP(Compositions!Y133,'HHV-LHV-MW'!$A$3:$F$40,5,FALSE))*(GY68/100)))</f>
        <v/>
      </c>
      <c r="HD68" s="25" t="str">
        <f>IF(GY68="","",((VLOOKUP(Compositions!Y133,'HHV-LHV-MW'!$A$3:$F$40,6,FALSE))*(GY68/100)))</f>
        <v/>
      </c>
      <c r="HE68" s="25" t="str">
        <f>IF(Compositions!Z133="","",(Compositions!Z133*(VLOOKUP(Compositions!Y133,'HHV-LHV-MW'!$A$3:$F$40,6,FALSE))))</f>
        <v/>
      </c>
      <c r="HF68" s="295" t="str">
        <f>IF(Compositions!Z133="","",IF(OR(Compositions!$Z$118="wt%",Compositions!$Z$118=""),Compositions!Z133,(IF(HE68="","",((HE68/$HE$78)*100)))))</f>
        <v/>
      </c>
      <c r="HG68" s="185" t="str">
        <f>IF(HF68="","",(IF(OR(Compositions!Y133="Hydrogen",Compositions!Y133="Helium",Compositions!Y133="Water",Compositions!Y133="Carbon Monoxide",Compositions!Y133="Nitrogen",Compositions!Y133="Oxygen",Compositions!Y133="Hydrogen Sulfide",Compositions!Y133="Argon",Compositions!Y133="Carbon Dioxide",Compositions!Y133="Carbon Disulfide"),0,HF68)))</f>
        <v/>
      </c>
      <c r="HH68" s="187" t="str">
        <f>IF(Compositions!Z133="","",((GY68/100)*((VLOOKUP(Compositions!Y133,'HHV-LHV-MW'!$A$3:$G$40,7,FALSE)))))</f>
        <v/>
      </c>
      <c r="HI68" s="187" t="str">
        <f>IF(GY68="","",(IF(OR(Compositions!Y133="Hydrogen",Compositions!Y133="Carbon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Dioxide",Compositions!Y133="Methane",Compositions!Y133="Ethane"),0,(GY68/100))))</f>
        <v/>
      </c>
      <c r="HJ68" s="205" t="str">
        <f>IF(GY68="","",(IF(OR($HI$78=0,$HI$78=""),0,       ((VLOOKUP(Compositions!Y133,'HHV-LHV-MW'!$A$3:$F$40,6,FALSE))*(HI68/$HI$78)))))</f>
        <v/>
      </c>
      <c r="HK68" s="28" t="str">
        <f>IF(Compositions!AA133="","",IF(Compositions!$AA$118="mol%",Compositions!AA133,HL68))</f>
        <v/>
      </c>
      <c r="HL68" s="28" t="str">
        <f t="shared" si="42"/>
        <v/>
      </c>
      <c r="HM68" s="28" t="str">
        <f>IF(Compositions!AA133="","",(Compositions!AA133/(VLOOKUP(Compositions!Y133,'HHV-LHV-MW'!$A$3:$F$40,6,FALSE))))</f>
        <v/>
      </c>
      <c r="HN68" s="26" t="str">
        <f>IF(HK68="","",((VLOOKUP(Compositions!Y133,'HHV-LHV-MW'!$A$3:$F$40,4,FALSE))*(HK68/100)))</f>
        <v/>
      </c>
      <c r="HO68" s="26" t="str">
        <f>IF(HK68="","",((VLOOKUP(Compositions!Y133,'HHV-LHV-MW'!$A$3:$F$40,5,FALSE))*(HK68/100)))</f>
        <v/>
      </c>
      <c r="HP68" s="26" t="str">
        <f>IF(HK68="","",((VLOOKUP(Compositions!Y133,'HHV-LHV-MW'!$A$3:$F$40,6,FALSE))*(HK68/100)))</f>
        <v/>
      </c>
      <c r="HQ68" s="26" t="str">
        <f>IF(Compositions!AA133="","",(Compositions!AA133*(VLOOKUP(Compositions!Y133,'HHV-LHV-MW'!$A$3:$F$40,6,FALSE))))</f>
        <v/>
      </c>
      <c r="HR68" s="296" t="str">
        <f>IF(Compositions!AA133="","",IF(OR(Compositions!$AA$118="wt%",Compositions!$AA$118=""),Compositions!AA133,(IF(HQ68="","",((HQ68/$HQ$78)*100)))))</f>
        <v/>
      </c>
      <c r="HS68" s="39" t="str">
        <f>IF(HR68="","",(IF(OR(Compositions!Y133="Hydrogen",Compositions!Y133="Helium",Compositions!Y133="Water",Compositions!Y133="Carbon Monoxide",Compositions!Y133="Nitrogen",Compositions!Y133="Oxygen",Compositions!Y133="Hydrogen Sulfide",Compositions!Y133="Argon",Compositions!Y133="Carbon Dioxide",Compositions!Y133="Carbon Disulfide"),0,HR68)))</f>
        <v/>
      </c>
      <c r="HT68" s="186" t="str">
        <f>IF(Compositions!AA133="","",((HK68/100)*((VLOOKUP(Compositions!Y133,'HHV-LHV-MW'!$A$3:$G$40,7,FALSE)))))</f>
        <v/>
      </c>
      <c r="HU68" s="186" t="str">
        <f>IF(HK68="","",(IF(OR(Compositions!Y133="Hydrogen",Compositions!Y133="Carbon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Dioxide",Compositions!Y133="Methane",Compositions!Y133="Ethane"),0,(HK68/100))))</f>
        <v/>
      </c>
      <c r="HV68" s="39" t="str">
        <f>IF(HK68="","",(IF(OR($HU$78=0,$HU$78=""),0,       ((VLOOKUP(Compositions!Y133,'HHV-LHV-MW'!$A$3:$F$40,6,FALSE))*(HU68/$HU$78)))))</f>
        <v/>
      </c>
      <c r="HW68" s="27" t="str">
        <f>IF(Compositions!AB133="","",IF(Compositions!$AB$118="mol%",Compositions!AB133,HX68))</f>
        <v/>
      </c>
      <c r="HX68" s="27" t="str">
        <f t="shared" si="43"/>
        <v/>
      </c>
      <c r="HY68" s="27" t="str">
        <f>IF(Compositions!AB133="","",(Compositions!AB133/(VLOOKUP(Compositions!Y133,'HHV-LHV-MW'!$A$3:$F$40,6,FALSE))))</f>
        <v/>
      </c>
      <c r="HZ68" s="25" t="str">
        <f>IF(HW68="","",((VLOOKUP(Compositions!Y133,'HHV-LHV-MW'!$A$3:$F$40,4,FALSE))*(HW68/100)))</f>
        <v/>
      </c>
      <c r="IA68" s="25" t="str">
        <f>IF(HW68="","",((VLOOKUP(Compositions!Y133,'HHV-LHV-MW'!$A$3:$F$40,5,FALSE))*(HW68/100)))</f>
        <v/>
      </c>
      <c r="IB68" s="25" t="str">
        <f>IF(HW68="","",((VLOOKUP(Compositions!Y133,'HHV-LHV-MW'!$A$3:$F$40,6,FALSE))*(HW68/100)))</f>
        <v/>
      </c>
      <c r="IC68" s="25" t="str">
        <f>IF(Compositions!AB133="","",(Compositions!AB133*(VLOOKUP(Compositions!Y133,'HHV-LHV-MW'!$A$3:$F$40,6,FALSE))))</f>
        <v/>
      </c>
      <c r="ID68" s="295" t="str">
        <f>IF(Compositions!AB133="","",IF(OR(Compositions!$AB$118="wt%",Compositions!$AB$118=""),Compositions!AB133,(IF(IC68="","",((IC68/$IC$78)*100)))))</f>
        <v/>
      </c>
      <c r="IE68" s="185" t="str">
        <f>IF(ID68="","",(IF(OR(Compositions!Y133="Hydrogen",Compositions!Y133="Helium",Compositions!Y133="Water",Compositions!Y133="Carbon Monoxide",Compositions!Y133="Nitrogen",Compositions!Y133="Oxygen",Compositions!Y133="Hydrogen Sulfide",Compositions!Y133="Argon",Compositions!Y133="Carbon Dioxide",Compositions!Y133="Carbon Disulfide"),0,ID68)))</f>
        <v/>
      </c>
      <c r="IF68" s="187" t="str">
        <f>IF(Compositions!AB133="","",((HW68/100)*((VLOOKUP(Compositions!Y133,'HHV-LHV-MW'!$A$3:$G$40,7,FALSE)))))</f>
        <v/>
      </c>
      <c r="IG68" s="187" t="str">
        <f>IF(HW68="","",(IF(OR(Compositions!Y133="Hydrogen",Compositions!Y133="Carbon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Dioxide",Compositions!Y133="Methane",Compositions!Y133="Ethane"),0,(HW68/100))))</f>
        <v/>
      </c>
      <c r="IH68" s="205" t="str">
        <f>IF(HW68="","",(IF(OR($IG$78=0,$IG$78=""),0,       ((VLOOKUP(Compositions!Y133,'HHV-LHV-MW'!$A$3:$F$40,6,FALSE))*(IG68/$IG$78)))))</f>
        <v/>
      </c>
      <c r="II68" s="28" t="str">
        <f>IF(Compositions!AC133="","",IF(Compositions!$AC$118="mol%",Compositions!AC133,IJ68))</f>
        <v/>
      </c>
      <c r="IJ68" s="28" t="str">
        <f t="shared" si="44"/>
        <v/>
      </c>
      <c r="IK68" s="28" t="str">
        <f>IF(Compositions!AC133="","",(Compositions!AC133/(VLOOKUP(Compositions!Y133,'HHV-LHV-MW'!$A$3:$F$40,6,FALSE))))</f>
        <v/>
      </c>
      <c r="IL68" s="26" t="str">
        <f>IF(II68="","",((VLOOKUP(Compositions!Y133,'HHV-LHV-MW'!$A$3:$F$40,4,FALSE))*(II68/100)))</f>
        <v/>
      </c>
      <c r="IM68" s="26" t="str">
        <f>IF(II68="","",((VLOOKUP(Compositions!Y133,'HHV-LHV-MW'!$A$3:$F$40,5,FALSE))*(II68/100)))</f>
        <v/>
      </c>
      <c r="IN68" s="26" t="str">
        <f>IF(II68="","",((VLOOKUP(Compositions!Y133,'HHV-LHV-MW'!$A$3:$F$40,6,FALSE))*(II68/100)))</f>
        <v/>
      </c>
      <c r="IO68" s="26" t="str">
        <f>IF(Compositions!AC133="","",(Compositions!AC133*(VLOOKUP(Compositions!Y133,'HHV-LHV-MW'!$A$3:$F$40,6,FALSE))))</f>
        <v/>
      </c>
      <c r="IP68" s="296" t="str">
        <f>IF(Compositions!AC133="","",IF(OR(Compositions!$AC$118="wt%",Compositions!$AC$118=""),Compositions!AC133,(IF(IO68="","",((IO68/$IO$78)*100)))))</f>
        <v/>
      </c>
      <c r="IQ68" s="39" t="str">
        <f>IF(IP68="","",(IF(OR(Compositions!Y133="Hydrogen",Compositions!Y133="Helium",Compositions!Y133="Water",Compositions!Y133="Carbon Monoxide",Compositions!Y133="Nitrogen",Compositions!Y133="Oxygen",Compositions!Y133="Hydrogen Sulfide",Compositions!Y133="Argon",Compositions!Y133="Carbon Dioxide",Compositions!Y133="Carbon Disulfide"),0,IP68)))</f>
        <v/>
      </c>
      <c r="IR68" s="186" t="str">
        <f>IF(Compositions!AC133="","",((II68/100)*((VLOOKUP(Compositions!Y133,'HHV-LHV-MW'!$A$3:$G$40,7,FALSE)))))</f>
        <v/>
      </c>
      <c r="IS68" s="186" t="str">
        <f>IF(II68="","",(IF(OR(Compositions!Y133="Hydrogen",Compositions!Y133="Carbon Disulfide",Compositions!Y133="Helium",Compositions!Y133="Water",Compositions!Y133="Carbon Monoxide",Compositions!Y133="Nitrogen",Compositions!Y133="Oxygen",Compositions!Y133="Hydrogen Sulfide",Compositions!Y133="Argon",Compositions!Y133="Carbon Dioxide",Compositions!Y133="Methane",Compositions!Y133="Ethane"),0,(II68/100))))</f>
        <v/>
      </c>
      <c r="IT68" s="39" t="str">
        <f>IF(II68="","",(IF(OR($IS$78=0,$IS$78=""),0,      ((VLOOKUP(Compositions!Y133,'HHV-LHV-MW'!$A$3:$F$40,6,FALSE))*(IS68/$IS$78)))))</f>
        <v/>
      </c>
      <c r="IV68" s="27" t="str">
        <f>IF(Compositions!AF133="","",IF(Compositions!$AF$118="mol%",Compositions!AF133,IW68))</f>
        <v/>
      </c>
      <c r="IW68" s="27" t="str">
        <f t="shared" si="45"/>
        <v/>
      </c>
      <c r="IX68" s="27" t="str">
        <f>IF(Compositions!AF133="","",(Compositions!AF133/(VLOOKUP(Compositions!AE133,'HHV-LHV-MW'!$A$3:$F$40,6,FALSE))))</f>
        <v/>
      </c>
      <c r="IY68" s="25" t="str">
        <f>IF(IV68="","",((VLOOKUP(Compositions!AE133,'HHV-LHV-MW'!$A$3:$F$40,4,FALSE))*(IV68/100)))</f>
        <v/>
      </c>
      <c r="IZ68" s="25" t="str">
        <f>IF(IV68="","",((VLOOKUP(Compositions!AE133,'HHV-LHV-MW'!$A$3:$F$40,5,FALSE))*(IV68/100)))</f>
        <v/>
      </c>
      <c r="JA68" s="25" t="str">
        <f>IF(IV68="","",((VLOOKUP(Compositions!AE133,'HHV-LHV-MW'!$A$3:$F$40,6,FALSE))*(IV68/100)))</f>
        <v/>
      </c>
      <c r="JB68" s="25" t="str">
        <f>IF(Compositions!AF133="","",(Compositions!AF133*(VLOOKUP(Compositions!AE133,'HHV-LHV-MW'!$A$3:$F$40,6,FALSE))))</f>
        <v/>
      </c>
      <c r="JC68" s="298" t="str">
        <f>IF(Compositions!AF133="","",IF(OR(Compositions!$AF$118="wt%",Compositions!$AF$118=""),Compositions!AF133,(IF(JB68="","",((JB68/$JB$78)*100)))))</f>
        <v/>
      </c>
      <c r="JD68" s="185" t="str">
        <f>IF(JC68="","",(IF(OR(Compositions!AE133="Hydrogen",Compositions!AE133="Helium",Compositions!AE133="Water",Compositions!AE133="Carbon Monoxide",Compositions!AE133="Nitrogen",Compositions!AE133="Oxygen",Compositions!AE133="Hydrogen Sulfide",Compositions!AE133="Argon",Compositions!AE133="Carbon Dioxide",Compositions!AE133="Carbon Disulfide"),0,JC68)))</f>
        <v/>
      </c>
      <c r="JE68" s="187" t="str">
        <f>IF(Compositions!AF133="","",((IV68/100)*((VLOOKUP(Compositions!AE133,'HHV-LHV-MW'!$A$3:$G$40,7,FALSE)))))</f>
        <v/>
      </c>
      <c r="JF68" s="187" t="str">
        <f>IF(IV68="","",(IF(OR(Compositions!AE133="Hydrogen",Compositions!AE133="Carbon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Dioxide",Compositions!AE133="Methane",Compositions!AE133="Ethane"),0,(IV68/100))))</f>
        <v/>
      </c>
      <c r="JG68" s="205" t="str">
        <f>IF(IV68="","",(IF(OR($JF$78=0,$JF$78=""),0,      ((VLOOKUP(Compositions!AE133,'HHV-LHV-MW'!$A$3:$F$40,6,FALSE))*(JF68/$JF$78)))))</f>
        <v/>
      </c>
      <c r="JH68" s="28" t="str">
        <f>IF(Compositions!AG133="","",IF(Compositions!$AG$118="mol%",Compositions!AG133,JI68))</f>
        <v/>
      </c>
      <c r="JI68" s="28" t="str">
        <f t="shared" si="46"/>
        <v/>
      </c>
      <c r="JJ68" s="28" t="str">
        <f>IF(Compositions!AG133="","",(Compositions!AG133/(VLOOKUP(Compositions!AE133,'HHV-LHV-MW'!$A$3:$F$40,6,FALSE))))</f>
        <v/>
      </c>
      <c r="JK68" s="26" t="str">
        <f>IF(JH68="","",((VLOOKUP(Compositions!AE133,'HHV-LHV-MW'!$A$3:$F$40,4,FALSE))*(JH68/100)))</f>
        <v/>
      </c>
      <c r="JL68" s="26" t="str">
        <f>IF(JH68="","",((VLOOKUP(Compositions!AE133,'HHV-LHV-MW'!$A$3:$F$40,5,FALSE))*(JH68/100)))</f>
        <v/>
      </c>
      <c r="JM68" s="26" t="str">
        <f>IF(JH68="","",((VLOOKUP(Compositions!AE133,'HHV-LHV-MW'!$A$3:$F$40,6,FALSE))*(JH68/100)))</f>
        <v/>
      </c>
      <c r="JN68" s="26" t="str">
        <f>IF(Compositions!AG133="","",(Compositions!AG133*(VLOOKUP(Compositions!AE133,'HHV-LHV-MW'!$A$3:$F$40,6,FALSE))))</f>
        <v/>
      </c>
      <c r="JO68" s="297" t="str">
        <f>IF(Compositions!AG133="","",IF(OR(Compositions!$AG$118="wt%",Compositions!$AG$118=""),Compositions!AG133,(IF(JN68="","",((JN68/$JN$78)*100)))))</f>
        <v/>
      </c>
      <c r="JP68" s="39" t="str">
        <f>IF(JO68="","",(IF(OR(Compositions!AE133="Hydrogen",Compositions!AE133="Helium",Compositions!AE133="Water",Compositions!AE133="Carbon Monoxide",Compositions!AE133="Nitrogen",Compositions!AE133="Oxygen",Compositions!AE133="Hydrogen Sulfide",Compositions!AE133="Argon",Compositions!AE133="Carbon Dioxide",Compositions!AE133="Carbon Disulfide"),0,JO68)))</f>
        <v/>
      </c>
      <c r="JQ68" s="186" t="str">
        <f>IF(Compositions!AG133="","",((JH68/100)*((VLOOKUP(Compositions!AE133,'HHV-LHV-MW'!$A$3:$G$40,7,FALSE)))))</f>
        <v/>
      </c>
      <c r="JR68" s="186" t="str">
        <f>IF(JH68="","",(IF(OR(Compositions!AE133="Hydrogen",Compositions!AE133="Carbon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Dioxide",Compositions!AE133="Methane",Compositions!AE133="Ethane"),0,(JH68/100))))</f>
        <v/>
      </c>
      <c r="JS68" s="39" t="str">
        <f>IF(JH68="","",(IF(OR($JR$78=0,$JR$78=""),0,      ((VLOOKUP(Compositions!AE133,'HHV-LHV-MW'!$A$3:$F$40,6,FALSE))*(JR68/$JR$78)))))</f>
        <v/>
      </c>
      <c r="JT68" s="27" t="str">
        <f>IF(Compositions!AH133="","",IF(Compositions!$AH$118="mol%",Compositions!AH133,JU68))</f>
        <v/>
      </c>
      <c r="JU68" s="27" t="str">
        <f t="shared" si="47"/>
        <v/>
      </c>
      <c r="JV68" s="27" t="str">
        <f>IF(Compositions!AH133="","",(Compositions!AH133/(VLOOKUP(Compositions!AE133,'HHV-LHV-MW'!$A$3:$F$40,6,FALSE))))</f>
        <v/>
      </c>
      <c r="JW68" s="25" t="str">
        <f>IF(JT68="","",((VLOOKUP(Compositions!AE133,'HHV-LHV-MW'!$A$3:$F$40,4,FALSE))*(JT68/100)))</f>
        <v/>
      </c>
      <c r="JX68" s="25" t="str">
        <f>IF(JT68="","",((VLOOKUP(Compositions!AE133,'HHV-LHV-MW'!$A$3:$F$40,5,FALSE))*(JT68/100)))</f>
        <v/>
      </c>
      <c r="JY68" s="25" t="str">
        <f>IF(JT68="","",((VLOOKUP(Compositions!AE133,'HHV-LHV-MW'!$A$3:$F$40,6,FALSE))*(JT68/100)))</f>
        <v/>
      </c>
      <c r="JZ68" s="25" t="str">
        <f>IF(Compositions!AH133="","",(Compositions!AH133*(VLOOKUP(Compositions!AE133,'HHV-LHV-MW'!$A$3:$F$40,6,FALSE))))</f>
        <v/>
      </c>
      <c r="KA68" s="298" t="str">
        <f>IF(Compositions!AH133="","",IF(OR(Compositions!$AH$118="wt%",Compositions!$AH$118=""),Compositions!AH133,(IF(JZ68="","",((JZ68/$JZ$78)*100)))))</f>
        <v/>
      </c>
      <c r="KB68" s="185" t="str">
        <f>IF(KA68="","",(IF(OR(Compositions!AE133="Hydrogen",Compositions!AE133="Helium",Compositions!AE133="Water",Compositions!AE133="Carbon Monoxide",Compositions!AE133="Nitrogen",Compositions!AE133="Oxygen",Compositions!AE133="Hydrogen Sulfide",Compositions!AE133="Argon",Compositions!AE133="Carbon Dioxide",Compositions!AE133="Carbon Disulfide"),0,KA68)))</f>
        <v/>
      </c>
      <c r="KC68" s="187" t="str">
        <f>IF(Compositions!AH133="","",((JT68/100)*((VLOOKUP(Compositions!AE133,'HHV-LHV-MW'!$A$3:$G$40,7,FALSE)))))</f>
        <v/>
      </c>
      <c r="KD68" s="187" t="str">
        <f>IF(JT68="","",(IF(OR(Compositions!AE133="Hydrogen",Compositions!AE133="Carbon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Dioxide",Compositions!AE133="Methane",Compositions!AE133="Ethane"),0,(JT68/100))))</f>
        <v/>
      </c>
      <c r="KE68" s="205" t="str">
        <f>IF(JT68="","",(IF(OR($KD$78=0,$KD$78=""),0,      ((VLOOKUP(Compositions!AE133,'HHV-LHV-MW'!$A$3:$F$40,6,FALSE))*(KD68/$KD$78)))))</f>
        <v/>
      </c>
      <c r="KF68" s="28" t="str">
        <f>IF(Compositions!AI133="","",IF(Compositions!$AI$118="mol%",Compositions!AI133,KG68))</f>
        <v/>
      </c>
      <c r="KG68" s="28" t="str">
        <f t="shared" si="48"/>
        <v/>
      </c>
      <c r="KH68" s="28" t="str">
        <f>IF(Compositions!AI133="","",(Compositions!AI133/(VLOOKUP(Compositions!AE133,'HHV-LHV-MW'!$A$3:$F$40,6,FALSE))))</f>
        <v/>
      </c>
      <c r="KI68" s="26" t="str">
        <f>IF(KF68="","",((VLOOKUP(Compositions!AE133,'HHV-LHV-MW'!$A$3:$F$40,4,FALSE))*(KF68/100)))</f>
        <v/>
      </c>
      <c r="KJ68" s="26" t="str">
        <f>IF(KF68="","",((VLOOKUP(Compositions!AE133,'HHV-LHV-MW'!$A$3:$F$40,5,FALSE))*(KF68/100)))</f>
        <v/>
      </c>
      <c r="KK68" s="26" t="str">
        <f>IF(KF68="","",((VLOOKUP(Compositions!AE133,'HHV-LHV-MW'!$A$3:$F$40,6,FALSE))*(KF68/100)))</f>
        <v/>
      </c>
      <c r="KL68" s="26" t="str">
        <f>IF(Compositions!AI133="","",(Compositions!AI133*(VLOOKUP(Compositions!AE133,'HHV-LHV-MW'!$A$3:$F$40,6,FALSE))))</f>
        <v/>
      </c>
      <c r="KM68" s="297" t="str">
        <f>IF(Compositions!AI133="","",IF(OR(Compositions!$AI$118="wt%",Compositions!$AI$118=""),Compositions!AI133,(IF(KL68="","",((KL68/$KL$78)*100)))))</f>
        <v/>
      </c>
      <c r="KN68" s="39" t="str">
        <f>IF(KM68="","",(IF(OR(Compositions!AE133="Hydrogen",Compositions!AE133="Helium",Compositions!AE133="Water",Compositions!AE133="Carbon Monoxide",Compositions!AE133="Nitrogen",Compositions!AE133="Oxygen",Compositions!AE133="Hydrogen Sulfide",Compositions!AE133="Argon",Compositions!AE133="Carbon Dioxide",Compositions!AE133="Carbon Disulfide"),0,KM68)))</f>
        <v/>
      </c>
      <c r="KO68" s="186" t="str">
        <f>IF(Compositions!AI133="","",((KF68/100)*((VLOOKUP(Compositions!AE133,'HHV-LHV-MW'!$A$3:$G$40,7,FALSE)))))</f>
        <v/>
      </c>
      <c r="KP68" s="186" t="str">
        <f>IF(KF68="","",(IF(OR(Compositions!AE133="Hydrogen",Compositions!AE133="Carbon Disulfide",Compositions!AE133="Helium",Compositions!AE133="Water",Compositions!AE133="Carbon Monoxide",Compositions!AE133="Nitrogen",Compositions!AE133="Oxygen",Compositions!AE133="Hydrogen Sulfide",Compositions!AE133="Argon",Compositions!AE133="Carbon Dioxide",Compositions!AE133="Methane",Compositions!AE133="Ethane"),0,(KF68/100))))</f>
        <v/>
      </c>
      <c r="KQ68" s="39" t="str">
        <f>IF(KF68="","",(IF(OR($KP$78=0,$KP$78=""),0,      ((VLOOKUP(Compositions!AE133,'HHV-LHV-MW'!$A$3:$F$40,6,FALSE))*(KP68/$KP$78)))))</f>
        <v/>
      </c>
      <c r="KS68" s="27" t="str">
        <f>IF(Compositions!AL133="","",IF(Compositions!$AL$118="mol%",Compositions!AL133,KT68))</f>
        <v/>
      </c>
      <c r="KT68" s="27" t="str">
        <f t="shared" si="49"/>
        <v/>
      </c>
      <c r="KU68" s="27" t="str">
        <f>IF(Compositions!AL133="","",(Compositions!AL133/(VLOOKUP(Compositions!AK133,'HHV-LHV-MW'!$A$3:$F$40,6,FALSE))))</f>
        <v/>
      </c>
      <c r="KV68" s="185" t="str">
        <f>IF(KS68="","",((VLOOKUP(Compositions!AK133,'HHV-LHV-MW'!$A$3:$F$40,4,FALSE))*(KS68/100)))</f>
        <v/>
      </c>
      <c r="KW68" s="185" t="str">
        <f>IF(KS68="","",((VLOOKUP(Compositions!AK133,'HHV-LHV-MW'!$A$3:$F$40,5,FALSE))*(KS68/100)))</f>
        <v/>
      </c>
      <c r="KX68" s="185" t="str">
        <f>IF(KS68="","",((VLOOKUP(Compositions!AK133,'HHV-LHV-MW'!$A$3:$F$40,6,FALSE))*(KS68/100)))</f>
        <v/>
      </c>
      <c r="KY68" s="185" t="str">
        <f>IF(Compositions!AL133="","",(Compositions!AL133*(VLOOKUP(Compositions!AK133,'HHV-LHV-MW'!$A$3:$F$40,6,FALSE))))</f>
        <v/>
      </c>
      <c r="KZ68" s="298" t="str">
        <f>IF(Compositions!AL133="","",IF(OR(Compositions!$AL$118="wt%",Compositions!$AL$118=""),Compositions!AL133,(IF(KY68="","",((KY68/$KY$78)*100)))))</f>
        <v/>
      </c>
      <c r="LA68" s="185" t="str">
        <f>IF(KZ68="","",(IF(OR(Compositions!AK133="Hydrogen",Compositions!AK133="Helium",Compositions!AK133="Water",Compositions!AK133="Carbon Monoxide",Compositions!AK133="Nitrogen",Compositions!AK133="Oxygen",Compositions!AK133="Hydrogen Sulfide",Compositions!AK133="Argon",Compositions!AK133="Carbon Dioxide",Compositions!AK133="Carbon Disulfide"),0,KZ68)))</f>
        <v/>
      </c>
      <c r="LB68" s="187" t="str">
        <f>IF(Compositions!AL133="","",((KS68/100)*((VLOOKUP(Compositions!AK133,'HHV-LHV-MW'!$A$3:$G$40,7,FALSE)))))</f>
        <v/>
      </c>
      <c r="LC68" s="187" t="str">
        <f>IF(KS68="","",(IF(OR(Compositions!AK133="Hydrogen",Compositions!AK133="Carbon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Dioxide",Compositions!AK133="Methane",Compositions!AK133="Ethane"),0,(KS68/100))))</f>
        <v/>
      </c>
      <c r="LD68" s="205" t="str">
        <f>IF(KS68="","",(IF(OR($LC$78=0,$LC$78=""),0,      ((VLOOKUP(Compositions!AK133,'HHV-LHV-MW'!$A$3:$F$40,6,FALSE))*(LC68/$LC$78)))))</f>
        <v/>
      </c>
      <c r="LE68" s="28" t="str">
        <f>IF(Compositions!AM133="","",IF(Compositions!$AM$118="mol%",Compositions!AM133,LF68))</f>
        <v/>
      </c>
      <c r="LF68" s="28" t="str">
        <f t="shared" si="50"/>
        <v/>
      </c>
      <c r="LG68" s="28" t="str">
        <f>IF(Compositions!AM133="","",(Compositions!AM133/(VLOOKUP(Compositions!AK133,'HHV-LHV-MW'!$A$3:$F$40,6,FALSE))))</f>
        <v/>
      </c>
      <c r="LH68" s="184" t="str">
        <f>IF(LE68="","",((VLOOKUP(Compositions!AK133,'HHV-LHV-MW'!$A$3:$F$40,4,FALSE))*(LE68/100)))</f>
        <v/>
      </c>
      <c r="LI68" s="184" t="str">
        <f>IF(LE68="","",((VLOOKUP(Compositions!AK133,'HHV-LHV-MW'!$A$3:$F$40,5,FALSE))*(LE68/100)))</f>
        <v/>
      </c>
      <c r="LJ68" s="184" t="str">
        <f>IF(LE68="","",((VLOOKUP(Compositions!AK133,'HHV-LHV-MW'!$A$3:$F$40,6,FALSE))*(LE68/100)))</f>
        <v/>
      </c>
      <c r="LK68" s="184" t="str">
        <f>IF(Compositions!AM133="","",(Compositions!AM133*(VLOOKUP(Compositions!AK133,'HHV-LHV-MW'!$A$3:$F$40,6,FALSE))))</f>
        <v/>
      </c>
      <c r="LL68" s="297" t="str">
        <f>IF(Compositions!AM133="","",IF(OR(Compositions!$AM$118="wt%",Compositions!$AM$118=""),Compositions!AM133,(IF(LK68="","",((LK68/$LK$78)*100)))))</f>
        <v/>
      </c>
      <c r="LM68" s="39" t="str">
        <f>IF(LL68="","",(IF(OR(Compositions!AK133="Hydrogen",Compositions!AK133="Helium",Compositions!AK133="Water",Compositions!AK133="Carbon Monoxide",Compositions!AK133="Nitrogen",Compositions!AK133="Oxygen",Compositions!AK133="Hydrogen Sulfide",Compositions!AK133="Argon",Compositions!AK133="Carbon Dioxide",Compositions!AK133="Carbon Disulfide"),0,LL68)))</f>
        <v/>
      </c>
      <c r="LN68" s="186" t="str">
        <f>IF(Compositions!AM133="","",((LE68/100)*((VLOOKUP(Compositions!AK133,'HHV-LHV-MW'!$A$3:$G$40,7,FALSE)))))</f>
        <v/>
      </c>
      <c r="LO68" s="186" t="str">
        <f>IF(LE68="","",(IF(OR(Compositions!AK133="Hydrogen",Compositions!AK133="Carbon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Dioxide",Compositions!AK133="Methane",Compositions!AK133="Ethane"),0,(LE68/100))))</f>
        <v/>
      </c>
      <c r="LP68" s="39" t="str">
        <f>IF(LE68="","",(IF(OR($LO$78=0,$LO$78=""),0,     ((VLOOKUP(Compositions!AK133,'HHV-LHV-MW'!$A$3:$F$40,6,FALSE))*(LO68/$LO$78)))))</f>
        <v/>
      </c>
      <c r="LQ68" s="27" t="str">
        <f>IF(Compositions!AN133="","",IF(Compositions!$AN$118="mol%",Compositions!AN133,LR68))</f>
        <v/>
      </c>
      <c r="LR68" s="27" t="str">
        <f t="shared" si="51"/>
        <v/>
      </c>
      <c r="LS68" s="27" t="str">
        <f>IF(Compositions!AN133="","",(Compositions!AN133/(VLOOKUP(Compositions!AK133,'HHV-LHV-MW'!$A$3:$F$40,6,FALSE))))</f>
        <v/>
      </c>
      <c r="LT68" s="185" t="str">
        <f>IF(LQ68="","",((VLOOKUP(Compositions!AK133,'HHV-LHV-MW'!$A$3:$F$40,4,FALSE))*(LQ68/100)))</f>
        <v/>
      </c>
      <c r="LU68" s="185" t="str">
        <f>IF(LQ68="","",((VLOOKUP(Compositions!AK133,'HHV-LHV-MW'!$A$3:$F$40,5,FALSE))*(LQ68/100)))</f>
        <v/>
      </c>
      <c r="LV68" s="185" t="str">
        <f>IF(LQ68="","",((VLOOKUP(Compositions!AK133,'HHV-LHV-MW'!$A$3:$F$40,6,FALSE))*(LQ68/100)))</f>
        <v/>
      </c>
      <c r="LW68" s="185" t="str">
        <f>IF(Compositions!AN133="","",(Compositions!AN133*(VLOOKUP(Compositions!AK133,'HHV-LHV-MW'!$A$3:$F$40,6,FALSE))))</f>
        <v/>
      </c>
      <c r="LX68" s="298" t="str">
        <f>IF(Compositions!AN133="","",IF(OR(Compositions!$AN$118="wt%",Compositions!$AN$118=""),Compositions!AN133,(IF(LW68="","",((LW68/$LW$78)*100)))))</f>
        <v/>
      </c>
      <c r="LY68" s="185" t="str">
        <f>IF(LX68="","",(IF(OR(Compositions!AK133="Hydrogen",Compositions!AK133="Helium",Compositions!AK133="Water",Compositions!AK133="Carbon Monoxide",Compositions!AK133="Nitrogen",Compositions!AK133="Oxygen",Compositions!AK133="Hydrogen Sulfide",Compositions!AK133="Argon",Compositions!AK133="Carbon Dioxide",Compositions!AK133="Carbon Disulfide"),0,LX68)))</f>
        <v/>
      </c>
      <c r="LZ68" s="187" t="str">
        <f>IF(Compositions!AN133="","",((LQ68/100)*((VLOOKUP(Compositions!AK133,'HHV-LHV-MW'!$A$3:$G$40,7,FALSE)))))</f>
        <v/>
      </c>
      <c r="MA68" s="187" t="str">
        <f>IF(LQ68="","",(IF(OR(Compositions!AK133="Hydrogen",Compositions!AK133="Carbon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Dioxide",Compositions!AK133="Methane",Compositions!AK133="Ethane"),0,(LQ68/100))))</f>
        <v/>
      </c>
      <c r="MB68" s="205" t="str">
        <f>IF(LQ68="","",(IF(OR($MA$78=0,$MA$78=""),0,     ((VLOOKUP(Compositions!AK133,'HHV-LHV-MW'!$A$3:$F$40,6,FALSE))*(MA68/$MA$78)))))</f>
        <v/>
      </c>
      <c r="MC68" s="28" t="str">
        <f>IF(Compositions!AO133="","",IF(Compositions!$AO$118="mol%",Compositions!AO133,MD68))</f>
        <v/>
      </c>
      <c r="MD68" s="28" t="str">
        <f t="shared" si="52"/>
        <v/>
      </c>
      <c r="ME68" s="28" t="str">
        <f>IF(Compositions!AO133="","",(Compositions!AO133/(VLOOKUP(Compositions!AK133,'HHV-LHV-MW'!$A$3:$F$40,6,FALSE))))</f>
        <v/>
      </c>
      <c r="MF68" s="184" t="str">
        <f>IF(MC68="","",((VLOOKUP(Compositions!AK133,'HHV-LHV-MW'!$A$3:$F$40,4,FALSE))*(MC68/100)))</f>
        <v/>
      </c>
      <c r="MG68" s="184" t="str">
        <f>IF(MC68="","",((VLOOKUP(Compositions!AK133,'HHV-LHV-MW'!$A$3:$F$40,5,FALSE))*(MC68/100)))</f>
        <v/>
      </c>
      <c r="MH68" s="184" t="str">
        <f>IF(MC68="","",((VLOOKUP(Compositions!AK133,'HHV-LHV-MW'!$A$3:$F$40,6,FALSE))*(MC68/100)))</f>
        <v/>
      </c>
      <c r="MI68" s="184" t="str">
        <f>IF(Compositions!AO133="","",(Compositions!AO133*(VLOOKUP(Compositions!AK133,'HHV-LHV-MW'!$A$3:$F$40,6,FALSE))))</f>
        <v/>
      </c>
      <c r="MJ68" s="297" t="str">
        <f>IF(Compositions!AO133="","",IF(OR(Compositions!$AO$118="wt%",Compositions!$AO$118=""),Compositions!AO133,(IF(MI68="","",((MI68/$MI$78)*100)))))</f>
        <v/>
      </c>
      <c r="MK68" s="39" t="str">
        <f>IF(MJ68="","",(IF(OR(Compositions!AK133="Hydrogen",Compositions!AK133="Helium",Compositions!AK133="Water",Compositions!AK133="Carbon Monoxide",Compositions!AK133="Nitrogen",Compositions!AK133="Oxygen",Compositions!AK133="Hydrogen Sulfide",Compositions!AK133="Argon",Compositions!AK133="Carbon Dioxide",Compositions!AK133="Carbon Disulfide"),0,MJ68)))</f>
        <v/>
      </c>
      <c r="ML68" s="186" t="str">
        <f>IF(Compositions!AO133="","",((MC68/100)*((VLOOKUP(Compositions!AK133,'HHV-LHV-MW'!$A$3:$G$40,7,FALSE)))))</f>
        <v/>
      </c>
      <c r="MM68" s="186" t="str">
        <f>IF(MC68="","",(IF(OR(Compositions!AK133="Hydrogen",Compositions!AK133="Carbon Disulfide",Compositions!AK133="Helium",Compositions!AK133="Water",Compositions!AK133="Carbon Monoxide",Compositions!AK133="Nitrogen",Compositions!AK133="Oxygen",Compositions!AK133="Hydrogen Sulfide",Compositions!AK133="Argon",Compositions!AK133="Carbon Dioxide",Compositions!AK133="Methane",Compositions!AK133="Ethane"),0,(MC68/100))))</f>
        <v/>
      </c>
      <c r="MN68" s="39" t="str">
        <f>IF(MC68="","",(IF(OR($MM$78=0,$MM$78=""),0,     ((VLOOKUP(Compositions!AK133,'HHV-LHV-MW'!$A$3:$F$40,6,FALSE))*(MM68/$MM$78)))))</f>
        <v/>
      </c>
      <c r="MP68" s="27" t="str">
        <f>IF(Compositions!AR133="","",IF(Compositions!$AR$118="mol%",Compositions!AR133,MQ68))</f>
        <v/>
      </c>
      <c r="MQ68" s="27" t="str">
        <f t="shared" si="53"/>
        <v/>
      </c>
      <c r="MR68" s="27" t="str">
        <f>IF(Compositions!AR133="","",(Compositions!AR133/(VLOOKUP(Compositions!AQ133,'HHV-LHV-MW'!$A$3:$F$40,6,FALSE))))</f>
        <v/>
      </c>
      <c r="MS68" s="185" t="str">
        <f>IF(MP68="","",((VLOOKUP(Compositions!AQ133,'HHV-LHV-MW'!$A$3:$F$40,4,FALSE))*(MP68/100)))</f>
        <v/>
      </c>
      <c r="MT68" s="185" t="str">
        <f>IF(MP68="","",((VLOOKUP(Compositions!AQ133,'HHV-LHV-MW'!$A$3:$F$40,5,FALSE))*(MP68/100)))</f>
        <v/>
      </c>
      <c r="MU68" s="185" t="str">
        <f>IF(MP68="","",((VLOOKUP(Compositions!AQ133,'HHV-LHV-MW'!$A$3:$F$40,6,FALSE))*(MP68/100)))</f>
        <v/>
      </c>
      <c r="MV68" s="185" t="str">
        <f>IF(Compositions!AR133="","",(Compositions!AR133*(VLOOKUP(Compositions!AQ133,'HHV-LHV-MW'!$A$3:$F$40,6,FALSE))))</f>
        <v/>
      </c>
      <c r="MW68" s="298" t="str">
        <f>IF(Compositions!AR133="","",IF(OR(Compositions!$AR$118="wt%",Compositions!$AR$118=""),Compositions!AR133,(IF(MV68="","",((MV68/$MV$78)*100)))))</f>
        <v/>
      </c>
      <c r="MX68" s="185" t="str">
        <f>IF(MW68="","",(IF(OR(Compositions!AQ133="Hydrogen",Compositions!AQ133="Helium",Compositions!AQ133="Water",Compositions!AQ133="Carbon Monoxide",Compositions!AQ133="Nitrogen",Compositions!AQ133="Oxygen",Compositions!AQ133="Hydrogen Sulfide",Compositions!AQ133="Argon",Compositions!AQ133="Carbon Dioxide",Compositions!AQ133="Carbon Disulfide"),0,MW68)))</f>
        <v/>
      </c>
      <c r="MY68" s="187" t="str">
        <f>IF(Compositions!AR133="","",((MP68/100)*((VLOOKUP(Compositions!AQ133,'HHV-LHV-MW'!$A$3:$G$40,7,FALSE)))))</f>
        <v/>
      </c>
      <c r="MZ68" s="187" t="str">
        <f>IF(MP68="","",(IF(OR(Compositions!AQ133="Hydrogen",Compositions!AQ133="Carbon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Dioxide",Compositions!AQ133="Methane",Compositions!AQ133="Ethane"),0,(MP68/100))))</f>
        <v/>
      </c>
      <c r="NA68" s="205" t="str">
        <f>IF(MP68="","",(IF(OR($MZ$78=0,$MZ$78=""),0,     ((VLOOKUP(Compositions!AQ133,'HHV-LHV-MW'!$A$3:$F$40,6,FALSE))*(MZ68/$MZ$78)))))</f>
        <v/>
      </c>
      <c r="NB68" s="28" t="str">
        <f>IF(Compositions!AS133="","",IF(Compositions!$AS$118="mol%",Compositions!AS133,NC68))</f>
        <v/>
      </c>
      <c r="NC68" s="28" t="str">
        <f t="shared" si="54"/>
        <v/>
      </c>
      <c r="ND68" s="28" t="str">
        <f>IF(Compositions!AS133="","",(Compositions!AS133/(VLOOKUP(Compositions!AQ133,'HHV-LHV-MW'!$A$3:$F$40,6,FALSE))))</f>
        <v/>
      </c>
      <c r="NE68" s="184" t="str">
        <f>IF(NB68="","",((VLOOKUP(Compositions!AQ133,'HHV-LHV-MW'!$A$3:$F$40,4,FALSE))*(NB68/100)))</f>
        <v/>
      </c>
      <c r="NF68" s="184" t="str">
        <f>IF(NB68="","",((VLOOKUP(Compositions!AQ133,'HHV-LHV-MW'!$A$3:$F$40,5,FALSE))*(NB68/100)))</f>
        <v/>
      </c>
      <c r="NG68" s="184" t="str">
        <f>IF(NB68="","",((VLOOKUP(Compositions!AQ133,'HHV-LHV-MW'!$A$3:$F$40,6,FALSE))*(NB68/100)))</f>
        <v/>
      </c>
      <c r="NH68" s="184" t="str">
        <f>IF(Compositions!AS133="","",(Compositions!AS133*(VLOOKUP(Compositions!AQ133,'HHV-LHV-MW'!$A$3:$F$40,6,FALSE))))</f>
        <v/>
      </c>
      <c r="NI68" s="297" t="str">
        <f>IF(Compositions!AS133="","",IF(OR(Compositions!$AS$118="wt%",Compositions!$AS$118=""),Compositions!AS133,(IF(NH68="","",((NH68/$NH$78)*100)))))</f>
        <v/>
      </c>
      <c r="NJ68" s="39" t="str">
        <f>IF(NI68="","",(IF(OR(Compositions!AQ133="Hydrogen",Compositions!AQ133="Helium",Compositions!AQ133="Water",Compositions!AQ133="Carbon Monoxide",Compositions!AQ133="Nitrogen",Compositions!AQ133="Oxygen",Compositions!AQ133="Hydrogen Sulfide",Compositions!AQ133="Argon",Compositions!AQ133="Carbon Dioxide",Compositions!AQ133="Carbon Disulfide"),0,NI68)))</f>
        <v/>
      </c>
      <c r="NK68" s="186" t="str">
        <f>IF(Compositions!AS133="","",((NB68/100)*((VLOOKUP(Compositions!AQ133,'HHV-LHV-MW'!$A$3:$G$40,7,FALSE)))))</f>
        <v/>
      </c>
      <c r="NL68" s="186" t="str">
        <f>IF(NB68="","",(IF(OR(Compositions!AQ133="Hydrogen",Compositions!AQ133="Carbon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Dioxide",Compositions!AQ133="Methane",Compositions!AQ133="Ethane"),0,(NB68/100))))</f>
        <v/>
      </c>
      <c r="NM68" s="39" t="str">
        <f>IF(NB68="","",(IF(OR($NL$78=0,$NL$78=""),0,     ((VLOOKUP(Compositions!AQ133,'HHV-LHV-MW'!$A$3:$F$40,6,FALSE))*(NL68/$NL$78)))))</f>
        <v/>
      </c>
      <c r="NN68" s="27" t="str">
        <f>IF(Compositions!AT133="","",IF(Compositions!$AT$118="mol%",Compositions!AT133,NO68))</f>
        <v/>
      </c>
      <c r="NO68" s="27" t="str">
        <f t="shared" si="55"/>
        <v/>
      </c>
      <c r="NP68" s="27" t="str">
        <f>IF(Compositions!AT133="","",(Compositions!AT133/(VLOOKUP(Compositions!AQ133,'HHV-LHV-MW'!$A$3:$F$40,6,FALSE))))</f>
        <v/>
      </c>
      <c r="NQ68" s="185" t="str">
        <f>IF(NN68="","",((VLOOKUP(Compositions!AQ133,'HHV-LHV-MW'!$A$3:$F$40,4,FALSE))*(NN68/100)))</f>
        <v/>
      </c>
      <c r="NR68" s="185" t="str">
        <f>IF(NN68="","",((VLOOKUP(Compositions!AQ133,'HHV-LHV-MW'!$A$3:$F$40,5,FALSE))*(NN68/100)))</f>
        <v/>
      </c>
      <c r="NS68" s="185" t="str">
        <f>IF(NN68="","",((VLOOKUP(Compositions!AQ133,'HHV-LHV-MW'!$A$3:$F$40,6,FALSE))*(NN68/100)))</f>
        <v/>
      </c>
      <c r="NT68" s="185" t="str">
        <f>IF(Compositions!AT133="","",(Compositions!AT133*(VLOOKUP(Compositions!AQ133,'HHV-LHV-MW'!$A$3:$F$40,6,FALSE))))</f>
        <v/>
      </c>
      <c r="NU68" s="298" t="str">
        <f>IF(Compositions!AT133="","",IF(OR(Compositions!$AT$118="wt%",Compositions!$AT$118=""),Compositions!AT133,(IF(NT68="","",((NT68/$NT$78)*100)))))</f>
        <v/>
      </c>
      <c r="NV68" s="185" t="str">
        <f>IF(NU68="","",(IF(OR(Compositions!AQ133="Hydrogen",Compositions!AQ133="Helium",Compositions!AQ133="Water",Compositions!AQ133="Carbon Monoxide",Compositions!AQ133="Nitrogen",Compositions!AQ133="Oxygen",Compositions!AQ133="Hydrogen Sulfide",Compositions!AQ133="Argon",Compositions!AQ133="Carbon Dioxide",Compositions!AQ133="Carbon Disulfide"),0,NU68)))</f>
        <v/>
      </c>
      <c r="NW68" s="187" t="str">
        <f>IF(Compositions!AT133="","",((NN68/100)*((VLOOKUP(Compositions!AQ133,'HHV-LHV-MW'!$A$3:$G$40,7,FALSE)))))</f>
        <v/>
      </c>
      <c r="NX68" s="187" t="str">
        <f>IF(NN68="","",(IF(OR(Compositions!AQ133="Hydrogen",Compositions!AQ133="Carbon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Dioxide",Compositions!AQ133="Methane",Compositions!AQ133="Ethane"),0,(NN68/100))))</f>
        <v/>
      </c>
      <c r="NY68" s="205" t="str">
        <f>IF(NN68="","",(IF(OR($NX$78=0,$NX$78=""),0,     ((VLOOKUP(Compositions!AQ133,'HHV-LHV-MW'!$A$3:$F$40,6,FALSE))*(NX68/$NX$78)))))</f>
        <v/>
      </c>
      <c r="NZ68" s="28" t="str">
        <f>IF(Compositions!AU133="","",IF(Compositions!$AU$118="mol%",Compositions!AU133,OA68))</f>
        <v/>
      </c>
      <c r="OA68" s="28" t="str">
        <f t="shared" si="56"/>
        <v/>
      </c>
      <c r="OB68" s="28" t="str">
        <f>IF(Compositions!AU133="","",(Compositions!AU133/(VLOOKUP(Compositions!AQ133,'HHV-LHV-MW'!$A$3:$F$40,6,FALSE))))</f>
        <v/>
      </c>
      <c r="OC68" s="184" t="str">
        <f>IF(NZ68="","",((VLOOKUP(Compositions!AQ133,'HHV-LHV-MW'!$A$3:$F$40,4,FALSE))*(NZ68/100)))</f>
        <v/>
      </c>
      <c r="OD68" s="184" t="str">
        <f>IF(NZ68="","",((VLOOKUP(Compositions!AQ133,'HHV-LHV-MW'!$A$3:$F$40,5,FALSE))*(NZ68/100)))</f>
        <v/>
      </c>
      <c r="OE68" s="184" t="str">
        <f>IF(NZ68="","",((VLOOKUP(Compositions!AQ133,'HHV-LHV-MW'!$A$3:$F$40,6,FALSE))*(NZ68/100)))</f>
        <v/>
      </c>
      <c r="OF68" s="184" t="str">
        <f>IF(Compositions!AU133="","",(Compositions!AU133*(VLOOKUP(Compositions!AQ133,'HHV-LHV-MW'!$A$3:$F$40,6,FALSE))))</f>
        <v/>
      </c>
      <c r="OG68" s="297" t="str">
        <f>IF(Compositions!AU133="","",IF(OR(Compositions!$AU$118="wt%",Compositions!$AU$118=""),Compositions!AU133,(IF(OF68="","",((OF68/$OF$78)*100)))))</f>
        <v/>
      </c>
      <c r="OH68" s="39" t="str">
        <f>IF(OG68="","",(IF(OR(Compositions!AQ133="Hydrogen",Compositions!AQ133="Helium",Compositions!AQ133="Water",Compositions!AQ133="Carbon Monoxide",Compositions!AQ133="Nitrogen",Compositions!AQ133="Oxygen",Compositions!AQ133="Hydrogen Sulfide",Compositions!AQ133="Argon",Compositions!AQ133="Carbon Dioxide",Compositions!AQ133="Carbon Disulfide"),0,OG68)))</f>
        <v/>
      </c>
      <c r="OI68" s="186" t="str">
        <f>IF(Compositions!AU133="","",((NZ68/100)*((VLOOKUP(Compositions!AQ133,'HHV-LHV-MW'!$A$3:$G$40,7,FALSE)))))</f>
        <v/>
      </c>
      <c r="OJ68" s="186" t="str">
        <f>IF(NZ68="","",(IF(OR(Compositions!AQ133="Hydrogen",Compositions!AQ133="Carbon Disulfide",Compositions!AQ133="Helium",Compositions!AQ133="Water",Compositions!AQ133="Carbon Monoxide",Compositions!AQ133="Nitrogen",Compositions!AQ133="Oxygen",Compositions!AQ133="Hydrogen Sulfide",Compositions!AQ133="Argon",Compositions!AQ133="Carbon Dioxide",Compositions!AQ133="Methane",Compositions!AQ133="Ethane"),0,(NZ68/100))))</f>
        <v/>
      </c>
      <c r="OK68" s="39" t="str">
        <f>IF(NZ68="","",(IF(OR($OJ$78=0,$OJ$78=""),0,     ((VLOOKUP(Compositions!AQ133,'HHV-LHV-MW'!$A$3:$F$40,6,FALSE))*(OJ68/$OJ$78)))))</f>
        <v/>
      </c>
      <c r="ON68" s="27" t="str">
        <f>IF(Compositions!AX133="","",IF(Compositions!$AX$118="mol%",Compositions!AX133,OO68))</f>
        <v/>
      </c>
      <c r="OO68" s="27" t="str">
        <f t="shared" si="57"/>
        <v/>
      </c>
      <c r="OP68" s="27" t="str">
        <f>IF(Compositions!AX133="","",(Compositions!AX133/(VLOOKUP(Compositions!AW133,'HHV-LHV-MW'!$A$3:$F$40,6,FALSE))))</f>
        <v/>
      </c>
      <c r="OQ68" s="185" t="str">
        <f>IF(ON68="","",((VLOOKUP(Compositions!AW133,'HHV-LHV-MW'!$A$3:$F$40,4,FALSE))*(ON68/100)))</f>
        <v/>
      </c>
      <c r="OR68" s="185" t="str">
        <f>IF(ON68="","",((VLOOKUP(Compositions!AW133,'HHV-LHV-MW'!$A$3:$F$40,5,FALSE))*(ON68/100)))</f>
        <v/>
      </c>
      <c r="OS68" s="185" t="str">
        <f>IF(ON68="","",((VLOOKUP(Compositions!AW133,'HHV-LHV-MW'!$A$3:$F$40,6,FALSE))*(ON68/100)))</f>
        <v/>
      </c>
      <c r="OT68" s="185" t="str">
        <f>IF(Compositions!AX133="","",(Compositions!AX133*(VLOOKUP(Compositions!AW133,'HHV-LHV-MW'!$A$3:$F$40,6,FALSE))))</f>
        <v/>
      </c>
      <c r="OU68" s="298" t="str">
        <f>IF(Compositions!AX133="","",IF(OR(Compositions!$AX$118="wt%",Compositions!$AX$118=""),Compositions!AX133,(IF(OT68="","",((OT68/$OT$78)*100)))))</f>
        <v/>
      </c>
      <c r="OV68" s="185" t="str">
        <f>IF(OU68="","",(IF(OR(Compositions!AW133="Hydrogen",Compositions!AW133="Helium",Compositions!AW133="Water",Compositions!AW133="Carbon Monoxide",Compositions!AW133="Nitrogen",Compositions!AW133="Oxygen",Compositions!AW133="Hydrogen Sulfide",Compositions!AW133="Argon",Compositions!AW133="Carbon Dioxide",Compositions!AW133="Carbon Disulfide"),0,OU68)))</f>
        <v/>
      </c>
      <c r="OW68" s="187" t="str">
        <f>IF(Compositions!AX133="","",((ON68/100)*((VLOOKUP(Compositions!AW133,'HHV-LHV-MW'!$A$3:$G$40,7,FALSE)))))</f>
        <v/>
      </c>
      <c r="OX68" s="187" t="str">
        <f>IF(ON68="","",(IF(OR(Compositions!AW133="Hydrogen",Compositions!AW133="Carbon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Dioxide",Compositions!AW133="Methane",Compositions!AW133="Ethane"),0,(ON68/100))))</f>
        <v/>
      </c>
      <c r="OY68" s="205" t="str">
        <f>IF(ON68="","",(IF(OR($OX$78=0,$OX$78=""),0,     ((VLOOKUP(Compositions!AW133,'HHV-LHV-MW'!$A$3:$F$40,6,FALSE))*(OX68/$OX$78)))))</f>
        <v/>
      </c>
      <c r="OZ68" s="28" t="str">
        <f>IF(Compositions!AY133="","",IF(Compositions!$AY$118="mol%",Compositions!AY133,PA68))</f>
        <v/>
      </c>
      <c r="PA68" s="28" t="str">
        <f t="shared" si="64"/>
        <v/>
      </c>
      <c r="PB68" s="28" t="str">
        <f>IF(Compositions!AY133="","",(Compositions!AY133/(VLOOKUP(Compositions!AW133,'HHV-LHV-MW'!$A$3:$F$40,6,FALSE))))</f>
        <v/>
      </c>
      <c r="PC68" s="184" t="str">
        <f>IF(OZ68="","",((VLOOKUP(Compositions!AW133,'HHV-LHV-MW'!$A$3:$F$40,4,FALSE))*(OZ68/100)))</f>
        <v/>
      </c>
      <c r="PD68" s="184" t="str">
        <f>IF(OZ68="","",((VLOOKUP(Compositions!AW133,'HHV-LHV-MW'!$A$3:$F$40,5,FALSE))*(OZ68/100)))</f>
        <v/>
      </c>
      <c r="PE68" s="184" t="str">
        <f>IF(OZ68="","",((VLOOKUP(Compositions!AW133,'HHV-LHV-MW'!$A$3:$F$40,6,FALSE))*(OZ68/100)))</f>
        <v/>
      </c>
      <c r="PF68" s="184" t="str">
        <f>IF(Compositions!AY133="","",(Compositions!AY133*(VLOOKUP(Compositions!AW133,'HHV-LHV-MW'!$A$3:$F$40,6,FALSE))))</f>
        <v/>
      </c>
      <c r="PG68" s="297" t="str">
        <f>IF(Compositions!AY133="","",IF(OR(Compositions!$AY$118="wt%",Compositions!$AY$118=""),Compositions!AY133,(IF(PF68="","",((PF68/$PF$78)*100)))))</f>
        <v/>
      </c>
      <c r="PH68" s="39" t="str">
        <f>IF(PG68="","",(IF(OR(Compositions!AW133="Hydrogen",Compositions!AW133="Helium",Compositions!AW133="Water",Compositions!AW133="Carbon Monoxide",Compositions!AW133="Nitrogen",Compositions!AW133="Oxygen",Compositions!AW133="Hydrogen Sulfide",Compositions!AW133="Argon",Compositions!AW133="Carbon Dioxide",Compositions!AW133="Carbon Disulfide"),0,PG68)))</f>
        <v/>
      </c>
      <c r="PI68" s="186" t="str">
        <f>IF(Compositions!AY133="","",((OZ68/100)*((VLOOKUP(Compositions!AW133,'HHV-LHV-MW'!$A$3:$G$40,7,FALSE)))))</f>
        <v/>
      </c>
      <c r="PJ68" s="186" t="str">
        <f>IF(OZ68="","",(IF(OR(Compositions!AW133="Hydrogen",Compositions!AW133="Carbon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Dioxide",Compositions!AW133="Methane",Compositions!AW133="Ethane"),0,(OZ68/100))))</f>
        <v/>
      </c>
      <c r="PK68" s="39" t="str">
        <f>IF(OZ68="","",(IF(OR($PJ$78=0,$PJ$78=""),0,     ((VLOOKUP(Compositions!AW133,'HHV-LHV-MW'!$A$3:$F$40,6,FALSE))*(PJ68/$PJ$78)))))</f>
        <v/>
      </c>
      <c r="PL68" s="27" t="str">
        <f>IF(Compositions!AZ133="","",IF(Compositions!$AZ$118="mol%",Compositions!AZ133,PM68))</f>
        <v/>
      </c>
      <c r="PM68" s="27" t="str">
        <f t="shared" si="58"/>
        <v/>
      </c>
      <c r="PN68" s="27" t="str">
        <f>IF(Compositions!AZ133="","",(Compositions!AZ133/(VLOOKUP(Compositions!AW133,'HHV-LHV-MW'!$A$3:$F$40,6,FALSE))))</f>
        <v/>
      </c>
      <c r="PO68" s="185" t="str">
        <f>IF(PL68="","",((VLOOKUP(Compositions!AW133,'HHV-LHV-MW'!$A$3:$F$40,4,FALSE))*(PL68/100)))</f>
        <v/>
      </c>
      <c r="PP68" s="185" t="str">
        <f>IF(PL68="","",((VLOOKUP(Compositions!AW133,'HHV-LHV-MW'!$A$3:$F$40,5,FALSE))*(PL68/100)))</f>
        <v/>
      </c>
      <c r="PQ68" s="185" t="str">
        <f>IF(PL68="","",((VLOOKUP(Compositions!AW133,'HHV-LHV-MW'!$A$3:$F$40,6,FALSE))*(PL68/100)))</f>
        <v/>
      </c>
      <c r="PR68" s="185" t="str">
        <f>IF(Compositions!AZ133="","",(Compositions!AZ133*(VLOOKUP(Compositions!AW133,'HHV-LHV-MW'!$A$3:$F$40,6,FALSE))))</f>
        <v/>
      </c>
      <c r="PS68" s="298" t="str">
        <f>IF(Compositions!AZ133="","",IF(OR(Compositions!$AZ$118="wt%",Compositions!$AZ$118=""),Compositions!AZ133,(IF(PR68="","",((PR68/$PR$78)*100)))))</f>
        <v/>
      </c>
      <c r="PT68" s="185" t="str">
        <f>IF(PS68="","",(IF(OR(Compositions!AW133="Hydrogen",Compositions!AW133="Helium",Compositions!AW133="Water",Compositions!AW133="Carbon Monoxide",Compositions!AW133="Nitrogen",Compositions!AW133="Oxygen",Compositions!AW133="Hydrogen Sulfide",Compositions!AW133="Argon",Compositions!AW133="Carbon Dioxide",Compositions!AW133="Carbon Disulfide"),0,PS68)))</f>
        <v/>
      </c>
      <c r="PU68" s="187" t="str">
        <f>IF(Compositions!AZ133="","",((PL68/100)*((VLOOKUP(Compositions!AW133,'HHV-LHV-MW'!$A$3:$G$40,7,FALSE)))))</f>
        <v/>
      </c>
      <c r="PV68" s="187" t="str">
        <f>IF(PL68="","",(IF(OR(Compositions!AW133="Hydrogen",Compositions!AW133="Carbon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Dioxide",Compositions!AW133="Methane",Compositions!AW133="Ethane"),0,(PL68/100))))</f>
        <v/>
      </c>
      <c r="PW68" s="205" t="str">
        <f>IF(PL68="","",(IF(OR($PV$78=0,$PV$78=""),0,     ((VLOOKUP(Compositions!AW133,'HHV-LHV-MW'!$A$3:$F$40,6,FALSE))*(PV68/$PV$78)))))</f>
        <v/>
      </c>
      <c r="PX68" s="28" t="str">
        <f>IF(Compositions!BA133="","",IF(Compositions!$BA$118="mol%",Compositions!BA133,PY68))</f>
        <v/>
      </c>
      <c r="PY68" s="28" t="str">
        <f t="shared" si="59"/>
        <v/>
      </c>
      <c r="PZ68" s="28" t="str">
        <f>IF(Compositions!BA133="","",(Compositions!BA133/(VLOOKUP(Compositions!AW133,'HHV-LHV-MW'!$A$3:$F$40,6,FALSE))))</f>
        <v/>
      </c>
      <c r="QA68" s="184" t="str">
        <f>IF(PX68="","",((VLOOKUP(Compositions!AW133,'HHV-LHV-MW'!$A$3:$F$40,4,FALSE))*(PX68/100)))</f>
        <v/>
      </c>
      <c r="QB68" s="184" t="str">
        <f>IF(PX68="","",((VLOOKUP(Compositions!AW133,'HHV-LHV-MW'!$A$3:$F$40,5,FALSE))*(PX68/100)))</f>
        <v/>
      </c>
      <c r="QC68" s="184" t="str">
        <f>IF(PX68="","",((VLOOKUP(Compositions!AW133,'HHV-LHV-MW'!$A$3:$F$40,6,FALSE))*(PX68/100)))</f>
        <v/>
      </c>
      <c r="QD68" s="184" t="str">
        <f>IF(Compositions!BA133="","",(Compositions!BA133*(VLOOKUP(Compositions!AW133,'HHV-LHV-MW'!$A$3:$F$40,6,FALSE))))</f>
        <v/>
      </c>
      <c r="QE68" s="297" t="str">
        <f>IF(Compositions!BA133="","",IF(OR(Compositions!$BA$118="wt%",Compositions!$BA$118=""),Compositions!BA133,(IF(QD68="","",((QD68/$QD$78)*100)))))</f>
        <v/>
      </c>
      <c r="QF68" s="39" t="str">
        <f>IF(QE68="","",(IF(OR(Compositions!AW133="Hydrogen",Compositions!AW133="Helium",Compositions!AW133="Water",Compositions!AW133="Carbon Monoxide",Compositions!AW133="Nitrogen",Compositions!AW133="Oxygen",Compositions!AW133="Hydrogen Sulfide",Compositions!AW133="Argon",Compositions!AW133="Carbon Dioxide",Compositions!AW133="Carbon Disulfide"),0,QE68)))</f>
        <v/>
      </c>
      <c r="QG68" s="186" t="str">
        <f>IF(Compositions!BA133="","",((PX68/100)*((VLOOKUP(Compositions!AW133,'HHV-LHV-MW'!$A$3:$G$40,7,FALSE)))))</f>
        <v/>
      </c>
      <c r="QH68" s="186" t="str">
        <f>IF(PX68="","",(IF(OR(Compositions!AW133="Hydrogen",Compositions!AW133="Carbon Disulfide",Compositions!AW133="Helium",Compositions!AW133="Water",Compositions!AW133="Carbon Monoxide",Compositions!AW133="Nitrogen",Compositions!AW133="Oxygen",Compositions!AW133="Hydrogen Sulfide",Compositions!AW133="Argon",Compositions!AW133="Carbon Dioxide",Compositions!AW133="Methane",Compositions!AW133="Ethane"),0,(PX68/100))))</f>
        <v/>
      </c>
      <c r="QI68" s="39" t="str">
        <f>IF(PX68="","",(IF(OR($QH$78=0,$QH$78=""),0,     ((VLOOKUP(Compositions!AW133,'HHV-LHV-MW'!$A$3:$F$40,6,FALSE))*(QH68/$QH$78)))))</f>
        <v/>
      </c>
      <c r="QK68" s="27" t="str">
        <f>IF(Compositions!BD133="","",IF(Compositions!$BD$118="mol%",Compositions!BD133,QL68))</f>
        <v/>
      </c>
      <c r="QL68" s="27" t="str">
        <f t="shared" si="60"/>
        <v/>
      </c>
      <c r="QM68" s="27" t="str">
        <f>IF(Compositions!BD133="","",(Compositions!BD133/(VLOOKUP(Compositions!BC133,'HHV-LHV-MW'!$A$3:$F$40,6,FALSE))))</f>
        <v/>
      </c>
      <c r="QN68" s="185" t="str">
        <f>IF(QK68="","",((VLOOKUP(Compositions!BC133,'HHV-LHV-MW'!$A$3:$F$40,4,FALSE))*(QK68/100)))</f>
        <v/>
      </c>
      <c r="QO68" s="185" t="str">
        <f>IF(QK68="","",((VLOOKUP(Compositions!BC133,'HHV-LHV-MW'!$A$3:$F$40,5,FALSE))*(QK68/100)))</f>
        <v/>
      </c>
      <c r="QP68" s="185" t="str">
        <f>IF(QK68="","",((VLOOKUP(Compositions!BC133,'HHV-LHV-MW'!$A$3:$F$40,6,FALSE))*(QK68/100)))</f>
        <v/>
      </c>
      <c r="QQ68" s="185" t="str">
        <f>IF(Compositions!BD133="","",(Compositions!BD133*(VLOOKUP(Compositions!BC133,'HHV-LHV-MW'!$A$3:$F$40,6,FALSE))))</f>
        <v/>
      </c>
      <c r="QR68" s="298" t="str">
        <f>IF(Compositions!BD133="","",IF(OR(Compositions!$BD$118="wt%",Compositions!$BD$118=""),Compositions!BD133,(IF(QQ68="","",((QQ68/$QQ$78)*100)))))</f>
        <v/>
      </c>
      <c r="QS68" s="185" t="str">
        <f>IF(QR68="","",(IF(OR(Compositions!BC133="Hydrogen",Compositions!BC133="Helium",Compositions!BC133="Water",Compositions!BC133="Carbon Monoxide",Compositions!BC133="Nitrogen",Compositions!BC133="Oxygen",Compositions!BC133="Hydrogen Sulfide",Compositions!BC133="Argon",Compositions!BC133="Carbon Dioxide",Compositions!BC133="Carbon Disulfide"),0,QR68)))</f>
        <v/>
      </c>
      <c r="QT68" s="187" t="str">
        <f>IF(Compositions!BD133="","",((QK68/100)*((VLOOKUP(Compositions!BC133,'HHV-LHV-MW'!$A$3:$G$40,7,FALSE)))))</f>
        <v/>
      </c>
      <c r="QU68" s="187" t="str">
        <f>IF(QK68="","",(IF(OR(Compositions!BC133="Hydrogen",Compositions!BC133="Carbon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Dioxide",Compositions!BC133="Methane",Compositions!BC133="Ethane"),0,(QK68/100))))</f>
        <v/>
      </c>
      <c r="QV68" s="205" t="str">
        <f>IF(QK68="","",(IF(OR($QU$78=0,$QU$78=""),0,     ((VLOOKUP(Compositions!BC133,'HHV-LHV-MW'!$A$3:$F$40,6,FALSE))*(QU68/$QU$78)))))</f>
        <v/>
      </c>
      <c r="QW68" s="28" t="str">
        <f>IF(Compositions!BE133="","",IF(Compositions!$BE$118="mol%",Compositions!BE133,QX68))</f>
        <v/>
      </c>
      <c r="QX68" s="28" t="str">
        <f t="shared" si="61"/>
        <v/>
      </c>
      <c r="QY68" s="28" t="str">
        <f>IF(Compositions!BE133="","",(Compositions!BE133/(VLOOKUP(Compositions!BC133,'HHV-LHV-MW'!$A$3:$F$40,6,FALSE))))</f>
        <v/>
      </c>
      <c r="QZ68" s="184" t="str">
        <f>IF(QW68="","",((VLOOKUP(Compositions!BC133,'HHV-LHV-MW'!$A$3:$F$40,4,FALSE))*(QW68/100)))</f>
        <v/>
      </c>
      <c r="RA68" s="184" t="str">
        <f>IF(QW68="","",((VLOOKUP(Compositions!BC133,'HHV-LHV-MW'!$A$3:$F$40,5,FALSE))*(QW68/100)))</f>
        <v/>
      </c>
      <c r="RB68" s="184" t="str">
        <f>IF(QW68="","",((VLOOKUP(Compositions!BC133,'HHV-LHV-MW'!$A$3:$F$40,6,FALSE))*(QW68/100)))</f>
        <v/>
      </c>
      <c r="RC68" s="184" t="str">
        <f>IF(Compositions!BE133="","",(Compositions!BE133*(VLOOKUP(Compositions!BC133,'HHV-LHV-MW'!$A$3:$F$40,6,FALSE))))</f>
        <v/>
      </c>
      <c r="RD68" s="297" t="str">
        <f>IF(Compositions!BE133="","",IF(OR(Compositions!$BE$118="wt%",Compositions!$BE$118=""),Compositions!BE133,(IF(RC68="","",((RC68/$RC$78)*100)))))</f>
        <v/>
      </c>
      <c r="RE68" s="39" t="str">
        <f>IF(RD68="","",(IF(OR(Compositions!BC133="Hydrogen",Compositions!BC133="Helium",Compositions!BC133="Water",Compositions!BC133="Carbon Monoxide",Compositions!BC133="Nitrogen",Compositions!BC133="Oxygen",Compositions!BC133="Hydrogen Sulfide",Compositions!BC133="Argon",Compositions!BC133="Carbon Dioxide",Compositions!BC133="Carbon Disulfide"),0,RD68)))</f>
        <v/>
      </c>
      <c r="RF68" s="186" t="str">
        <f>IF(Compositions!BE133="","",((QW68/100)*((VLOOKUP(Compositions!BC133,'HHV-LHV-MW'!$A$3:$G$40,7,FALSE)))))</f>
        <v/>
      </c>
      <c r="RG68" s="186" t="str">
        <f>IF(QW68="","",(IF(OR(Compositions!BC133="Hydrogen",Compositions!BC133="Carbon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Dioxide",Compositions!BC133="Methane",Compositions!BC133="Ethane"),0,(QW68/100))))</f>
        <v/>
      </c>
      <c r="RH68" s="39" t="str">
        <f>IF(QW68="","",(IF(OR($RG$78=0,$RG$78=""),0,     ((VLOOKUP(Compositions!BC133,'HHV-LHV-MW'!$A$3:$F$40,6,FALSE))*(RG68/$RG$78)))))</f>
        <v/>
      </c>
      <c r="RI68" s="27" t="str">
        <f>IF(Compositions!BF133="","",IF(Compositions!$BF$118="mol%",Compositions!BF133,RJ68))</f>
        <v/>
      </c>
      <c r="RJ68" s="27" t="str">
        <f t="shared" si="62"/>
        <v/>
      </c>
      <c r="RK68" s="27" t="str">
        <f>IF(Compositions!BF133="","",(Compositions!BF133/(VLOOKUP(Compositions!BC133,'HHV-LHV-MW'!$A$3:$F$40,6,FALSE))))</f>
        <v/>
      </c>
      <c r="RL68" s="185" t="str">
        <f>IF(RI68="","",((VLOOKUP(Compositions!BC133,'HHV-LHV-MW'!$A$3:$F$40,4,FALSE))*(RI68/100)))</f>
        <v/>
      </c>
      <c r="RM68" s="185" t="str">
        <f>IF(RI68="","",((VLOOKUP(Compositions!BC133,'HHV-LHV-MW'!$A$3:$F$40,5,FALSE))*(RI68/100)))</f>
        <v/>
      </c>
      <c r="RN68" s="185" t="str">
        <f>IF(RI68="","",((VLOOKUP(Compositions!BC133,'HHV-LHV-MW'!$A$3:$F$40,6,FALSE))*(RI68/100)))</f>
        <v/>
      </c>
      <c r="RO68" s="185" t="str">
        <f>IF(Compositions!BF133="","",(Compositions!BF133*(VLOOKUP(Compositions!BC133,'HHV-LHV-MW'!$A$3:$F$40,6,FALSE))))</f>
        <v/>
      </c>
      <c r="RP68" s="298" t="str">
        <f>IF(Compositions!BF133="","",IF(OR(Compositions!$BF$118="wt%",Compositions!$BF$118=""),Compositions!BF133,(IF(RO68="","",((RO68/$RO$78)*100)))))</f>
        <v/>
      </c>
      <c r="RQ68" s="185" t="str">
        <f>IF(RP68="","",(IF(OR(Compositions!BC133="Hydrogen",Compositions!BC133="Helium",Compositions!BC133="Water",Compositions!BC133="Carbon Monoxide",Compositions!BC133="Nitrogen",Compositions!BC133="Oxygen",Compositions!BC133="Hydrogen Sulfide",Compositions!BC133="Argon",Compositions!BC133="Carbon Dioxide",Compositions!BC133="Carbon Disulfide"),0,RP68)))</f>
        <v/>
      </c>
      <c r="RR68" s="187" t="str">
        <f>IF(Compositions!BF133="","",((RI68/100)*((VLOOKUP(Compositions!BC133,'HHV-LHV-MW'!$A$3:$G$40,7,FALSE)))))</f>
        <v/>
      </c>
      <c r="RS68" s="187" t="str">
        <f>IF(RI68="","",(IF(OR(Compositions!BC133="Hydrogen",Compositions!BC133="Carbon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Dioxide",Compositions!BC133="Methane",Compositions!BC133="Ethane"),0,(RI68/100))))</f>
        <v/>
      </c>
      <c r="RT68" s="205" t="str">
        <f>IF(RI68="","",(IF(OR($RS$78=0,$RS$78=""),0,     ((VLOOKUP(Compositions!BC133,'HHV-LHV-MW'!$A$3:$F$40,6,FALSE))*(RS68/$RS$78)))))</f>
        <v/>
      </c>
      <c r="RU68" s="28" t="str">
        <f>IF(Compositions!BG133="","",IF(Compositions!$BG$118="mol%",Compositions!BG133,RV68))</f>
        <v/>
      </c>
      <c r="RV68" s="28" t="str">
        <f t="shared" si="63"/>
        <v/>
      </c>
      <c r="RW68" s="28" t="str">
        <f>IF(Compositions!BG133="","",(Compositions!BG133/(VLOOKUP(Compositions!BC133,'HHV-LHV-MW'!$A$3:$F$40,6,FALSE))))</f>
        <v/>
      </c>
      <c r="RX68" s="184" t="str">
        <f>IF(RU68="","",((VLOOKUP(Compositions!BC133,'HHV-LHV-MW'!$A$3:$F$40,4,FALSE))*(RU68/100)))</f>
        <v/>
      </c>
      <c r="RY68" s="184" t="str">
        <f>IF(RU68="","",((VLOOKUP(Compositions!BC133,'HHV-LHV-MW'!$A$3:$F$40,5,FALSE))*(RU68/100)))</f>
        <v/>
      </c>
      <c r="RZ68" s="184" t="str">
        <f>IF(RU68="","",((VLOOKUP(Compositions!BC133,'HHV-LHV-MW'!$A$3:$F$40,6,FALSE))*(RU68/100)))</f>
        <v/>
      </c>
      <c r="SA68" s="184" t="str">
        <f>IF(Compositions!BG133="","",(Compositions!BG133*(VLOOKUP(Compositions!BC133,'HHV-LHV-MW'!$A$3:$F$40,6,FALSE))))</f>
        <v/>
      </c>
      <c r="SB68" s="297" t="str">
        <f>IF(Compositions!BG133="","",IF(OR(Compositions!$BG$118="wt%",Compositions!$BG$118=""),Compositions!BG133,(IF(SA68="","",((SA68/$SA$78)*100)))))</f>
        <v/>
      </c>
      <c r="SC68" s="39" t="str">
        <f>IF(SB68="","",(IF(OR(Compositions!BC133="Hydrogen",Compositions!BC133="Helium",Compositions!BC133="Water",Compositions!BC133="Carbon Monoxide",Compositions!BC133="Nitrogen",Compositions!BC133="Oxygen",Compositions!BC133="Hydrogen Sulfide",Compositions!BC133="Argon",Compositions!BC133="Carbon Dioxide",Compositions!BC133="Carbon Disulfide"),0,SB68)))</f>
        <v/>
      </c>
      <c r="SD68" s="186" t="str">
        <f>IF(Compositions!BG133="","",((RU68/100)*((VLOOKUP(Compositions!BC133,'HHV-LHV-MW'!$A$3:$G$40,7,FALSE)))))</f>
        <v/>
      </c>
      <c r="SE68" s="186" t="str">
        <f>IF(RU68="","",(IF(OR(Compositions!BC133="Hydrogen",Compositions!BC133="Carbon Disulfide",Compositions!BC133="Helium",Compositions!BC133="Water",Compositions!BC133="Carbon Monoxide",Compositions!BC133="Nitrogen",Compositions!BC133="Oxygen",Compositions!BC133="Hydrogen Sulfide",Compositions!BC133="Argon",Compositions!BC133="Carbon Dioxide",Compositions!BC133="Methane",Compositions!BC133="Ethane"),0,(RU68/100))))</f>
        <v/>
      </c>
      <c r="SF68" s="39" t="str">
        <f>IF(RU68="","",(IF(OR($SE$78=0,$SE$78=""),0,     ((VLOOKUP(Compositions!BC133,'HHV-LHV-MW'!$A$3:$F$40,6,FALSE))*(SE68/$SE$78)))))</f>
        <v/>
      </c>
    </row>
    <row r="69" spans="1:500" ht="15.6">
      <c r="A69" s="173" t="s">
        <v>202</v>
      </c>
      <c r="B69" s="19" t="s">
        <v>189</v>
      </c>
      <c r="C69" s="20">
        <v>5</v>
      </c>
      <c r="D69" s="20">
        <v>3.5207000000000002</v>
      </c>
      <c r="E69" s="20">
        <v>3.2507999999999999</v>
      </c>
      <c r="F69" s="20">
        <v>72.150279999999995</v>
      </c>
      <c r="G69" s="20">
        <v>0</v>
      </c>
      <c r="H69" s="170"/>
      <c r="I69" s="170"/>
      <c r="K69" s="27" t="str">
        <f>IF(Compositions!B134="","",IF(Compositions!$B$118="mol%",Compositions!B134,L69))</f>
        <v/>
      </c>
      <c r="L69" s="27" t="str">
        <f t="shared" si="25"/>
        <v/>
      </c>
      <c r="M69" s="27" t="str">
        <f>IF(Compositions!B134="","",(Compositions!B134/(VLOOKUP(Compositions!A134,'HHV-LHV-MW'!$A$3:$F$40,6,FALSE))))</f>
        <v/>
      </c>
      <c r="N69" s="25" t="str">
        <f>IF(K69="","",((VLOOKUP(Compositions!A134,'HHV-LHV-MW'!$A$3:$F$40,4,FALSE))*(K69/100)))</f>
        <v/>
      </c>
      <c r="O69" s="25" t="str">
        <f>IF(K69="","",((VLOOKUP(Compositions!A134,'HHV-LHV-MW'!$A$3:$F$40,5,FALSE))*(K69/100)))</f>
        <v/>
      </c>
      <c r="P69" s="25" t="str">
        <f>IF(K69="","",((VLOOKUP(Compositions!A134,'HHV-LHV-MW'!$A$3:$F$40,6,FALSE))*(K69/100)))</f>
        <v/>
      </c>
      <c r="Q69" s="25" t="str">
        <f>IF(Compositions!B134="","",(Compositions!B134*(VLOOKUP(Compositions!A134,'HHV-LHV-MW'!$A$3:$F$40,6,FALSE))))</f>
        <v/>
      </c>
      <c r="R69" s="188" t="str">
        <f>IF(Compositions!B134="","",IF(OR(Compositions!$B$118="wt%",Compositions!$B$118=""),Compositions!B134,(IF(Q69="","",((Q69/$Q$78)*100)))))</f>
        <v/>
      </c>
      <c r="S69" s="185" t="str">
        <f>IF(R69="","",(IF(OR(Compositions!A134="Hydrogen",Compositions!A134="Helium",Compositions!A134="Water",Compositions!A134="Carbon Monoxide",Compositions!A134="Nitrogen",Compositions!A134="Oxygen",Compositions!A134="Hydrogen Sulfide",Compositions!A134="Argon",Compositions!A134="Carbon Dioxide",Compositions!A134="Carbon Disulfide"),0,R69)))</f>
        <v/>
      </c>
      <c r="T69" s="169" t="str">
        <f>IF(Compositions!B134="","",((K69/100)*((VLOOKUP(Compositions!A134,'HHV-LHV-MW'!$A$3:$G$40,7,FALSE)))))</f>
        <v/>
      </c>
      <c r="U69" s="187" t="str">
        <f>IF(K69="","",(IF(OR(Compositions!A134="Hydrogen",Compositions!A134="Carbon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Dioxide",Compositions!A134="Methane",Compositions!A134="Ethane"),0,(K69/100))))</f>
        <v/>
      </c>
      <c r="V69" s="188" t="str">
        <f>IF(K69="","", (IF(OR($U$78=0,$U$78=""),0,((VLOOKUP(Compositions!A134,'HHV-LHV-MW'!$A$3:$F$40,6,FALSE))*(U69/$U$78))   ))   )</f>
        <v/>
      </c>
      <c r="W69" s="28" t="str">
        <f>IF(Compositions!C134="","",IF(Compositions!$C$118="mol%",Compositions!C134,X69))</f>
        <v/>
      </c>
      <c r="X69" s="28" t="str">
        <f t="shared" si="26"/>
        <v/>
      </c>
      <c r="Y69" s="28" t="str">
        <f>IF(Compositions!C134="","",(Compositions!C134/(VLOOKUP(Compositions!A134,'HHV-LHV-MW'!$A$3:$F$40,6,FALSE))))</f>
        <v/>
      </c>
      <c r="Z69" s="26" t="str">
        <f>IF(W69="","",((VLOOKUP(Compositions!A134,'HHV-LHV-MW'!$A$3:$F$40,4,FALSE))*(W69/100)))</f>
        <v/>
      </c>
      <c r="AA69" s="26" t="str">
        <f>IF(W69="","",((VLOOKUP(Compositions!A134,'HHV-LHV-MW'!$A$3:$F$40,5,FALSE))*(W69/100)))</f>
        <v/>
      </c>
      <c r="AB69" s="26" t="str">
        <f>IF(W69="","",((VLOOKUP(Compositions!A134,'HHV-LHV-MW'!$A$3:$F$40,6,FALSE))*(W69/100)))</f>
        <v/>
      </c>
      <c r="AC69" s="26" t="str">
        <f>IF(Compositions!C134="","",(Compositions!C134*(VLOOKUP(Compositions!A134,'HHV-LHV-MW'!$A$3:$F$40,6,FALSE))))</f>
        <v/>
      </c>
      <c r="AD69" s="296" t="str">
        <f>IF(Compositions!C134="","",IF(OR(Compositions!$C$118="wt%",Compositions!$C$118=""),Compositions!C134,(IF(AC69="","",((AC69/$AC$78)*100)))))</f>
        <v/>
      </c>
      <c r="AE69" s="39" t="str">
        <f>IF(AD69="","",(IF(OR(Compositions!A134="Hydrogen",Compositions!A134="Helium",Compositions!A134="Water",Compositions!A134="Carbon Monoxide",Compositions!A134="Nitrogen",Compositions!A134="Oxygen",Compositions!A134="Hydrogen Sulfide",Compositions!A134="Argon",Compositions!A134="Carbon Dioxide",Compositions!A134="Carbon Disulfide"),0,AD69)))</f>
        <v/>
      </c>
      <c r="AF69" s="186" t="str">
        <f>IF(Compositions!C134="","",((W69/100)*((VLOOKUP(Compositions!A134,'HHV-LHV-MW'!$A$3:$G$40,7,FALSE)))))</f>
        <v/>
      </c>
      <c r="AG69" s="186" t="str">
        <f>IF(W69="","",(IF(OR(Compositions!A134="Hydrogen",Compositions!A134="Carbon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Dioxide",Compositions!A134="Methane",Compositions!A134="Ethane"),0,(W69/100))))</f>
        <v/>
      </c>
      <c r="AH69" s="39" t="str">
        <f>IF(W69="","", (IF(OR($AG$78=0,$AG$78=""),0,   ((VLOOKUP(Compositions!A134,'HHV-LHV-MW'!$A$3:$F$40,6,FALSE))*(AG69/$AG$78)))))</f>
        <v/>
      </c>
      <c r="AI69" s="27" t="str">
        <f>IF(Compositions!D134="","",IF(Compositions!$D$118="mol%",Compositions!D134,AJ69))</f>
        <v/>
      </c>
      <c r="AJ69" s="27" t="str">
        <f t="shared" si="27"/>
        <v/>
      </c>
      <c r="AK69" s="27" t="str">
        <f>IF(Compositions!D134="","",(Compositions!D134/(VLOOKUP(Compositions!A134,'HHV-LHV-MW'!$A$3:$F$40,6,FALSE))))</f>
        <v/>
      </c>
      <c r="AL69" s="25" t="str">
        <f>IF(AI69="","",((VLOOKUP(Compositions!A134,'HHV-LHV-MW'!$A$3:$F$40,4,FALSE))*(AI69/100)))</f>
        <v/>
      </c>
      <c r="AM69" s="25" t="str">
        <f>IF(AI69="","",((VLOOKUP(Compositions!A134,'HHV-LHV-MW'!$A$3:$F$40,5,FALSE))*(AI69/100)))</f>
        <v/>
      </c>
      <c r="AN69" s="25" t="str">
        <f>IF(AI69="","",((VLOOKUP(Compositions!A134,'HHV-LHV-MW'!$A$3:$F$40,6,FALSE))*(AI69/100)))</f>
        <v/>
      </c>
      <c r="AO69" s="25" t="str">
        <f>IF(Compositions!D134="","",(Compositions!D134*(VLOOKUP(Compositions!A134,'HHV-LHV-MW'!$A$3:$F$40,6,FALSE))))</f>
        <v/>
      </c>
      <c r="AP69" s="295" t="str">
        <f>IF(Compositions!D134="","",IF(OR(Compositions!$D$118="wt%",Compositions!$D$118=""),Compositions!D134,(IF(AO69="","",((AO69/$AO$78)*100)))))</f>
        <v/>
      </c>
      <c r="AQ69" s="185" t="str">
        <f>IF(AP69="","",(IF(OR(Compositions!A134="Hydrogen",Compositions!A134="Helium",Compositions!A134="Water",Compositions!A134="Carbon Monoxide",Compositions!A134="Nitrogen",Compositions!A134="Oxygen",Compositions!A134="Hydrogen Sulfide",Compositions!A134="Argon",Compositions!A134="Carbon Dioxide",Compositions!A134="Carbon Disulfide"),0,AP69)))</f>
        <v/>
      </c>
      <c r="AR69" s="187" t="str">
        <f>IF(Compositions!D134="","",((AI69/100)*((VLOOKUP(Compositions!A134,'HHV-LHV-MW'!$A$3:$G$40,7,FALSE)))))</f>
        <v/>
      </c>
      <c r="AS69" s="187" t="str">
        <f>IF(AI69="","",(IF(OR(Compositions!A134="Hydrogen",Compositions!A134="Carbon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Dioxide",Compositions!A134="Methane",Compositions!A134="Ethane"),0,(AI69/100))))</f>
        <v/>
      </c>
      <c r="AT69" s="205" t="str">
        <f>IF(AI69="","",(IF(OR($AS$78=0,$AS$78=""),0,      ((VLOOKUP(Compositions!A134,'HHV-LHV-MW'!$A$3:$F$40,6,FALSE))*(AS69/$AS$78)))))</f>
        <v/>
      </c>
      <c r="AU69" s="28" t="str">
        <f>IF(Compositions!E134="","",IF(Compositions!$E$118="mol%",Compositions!E134,AV69))</f>
        <v/>
      </c>
      <c r="AV69" s="28" t="str">
        <f t="shared" si="28"/>
        <v/>
      </c>
      <c r="AW69" s="28" t="str">
        <f>IF(Compositions!E134="","",(Compositions!E134/(VLOOKUP(Compositions!A134,'HHV-LHV-MW'!$A$3:$F$40,6,FALSE))))</f>
        <v/>
      </c>
      <c r="AX69" s="26" t="str">
        <f>IF(AU69="","",((VLOOKUP(Compositions!A134,'HHV-LHV-MW'!$A$3:$F$40,4,FALSE))*(AU69/100)))</f>
        <v/>
      </c>
      <c r="AY69" s="26" t="str">
        <f>IF(AU69="","",((VLOOKUP(Compositions!A134,'HHV-LHV-MW'!$A$3:$F$40,5,FALSE))*(AU69/100)))</f>
        <v/>
      </c>
      <c r="AZ69" s="26" t="str">
        <f>IF(AU69="","",((VLOOKUP(Compositions!A134,'HHV-LHV-MW'!$A$3:$F$40,6,FALSE))*(AU69/100)))</f>
        <v/>
      </c>
      <c r="BA69" s="26" t="str">
        <f>IF(Compositions!E134="","",(Compositions!E134*(VLOOKUP(Compositions!A134,'HHV-LHV-MW'!$A$3:$F$40,6,FALSE))))</f>
        <v/>
      </c>
      <c r="BB69" s="296" t="str">
        <f>IF(Compositions!E134="","",IF(OR(Compositions!$E$118="wt%",Compositions!$E$118=""),Compositions!E134,(IF(BA69="","",((BA69/$BA$78)*100)))))</f>
        <v/>
      </c>
      <c r="BC69" s="39" t="str">
        <f>IF(BB69="","",(IF(OR(Compositions!A134="Hydrogen",Compositions!A134="Helium",Compositions!A134="Water",Compositions!A134="Carbon Monoxide",Compositions!A134="Nitrogen",Compositions!A134="Oxygen",Compositions!A134="Hydrogen Sulfide",Compositions!A134="Argon",Compositions!A134="Carbon Dioxide",Compositions!A134="Carbon Disulfide"),0,BB69)))</f>
        <v/>
      </c>
      <c r="BD69" s="186" t="str">
        <f>IF(Compositions!E134="","",((AU69/100)*((VLOOKUP(Compositions!A134,'HHV-LHV-MW'!$A$3:$G$40,7,FALSE)))))</f>
        <v/>
      </c>
      <c r="BE69" s="186" t="str">
        <f>IF(AU69="","",(IF(OR(Compositions!A134="Hydrogen",Compositions!A134="Carbon Disulfide",Compositions!A134="Helium",Compositions!A134="Water",Compositions!A134="Carbon Monoxide",Compositions!A134="Nitrogen",Compositions!A134="Oxygen",Compositions!A134="Hydrogen Sulfide",Compositions!A134="Argon",Compositions!A134="Carbon Dioxide",Compositions!A134="Methane",Compositions!A134="Ethane"),0,(AU69/100))))</f>
        <v/>
      </c>
      <c r="BF69" s="39" t="str">
        <f>IF(AU69="","",(IF(OR($BE$78=0,$BE$78=""),0,     ((VLOOKUP(Compositions!A134,'HHV-LHV-MW'!$A$3:$F$40,6,FALSE))*(BE69/$BE$78)))))</f>
        <v/>
      </c>
      <c r="BH69" s="27" t="str">
        <f>IF(Compositions!H134="","",IF(Compositions!$H$118="mol%",Compositions!H134,BI69))</f>
        <v/>
      </c>
      <c r="BI69" s="27" t="str">
        <f t="shared" si="29"/>
        <v/>
      </c>
      <c r="BJ69" s="27" t="str">
        <f>IF(Compositions!H134="","",(Compositions!H134/(VLOOKUP(Compositions!G134,'HHV-LHV-MW'!$A$3:$F$40,6,FALSE))))</f>
        <v/>
      </c>
      <c r="BK69" s="25" t="str">
        <f>IF(BH69="","",((VLOOKUP(Compositions!G134,'HHV-LHV-MW'!$A$3:$F$40,4,FALSE))*(BH69/100)))</f>
        <v/>
      </c>
      <c r="BL69" s="25" t="str">
        <f>IF(BH69="","",((VLOOKUP(Compositions!G134,'HHV-LHV-MW'!$A$3:$F$40,5,FALSE))*(BH69/100)))</f>
        <v/>
      </c>
      <c r="BM69" s="25" t="str">
        <f>IF(BH69="","",((VLOOKUP(Compositions!G134,'HHV-LHV-MW'!$A$3:$F$40,6,FALSE))*(BH69/100)))</f>
        <v/>
      </c>
      <c r="BN69" s="25" t="str">
        <f>IF(Compositions!H134="","",(Compositions!H134*(VLOOKUP(Compositions!G134,'HHV-LHV-MW'!$A$3:$F$40,6,FALSE))))</f>
        <v/>
      </c>
      <c r="BO69" s="295" t="str">
        <f>IF(Compositions!H134="","",IF(OR(Compositions!$H$118="wt%",Compositions!$H$118=""),Compositions!H134,(IF(BN69="","",((BN69/$BN$78)*100)))))</f>
        <v/>
      </c>
      <c r="BP69" s="185" t="str">
        <f>IF(BO69="","",(IF(OR(Compositions!G134="Hydrogen",Compositions!G134="Helium",Compositions!G134="Water",Compositions!G134="Carbon Monoxide",Compositions!G134="Nitrogen",Compositions!G134="Oxygen",Compositions!G134="Hydrogen Sulfide",Compositions!G134="Argon",Compositions!G134="Carbon Dioxide",Compositions!G134="Carbon Disulfide"),0,BO69)))</f>
        <v/>
      </c>
      <c r="BQ69" s="187" t="str">
        <f>IF(Compositions!H134="","",((BH69/100)*((VLOOKUP(Compositions!G134,'HHV-LHV-MW'!$A$3:$G$40,7,FALSE)))))</f>
        <v/>
      </c>
      <c r="BR69" s="187" t="str">
        <f>IF(BH69="","",(IF(OR(Compositions!G134="Hydrogen",Compositions!G134="Carbon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Dioxide",Compositions!G134="Methane",Compositions!G134="Ethane"),0,(BH69/100))))</f>
        <v/>
      </c>
      <c r="BS69" s="205" t="str">
        <f>IF(BH69="","",(IF(OR($BR$78=0,$BR$78=""),0,    ((VLOOKUP(Compositions!G134,'HHV-LHV-MW'!$A$3:$F$40,6,FALSE))*(BR69/$BR$78)))))</f>
        <v/>
      </c>
      <c r="BT69" s="28" t="str">
        <f>IF(Compositions!I134="","",IF(Compositions!$I$118="mol%",Compositions!I134,BU69))</f>
        <v/>
      </c>
      <c r="BU69" s="28" t="str">
        <f t="shared" si="30"/>
        <v/>
      </c>
      <c r="BV69" s="28" t="str">
        <f>IF(Compositions!I134="","",(Compositions!I134/(VLOOKUP(Compositions!G134,'HHV-LHV-MW'!$A$3:$F$40,6,FALSE))))</f>
        <v/>
      </c>
      <c r="BW69" s="26" t="str">
        <f>IF(BT69="","",((VLOOKUP(Compositions!G134,'HHV-LHV-MW'!$A$3:$F$40,4,FALSE))*(BT69/100)))</f>
        <v/>
      </c>
      <c r="BX69" s="26" t="str">
        <f>IF(BT69="","",((VLOOKUP(Compositions!G134,'HHV-LHV-MW'!$A$3:$F$40,5,FALSE))*(BT69/100)))</f>
        <v/>
      </c>
      <c r="BY69" s="26" t="str">
        <f>IF(BT69="","",((VLOOKUP(Compositions!G134,'HHV-LHV-MW'!$A$3:$F$40,6,FALSE))*(BT69/100)))</f>
        <v/>
      </c>
      <c r="BZ69" s="26" t="str">
        <f>IF(Compositions!I134="","",(Compositions!I134*(VLOOKUP(Compositions!G134,'HHV-LHV-MW'!$A$3:$F$40,6,FALSE))))</f>
        <v/>
      </c>
      <c r="CA69" s="296" t="str">
        <f>IF(Compositions!I134="","",IF(OR(Compositions!$I$118="wt%",Compositions!$I$118=""),Compositions!I134,(IF(BZ69="","",((BZ69/$BZ$78)*100)))))</f>
        <v/>
      </c>
      <c r="CB69" s="39" t="str">
        <f>IF(CA69="","",(IF(OR(Compositions!G134="Hydrogen",Compositions!G134="Helium",Compositions!G134="Water",Compositions!G134="Carbon Monoxide",Compositions!G134="Nitrogen",Compositions!G134="Oxygen",Compositions!G134="Hydrogen Sulfide",Compositions!G134="Argon",Compositions!G134="Carbon Dioxide",Compositions!G134="Carbon Disulfide"),0,CA69)))</f>
        <v/>
      </c>
      <c r="CC69" s="186" t="str">
        <f>IF(Compositions!I134="","",((BT69/100)*((VLOOKUP(Compositions!G134,'HHV-LHV-MW'!$A$3:$G$40,7,FALSE)))))</f>
        <v/>
      </c>
      <c r="CD69" s="186" t="str">
        <f>IF(BT69="","",(IF(OR(Compositions!G134="Hydrogen",Compositions!G134="Carbon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Dioxide",Compositions!G134="Methane",Compositions!G134="Ethane"),0,(BT69/100))))</f>
        <v/>
      </c>
      <c r="CE69" s="39" t="str">
        <f>IF(BT69="","",(IF(OR($CD$78=0,$CD$78=""),0,       ((VLOOKUP(Compositions!G134,'HHV-LHV-MW'!$A$3:$F$40,6,FALSE))*(CD69/$CD$78)))))</f>
        <v/>
      </c>
      <c r="CF69" s="27" t="str">
        <f>IF(Compositions!J134="","",IF(Compositions!$J$118="mol%",Compositions!J134,CG69))</f>
        <v/>
      </c>
      <c r="CG69" s="27" t="str">
        <f t="shared" si="31"/>
        <v/>
      </c>
      <c r="CH69" s="27" t="str">
        <f>IF(Compositions!J134="","",(Compositions!J134/(VLOOKUP(Compositions!G134,'HHV-LHV-MW'!$A$3:$F$40,6,FALSE))))</f>
        <v/>
      </c>
      <c r="CI69" s="25" t="str">
        <f>IF(CF69="","",((VLOOKUP(Compositions!G134,'HHV-LHV-MW'!$A$3:$F$40,4,FALSE))*(CF69/100)))</f>
        <v/>
      </c>
      <c r="CJ69" s="25" t="str">
        <f>IF(CF69="","",((VLOOKUP(Compositions!G134,'HHV-LHV-MW'!$A$3:$F$40,5,FALSE))*(CF69/100)))</f>
        <v/>
      </c>
      <c r="CK69" s="25" t="str">
        <f>IF(CF69="","",((VLOOKUP(Compositions!G134,'HHV-LHV-MW'!$A$3:$F$40,6,FALSE))*(CF69/100)))</f>
        <v/>
      </c>
      <c r="CL69" s="25" t="str">
        <f>IF(Compositions!J134="","",(Compositions!J134*(VLOOKUP(Compositions!G134,'HHV-LHV-MW'!$A$3:$F$40,6,FALSE))))</f>
        <v/>
      </c>
      <c r="CM69" s="295" t="str">
        <f>IF(Compositions!J134="","",IF(OR(Compositions!$J$118="wt%",Compositions!$J$118=""),Compositions!J134,(IF(CL69="","",((CL69/$CL$78)*100)))))</f>
        <v/>
      </c>
      <c r="CN69" s="185" t="str">
        <f>IF(CM69="","",(IF(OR(Compositions!G134="Hydrogen",Compositions!G134="Helium",Compositions!G134="Water",Compositions!G134="Carbon Monoxide",Compositions!G134="Nitrogen",Compositions!G134="Oxygen",Compositions!G134="Hydrogen Sulfide",Compositions!G134="Argon",Compositions!G134="Carbon Dioxide",Compositions!G134="Carbon Disulfide"),0,CM69)))</f>
        <v/>
      </c>
      <c r="CO69" s="187" t="str">
        <f>IF(Compositions!J134="","",((CF69/100)*((VLOOKUP(Compositions!G134,'HHV-LHV-MW'!$A$3:$G$40,7,FALSE)))))</f>
        <v/>
      </c>
      <c r="CP69" s="187" t="str">
        <f>IF(CF69="","",(IF(OR(Compositions!G134="Hydrogen",Compositions!G134="Carbon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Dioxide",Compositions!G134="Methane",Compositions!G134="Ethane"),0,(CF69/100))))</f>
        <v/>
      </c>
      <c r="CQ69" s="205" t="str">
        <f>IF(CF69="","",(IF(OR($CP$78=0,$CP$78=""),0,       ((VLOOKUP(Compositions!G134,'HHV-LHV-MW'!$A$3:$F$40,6,FALSE))*(CP69/$CP$78)))))</f>
        <v/>
      </c>
      <c r="CR69" s="28" t="str">
        <f>IF(Compositions!K134="","",IF(Compositions!$K$118="mol%",Compositions!K134,CS69))</f>
        <v/>
      </c>
      <c r="CS69" s="28" t="str">
        <f t="shared" si="32"/>
        <v/>
      </c>
      <c r="CT69" s="28" t="str">
        <f>IF(Compositions!K134="","",(Compositions!K134/(VLOOKUP(Compositions!G134,'HHV-LHV-MW'!$A$3:$F$40,6,FALSE))))</f>
        <v/>
      </c>
      <c r="CU69" s="26" t="str">
        <f>IF(CR69="","",((VLOOKUP(Compositions!G134,'HHV-LHV-MW'!$A$3:$F$40,4,FALSE))*(CR69/100)))</f>
        <v/>
      </c>
      <c r="CV69" s="26" t="str">
        <f>IF(CR69="","",((VLOOKUP(Compositions!G134,'HHV-LHV-MW'!$A$3:$F$40,5,FALSE))*(CR69/100)))</f>
        <v/>
      </c>
      <c r="CW69" s="26" t="str">
        <f>IF(CR69="","",((VLOOKUP(Compositions!G134,'HHV-LHV-MW'!$A$3:$F$40,6,FALSE))*(CR69/100)))</f>
        <v/>
      </c>
      <c r="CX69" s="26" t="str">
        <f>IF(Compositions!K134="","",(Compositions!K134*(VLOOKUP(Compositions!G134,'HHV-LHV-MW'!$A$3:$F$40,6,FALSE))))</f>
        <v/>
      </c>
      <c r="CY69" s="296" t="str">
        <f>IF(Compositions!K134="","",IF(OR(Compositions!$K$118="wt%",Compositions!$K$118=""),Compositions!K134,(IF(CX69="","",((CX69/$CX$78)*100)))))</f>
        <v/>
      </c>
      <c r="CZ69" s="39" t="str">
        <f>IF(CY69="","",(IF(OR(Compositions!G134="Hydrogen",Compositions!G134="Helium",Compositions!G134="Water",Compositions!G134="Carbon Monoxide",Compositions!G134="Nitrogen",Compositions!G134="Oxygen",Compositions!G134="Hydrogen Sulfide",Compositions!G134="Argon",Compositions!G134="Carbon Dioxide",Compositions!G134="Carbon Disulfide"),0,CY69)))</f>
        <v/>
      </c>
      <c r="DA69" s="186" t="str">
        <f>IF(Compositions!K134="","",((CR69/100)*((VLOOKUP(Compositions!G134,'HHV-LHV-MW'!$A$3:$G$40,7,FALSE)))))</f>
        <v/>
      </c>
      <c r="DB69" s="186" t="str">
        <f>IF(CR69="","",(IF(OR(Compositions!G134="Hydrogen",Compositions!G134="Carbon Disulfide",Compositions!G134="Helium",Compositions!G134="Water",Compositions!G134="Carbon Monoxide",Compositions!G134="Nitrogen",Compositions!G134="Oxygen",Compositions!G134="Hydrogen Sulfide",Compositions!G134="Argon",Compositions!G134="Carbon Dioxide",Compositions!G134="Methane",Compositions!G134="Ethane"),0,(CR69/100))))</f>
        <v/>
      </c>
      <c r="DC69" s="39" t="str">
        <f>IF(CR69="","",(IF(OR($DB$78=0,$DB$78=""),0,       ((VLOOKUP(Compositions!G134,'HHV-LHV-MW'!$A$3:$F$40,6,FALSE))*(DB69/$DB$78)))))</f>
        <v/>
      </c>
      <c r="DE69" s="27" t="str">
        <f>IF(Compositions!N134="","",IF(Compositions!$N$118="mol%",Compositions!N134,DF69))</f>
        <v/>
      </c>
      <c r="DF69" s="27" t="str">
        <f t="shared" si="33"/>
        <v/>
      </c>
      <c r="DG69" s="27" t="str">
        <f>IF(Compositions!N134="","",(Compositions!N134/(VLOOKUP(Compositions!M134,'HHV-LHV-MW'!$A$3:$F$40,6,FALSE))))</f>
        <v/>
      </c>
      <c r="DH69" s="25" t="str">
        <f>IF(DE69="","",((VLOOKUP(Compositions!M134,'HHV-LHV-MW'!$A$3:$F$40,4,FALSE))*(DE69/100)))</f>
        <v/>
      </c>
      <c r="DI69" s="25" t="str">
        <f>IF(DE69="","",((VLOOKUP(Compositions!M134,'HHV-LHV-MW'!$A$3:$F$40,5,FALSE))*(DE69/100)))</f>
        <v/>
      </c>
      <c r="DJ69" s="25" t="str">
        <f>IF(DE69="","",((VLOOKUP(Compositions!M134,'HHV-LHV-MW'!$A$3:$F$40,6,FALSE))*(DE69/100)))</f>
        <v/>
      </c>
      <c r="DK69" s="25" t="str">
        <f>IF(Compositions!N134="","",(Compositions!N134*(VLOOKUP(Compositions!M134,'HHV-LHV-MW'!$A$3:$F$40,6,FALSE))))</f>
        <v/>
      </c>
      <c r="DL69" s="295" t="str">
        <f>IF(Compositions!N134="","",IF(OR(Compositions!$N$118="wt%",Compositions!$N$118=""),Compositions!N134,(IF(DK69="","",((DK69/$DK$78)*100)))))</f>
        <v/>
      </c>
      <c r="DM69" s="185" t="str">
        <f>IF(DL69="","",(IF(OR(Compositions!M134="Hydrogen",Compositions!M134="Helium",Compositions!M134="Water",Compositions!M134="Carbon Monoxide",Compositions!M134="Nitrogen",Compositions!M134="Oxygen",Compositions!M134="Hydrogen Sulfide",Compositions!M134="Argon",Compositions!M134="Carbon Dioxide",Compositions!M134="Carbon Disulfide"),0,DL69)))</f>
        <v/>
      </c>
      <c r="DN69" s="187" t="str">
        <f>IF(Compositions!N134="","",((DE69/100)*((VLOOKUP(Compositions!M134,'HHV-LHV-MW'!$A$3:$G$40,7,FALSE)))))</f>
        <v/>
      </c>
      <c r="DO69" s="187" t="str">
        <f>IF(DE69="","",(IF(OR(Compositions!M134="Hydrogen",Compositions!M134="Carbon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Dioxide",Compositions!M134="Methane",Compositions!M134="Ethane"),0,(DE69/100))))</f>
        <v/>
      </c>
      <c r="DP69" s="205" t="str">
        <f>IF(DE69="","",(IF(OR($DO$78=0,$DO$78=""),0,       ((VLOOKUP(Compositions!M134,'HHV-LHV-MW'!$A$3:$F$40,6,FALSE))*(DO69/$DO$78)))))</f>
        <v/>
      </c>
      <c r="DQ69" s="28" t="str">
        <f>IF(Compositions!O134="","",IF(Compositions!$O$118="mol%",Compositions!O134,DR69))</f>
        <v/>
      </c>
      <c r="DR69" s="28" t="str">
        <f t="shared" si="34"/>
        <v/>
      </c>
      <c r="DS69" s="28" t="str">
        <f>IF(Compositions!O134="","",(Compositions!O134/(VLOOKUP(Compositions!M134,'HHV-LHV-MW'!$A$3:$F$40,6,FALSE))))</f>
        <v/>
      </c>
      <c r="DT69" s="26" t="str">
        <f>IF(DQ69="","",((VLOOKUP(Compositions!M134,'HHV-LHV-MW'!$A$3:$F$40,4,FALSE))*(DQ69/100)))</f>
        <v/>
      </c>
      <c r="DU69" s="26" t="str">
        <f>IF(DQ69="","",((VLOOKUP(Compositions!M134,'HHV-LHV-MW'!$A$3:$F$40,5,FALSE))*(DQ69/100)))</f>
        <v/>
      </c>
      <c r="DV69" s="26" t="str">
        <f>IF(DQ69="","",((VLOOKUP(Compositions!M134,'HHV-LHV-MW'!$A$3:$F$40,6,FALSE))*(DQ69/100)))</f>
        <v/>
      </c>
      <c r="DW69" s="26" t="str">
        <f>IF(Compositions!O134="","",(Compositions!O134*(VLOOKUP(Compositions!M134,'HHV-LHV-MW'!$A$3:$F$40,6,FALSE))))</f>
        <v/>
      </c>
      <c r="DX69" s="296" t="str">
        <f>IF(Compositions!O134="","",IF(OR(Compositions!$O$118="wt%",Compositions!$O$118=""),Compositions!O134,(IF(DW69="","",((DW69/$DW$78)*100)))))</f>
        <v/>
      </c>
      <c r="DY69" s="39" t="str">
        <f>IF(DX69="","",(IF(OR(Compositions!M134="Hydrogen",Compositions!M134="Helium",Compositions!M134="Water",Compositions!M134="Carbon Monoxide",Compositions!M134="Nitrogen",Compositions!M134="Oxygen",Compositions!M134="Hydrogen Sulfide",Compositions!M134="Argon",Compositions!M134="Carbon Dioxide",Compositions!M134="Carbon Disulfide"),0,DX69)))</f>
        <v/>
      </c>
      <c r="DZ69" s="186" t="str">
        <f>IF(Compositions!O134="","",((DQ69/100)*((VLOOKUP(Compositions!M134,'HHV-LHV-MW'!$A$3:$G$40,7,FALSE)))))</f>
        <v/>
      </c>
      <c r="EA69" s="186" t="str">
        <f>IF(DQ69="","",(IF(OR(Compositions!M134="Hydrogen",Compositions!M134="Carbon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Dioxide",Compositions!M134="Methane",Compositions!M134="Ethane"),0,(DQ69/100))))</f>
        <v/>
      </c>
      <c r="EB69" s="39" t="str">
        <f>IF(DQ69="","",(IF(OR($EA$78=0,$EA$78=""),0,       ((VLOOKUP(Compositions!M134,'HHV-LHV-MW'!$A$3:$F$40,6,FALSE))*(EA69/$EA$78)))))</f>
        <v/>
      </c>
      <c r="EC69" s="27" t="str">
        <f>IF(Compositions!P134="","",IF(Compositions!$P$118="mol%",Compositions!P134,ED69))</f>
        <v/>
      </c>
      <c r="ED69" s="27" t="str">
        <f t="shared" si="35"/>
        <v/>
      </c>
      <c r="EE69" s="27" t="str">
        <f>IF(Compositions!P134="","",(Compositions!P134/(VLOOKUP(Compositions!M134,'HHV-LHV-MW'!$A$3:$F$40,6,FALSE))))</f>
        <v/>
      </c>
      <c r="EF69" s="25" t="str">
        <f>IF(EC69="","",((VLOOKUP(Compositions!M134,'HHV-LHV-MW'!$A$3:$F$40,4,FALSE))*(EC69/100)))</f>
        <v/>
      </c>
      <c r="EG69" s="25" t="str">
        <f>IF(EC69="","",((VLOOKUP(Compositions!M134,'HHV-LHV-MW'!$A$3:$F$40,5,FALSE))*(EC69/100)))</f>
        <v/>
      </c>
      <c r="EH69" s="25" t="str">
        <f>IF(EC69="","",((VLOOKUP(Compositions!M134,'HHV-LHV-MW'!$A$3:$F$40,6,FALSE))*(EC69/100)))</f>
        <v/>
      </c>
      <c r="EI69" s="25" t="str">
        <f>IF(Compositions!P134="","",(Compositions!P134*(VLOOKUP(Compositions!M134,'HHV-LHV-MW'!$A$3:$F$40,6,FALSE))))</f>
        <v/>
      </c>
      <c r="EJ69" s="295" t="str">
        <f>IF(Compositions!P134="","",IF(OR(Compositions!$P$118="wt%",Compositions!$P$118=""),Compositions!P134,(IF(EI69="","",((EI69/$EI$78)*100)))))</f>
        <v/>
      </c>
      <c r="EK69" s="185" t="str">
        <f>IF(EJ69="","",(IF(OR(Compositions!M134="Hydrogen",Compositions!M134="Helium",Compositions!M134="Water",Compositions!M134="Carbon Monoxide",Compositions!M134="Nitrogen",Compositions!M134="Oxygen",Compositions!M134="Hydrogen Sulfide",Compositions!M134="Argon",Compositions!M134="Carbon Dioxide",Compositions!M134="Carbon Disulfide"),0,EJ69)))</f>
        <v/>
      </c>
      <c r="EL69" s="187" t="str">
        <f>IF(Compositions!P134="","",((EC69/100)*((VLOOKUP(Compositions!M134,'HHV-LHV-MW'!$A$3:$G$40,7,FALSE)))))</f>
        <v/>
      </c>
      <c r="EM69" s="187" t="str">
        <f>IF(EC69="","",(IF(OR(Compositions!M134="Hydrogen",Compositions!M134="Carbon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Dioxide",Compositions!M134="Methane",Compositions!M134="Ethane"),0,(EC69/100))))</f>
        <v/>
      </c>
      <c r="EN69" s="205" t="str">
        <f>IF(EC69="","",(IF(OR($EM$78=0,$EM$78=""),0,       ((VLOOKUP(Compositions!M134,'HHV-LHV-MW'!$A$3:$F$40,6,FALSE))*(EM69/$EM$78)))))</f>
        <v/>
      </c>
      <c r="EO69" s="28" t="str">
        <f>IF(Compositions!Q134="","",IF(Compositions!$Q$118="mol%",Compositions!Q134,EP69))</f>
        <v/>
      </c>
      <c r="EP69" s="28" t="str">
        <f t="shared" si="36"/>
        <v/>
      </c>
      <c r="EQ69" s="28" t="str">
        <f>IF(Compositions!Q134="","",(Compositions!Q134/(VLOOKUP(Compositions!M134,'HHV-LHV-MW'!$A$3:$F$40,6,FALSE))))</f>
        <v/>
      </c>
      <c r="ER69" s="26" t="str">
        <f>IF(EO69="","",((VLOOKUP(Compositions!M134,'HHV-LHV-MW'!$A$3:$F$40,4,FALSE))*(EO69/100)))</f>
        <v/>
      </c>
      <c r="ES69" s="26" t="str">
        <f>IF(EO69="","",((VLOOKUP(Compositions!M134,'HHV-LHV-MW'!$A$3:$F$40,5,FALSE))*(EO69/100)))</f>
        <v/>
      </c>
      <c r="ET69" s="26" t="str">
        <f>IF(EO69="","",((VLOOKUP(Compositions!M134,'HHV-LHV-MW'!$A$3:$F$40,6,FALSE))*(EO69/100)))</f>
        <v/>
      </c>
      <c r="EU69" s="26" t="str">
        <f>IF(Compositions!Q134="","",(Compositions!Q134*(VLOOKUP(Compositions!M134,'HHV-LHV-MW'!$A$3:$F$40,6,FALSE))))</f>
        <v/>
      </c>
      <c r="EV69" s="296" t="str">
        <f>IF(Compositions!Q134="","",IF(OR(Compositions!$Q$118="wt%",Compositions!$Q$118=""),Compositions!Q134,(IF(EU69="","",((EU69/$EU$78)*100)))))</f>
        <v/>
      </c>
      <c r="EW69" s="39" t="str">
        <f>IF(EV69="","",(IF(OR(Compositions!M134="Hydrogen",Compositions!M134="Helium",Compositions!M134="Water",Compositions!M134="Carbon Monoxide",Compositions!M134="Nitrogen",Compositions!M134="Oxygen",Compositions!M134="Hydrogen Sulfide",Compositions!M134="Argon",Compositions!M134="Carbon Dioxide",Compositions!M134="Carbon Disulfide"),0,EV69)))</f>
        <v/>
      </c>
      <c r="EX69" s="186" t="str">
        <f>IF(Compositions!Q134="","",((EO69/100)*((VLOOKUP(Compositions!M134,'HHV-LHV-MW'!$A$3:$G$40,7,FALSE)))))</f>
        <v/>
      </c>
      <c r="EY69" s="186" t="str">
        <f>IF(EO69="","",(IF(OR(Compositions!M134="Hydrogen",Compositions!M134="Carbon Disulfide",Compositions!M134="Helium",Compositions!M134="Water",Compositions!M134="Carbon Monoxide",Compositions!M134="Nitrogen",Compositions!M134="Oxygen",Compositions!M134="Hydrogen Sulfide",Compositions!M134="Argon",Compositions!M134="Carbon Dioxide",Compositions!M134="Methane",Compositions!M134="Ethane"),0,(EO69/100))))</f>
        <v/>
      </c>
      <c r="EZ69" s="39" t="str">
        <f>IF(EO69="","",(IF(OR($EY$78=0,$EY$78=""),0,       ((VLOOKUP(Compositions!M134,'HHV-LHV-MW'!$A$3:$F$40,6,FALSE))*(EY69/$EY$78)))))</f>
        <v/>
      </c>
      <c r="FB69" s="27" t="str">
        <f>IF(Compositions!T134="","",IF(Compositions!$T$118="mol%",Compositions!T134,FC69))</f>
        <v/>
      </c>
      <c r="FC69" s="27" t="str">
        <f t="shared" si="37"/>
        <v/>
      </c>
      <c r="FD69" s="27" t="str">
        <f>IF(Compositions!T134="","",(Compositions!T134/(VLOOKUP(Compositions!S134,'HHV-LHV-MW'!$A$3:$F$40,6,FALSE))))</f>
        <v/>
      </c>
      <c r="FE69" s="25" t="str">
        <f>IF(FB69="","",((VLOOKUP(Compositions!S134,'HHV-LHV-MW'!$A$3:$F$40,4,FALSE))*(FB69/100)))</f>
        <v/>
      </c>
      <c r="FF69" s="25" t="str">
        <f>IF(FB69="","",((VLOOKUP(Compositions!S134,'HHV-LHV-MW'!$A$3:$F$40,5,FALSE))*(FB69/100)))</f>
        <v/>
      </c>
      <c r="FG69" s="25" t="str">
        <f>IF(FB69="","",((VLOOKUP(Compositions!S134,'HHV-LHV-MW'!$A$3:$F$40,6,FALSE))*(FB69/100)))</f>
        <v/>
      </c>
      <c r="FH69" s="25" t="str">
        <f>IF(Compositions!T134="","",(Compositions!T134*(VLOOKUP(Compositions!S134,'HHV-LHV-MW'!$A$3:$F$40,6,FALSE))))</f>
        <v/>
      </c>
      <c r="FI69" s="295" t="str">
        <f>IF(Compositions!T134="","",IF(OR(Compositions!$T$118="wt%",Compositions!$T$118=""),Compositions!T134,(IF(FH69="","",((FH69/$FH$78)*100)))))</f>
        <v/>
      </c>
      <c r="FJ69" s="185" t="str">
        <f>IF(FI69="","",(IF(OR(Compositions!S134="Hydrogen",Compositions!S134="Helium",Compositions!S134="Water",Compositions!S134="Carbon Monoxide",Compositions!S134="Nitrogen",Compositions!S134="Oxygen",Compositions!S134="Hydrogen Sulfide",Compositions!S134="Argon",Compositions!S134="Carbon Dioxide",Compositions!S134="Carbon Disulfide"),0,FI69)))</f>
        <v/>
      </c>
      <c r="FK69" s="187" t="str">
        <f>IF(Compositions!T134="","",((FB69/100)*((VLOOKUP(Compositions!S134,'HHV-LHV-MW'!$A$3:$G$40,7,FALSE)))))</f>
        <v/>
      </c>
      <c r="FL69" s="187" t="str">
        <f>IF(FB69="","",(IF(OR(Compositions!S134="Hydrogen",Compositions!S134="Carbon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Dioxide",Compositions!S134="Methane",Compositions!S134="Ethane"),0,(FB69/100))))</f>
        <v/>
      </c>
      <c r="FM69" s="205" t="str">
        <f>IF(FB69="","",(IF(OR($FL$78=0,$FL$78=""),0,       ((VLOOKUP(Compositions!S134,'HHV-LHV-MW'!$A$3:$F$40,6,FALSE))*(FL69/$FL$78)))))</f>
        <v/>
      </c>
      <c r="FN69" s="28" t="str">
        <f>IF(Compositions!U134="","",IF(Compositions!$U$118="mol%",Compositions!U134,FO69))</f>
        <v/>
      </c>
      <c r="FO69" s="28" t="str">
        <f t="shared" si="38"/>
        <v/>
      </c>
      <c r="FP69" s="28" t="str">
        <f>IF(Compositions!U134="","",(Compositions!U134/(VLOOKUP(Compositions!S134,'HHV-LHV-MW'!$A$3:$F$40,6,FALSE))))</f>
        <v/>
      </c>
      <c r="FQ69" s="26" t="str">
        <f>IF(FN69="","",((VLOOKUP(Compositions!S134,'HHV-LHV-MW'!$A$3:$F$40,4,FALSE))*(FN69/100)))</f>
        <v/>
      </c>
      <c r="FR69" s="26" t="str">
        <f>IF(FN69="","",((VLOOKUP(Compositions!S134,'HHV-LHV-MW'!$A$3:$F$40,5,FALSE))*(FN69/100)))</f>
        <v/>
      </c>
      <c r="FS69" s="26" t="str">
        <f>IF(FN69="","",((VLOOKUP(Compositions!S134,'HHV-LHV-MW'!$A$3:$F$40,6,FALSE))*(FN69/100)))</f>
        <v/>
      </c>
      <c r="FT69" s="26" t="str">
        <f>IF(Compositions!U134="","",(Compositions!U134*(VLOOKUP(Compositions!S134,'HHV-LHV-MW'!$A$3:$F$40,6,FALSE))))</f>
        <v/>
      </c>
      <c r="FU69" s="296" t="str">
        <f>IF(Compositions!U134="","",IF(OR(Compositions!$U$118="wt%",Compositions!$U$118=""),Compositions!U134,(IF(FT69="","",((FT69/$FT$78)*100)))))</f>
        <v/>
      </c>
      <c r="FV69" s="39" t="str">
        <f>IF(FU69="","",(IF(OR(Compositions!S134="Hydrogen",Compositions!S134="Helium",Compositions!S134="Water",Compositions!S134="Carbon Monoxide",Compositions!S134="Nitrogen",Compositions!S134="Oxygen",Compositions!S134="Hydrogen Sulfide",Compositions!S134="Argon",Compositions!S134="Carbon Dioxide",Compositions!S134="Carbon Disulfide"),0,FU69)))</f>
        <v/>
      </c>
      <c r="FW69" s="186" t="str">
        <f>IF(Compositions!U134="","",((FN69/100)*((VLOOKUP(Compositions!S134,'HHV-LHV-MW'!$A$3:$G$40,7,FALSE)))))</f>
        <v/>
      </c>
      <c r="FX69" s="186" t="str">
        <f>IF(FN69="","",(IF(OR(Compositions!S134="Hydrogen",Compositions!S134="Carbon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Dioxide",Compositions!S134="Methane",Compositions!S134="Ethane"),0,(FN69/100))))</f>
        <v/>
      </c>
      <c r="FY69" s="39" t="str">
        <f>IF(FN69="","",(IF(OR($FX$78=0,$FX$78=""),0,       ((VLOOKUP(Compositions!S134,'HHV-LHV-MW'!$A$3:$F$40,6,FALSE))*(FX69/$FX$78)))))</f>
        <v/>
      </c>
      <c r="FZ69" s="27" t="str">
        <f>IF(Compositions!V134="","",IF(Compositions!$V$118="mol%",Compositions!V134,GA69))</f>
        <v/>
      </c>
      <c r="GA69" s="27" t="str">
        <f t="shared" si="39"/>
        <v/>
      </c>
      <c r="GB69" s="27" t="str">
        <f>IF(Compositions!V134="","",(Compositions!V134/(VLOOKUP(Compositions!S134,'HHV-LHV-MW'!$A$3:$F$40,6,FALSE))))</f>
        <v/>
      </c>
      <c r="GC69" s="25" t="str">
        <f>IF(FZ69="","",((VLOOKUP(Compositions!S134,'HHV-LHV-MW'!$A$3:$F$40,4,FALSE))*(FZ69/100)))</f>
        <v/>
      </c>
      <c r="GD69" s="25" t="str">
        <f>IF(FZ69="","",((VLOOKUP(Compositions!S134,'HHV-LHV-MW'!$A$3:$F$40,5,FALSE))*(FZ69/100)))</f>
        <v/>
      </c>
      <c r="GE69" s="25" t="str">
        <f>IF(FZ69="","",((VLOOKUP(Compositions!S134,'HHV-LHV-MW'!$A$3:$F$40,6,FALSE))*(FZ69/100)))</f>
        <v/>
      </c>
      <c r="GF69" s="25" t="str">
        <f>IF(Compositions!V134="","",(Compositions!V134*(VLOOKUP(Compositions!S134,'HHV-LHV-MW'!$A$3:$F$40,6,FALSE))))</f>
        <v/>
      </c>
      <c r="GG69" s="295" t="str">
        <f>IF(Compositions!V134="","",IF(OR(Compositions!$V$118="wt%",Compositions!$V$118=""),Compositions!V134,(IF(GF69="","",((GF69/$GF$78)*100)))))</f>
        <v/>
      </c>
      <c r="GH69" s="185" t="str">
        <f>IF(GG69="","",(IF(OR(Compositions!S134="Hydrogen",Compositions!S134="Helium",Compositions!S134="Water",Compositions!S134="Carbon Monoxide",Compositions!S134="Nitrogen",Compositions!S134="Oxygen",Compositions!S134="Hydrogen Sulfide",Compositions!S134="Argon",Compositions!S134="Carbon Dioxide",Compositions!S134="Carbon Disulfide"),0,GG69)))</f>
        <v/>
      </c>
      <c r="GI69" s="187" t="str">
        <f>IF(Compositions!V134="","",((FZ69/100)*((VLOOKUP(Compositions!S134,'HHV-LHV-MW'!$A$3:$G$40,7,FALSE)))))</f>
        <v/>
      </c>
      <c r="GJ69" s="187" t="str">
        <f>IF(FZ69="","",(IF(OR(Compositions!S134="Hydrogen",Compositions!S134="Carbon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Dioxide",Compositions!S134="Methane",Compositions!S134="Ethane"),0,(FZ69/100))))</f>
        <v/>
      </c>
      <c r="GK69" s="205" t="str">
        <f>IF(FZ69="","",(IF(OR($GJ$78=0,$GJ$78=""),0,       ((VLOOKUP(Compositions!S134,'HHV-LHV-MW'!$A$3:$F$40,6,FALSE))*(GJ69/$GJ$78)))))</f>
        <v/>
      </c>
      <c r="GL69" s="28" t="str">
        <f>IF(Compositions!W134="","",IF(Compositions!$W$118="mol%",Compositions!W134,GM69))</f>
        <v/>
      </c>
      <c r="GM69" s="28" t="str">
        <f t="shared" si="40"/>
        <v/>
      </c>
      <c r="GN69" s="28" t="str">
        <f>IF(Compositions!W134="","",(Compositions!W134/(VLOOKUP(Compositions!S134,'HHV-LHV-MW'!$A$3:$F$40,6,FALSE))))</f>
        <v/>
      </c>
      <c r="GO69" s="26" t="str">
        <f>IF(GL69="","",((VLOOKUP(Compositions!S134,'HHV-LHV-MW'!$A$3:$F$40,4,FALSE))*(GL69/100)))</f>
        <v/>
      </c>
      <c r="GP69" s="26" t="str">
        <f>IF(GL69="","",((VLOOKUP(Compositions!S134,'HHV-LHV-MW'!$A$3:$F$40,5,FALSE))*(GL69/100)))</f>
        <v/>
      </c>
      <c r="GQ69" s="26" t="str">
        <f>IF(GL69="","",((VLOOKUP(Compositions!S134,'HHV-LHV-MW'!$A$3:$F$40,6,FALSE))*(GL69/100)))</f>
        <v/>
      </c>
      <c r="GR69" s="26" t="str">
        <f>IF(Compositions!W134="","",(Compositions!W134*(VLOOKUP(Compositions!S134,'HHV-LHV-MW'!$A$3:$F$40,6,FALSE))))</f>
        <v/>
      </c>
      <c r="GS69" s="296" t="str">
        <f>IF(Compositions!W134="","",IF(OR(Compositions!$W$118="wt%",Compositions!$W$118=""),Compositions!W134,(IF(GR69="","",((GR69/$GR$78)*100)))))</f>
        <v/>
      </c>
      <c r="GT69" s="39" t="str">
        <f>IF(GS69="","",(IF(OR(Compositions!S134="Hydrogen",Compositions!S134="Helium",Compositions!S134="Water",Compositions!S134="Carbon Monoxide",Compositions!S134="Nitrogen",Compositions!S134="Oxygen",Compositions!S134="Hydrogen Sulfide",Compositions!S134="Argon",Compositions!S134="Carbon Dioxide",Compositions!S134="Carbon Disulfide"),0,GS69)))</f>
        <v/>
      </c>
      <c r="GU69" s="186" t="str">
        <f>IF(Compositions!W134="","",((GL69/100)*((VLOOKUP(Compositions!S134,'HHV-LHV-MW'!$A$3:$G$40,7,FALSE)))))</f>
        <v/>
      </c>
      <c r="GV69" s="186" t="str">
        <f>IF(GL69="","",(IF(OR(Compositions!S134="Hydrogen",Compositions!S134="Carbon Disulfide",Compositions!S134="Helium",Compositions!S134="Water",Compositions!S134="Carbon Monoxide",Compositions!S134="Nitrogen",Compositions!S134="Oxygen",Compositions!S134="Hydrogen Sulfide",Compositions!S134="Argon",Compositions!S134="Carbon Dioxide",Compositions!S134="Methane",Compositions!S134="Ethane"),0,(GL69/100))))</f>
        <v/>
      </c>
      <c r="GW69" s="39" t="str">
        <f>IF(GL69="","",(IF(OR($GV$78=0,$GV$78=""),0,       ((VLOOKUP(Compositions!S134,'HHV-LHV-MW'!$A$3:$F$40,6,FALSE))*(GV69/$GV$78)))))</f>
        <v/>
      </c>
      <c r="GY69" s="27" t="str">
        <f>IF(Compositions!Z134="","",IF(Compositions!$Z$118="mol%",Compositions!Z134,GZ69))</f>
        <v/>
      </c>
      <c r="GZ69" s="27" t="str">
        <f t="shared" si="41"/>
        <v/>
      </c>
      <c r="HA69" s="27" t="str">
        <f>IF(Compositions!Z134="","",(Compositions!Z134/(VLOOKUP(Compositions!Y134,'HHV-LHV-MW'!$A$3:$F$40,6,FALSE))))</f>
        <v/>
      </c>
      <c r="HB69" s="25" t="str">
        <f>IF(GY69="","",((VLOOKUP(Compositions!Y134,'HHV-LHV-MW'!$A$3:$F$40,4,FALSE))*(GY69/100)))</f>
        <v/>
      </c>
      <c r="HC69" s="25" t="str">
        <f>IF(GY69="","",((VLOOKUP(Compositions!Y134,'HHV-LHV-MW'!$A$3:$F$40,5,FALSE))*(GY69/100)))</f>
        <v/>
      </c>
      <c r="HD69" s="25" t="str">
        <f>IF(GY69="","",((VLOOKUP(Compositions!Y134,'HHV-LHV-MW'!$A$3:$F$40,6,FALSE))*(GY69/100)))</f>
        <v/>
      </c>
      <c r="HE69" s="25" t="str">
        <f>IF(Compositions!Z134="","",(Compositions!Z134*(VLOOKUP(Compositions!Y134,'HHV-LHV-MW'!$A$3:$F$40,6,FALSE))))</f>
        <v/>
      </c>
      <c r="HF69" s="295" t="str">
        <f>IF(Compositions!Z134="","",IF(OR(Compositions!$Z$118="wt%",Compositions!$Z$118=""),Compositions!Z134,(IF(HE69="","",((HE69/$HE$78)*100)))))</f>
        <v/>
      </c>
      <c r="HG69" s="185" t="str">
        <f>IF(HF69="","",(IF(OR(Compositions!Y134="Hydrogen",Compositions!Y134="Helium",Compositions!Y134="Water",Compositions!Y134="Carbon Monoxide",Compositions!Y134="Nitrogen",Compositions!Y134="Oxygen",Compositions!Y134="Hydrogen Sulfide",Compositions!Y134="Argon",Compositions!Y134="Carbon Dioxide",Compositions!Y134="Carbon Disulfide"),0,HF69)))</f>
        <v/>
      </c>
      <c r="HH69" s="187" t="str">
        <f>IF(Compositions!Z134="","",((GY69/100)*((VLOOKUP(Compositions!Y134,'HHV-LHV-MW'!$A$3:$G$40,7,FALSE)))))</f>
        <v/>
      </c>
      <c r="HI69" s="187" t="str">
        <f>IF(GY69="","",(IF(OR(Compositions!Y134="Hydrogen",Compositions!Y134="Carbon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Dioxide",Compositions!Y134="Methane",Compositions!Y134="Ethane"),0,(GY69/100))))</f>
        <v/>
      </c>
      <c r="HJ69" s="205" t="str">
        <f>IF(GY69="","",(IF(OR($HI$78=0,$HI$78=""),0,       ((VLOOKUP(Compositions!Y134,'HHV-LHV-MW'!$A$3:$F$40,6,FALSE))*(HI69/$HI$78)))))</f>
        <v/>
      </c>
      <c r="HK69" s="28" t="str">
        <f>IF(Compositions!AA134="","",IF(Compositions!$AA$118="mol%",Compositions!AA134,HL69))</f>
        <v/>
      </c>
      <c r="HL69" s="28" t="str">
        <f t="shared" si="42"/>
        <v/>
      </c>
      <c r="HM69" s="28" t="str">
        <f>IF(Compositions!AA134="","",(Compositions!AA134/(VLOOKUP(Compositions!Y134,'HHV-LHV-MW'!$A$3:$F$40,6,FALSE))))</f>
        <v/>
      </c>
      <c r="HN69" s="26" t="str">
        <f>IF(HK69="","",((VLOOKUP(Compositions!Y134,'HHV-LHV-MW'!$A$3:$F$40,4,FALSE))*(HK69/100)))</f>
        <v/>
      </c>
      <c r="HO69" s="26" t="str">
        <f>IF(HK69="","",((VLOOKUP(Compositions!Y134,'HHV-LHV-MW'!$A$3:$F$40,5,FALSE))*(HK69/100)))</f>
        <v/>
      </c>
      <c r="HP69" s="26" t="str">
        <f>IF(HK69="","",((VLOOKUP(Compositions!Y134,'HHV-LHV-MW'!$A$3:$F$40,6,FALSE))*(HK69/100)))</f>
        <v/>
      </c>
      <c r="HQ69" s="26" t="str">
        <f>IF(Compositions!AA134="","",(Compositions!AA134*(VLOOKUP(Compositions!Y134,'HHV-LHV-MW'!$A$3:$F$40,6,FALSE))))</f>
        <v/>
      </c>
      <c r="HR69" s="296" t="str">
        <f>IF(Compositions!AA134="","",IF(OR(Compositions!$AA$118="wt%",Compositions!$AA$118=""),Compositions!AA134,(IF(HQ69="","",((HQ69/$HQ$78)*100)))))</f>
        <v/>
      </c>
      <c r="HS69" s="39" t="str">
        <f>IF(HR69="","",(IF(OR(Compositions!Y134="Hydrogen",Compositions!Y134="Helium",Compositions!Y134="Water",Compositions!Y134="Carbon Monoxide",Compositions!Y134="Nitrogen",Compositions!Y134="Oxygen",Compositions!Y134="Hydrogen Sulfide",Compositions!Y134="Argon",Compositions!Y134="Carbon Dioxide",Compositions!Y134="Carbon Disulfide"),0,HR69)))</f>
        <v/>
      </c>
      <c r="HT69" s="186" t="str">
        <f>IF(Compositions!AA134="","",((HK69/100)*((VLOOKUP(Compositions!Y134,'HHV-LHV-MW'!$A$3:$G$40,7,FALSE)))))</f>
        <v/>
      </c>
      <c r="HU69" s="186" t="str">
        <f>IF(HK69="","",(IF(OR(Compositions!Y134="Hydrogen",Compositions!Y134="Carbon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Dioxide",Compositions!Y134="Methane",Compositions!Y134="Ethane"),0,(HK69/100))))</f>
        <v/>
      </c>
      <c r="HV69" s="39" t="str">
        <f>IF(HK69="","",(IF(OR($HU$78=0,$HU$78=""),0,       ((VLOOKUP(Compositions!Y134,'HHV-LHV-MW'!$A$3:$F$40,6,FALSE))*(HU69/$HU$78)))))</f>
        <v/>
      </c>
      <c r="HW69" s="27" t="str">
        <f>IF(Compositions!AB134="","",IF(Compositions!$AB$118="mol%",Compositions!AB134,HX69))</f>
        <v/>
      </c>
      <c r="HX69" s="27" t="str">
        <f t="shared" si="43"/>
        <v/>
      </c>
      <c r="HY69" s="27" t="str">
        <f>IF(Compositions!AB134="","",(Compositions!AB134/(VLOOKUP(Compositions!Y134,'HHV-LHV-MW'!$A$3:$F$40,6,FALSE))))</f>
        <v/>
      </c>
      <c r="HZ69" s="25" t="str">
        <f>IF(HW69="","",((VLOOKUP(Compositions!Y134,'HHV-LHV-MW'!$A$3:$F$40,4,FALSE))*(HW69/100)))</f>
        <v/>
      </c>
      <c r="IA69" s="25" t="str">
        <f>IF(HW69="","",((VLOOKUP(Compositions!Y134,'HHV-LHV-MW'!$A$3:$F$40,5,FALSE))*(HW69/100)))</f>
        <v/>
      </c>
      <c r="IB69" s="25" t="str">
        <f>IF(HW69="","",((VLOOKUP(Compositions!Y134,'HHV-LHV-MW'!$A$3:$F$40,6,FALSE))*(HW69/100)))</f>
        <v/>
      </c>
      <c r="IC69" s="25" t="str">
        <f>IF(Compositions!AB134="","",(Compositions!AB134*(VLOOKUP(Compositions!Y134,'HHV-LHV-MW'!$A$3:$F$40,6,FALSE))))</f>
        <v/>
      </c>
      <c r="ID69" s="295" t="str">
        <f>IF(Compositions!AB134="","",IF(OR(Compositions!$AB$118="wt%",Compositions!$AB$118=""),Compositions!AB134,(IF(IC69="","",((IC69/$IC$78)*100)))))</f>
        <v/>
      </c>
      <c r="IE69" s="185" t="str">
        <f>IF(ID69="","",(IF(OR(Compositions!Y134="Hydrogen",Compositions!Y134="Helium",Compositions!Y134="Water",Compositions!Y134="Carbon Monoxide",Compositions!Y134="Nitrogen",Compositions!Y134="Oxygen",Compositions!Y134="Hydrogen Sulfide",Compositions!Y134="Argon",Compositions!Y134="Carbon Dioxide",Compositions!Y134="Carbon Disulfide"),0,ID69)))</f>
        <v/>
      </c>
      <c r="IF69" s="187" t="str">
        <f>IF(Compositions!AB134="","",((HW69/100)*((VLOOKUP(Compositions!Y134,'HHV-LHV-MW'!$A$3:$G$40,7,FALSE)))))</f>
        <v/>
      </c>
      <c r="IG69" s="187" t="str">
        <f>IF(HW69="","",(IF(OR(Compositions!Y134="Hydrogen",Compositions!Y134="Carbon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Dioxide",Compositions!Y134="Methane",Compositions!Y134="Ethane"),0,(HW69/100))))</f>
        <v/>
      </c>
      <c r="IH69" s="205" t="str">
        <f>IF(HW69="","",(IF(OR($IG$78=0,$IG$78=""),0,       ((VLOOKUP(Compositions!Y134,'HHV-LHV-MW'!$A$3:$F$40,6,FALSE))*(IG69/$IG$78)))))</f>
        <v/>
      </c>
      <c r="II69" s="28" t="str">
        <f>IF(Compositions!AC134="","",IF(Compositions!$AC$118="mol%",Compositions!AC134,IJ69))</f>
        <v/>
      </c>
      <c r="IJ69" s="28" t="str">
        <f t="shared" si="44"/>
        <v/>
      </c>
      <c r="IK69" s="28" t="str">
        <f>IF(Compositions!AC134="","",(Compositions!AC134/(VLOOKUP(Compositions!Y134,'HHV-LHV-MW'!$A$3:$F$40,6,FALSE))))</f>
        <v/>
      </c>
      <c r="IL69" s="26" t="str">
        <f>IF(II69="","",((VLOOKUP(Compositions!Y134,'HHV-LHV-MW'!$A$3:$F$40,4,FALSE))*(II69/100)))</f>
        <v/>
      </c>
      <c r="IM69" s="26" t="str">
        <f>IF(II69="","",((VLOOKUP(Compositions!Y134,'HHV-LHV-MW'!$A$3:$F$40,5,FALSE))*(II69/100)))</f>
        <v/>
      </c>
      <c r="IN69" s="26" t="str">
        <f>IF(II69="","",((VLOOKUP(Compositions!Y134,'HHV-LHV-MW'!$A$3:$F$40,6,FALSE))*(II69/100)))</f>
        <v/>
      </c>
      <c r="IO69" s="26" t="str">
        <f>IF(Compositions!AC134="","",(Compositions!AC134*(VLOOKUP(Compositions!Y134,'HHV-LHV-MW'!$A$3:$F$40,6,FALSE))))</f>
        <v/>
      </c>
      <c r="IP69" s="296" t="str">
        <f>IF(Compositions!AC134="","",IF(OR(Compositions!$AC$118="wt%",Compositions!$AC$118=""),Compositions!AC134,(IF(IO69="","",((IO69/$IO$78)*100)))))</f>
        <v/>
      </c>
      <c r="IQ69" s="39" t="str">
        <f>IF(IP69="","",(IF(OR(Compositions!Y134="Hydrogen",Compositions!Y134="Helium",Compositions!Y134="Water",Compositions!Y134="Carbon Monoxide",Compositions!Y134="Nitrogen",Compositions!Y134="Oxygen",Compositions!Y134="Hydrogen Sulfide",Compositions!Y134="Argon",Compositions!Y134="Carbon Dioxide",Compositions!Y134="Carbon Disulfide"),0,IP69)))</f>
        <v/>
      </c>
      <c r="IR69" s="186" t="str">
        <f>IF(Compositions!AC134="","",((II69/100)*((VLOOKUP(Compositions!Y134,'HHV-LHV-MW'!$A$3:$G$40,7,FALSE)))))</f>
        <v/>
      </c>
      <c r="IS69" s="186" t="str">
        <f>IF(II69="","",(IF(OR(Compositions!Y134="Hydrogen",Compositions!Y134="Carbon Disulfide",Compositions!Y134="Helium",Compositions!Y134="Water",Compositions!Y134="Carbon Monoxide",Compositions!Y134="Nitrogen",Compositions!Y134="Oxygen",Compositions!Y134="Hydrogen Sulfide",Compositions!Y134="Argon",Compositions!Y134="Carbon Dioxide",Compositions!Y134="Methane",Compositions!Y134="Ethane"),0,(II69/100))))</f>
        <v/>
      </c>
      <c r="IT69" s="39" t="str">
        <f>IF(II69="","",(IF(OR($IS$78=0,$IS$78=""),0,      ((VLOOKUP(Compositions!Y134,'HHV-LHV-MW'!$A$3:$F$40,6,FALSE))*(IS69/$IS$78)))))</f>
        <v/>
      </c>
      <c r="IV69" s="27" t="str">
        <f>IF(Compositions!AF134="","",IF(Compositions!$AF$118="mol%",Compositions!AF134,IW69))</f>
        <v/>
      </c>
      <c r="IW69" s="27" t="str">
        <f t="shared" si="45"/>
        <v/>
      </c>
      <c r="IX69" s="27" t="str">
        <f>IF(Compositions!AF134="","",(Compositions!AF134/(VLOOKUP(Compositions!AE134,'HHV-LHV-MW'!$A$3:$F$40,6,FALSE))))</f>
        <v/>
      </c>
      <c r="IY69" s="25" t="str">
        <f>IF(IV69="","",((VLOOKUP(Compositions!AE134,'HHV-LHV-MW'!$A$3:$F$40,4,FALSE))*(IV69/100)))</f>
        <v/>
      </c>
      <c r="IZ69" s="25" t="str">
        <f>IF(IV69="","",((VLOOKUP(Compositions!AE134,'HHV-LHV-MW'!$A$3:$F$40,5,FALSE))*(IV69/100)))</f>
        <v/>
      </c>
      <c r="JA69" s="25" t="str">
        <f>IF(IV69="","",((VLOOKUP(Compositions!AE134,'HHV-LHV-MW'!$A$3:$F$40,6,FALSE))*(IV69/100)))</f>
        <v/>
      </c>
      <c r="JB69" s="25" t="str">
        <f>IF(Compositions!AF134="","",(Compositions!AF134*(VLOOKUP(Compositions!AE134,'HHV-LHV-MW'!$A$3:$F$40,6,FALSE))))</f>
        <v/>
      </c>
      <c r="JC69" s="298" t="str">
        <f>IF(Compositions!AF134="","",IF(OR(Compositions!$AF$118="wt%",Compositions!$AF$118=""),Compositions!AF134,(IF(JB69="","",((JB69/$JB$78)*100)))))</f>
        <v/>
      </c>
      <c r="JD69" s="185" t="str">
        <f>IF(JC69="","",(IF(OR(Compositions!AE134="Hydrogen",Compositions!AE134="Helium",Compositions!AE134="Water",Compositions!AE134="Carbon Monoxide",Compositions!AE134="Nitrogen",Compositions!AE134="Oxygen",Compositions!AE134="Hydrogen Sulfide",Compositions!AE134="Argon",Compositions!AE134="Carbon Dioxide",Compositions!AE134="Carbon Disulfide"),0,JC69)))</f>
        <v/>
      </c>
      <c r="JE69" s="187" t="str">
        <f>IF(Compositions!AF134="","",((IV69/100)*((VLOOKUP(Compositions!AE134,'HHV-LHV-MW'!$A$3:$G$40,7,FALSE)))))</f>
        <v/>
      </c>
      <c r="JF69" s="187" t="str">
        <f>IF(IV69="","",(IF(OR(Compositions!AE134="Hydrogen",Compositions!AE134="Carbon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Dioxide",Compositions!AE134="Methane",Compositions!AE134="Ethane"),0,(IV69/100))))</f>
        <v/>
      </c>
      <c r="JG69" s="205" t="str">
        <f>IF(IV69="","",(IF(OR($JF$78=0,$JF$78=""),0,      ((VLOOKUP(Compositions!AE134,'HHV-LHV-MW'!$A$3:$F$40,6,FALSE))*(JF69/$JF$78)))))</f>
        <v/>
      </c>
      <c r="JH69" s="28" t="str">
        <f>IF(Compositions!AG134="","",IF(Compositions!$AG$118="mol%",Compositions!AG134,JI69))</f>
        <v/>
      </c>
      <c r="JI69" s="28" t="str">
        <f t="shared" si="46"/>
        <v/>
      </c>
      <c r="JJ69" s="28" t="str">
        <f>IF(Compositions!AG134="","",(Compositions!AG134/(VLOOKUP(Compositions!AE134,'HHV-LHV-MW'!$A$3:$F$40,6,FALSE))))</f>
        <v/>
      </c>
      <c r="JK69" s="26" t="str">
        <f>IF(JH69="","",((VLOOKUP(Compositions!AE134,'HHV-LHV-MW'!$A$3:$F$40,4,FALSE))*(JH69/100)))</f>
        <v/>
      </c>
      <c r="JL69" s="26" t="str">
        <f>IF(JH69="","",((VLOOKUP(Compositions!AE134,'HHV-LHV-MW'!$A$3:$F$40,5,FALSE))*(JH69/100)))</f>
        <v/>
      </c>
      <c r="JM69" s="26" t="str">
        <f>IF(JH69="","",((VLOOKUP(Compositions!AE134,'HHV-LHV-MW'!$A$3:$F$40,6,FALSE))*(JH69/100)))</f>
        <v/>
      </c>
      <c r="JN69" s="26" t="str">
        <f>IF(Compositions!AG134="","",(Compositions!AG134*(VLOOKUP(Compositions!AE134,'HHV-LHV-MW'!$A$3:$F$40,6,FALSE))))</f>
        <v/>
      </c>
      <c r="JO69" s="297" t="str">
        <f>IF(Compositions!AG134="","",IF(OR(Compositions!$AG$118="wt%",Compositions!$AG$118=""),Compositions!AG134,(IF(JN69="","",((JN69/$JN$78)*100)))))</f>
        <v/>
      </c>
      <c r="JP69" s="39" t="str">
        <f>IF(JO69="","",(IF(OR(Compositions!AE134="Hydrogen",Compositions!AE134="Helium",Compositions!AE134="Water",Compositions!AE134="Carbon Monoxide",Compositions!AE134="Nitrogen",Compositions!AE134="Oxygen",Compositions!AE134="Hydrogen Sulfide",Compositions!AE134="Argon",Compositions!AE134="Carbon Dioxide",Compositions!AE134="Carbon Disulfide"),0,JO69)))</f>
        <v/>
      </c>
      <c r="JQ69" s="186" t="str">
        <f>IF(Compositions!AG134="","",((JH69/100)*((VLOOKUP(Compositions!AE134,'HHV-LHV-MW'!$A$3:$G$40,7,FALSE)))))</f>
        <v/>
      </c>
      <c r="JR69" s="186" t="str">
        <f>IF(JH69="","",(IF(OR(Compositions!AE134="Hydrogen",Compositions!AE134="Carbon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Dioxide",Compositions!AE134="Methane",Compositions!AE134="Ethane"),0,(JH69/100))))</f>
        <v/>
      </c>
      <c r="JS69" s="39" t="str">
        <f>IF(JH69="","",(IF(OR($JR$78=0,$JR$78=""),0,      ((VLOOKUP(Compositions!AE134,'HHV-LHV-MW'!$A$3:$F$40,6,FALSE))*(JR69/$JR$78)))))</f>
        <v/>
      </c>
      <c r="JT69" s="27" t="str">
        <f>IF(Compositions!AH134="","",IF(Compositions!$AH$118="mol%",Compositions!AH134,JU69))</f>
        <v/>
      </c>
      <c r="JU69" s="27" t="str">
        <f t="shared" si="47"/>
        <v/>
      </c>
      <c r="JV69" s="27" t="str">
        <f>IF(Compositions!AH134="","",(Compositions!AH134/(VLOOKUP(Compositions!AE134,'HHV-LHV-MW'!$A$3:$F$40,6,FALSE))))</f>
        <v/>
      </c>
      <c r="JW69" s="25" t="str">
        <f>IF(JT69="","",((VLOOKUP(Compositions!AE134,'HHV-LHV-MW'!$A$3:$F$40,4,FALSE))*(JT69/100)))</f>
        <v/>
      </c>
      <c r="JX69" s="25" t="str">
        <f>IF(JT69="","",((VLOOKUP(Compositions!AE134,'HHV-LHV-MW'!$A$3:$F$40,5,FALSE))*(JT69/100)))</f>
        <v/>
      </c>
      <c r="JY69" s="25" t="str">
        <f>IF(JT69="","",((VLOOKUP(Compositions!AE134,'HHV-LHV-MW'!$A$3:$F$40,6,FALSE))*(JT69/100)))</f>
        <v/>
      </c>
      <c r="JZ69" s="25" t="str">
        <f>IF(Compositions!AH134="","",(Compositions!AH134*(VLOOKUP(Compositions!AE134,'HHV-LHV-MW'!$A$3:$F$40,6,FALSE))))</f>
        <v/>
      </c>
      <c r="KA69" s="298" t="str">
        <f>IF(Compositions!AH134="","",IF(OR(Compositions!$AH$118="wt%",Compositions!$AH$118=""),Compositions!AH134,(IF(JZ69="","",((JZ69/$JZ$78)*100)))))</f>
        <v/>
      </c>
      <c r="KB69" s="185" t="str">
        <f>IF(KA69="","",(IF(OR(Compositions!AE134="Hydrogen",Compositions!AE134="Helium",Compositions!AE134="Water",Compositions!AE134="Carbon Monoxide",Compositions!AE134="Nitrogen",Compositions!AE134="Oxygen",Compositions!AE134="Hydrogen Sulfide",Compositions!AE134="Argon",Compositions!AE134="Carbon Dioxide",Compositions!AE134="Carbon Disulfide"),0,KA69)))</f>
        <v/>
      </c>
      <c r="KC69" s="187" t="str">
        <f>IF(Compositions!AH134="","",((JT69/100)*((VLOOKUP(Compositions!AE134,'HHV-LHV-MW'!$A$3:$G$40,7,FALSE)))))</f>
        <v/>
      </c>
      <c r="KD69" s="187" t="str">
        <f>IF(JT69="","",(IF(OR(Compositions!AE134="Hydrogen",Compositions!AE134="Carbon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Dioxide",Compositions!AE134="Methane",Compositions!AE134="Ethane"),0,(JT69/100))))</f>
        <v/>
      </c>
      <c r="KE69" s="205" t="str">
        <f>IF(JT69="","",(IF(OR($KD$78=0,$KD$78=""),0,      ((VLOOKUP(Compositions!AE134,'HHV-LHV-MW'!$A$3:$F$40,6,FALSE))*(KD69/$KD$78)))))</f>
        <v/>
      </c>
      <c r="KF69" s="28" t="str">
        <f>IF(Compositions!AI134="","",IF(Compositions!$AI$118="mol%",Compositions!AI134,KG69))</f>
        <v/>
      </c>
      <c r="KG69" s="28" t="str">
        <f t="shared" si="48"/>
        <v/>
      </c>
      <c r="KH69" s="28" t="str">
        <f>IF(Compositions!AI134="","",(Compositions!AI134/(VLOOKUP(Compositions!AE134,'HHV-LHV-MW'!$A$3:$F$40,6,FALSE))))</f>
        <v/>
      </c>
      <c r="KI69" s="26" t="str">
        <f>IF(KF69="","",((VLOOKUP(Compositions!AE134,'HHV-LHV-MW'!$A$3:$F$40,4,FALSE))*(KF69/100)))</f>
        <v/>
      </c>
      <c r="KJ69" s="26" t="str">
        <f>IF(KF69="","",((VLOOKUP(Compositions!AE134,'HHV-LHV-MW'!$A$3:$F$40,5,FALSE))*(KF69/100)))</f>
        <v/>
      </c>
      <c r="KK69" s="26" t="str">
        <f>IF(KF69="","",((VLOOKUP(Compositions!AE134,'HHV-LHV-MW'!$A$3:$F$40,6,FALSE))*(KF69/100)))</f>
        <v/>
      </c>
      <c r="KL69" s="26" t="str">
        <f>IF(Compositions!AI134="","",(Compositions!AI134*(VLOOKUP(Compositions!AE134,'HHV-LHV-MW'!$A$3:$F$40,6,FALSE))))</f>
        <v/>
      </c>
      <c r="KM69" s="297" t="str">
        <f>IF(Compositions!AI134="","",IF(OR(Compositions!$AI$118="wt%",Compositions!$AI$118=""),Compositions!AI134,(IF(KL69="","",((KL69/$KL$78)*100)))))</f>
        <v/>
      </c>
      <c r="KN69" s="39" t="str">
        <f>IF(KM69="","",(IF(OR(Compositions!AE134="Hydrogen",Compositions!AE134="Helium",Compositions!AE134="Water",Compositions!AE134="Carbon Monoxide",Compositions!AE134="Nitrogen",Compositions!AE134="Oxygen",Compositions!AE134="Hydrogen Sulfide",Compositions!AE134="Argon",Compositions!AE134="Carbon Dioxide",Compositions!AE134="Carbon Disulfide"),0,KM69)))</f>
        <v/>
      </c>
      <c r="KO69" s="186" t="str">
        <f>IF(Compositions!AI134="","",((KF69/100)*((VLOOKUP(Compositions!AE134,'HHV-LHV-MW'!$A$3:$G$40,7,FALSE)))))</f>
        <v/>
      </c>
      <c r="KP69" s="186" t="str">
        <f>IF(KF69="","",(IF(OR(Compositions!AE134="Hydrogen",Compositions!AE134="Carbon Disulfide",Compositions!AE134="Helium",Compositions!AE134="Water",Compositions!AE134="Carbon Monoxide",Compositions!AE134="Nitrogen",Compositions!AE134="Oxygen",Compositions!AE134="Hydrogen Sulfide",Compositions!AE134="Argon",Compositions!AE134="Carbon Dioxide",Compositions!AE134="Methane",Compositions!AE134="Ethane"),0,(KF69/100))))</f>
        <v/>
      </c>
      <c r="KQ69" s="39" t="str">
        <f>IF(KF69="","",(IF(OR($KP$78=0,$KP$78=""),0,      ((VLOOKUP(Compositions!AE134,'HHV-LHV-MW'!$A$3:$F$40,6,FALSE))*(KP69/$KP$78)))))</f>
        <v/>
      </c>
      <c r="KS69" s="27" t="str">
        <f>IF(Compositions!AL134="","",IF(Compositions!$AL$118="mol%",Compositions!AL134,KT69))</f>
        <v/>
      </c>
      <c r="KT69" s="27" t="str">
        <f t="shared" si="49"/>
        <v/>
      </c>
      <c r="KU69" s="27" t="str">
        <f>IF(Compositions!AL134="","",(Compositions!AL134/(VLOOKUP(Compositions!AK134,'HHV-LHV-MW'!$A$3:$F$40,6,FALSE))))</f>
        <v/>
      </c>
      <c r="KV69" s="185" t="str">
        <f>IF(KS69="","",((VLOOKUP(Compositions!AK134,'HHV-LHV-MW'!$A$3:$F$40,4,FALSE))*(KS69/100)))</f>
        <v/>
      </c>
      <c r="KW69" s="185" t="str">
        <f>IF(KS69="","",((VLOOKUP(Compositions!AK134,'HHV-LHV-MW'!$A$3:$F$40,5,FALSE))*(KS69/100)))</f>
        <v/>
      </c>
      <c r="KX69" s="185" t="str">
        <f>IF(KS69="","",((VLOOKUP(Compositions!AK134,'HHV-LHV-MW'!$A$3:$F$40,6,FALSE))*(KS69/100)))</f>
        <v/>
      </c>
      <c r="KY69" s="185" t="str">
        <f>IF(Compositions!AL134="","",(Compositions!AL134*(VLOOKUP(Compositions!AK134,'HHV-LHV-MW'!$A$3:$F$40,6,FALSE))))</f>
        <v/>
      </c>
      <c r="KZ69" s="298" t="str">
        <f>IF(Compositions!AL134="","",IF(OR(Compositions!$AL$118="wt%",Compositions!$AL$118=""),Compositions!AL134,(IF(KY69="","",((KY69/$KY$78)*100)))))</f>
        <v/>
      </c>
      <c r="LA69" s="185" t="str">
        <f>IF(KZ69="","",(IF(OR(Compositions!AK134="Hydrogen",Compositions!AK134="Helium",Compositions!AK134="Water",Compositions!AK134="Carbon Monoxide",Compositions!AK134="Nitrogen",Compositions!AK134="Oxygen",Compositions!AK134="Hydrogen Sulfide",Compositions!AK134="Argon",Compositions!AK134="Carbon Dioxide",Compositions!AK134="Carbon Disulfide"),0,KZ69)))</f>
        <v/>
      </c>
      <c r="LB69" s="187" t="str">
        <f>IF(Compositions!AL134="","",((KS69/100)*((VLOOKUP(Compositions!AK134,'HHV-LHV-MW'!$A$3:$G$40,7,FALSE)))))</f>
        <v/>
      </c>
      <c r="LC69" s="187" t="str">
        <f>IF(KS69="","",(IF(OR(Compositions!AK134="Hydrogen",Compositions!AK134="Carbon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Dioxide",Compositions!AK134="Methane",Compositions!AK134="Ethane"),0,(KS69/100))))</f>
        <v/>
      </c>
      <c r="LD69" s="205" t="str">
        <f>IF(KS69="","",(IF(OR($LC$78=0,$LC$78=""),0,      ((VLOOKUP(Compositions!AK134,'HHV-LHV-MW'!$A$3:$F$40,6,FALSE))*(LC69/$LC$78)))))</f>
        <v/>
      </c>
      <c r="LE69" s="28" t="str">
        <f>IF(Compositions!AM134="","",IF(Compositions!$AM$118="mol%",Compositions!AM134,LF69))</f>
        <v/>
      </c>
      <c r="LF69" s="28" t="str">
        <f t="shared" si="50"/>
        <v/>
      </c>
      <c r="LG69" s="28" t="str">
        <f>IF(Compositions!AM134="","",(Compositions!AM134/(VLOOKUP(Compositions!AK134,'HHV-LHV-MW'!$A$3:$F$40,6,FALSE))))</f>
        <v/>
      </c>
      <c r="LH69" s="184" t="str">
        <f>IF(LE69="","",((VLOOKUP(Compositions!AK134,'HHV-LHV-MW'!$A$3:$F$40,4,FALSE))*(LE69/100)))</f>
        <v/>
      </c>
      <c r="LI69" s="184" t="str">
        <f>IF(LE69="","",((VLOOKUP(Compositions!AK134,'HHV-LHV-MW'!$A$3:$F$40,5,FALSE))*(LE69/100)))</f>
        <v/>
      </c>
      <c r="LJ69" s="184" t="str">
        <f>IF(LE69="","",((VLOOKUP(Compositions!AK134,'HHV-LHV-MW'!$A$3:$F$40,6,FALSE))*(LE69/100)))</f>
        <v/>
      </c>
      <c r="LK69" s="184" t="str">
        <f>IF(Compositions!AM134="","",(Compositions!AM134*(VLOOKUP(Compositions!AK134,'HHV-LHV-MW'!$A$3:$F$40,6,FALSE))))</f>
        <v/>
      </c>
      <c r="LL69" s="297" t="str">
        <f>IF(Compositions!AM134="","",IF(OR(Compositions!$AM$118="wt%",Compositions!$AM$118=""),Compositions!AM134,(IF(LK69="","",((LK69/$LK$78)*100)))))</f>
        <v/>
      </c>
      <c r="LM69" s="39" t="str">
        <f>IF(LL69="","",(IF(OR(Compositions!AK134="Hydrogen",Compositions!AK134="Helium",Compositions!AK134="Water",Compositions!AK134="Carbon Monoxide",Compositions!AK134="Nitrogen",Compositions!AK134="Oxygen",Compositions!AK134="Hydrogen Sulfide",Compositions!AK134="Argon",Compositions!AK134="Carbon Dioxide",Compositions!AK134="Carbon Disulfide"),0,LL69)))</f>
        <v/>
      </c>
      <c r="LN69" s="186" t="str">
        <f>IF(Compositions!AM134="","",((LE69/100)*((VLOOKUP(Compositions!AK134,'HHV-LHV-MW'!$A$3:$G$40,7,FALSE)))))</f>
        <v/>
      </c>
      <c r="LO69" s="186" t="str">
        <f>IF(LE69="","",(IF(OR(Compositions!AK134="Hydrogen",Compositions!AK134="Carbon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Dioxide",Compositions!AK134="Methane",Compositions!AK134="Ethane"),0,(LE69/100))))</f>
        <v/>
      </c>
      <c r="LP69" s="39" t="str">
        <f>IF(LE69="","",(IF(OR($LO$78=0,$LO$78=""),0,     ((VLOOKUP(Compositions!AK134,'HHV-LHV-MW'!$A$3:$F$40,6,FALSE))*(LO69/$LO$78)))))</f>
        <v/>
      </c>
      <c r="LQ69" s="27" t="str">
        <f>IF(Compositions!AN134="","",IF(Compositions!$AN$118="mol%",Compositions!AN134,LR69))</f>
        <v/>
      </c>
      <c r="LR69" s="27" t="str">
        <f t="shared" si="51"/>
        <v/>
      </c>
      <c r="LS69" s="27" t="str">
        <f>IF(Compositions!AN134="","",(Compositions!AN134/(VLOOKUP(Compositions!AK134,'HHV-LHV-MW'!$A$3:$F$40,6,FALSE))))</f>
        <v/>
      </c>
      <c r="LT69" s="185" t="str">
        <f>IF(LQ69="","",((VLOOKUP(Compositions!AK134,'HHV-LHV-MW'!$A$3:$F$40,4,FALSE))*(LQ69/100)))</f>
        <v/>
      </c>
      <c r="LU69" s="185" t="str">
        <f>IF(LQ69="","",((VLOOKUP(Compositions!AK134,'HHV-LHV-MW'!$A$3:$F$40,5,FALSE))*(LQ69/100)))</f>
        <v/>
      </c>
      <c r="LV69" s="185" t="str">
        <f>IF(LQ69="","",((VLOOKUP(Compositions!AK134,'HHV-LHV-MW'!$A$3:$F$40,6,FALSE))*(LQ69/100)))</f>
        <v/>
      </c>
      <c r="LW69" s="185" t="str">
        <f>IF(Compositions!AN134="","",(Compositions!AN134*(VLOOKUP(Compositions!AK134,'HHV-LHV-MW'!$A$3:$F$40,6,FALSE))))</f>
        <v/>
      </c>
      <c r="LX69" s="298" t="str">
        <f>IF(Compositions!AN134="","",IF(OR(Compositions!$AN$118="wt%",Compositions!$AN$118=""),Compositions!AN134,(IF(LW69="","",((LW69/$LW$78)*100)))))</f>
        <v/>
      </c>
      <c r="LY69" s="185" t="str">
        <f>IF(LX69="","",(IF(OR(Compositions!AK134="Hydrogen",Compositions!AK134="Helium",Compositions!AK134="Water",Compositions!AK134="Carbon Monoxide",Compositions!AK134="Nitrogen",Compositions!AK134="Oxygen",Compositions!AK134="Hydrogen Sulfide",Compositions!AK134="Argon",Compositions!AK134="Carbon Dioxide",Compositions!AK134="Carbon Disulfide"),0,LX69)))</f>
        <v/>
      </c>
      <c r="LZ69" s="187" t="str">
        <f>IF(Compositions!AN134="","",((LQ69/100)*((VLOOKUP(Compositions!AK134,'HHV-LHV-MW'!$A$3:$G$40,7,FALSE)))))</f>
        <v/>
      </c>
      <c r="MA69" s="187" t="str">
        <f>IF(LQ69="","",(IF(OR(Compositions!AK134="Hydrogen",Compositions!AK134="Carbon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Dioxide",Compositions!AK134="Methane",Compositions!AK134="Ethane"),0,(LQ69/100))))</f>
        <v/>
      </c>
      <c r="MB69" s="205" t="str">
        <f>IF(LQ69="","",(IF(OR($MA$78=0,$MA$78=""),0,     ((VLOOKUP(Compositions!AK134,'HHV-LHV-MW'!$A$3:$F$40,6,FALSE))*(MA69/$MA$78)))))</f>
        <v/>
      </c>
      <c r="MC69" s="28" t="str">
        <f>IF(Compositions!AO134="","",IF(Compositions!$AO$118="mol%",Compositions!AO134,MD69))</f>
        <v/>
      </c>
      <c r="MD69" s="28" t="str">
        <f t="shared" si="52"/>
        <v/>
      </c>
      <c r="ME69" s="28" t="str">
        <f>IF(Compositions!AO134="","",(Compositions!AO134/(VLOOKUP(Compositions!AK134,'HHV-LHV-MW'!$A$3:$F$40,6,FALSE))))</f>
        <v/>
      </c>
      <c r="MF69" s="184" t="str">
        <f>IF(MC69="","",((VLOOKUP(Compositions!AK134,'HHV-LHV-MW'!$A$3:$F$40,4,FALSE))*(MC69/100)))</f>
        <v/>
      </c>
      <c r="MG69" s="184" t="str">
        <f>IF(MC69="","",((VLOOKUP(Compositions!AK134,'HHV-LHV-MW'!$A$3:$F$40,5,FALSE))*(MC69/100)))</f>
        <v/>
      </c>
      <c r="MH69" s="184" t="str">
        <f>IF(MC69="","",((VLOOKUP(Compositions!AK134,'HHV-LHV-MW'!$A$3:$F$40,6,FALSE))*(MC69/100)))</f>
        <v/>
      </c>
      <c r="MI69" s="184" t="str">
        <f>IF(Compositions!AO134="","",(Compositions!AO134*(VLOOKUP(Compositions!AK134,'HHV-LHV-MW'!$A$3:$F$40,6,FALSE))))</f>
        <v/>
      </c>
      <c r="MJ69" s="297" t="str">
        <f>IF(Compositions!AO134="","",IF(OR(Compositions!$AO$118="wt%",Compositions!$AO$118=""),Compositions!AO134,(IF(MI69="","",((MI69/$MI$78)*100)))))</f>
        <v/>
      </c>
      <c r="MK69" s="39" t="str">
        <f>IF(MJ69="","",(IF(OR(Compositions!AK134="Hydrogen",Compositions!AK134="Helium",Compositions!AK134="Water",Compositions!AK134="Carbon Monoxide",Compositions!AK134="Nitrogen",Compositions!AK134="Oxygen",Compositions!AK134="Hydrogen Sulfide",Compositions!AK134="Argon",Compositions!AK134="Carbon Dioxide",Compositions!AK134="Carbon Disulfide"),0,MJ69)))</f>
        <v/>
      </c>
      <c r="ML69" s="186" t="str">
        <f>IF(Compositions!AO134="","",((MC69/100)*((VLOOKUP(Compositions!AK134,'HHV-LHV-MW'!$A$3:$G$40,7,FALSE)))))</f>
        <v/>
      </c>
      <c r="MM69" s="186" t="str">
        <f>IF(MC69="","",(IF(OR(Compositions!AK134="Hydrogen",Compositions!AK134="Carbon Disulfide",Compositions!AK134="Helium",Compositions!AK134="Water",Compositions!AK134="Carbon Monoxide",Compositions!AK134="Nitrogen",Compositions!AK134="Oxygen",Compositions!AK134="Hydrogen Sulfide",Compositions!AK134="Argon",Compositions!AK134="Carbon Dioxide",Compositions!AK134="Methane",Compositions!AK134="Ethane"),0,(MC69/100))))</f>
        <v/>
      </c>
      <c r="MN69" s="39" t="str">
        <f>IF(MC69="","",(IF(OR($MM$78=0,$MM$78=""),0,     ((VLOOKUP(Compositions!AK134,'HHV-LHV-MW'!$A$3:$F$40,6,FALSE))*(MM69/$MM$78)))))</f>
        <v/>
      </c>
      <c r="MP69" s="27" t="str">
        <f>IF(Compositions!AR134="","",IF(Compositions!$AR$118="mol%",Compositions!AR134,MQ69))</f>
        <v/>
      </c>
      <c r="MQ69" s="27" t="str">
        <f t="shared" si="53"/>
        <v/>
      </c>
      <c r="MR69" s="27" t="str">
        <f>IF(Compositions!AR134="","",(Compositions!AR134/(VLOOKUP(Compositions!AQ134,'HHV-LHV-MW'!$A$3:$F$40,6,FALSE))))</f>
        <v/>
      </c>
      <c r="MS69" s="185" t="str">
        <f>IF(MP69="","",((VLOOKUP(Compositions!AQ134,'HHV-LHV-MW'!$A$3:$F$40,4,FALSE))*(MP69/100)))</f>
        <v/>
      </c>
      <c r="MT69" s="185" t="str">
        <f>IF(MP69="","",((VLOOKUP(Compositions!AQ134,'HHV-LHV-MW'!$A$3:$F$40,5,FALSE))*(MP69/100)))</f>
        <v/>
      </c>
      <c r="MU69" s="185" t="str">
        <f>IF(MP69="","",((VLOOKUP(Compositions!AQ134,'HHV-LHV-MW'!$A$3:$F$40,6,FALSE))*(MP69/100)))</f>
        <v/>
      </c>
      <c r="MV69" s="185" t="str">
        <f>IF(Compositions!AR134="","",(Compositions!AR134*(VLOOKUP(Compositions!AQ134,'HHV-LHV-MW'!$A$3:$F$40,6,FALSE))))</f>
        <v/>
      </c>
      <c r="MW69" s="298" t="str">
        <f>IF(Compositions!AR134="","",IF(OR(Compositions!$AR$118="wt%",Compositions!$AR$118=""),Compositions!AR134,(IF(MV69="","",((MV69/$MV$78)*100)))))</f>
        <v/>
      </c>
      <c r="MX69" s="185" t="str">
        <f>IF(MW69="","",(IF(OR(Compositions!AQ134="Hydrogen",Compositions!AQ134="Helium",Compositions!AQ134="Water",Compositions!AQ134="Carbon Monoxide",Compositions!AQ134="Nitrogen",Compositions!AQ134="Oxygen",Compositions!AQ134="Hydrogen Sulfide",Compositions!AQ134="Argon",Compositions!AQ134="Carbon Dioxide",Compositions!AQ134="Carbon Disulfide"),0,MW69)))</f>
        <v/>
      </c>
      <c r="MY69" s="187" t="str">
        <f>IF(Compositions!AR134="","",((MP69/100)*((VLOOKUP(Compositions!AQ134,'HHV-LHV-MW'!$A$3:$G$40,7,FALSE)))))</f>
        <v/>
      </c>
      <c r="MZ69" s="187" t="str">
        <f>IF(MP69="","",(IF(OR(Compositions!AQ134="Hydrogen",Compositions!AQ134="Carbon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Dioxide",Compositions!AQ134="Methane",Compositions!AQ134="Ethane"),0,(MP69/100))))</f>
        <v/>
      </c>
      <c r="NA69" s="205" t="str">
        <f>IF(MP69="","",(IF(OR($MZ$78=0,$MZ$78=""),0,     ((VLOOKUP(Compositions!AQ134,'HHV-LHV-MW'!$A$3:$F$40,6,FALSE))*(MZ69/$MZ$78)))))</f>
        <v/>
      </c>
      <c r="NB69" s="28" t="str">
        <f>IF(Compositions!AS134="","",IF(Compositions!$AS$118="mol%",Compositions!AS134,NC69))</f>
        <v/>
      </c>
      <c r="NC69" s="28" t="str">
        <f t="shared" si="54"/>
        <v/>
      </c>
      <c r="ND69" s="28" t="str">
        <f>IF(Compositions!AS134="","",(Compositions!AS134/(VLOOKUP(Compositions!AQ134,'HHV-LHV-MW'!$A$3:$F$40,6,FALSE))))</f>
        <v/>
      </c>
      <c r="NE69" s="184" t="str">
        <f>IF(NB69="","",((VLOOKUP(Compositions!AQ134,'HHV-LHV-MW'!$A$3:$F$40,4,FALSE))*(NB69/100)))</f>
        <v/>
      </c>
      <c r="NF69" s="184" t="str">
        <f>IF(NB69="","",((VLOOKUP(Compositions!AQ134,'HHV-LHV-MW'!$A$3:$F$40,5,FALSE))*(NB69/100)))</f>
        <v/>
      </c>
      <c r="NG69" s="184" t="str">
        <f>IF(NB69="","",((VLOOKUP(Compositions!AQ134,'HHV-LHV-MW'!$A$3:$F$40,6,FALSE))*(NB69/100)))</f>
        <v/>
      </c>
      <c r="NH69" s="184" t="str">
        <f>IF(Compositions!AS134="","",(Compositions!AS134*(VLOOKUP(Compositions!AQ134,'HHV-LHV-MW'!$A$3:$F$40,6,FALSE))))</f>
        <v/>
      </c>
      <c r="NI69" s="297" t="str">
        <f>IF(Compositions!AS134="","",IF(OR(Compositions!$AS$118="wt%",Compositions!$AS$118=""),Compositions!AS134,(IF(NH69="","",((NH69/$NH$78)*100)))))</f>
        <v/>
      </c>
      <c r="NJ69" s="39" t="str">
        <f>IF(NI69="","",(IF(OR(Compositions!AQ134="Hydrogen",Compositions!AQ134="Helium",Compositions!AQ134="Water",Compositions!AQ134="Carbon Monoxide",Compositions!AQ134="Nitrogen",Compositions!AQ134="Oxygen",Compositions!AQ134="Hydrogen Sulfide",Compositions!AQ134="Argon",Compositions!AQ134="Carbon Dioxide",Compositions!AQ134="Carbon Disulfide"),0,NI69)))</f>
        <v/>
      </c>
      <c r="NK69" s="186" t="str">
        <f>IF(Compositions!AS134="","",((NB69/100)*((VLOOKUP(Compositions!AQ134,'HHV-LHV-MW'!$A$3:$G$40,7,FALSE)))))</f>
        <v/>
      </c>
      <c r="NL69" s="186" t="str">
        <f>IF(NB69="","",(IF(OR(Compositions!AQ134="Hydrogen",Compositions!AQ134="Carbon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Dioxide",Compositions!AQ134="Methane",Compositions!AQ134="Ethane"),0,(NB69/100))))</f>
        <v/>
      </c>
      <c r="NM69" s="39" t="str">
        <f>IF(NB69="","",(IF(OR($NL$78=0,$NL$78=""),0,     ((VLOOKUP(Compositions!AQ134,'HHV-LHV-MW'!$A$3:$F$40,6,FALSE))*(NL69/$NL$78)))))</f>
        <v/>
      </c>
      <c r="NN69" s="27" t="str">
        <f>IF(Compositions!AT134="","",IF(Compositions!$AT$118="mol%",Compositions!AT134,NO69))</f>
        <v/>
      </c>
      <c r="NO69" s="27" t="str">
        <f t="shared" si="55"/>
        <v/>
      </c>
      <c r="NP69" s="27" t="str">
        <f>IF(Compositions!AT134="","",(Compositions!AT134/(VLOOKUP(Compositions!AQ134,'HHV-LHV-MW'!$A$3:$F$40,6,FALSE))))</f>
        <v/>
      </c>
      <c r="NQ69" s="185" t="str">
        <f>IF(NN69="","",((VLOOKUP(Compositions!AQ134,'HHV-LHV-MW'!$A$3:$F$40,4,FALSE))*(NN69/100)))</f>
        <v/>
      </c>
      <c r="NR69" s="185" t="str">
        <f>IF(NN69="","",((VLOOKUP(Compositions!AQ134,'HHV-LHV-MW'!$A$3:$F$40,5,FALSE))*(NN69/100)))</f>
        <v/>
      </c>
      <c r="NS69" s="185" t="str">
        <f>IF(NN69="","",((VLOOKUP(Compositions!AQ134,'HHV-LHV-MW'!$A$3:$F$40,6,FALSE))*(NN69/100)))</f>
        <v/>
      </c>
      <c r="NT69" s="185" t="str">
        <f>IF(Compositions!AT134="","",(Compositions!AT134*(VLOOKUP(Compositions!AQ134,'HHV-LHV-MW'!$A$3:$F$40,6,FALSE))))</f>
        <v/>
      </c>
      <c r="NU69" s="298" t="str">
        <f>IF(Compositions!AT134="","",IF(OR(Compositions!$AT$118="wt%",Compositions!$AT$118=""),Compositions!AT134,(IF(NT69="","",((NT69/$NT$78)*100)))))</f>
        <v/>
      </c>
      <c r="NV69" s="185" t="str">
        <f>IF(NU69="","",(IF(OR(Compositions!AQ134="Hydrogen",Compositions!AQ134="Helium",Compositions!AQ134="Water",Compositions!AQ134="Carbon Monoxide",Compositions!AQ134="Nitrogen",Compositions!AQ134="Oxygen",Compositions!AQ134="Hydrogen Sulfide",Compositions!AQ134="Argon",Compositions!AQ134="Carbon Dioxide",Compositions!AQ134="Carbon Disulfide"),0,NU69)))</f>
        <v/>
      </c>
      <c r="NW69" s="187" t="str">
        <f>IF(Compositions!AT134="","",((NN69/100)*((VLOOKUP(Compositions!AQ134,'HHV-LHV-MW'!$A$3:$G$40,7,FALSE)))))</f>
        <v/>
      </c>
      <c r="NX69" s="187" t="str">
        <f>IF(NN69="","",(IF(OR(Compositions!AQ134="Hydrogen",Compositions!AQ134="Carbon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Dioxide",Compositions!AQ134="Methane",Compositions!AQ134="Ethane"),0,(NN69/100))))</f>
        <v/>
      </c>
      <c r="NY69" s="205" t="str">
        <f>IF(NN69="","",(IF(OR($NX$78=0,$NX$78=""),0,     ((VLOOKUP(Compositions!AQ134,'HHV-LHV-MW'!$A$3:$F$40,6,FALSE))*(NX69/$NX$78)))))</f>
        <v/>
      </c>
      <c r="NZ69" s="28" t="str">
        <f>IF(Compositions!AU134="","",IF(Compositions!$AU$118="mol%",Compositions!AU134,OA69))</f>
        <v/>
      </c>
      <c r="OA69" s="28" t="str">
        <f t="shared" si="56"/>
        <v/>
      </c>
      <c r="OB69" s="28" t="str">
        <f>IF(Compositions!AU134="","",(Compositions!AU134/(VLOOKUP(Compositions!AQ134,'HHV-LHV-MW'!$A$3:$F$40,6,FALSE))))</f>
        <v/>
      </c>
      <c r="OC69" s="184" t="str">
        <f>IF(NZ69="","",((VLOOKUP(Compositions!AQ134,'HHV-LHV-MW'!$A$3:$F$40,4,FALSE))*(NZ69/100)))</f>
        <v/>
      </c>
      <c r="OD69" s="184" t="str">
        <f>IF(NZ69="","",((VLOOKUP(Compositions!AQ134,'HHV-LHV-MW'!$A$3:$F$40,5,FALSE))*(NZ69/100)))</f>
        <v/>
      </c>
      <c r="OE69" s="184" t="str">
        <f>IF(NZ69="","",((VLOOKUP(Compositions!AQ134,'HHV-LHV-MW'!$A$3:$F$40,6,FALSE))*(NZ69/100)))</f>
        <v/>
      </c>
      <c r="OF69" s="184" t="str">
        <f>IF(Compositions!AU134="","",(Compositions!AU134*(VLOOKUP(Compositions!AQ134,'HHV-LHV-MW'!$A$3:$F$40,6,FALSE))))</f>
        <v/>
      </c>
      <c r="OG69" s="297" t="str">
        <f>IF(Compositions!AU134="","",IF(OR(Compositions!$AU$118="wt%",Compositions!$AU$118=""),Compositions!AU134,(IF(OF69="","",((OF69/$OF$78)*100)))))</f>
        <v/>
      </c>
      <c r="OH69" s="39" t="str">
        <f>IF(OG69="","",(IF(OR(Compositions!AQ134="Hydrogen",Compositions!AQ134="Helium",Compositions!AQ134="Water",Compositions!AQ134="Carbon Monoxide",Compositions!AQ134="Nitrogen",Compositions!AQ134="Oxygen",Compositions!AQ134="Hydrogen Sulfide",Compositions!AQ134="Argon",Compositions!AQ134="Carbon Dioxide",Compositions!AQ134="Carbon Disulfide"),0,OG69)))</f>
        <v/>
      </c>
      <c r="OI69" s="186" t="str">
        <f>IF(Compositions!AU134="","",((NZ69/100)*((VLOOKUP(Compositions!AQ134,'HHV-LHV-MW'!$A$3:$G$40,7,FALSE)))))</f>
        <v/>
      </c>
      <c r="OJ69" s="186" t="str">
        <f>IF(NZ69="","",(IF(OR(Compositions!AQ134="Hydrogen",Compositions!AQ134="Carbon Disulfide",Compositions!AQ134="Helium",Compositions!AQ134="Water",Compositions!AQ134="Carbon Monoxide",Compositions!AQ134="Nitrogen",Compositions!AQ134="Oxygen",Compositions!AQ134="Hydrogen Sulfide",Compositions!AQ134="Argon",Compositions!AQ134="Carbon Dioxide",Compositions!AQ134="Methane",Compositions!AQ134="Ethane"),0,(NZ69/100))))</f>
        <v/>
      </c>
      <c r="OK69" s="39" t="str">
        <f>IF(NZ69="","",(IF(OR($OJ$78=0,$OJ$78=""),0,     ((VLOOKUP(Compositions!AQ134,'HHV-LHV-MW'!$A$3:$F$40,6,FALSE))*(OJ69/$OJ$78)))))</f>
        <v/>
      </c>
      <c r="ON69" s="27" t="str">
        <f>IF(Compositions!AX134="","",IF(Compositions!$AX$118="mol%",Compositions!AX134,OO69))</f>
        <v/>
      </c>
      <c r="OO69" s="27" t="str">
        <f t="shared" si="57"/>
        <v/>
      </c>
      <c r="OP69" s="27" t="str">
        <f>IF(Compositions!AX134="","",(Compositions!AX134/(VLOOKUP(Compositions!AW134,'HHV-LHV-MW'!$A$3:$F$40,6,FALSE))))</f>
        <v/>
      </c>
      <c r="OQ69" s="185" t="str">
        <f>IF(ON69="","",((VLOOKUP(Compositions!AW134,'HHV-LHV-MW'!$A$3:$F$40,4,FALSE))*(ON69/100)))</f>
        <v/>
      </c>
      <c r="OR69" s="185" t="str">
        <f>IF(ON69="","",((VLOOKUP(Compositions!AW134,'HHV-LHV-MW'!$A$3:$F$40,5,FALSE))*(ON69/100)))</f>
        <v/>
      </c>
      <c r="OS69" s="185" t="str">
        <f>IF(ON69="","",((VLOOKUP(Compositions!AW134,'HHV-LHV-MW'!$A$3:$F$40,6,FALSE))*(ON69/100)))</f>
        <v/>
      </c>
      <c r="OT69" s="185" t="str">
        <f>IF(Compositions!AX134="","",(Compositions!AX134*(VLOOKUP(Compositions!AW134,'HHV-LHV-MW'!$A$3:$F$40,6,FALSE))))</f>
        <v/>
      </c>
      <c r="OU69" s="298" t="str">
        <f>IF(Compositions!AX134="","",IF(OR(Compositions!$AX$118="wt%",Compositions!$AX$118=""),Compositions!AX134,(IF(OT69="","",((OT69/$OT$78)*100)))))</f>
        <v/>
      </c>
      <c r="OV69" s="185" t="str">
        <f>IF(OU69="","",(IF(OR(Compositions!AW134="Hydrogen",Compositions!AW134="Helium",Compositions!AW134="Water",Compositions!AW134="Carbon Monoxide",Compositions!AW134="Nitrogen",Compositions!AW134="Oxygen",Compositions!AW134="Hydrogen Sulfide",Compositions!AW134="Argon",Compositions!AW134="Carbon Dioxide",Compositions!AW134="Carbon Disulfide"),0,OU69)))</f>
        <v/>
      </c>
      <c r="OW69" s="187" t="str">
        <f>IF(Compositions!AX134="","",((ON69/100)*((VLOOKUP(Compositions!AW134,'HHV-LHV-MW'!$A$3:$G$40,7,FALSE)))))</f>
        <v/>
      </c>
      <c r="OX69" s="187" t="str">
        <f>IF(ON69="","",(IF(OR(Compositions!AW134="Hydrogen",Compositions!AW134="Carbon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Dioxide",Compositions!AW134="Methane",Compositions!AW134="Ethane"),0,(ON69/100))))</f>
        <v/>
      </c>
      <c r="OY69" s="205" t="str">
        <f>IF(ON69="","",(IF(OR($OX$78=0,$OX$78=""),0,     ((VLOOKUP(Compositions!AW134,'HHV-LHV-MW'!$A$3:$F$40,6,FALSE))*(OX69/$OX$78)))))</f>
        <v/>
      </c>
      <c r="OZ69" s="28" t="str">
        <f>IF(Compositions!AY134="","",IF(Compositions!$AY$118="mol%",Compositions!AY134,PA69))</f>
        <v/>
      </c>
      <c r="PA69" s="28" t="str">
        <f t="shared" si="64"/>
        <v/>
      </c>
      <c r="PB69" s="28" t="str">
        <f>IF(Compositions!AY134="","",(Compositions!AY134/(VLOOKUP(Compositions!AW134,'HHV-LHV-MW'!$A$3:$F$40,6,FALSE))))</f>
        <v/>
      </c>
      <c r="PC69" s="184" t="str">
        <f>IF(OZ69="","",((VLOOKUP(Compositions!AW134,'HHV-LHV-MW'!$A$3:$F$40,4,FALSE))*(OZ69/100)))</f>
        <v/>
      </c>
      <c r="PD69" s="184" t="str">
        <f>IF(OZ69="","",((VLOOKUP(Compositions!AW134,'HHV-LHV-MW'!$A$3:$F$40,5,FALSE))*(OZ69/100)))</f>
        <v/>
      </c>
      <c r="PE69" s="184" t="str">
        <f>IF(OZ69="","",((VLOOKUP(Compositions!AW134,'HHV-LHV-MW'!$A$3:$F$40,6,FALSE))*(OZ69/100)))</f>
        <v/>
      </c>
      <c r="PF69" s="184" t="str">
        <f>IF(Compositions!AY134="","",(Compositions!AY134*(VLOOKUP(Compositions!AW134,'HHV-LHV-MW'!$A$3:$F$40,6,FALSE))))</f>
        <v/>
      </c>
      <c r="PG69" s="297" t="str">
        <f>IF(Compositions!AY134="","",IF(OR(Compositions!$AY$118="wt%",Compositions!$AY$118=""),Compositions!AY134,(IF(PF69="","",((PF69/$PF$78)*100)))))</f>
        <v/>
      </c>
      <c r="PH69" s="39" t="str">
        <f>IF(PG69="","",(IF(OR(Compositions!AW134="Hydrogen",Compositions!AW134="Helium",Compositions!AW134="Water",Compositions!AW134="Carbon Monoxide",Compositions!AW134="Nitrogen",Compositions!AW134="Oxygen",Compositions!AW134="Hydrogen Sulfide",Compositions!AW134="Argon",Compositions!AW134="Carbon Dioxide",Compositions!AW134="Carbon Disulfide"),0,PG69)))</f>
        <v/>
      </c>
      <c r="PI69" s="186" t="str">
        <f>IF(Compositions!AY134="","",((OZ69/100)*((VLOOKUP(Compositions!AW134,'HHV-LHV-MW'!$A$3:$G$40,7,FALSE)))))</f>
        <v/>
      </c>
      <c r="PJ69" s="186" t="str">
        <f>IF(OZ69="","",(IF(OR(Compositions!AW134="Hydrogen",Compositions!AW134="Carbon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Dioxide",Compositions!AW134="Methane",Compositions!AW134="Ethane"),0,(OZ69/100))))</f>
        <v/>
      </c>
      <c r="PK69" s="39" t="str">
        <f>IF(OZ69="","",(IF(OR($PJ$78=0,$PJ$78=""),0,     ((VLOOKUP(Compositions!AW134,'HHV-LHV-MW'!$A$3:$F$40,6,FALSE))*(PJ69/$PJ$78)))))</f>
        <v/>
      </c>
      <c r="PL69" s="27" t="str">
        <f>IF(Compositions!AZ134="","",IF(Compositions!$AZ$118="mol%",Compositions!AZ134,PM69))</f>
        <v/>
      </c>
      <c r="PM69" s="27" t="str">
        <f t="shared" si="58"/>
        <v/>
      </c>
      <c r="PN69" s="27" t="str">
        <f>IF(Compositions!AZ134="","",(Compositions!AZ134/(VLOOKUP(Compositions!AW134,'HHV-LHV-MW'!$A$3:$F$40,6,FALSE))))</f>
        <v/>
      </c>
      <c r="PO69" s="185" t="str">
        <f>IF(PL69="","",((VLOOKUP(Compositions!AW134,'HHV-LHV-MW'!$A$3:$F$40,4,FALSE))*(PL69/100)))</f>
        <v/>
      </c>
      <c r="PP69" s="185" t="str">
        <f>IF(PL69="","",((VLOOKUP(Compositions!AW134,'HHV-LHV-MW'!$A$3:$F$40,5,FALSE))*(PL69/100)))</f>
        <v/>
      </c>
      <c r="PQ69" s="185" t="str">
        <f>IF(PL69="","",((VLOOKUP(Compositions!AW134,'HHV-LHV-MW'!$A$3:$F$40,6,FALSE))*(PL69/100)))</f>
        <v/>
      </c>
      <c r="PR69" s="185" t="str">
        <f>IF(Compositions!AZ134="","",(Compositions!AZ134*(VLOOKUP(Compositions!AW134,'HHV-LHV-MW'!$A$3:$F$40,6,FALSE))))</f>
        <v/>
      </c>
      <c r="PS69" s="298" t="str">
        <f>IF(Compositions!AZ134="","",IF(OR(Compositions!$AZ$118="wt%",Compositions!$AZ$118=""),Compositions!AZ134,(IF(PR69="","",((PR69/$PR$78)*100)))))</f>
        <v/>
      </c>
      <c r="PT69" s="185" t="str">
        <f>IF(PS69="","",(IF(OR(Compositions!AW134="Hydrogen",Compositions!AW134="Helium",Compositions!AW134="Water",Compositions!AW134="Carbon Monoxide",Compositions!AW134="Nitrogen",Compositions!AW134="Oxygen",Compositions!AW134="Hydrogen Sulfide",Compositions!AW134="Argon",Compositions!AW134="Carbon Dioxide",Compositions!AW134="Carbon Disulfide"),0,PS69)))</f>
        <v/>
      </c>
      <c r="PU69" s="187" t="str">
        <f>IF(Compositions!AZ134="","",((PL69/100)*((VLOOKUP(Compositions!AW134,'HHV-LHV-MW'!$A$3:$G$40,7,FALSE)))))</f>
        <v/>
      </c>
      <c r="PV69" s="187" t="str">
        <f>IF(PL69="","",(IF(OR(Compositions!AW134="Hydrogen",Compositions!AW134="Carbon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Dioxide",Compositions!AW134="Methane",Compositions!AW134="Ethane"),0,(PL69/100))))</f>
        <v/>
      </c>
      <c r="PW69" s="205" t="str">
        <f>IF(PL69="","",(IF(OR($PV$78=0,$PV$78=""),0,     ((VLOOKUP(Compositions!AW134,'HHV-LHV-MW'!$A$3:$F$40,6,FALSE))*(PV69/$PV$78)))))</f>
        <v/>
      </c>
      <c r="PX69" s="28" t="str">
        <f>IF(Compositions!BA134="","",IF(Compositions!$BA$118="mol%",Compositions!BA134,PY69))</f>
        <v/>
      </c>
      <c r="PY69" s="28" t="str">
        <f t="shared" si="59"/>
        <v/>
      </c>
      <c r="PZ69" s="28" t="str">
        <f>IF(Compositions!BA134="","",(Compositions!BA134/(VLOOKUP(Compositions!AW134,'HHV-LHV-MW'!$A$3:$F$40,6,FALSE))))</f>
        <v/>
      </c>
      <c r="QA69" s="184" t="str">
        <f>IF(PX69="","",((VLOOKUP(Compositions!AW134,'HHV-LHV-MW'!$A$3:$F$40,4,FALSE))*(PX69/100)))</f>
        <v/>
      </c>
      <c r="QB69" s="184" t="str">
        <f>IF(PX69="","",((VLOOKUP(Compositions!AW134,'HHV-LHV-MW'!$A$3:$F$40,5,FALSE))*(PX69/100)))</f>
        <v/>
      </c>
      <c r="QC69" s="184" t="str">
        <f>IF(PX69="","",((VLOOKUP(Compositions!AW134,'HHV-LHV-MW'!$A$3:$F$40,6,FALSE))*(PX69/100)))</f>
        <v/>
      </c>
      <c r="QD69" s="184" t="str">
        <f>IF(Compositions!BA134="","",(Compositions!BA134*(VLOOKUP(Compositions!AW134,'HHV-LHV-MW'!$A$3:$F$40,6,FALSE))))</f>
        <v/>
      </c>
      <c r="QE69" s="297" t="str">
        <f>IF(Compositions!BA134="","",IF(OR(Compositions!$BA$118="wt%",Compositions!$BA$118=""),Compositions!BA134,(IF(QD69="","",((QD69/$QD$78)*100)))))</f>
        <v/>
      </c>
      <c r="QF69" s="39" t="str">
        <f>IF(QE69="","",(IF(OR(Compositions!AW134="Hydrogen",Compositions!AW134="Helium",Compositions!AW134="Water",Compositions!AW134="Carbon Monoxide",Compositions!AW134="Nitrogen",Compositions!AW134="Oxygen",Compositions!AW134="Hydrogen Sulfide",Compositions!AW134="Argon",Compositions!AW134="Carbon Dioxide",Compositions!AW134="Carbon Disulfide"),0,QE69)))</f>
        <v/>
      </c>
      <c r="QG69" s="186" t="str">
        <f>IF(Compositions!BA134="","",((PX69/100)*((VLOOKUP(Compositions!AW134,'HHV-LHV-MW'!$A$3:$G$40,7,FALSE)))))</f>
        <v/>
      </c>
      <c r="QH69" s="186" t="str">
        <f>IF(PX69="","",(IF(OR(Compositions!AW134="Hydrogen",Compositions!AW134="Carbon Disulfide",Compositions!AW134="Helium",Compositions!AW134="Water",Compositions!AW134="Carbon Monoxide",Compositions!AW134="Nitrogen",Compositions!AW134="Oxygen",Compositions!AW134="Hydrogen Sulfide",Compositions!AW134="Argon",Compositions!AW134="Carbon Dioxide",Compositions!AW134="Methane",Compositions!AW134="Ethane"),0,(PX69/100))))</f>
        <v/>
      </c>
      <c r="QI69" s="39" t="str">
        <f>IF(PX69="","",(IF(OR($QH$78=0,$QH$78=""),0,     ((VLOOKUP(Compositions!AW134,'HHV-LHV-MW'!$A$3:$F$40,6,FALSE))*(QH69/$QH$78)))))</f>
        <v/>
      </c>
      <c r="QK69" s="27" t="str">
        <f>IF(Compositions!BD134="","",IF(Compositions!$BD$118="mol%",Compositions!BD134,QL69))</f>
        <v/>
      </c>
      <c r="QL69" s="27" t="str">
        <f t="shared" si="60"/>
        <v/>
      </c>
      <c r="QM69" s="27" t="str">
        <f>IF(Compositions!BD134="","",(Compositions!BD134/(VLOOKUP(Compositions!BC134,'HHV-LHV-MW'!$A$3:$F$40,6,FALSE))))</f>
        <v/>
      </c>
      <c r="QN69" s="185" t="str">
        <f>IF(QK69="","",((VLOOKUP(Compositions!BC134,'HHV-LHV-MW'!$A$3:$F$40,4,FALSE))*(QK69/100)))</f>
        <v/>
      </c>
      <c r="QO69" s="185" t="str">
        <f>IF(QK69="","",((VLOOKUP(Compositions!BC134,'HHV-LHV-MW'!$A$3:$F$40,5,FALSE))*(QK69/100)))</f>
        <v/>
      </c>
      <c r="QP69" s="185" t="str">
        <f>IF(QK69="","",((VLOOKUP(Compositions!BC134,'HHV-LHV-MW'!$A$3:$F$40,6,FALSE))*(QK69/100)))</f>
        <v/>
      </c>
      <c r="QQ69" s="185" t="str">
        <f>IF(Compositions!BD134="","",(Compositions!BD134*(VLOOKUP(Compositions!BC134,'HHV-LHV-MW'!$A$3:$F$40,6,FALSE))))</f>
        <v/>
      </c>
      <c r="QR69" s="298" t="str">
        <f>IF(Compositions!BD134="","",IF(OR(Compositions!$BD$118="wt%",Compositions!$BD$118=""),Compositions!BD134,(IF(QQ69="","",((QQ69/$QQ$78)*100)))))</f>
        <v/>
      </c>
      <c r="QS69" s="185" t="str">
        <f>IF(QR69="","",(IF(OR(Compositions!BC134="Hydrogen",Compositions!BC134="Helium",Compositions!BC134="Water",Compositions!BC134="Carbon Monoxide",Compositions!BC134="Nitrogen",Compositions!BC134="Oxygen",Compositions!BC134="Hydrogen Sulfide",Compositions!BC134="Argon",Compositions!BC134="Carbon Dioxide",Compositions!BC134="Carbon Disulfide"),0,QR69)))</f>
        <v/>
      </c>
      <c r="QT69" s="187" t="str">
        <f>IF(Compositions!BD134="","",((QK69/100)*((VLOOKUP(Compositions!BC134,'HHV-LHV-MW'!$A$3:$G$40,7,FALSE)))))</f>
        <v/>
      </c>
      <c r="QU69" s="187" t="str">
        <f>IF(QK69="","",(IF(OR(Compositions!BC134="Hydrogen",Compositions!BC134="Carbon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Dioxide",Compositions!BC134="Methane",Compositions!BC134="Ethane"),0,(QK69/100))))</f>
        <v/>
      </c>
      <c r="QV69" s="205" t="str">
        <f>IF(QK69="","",(IF(OR($QU$78=0,$QU$78=""),0,     ((VLOOKUP(Compositions!BC134,'HHV-LHV-MW'!$A$3:$F$40,6,FALSE))*(QU69/$QU$78)))))</f>
        <v/>
      </c>
      <c r="QW69" s="28" t="str">
        <f>IF(Compositions!BE134="","",IF(Compositions!$BE$118="mol%",Compositions!BE134,QX69))</f>
        <v/>
      </c>
      <c r="QX69" s="28" t="str">
        <f t="shared" si="61"/>
        <v/>
      </c>
      <c r="QY69" s="28" t="str">
        <f>IF(Compositions!BE134="","",(Compositions!BE134/(VLOOKUP(Compositions!BC134,'HHV-LHV-MW'!$A$3:$F$40,6,FALSE))))</f>
        <v/>
      </c>
      <c r="QZ69" s="184" t="str">
        <f>IF(QW69="","",((VLOOKUP(Compositions!BC134,'HHV-LHV-MW'!$A$3:$F$40,4,FALSE))*(QW69/100)))</f>
        <v/>
      </c>
      <c r="RA69" s="184" t="str">
        <f>IF(QW69="","",((VLOOKUP(Compositions!BC134,'HHV-LHV-MW'!$A$3:$F$40,5,FALSE))*(QW69/100)))</f>
        <v/>
      </c>
      <c r="RB69" s="184" t="str">
        <f>IF(QW69="","",((VLOOKUP(Compositions!BC134,'HHV-LHV-MW'!$A$3:$F$40,6,FALSE))*(QW69/100)))</f>
        <v/>
      </c>
      <c r="RC69" s="184" t="str">
        <f>IF(Compositions!BE134="","",(Compositions!BE134*(VLOOKUP(Compositions!BC134,'HHV-LHV-MW'!$A$3:$F$40,6,FALSE))))</f>
        <v/>
      </c>
      <c r="RD69" s="297" t="str">
        <f>IF(Compositions!BE134="","",IF(OR(Compositions!$BE$118="wt%",Compositions!$BE$118=""),Compositions!BE134,(IF(RC69="","",((RC69/$RC$78)*100)))))</f>
        <v/>
      </c>
      <c r="RE69" s="39" t="str">
        <f>IF(RD69="","",(IF(OR(Compositions!BC134="Hydrogen",Compositions!BC134="Helium",Compositions!BC134="Water",Compositions!BC134="Carbon Monoxide",Compositions!BC134="Nitrogen",Compositions!BC134="Oxygen",Compositions!BC134="Hydrogen Sulfide",Compositions!BC134="Argon",Compositions!BC134="Carbon Dioxide",Compositions!BC134="Carbon Disulfide"),0,RD69)))</f>
        <v/>
      </c>
      <c r="RF69" s="186" t="str">
        <f>IF(Compositions!BE134="","",((QW69/100)*((VLOOKUP(Compositions!BC134,'HHV-LHV-MW'!$A$3:$G$40,7,FALSE)))))</f>
        <v/>
      </c>
      <c r="RG69" s="186" t="str">
        <f>IF(QW69="","",(IF(OR(Compositions!BC134="Hydrogen",Compositions!BC134="Carbon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Dioxide",Compositions!BC134="Methane",Compositions!BC134="Ethane"),0,(QW69/100))))</f>
        <v/>
      </c>
      <c r="RH69" s="39" t="str">
        <f>IF(QW69="","",(IF(OR($RG$78=0,$RG$78=""),0,     ((VLOOKUP(Compositions!BC134,'HHV-LHV-MW'!$A$3:$F$40,6,FALSE))*(RG69/$RG$78)))))</f>
        <v/>
      </c>
      <c r="RI69" s="27" t="str">
        <f>IF(Compositions!BF134="","",IF(Compositions!$BF$118="mol%",Compositions!BF134,RJ69))</f>
        <v/>
      </c>
      <c r="RJ69" s="27" t="str">
        <f t="shared" si="62"/>
        <v/>
      </c>
      <c r="RK69" s="27" t="str">
        <f>IF(Compositions!BF134="","",(Compositions!BF134/(VLOOKUP(Compositions!BC134,'HHV-LHV-MW'!$A$3:$F$40,6,FALSE))))</f>
        <v/>
      </c>
      <c r="RL69" s="185" t="str">
        <f>IF(RI69="","",((VLOOKUP(Compositions!BC134,'HHV-LHV-MW'!$A$3:$F$40,4,FALSE))*(RI69/100)))</f>
        <v/>
      </c>
      <c r="RM69" s="185" t="str">
        <f>IF(RI69="","",((VLOOKUP(Compositions!BC134,'HHV-LHV-MW'!$A$3:$F$40,5,FALSE))*(RI69/100)))</f>
        <v/>
      </c>
      <c r="RN69" s="185" t="str">
        <f>IF(RI69="","",((VLOOKUP(Compositions!BC134,'HHV-LHV-MW'!$A$3:$F$40,6,FALSE))*(RI69/100)))</f>
        <v/>
      </c>
      <c r="RO69" s="185" t="str">
        <f>IF(Compositions!BF134="","",(Compositions!BF134*(VLOOKUP(Compositions!BC134,'HHV-LHV-MW'!$A$3:$F$40,6,FALSE))))</f>
        <v/>
      </c>
      <c r="RP69" s="298" t="str">
        <f>IF(Compositions!BF134="","",IF(OR(Compositions!$BF$118="wt%",Compositions!$BF$118=""),Compositions!BF134,(IF(RO69="","",((RO69/$RO$78)*100)))))</f>
        <v/>
      </c>
      <c r="RQ69" s="185" t="str">
        <f>IF(RP69="","",(IF(OR(Compositions!BC134="Hydrogen",Compositions!BC134="Helium",Compositions!BC134="Water",Compositions!BC134="Carbon Monoxide",Compositions!BC134="Nitrogen",Compositions!BC134="Oxygen",Compositions!BC134="Hydrogen Sulfide",Compositions!BC134="Argon",Compositions!BC134="Carbon Dioxide",Compositions!BC134="Carbon Disulfide"),0,RP69)))</f>
        <v/>
      </c>
      <c r="RR69" s="187" t="str">
        <f>IF(Compositions!BF134="","",((RI69/100)*((VLOOKUP(Compositions!BC134,'HHV-LHV-MW'!$A$3:$G$40,7,FALSE)))))</f>
        <v/>
      </c>
      <c r="RS69" s="187" t="str">
        <f>IF(RI69="","",(IF(OR(Compositions!BC134="Hydrogen",Compositions!BC134="Carbon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Dioxide",Compositions!BC134="Methane",Compositions!BC134="Ethane"),0,(RI69/100))))</f>
        <v/>
      </c>
      <c r="RT69" s="205" t="str">
        <f>IF(RI69="","",(IF(OR($RS$78=0,$RS$78=""),0,     ((VLOOKUP(Compositions!BC134,'HHV-LHV-MW'!$A$3:$F$40,6,FALSE))*(RS69/$RS$78)))))</f>
        <v/>
      </c>
      <c r="RU69" s="28" t="str">
        <f>IF(Compositions!BG134="","",IF(Compositions!$BG$118="mol%",Compositions!BG134,RV69))</f>
        <v/>
      </c>
      <c r="RV69" s="28" t="str">
        <f t="shared" si="63"/>
        <v/>
      </c>
      <c r="RW69" s="28" t="str">
        <f>IF(Compositions!BG134="","",(Compositions!BG134/(VLOOKUP(Compositions!BC134,'HHV-LHV-MW'!$A$3:$F$40,6,FALSE))))</f>
        <v/>
      </c>
      <c r="RX69" s="184" t="str">
        <f>IF(RU69="","",((VLOOKUP(Compositions!BC134,'HHV-LHV-MW'!$A$3:$F$40,4,FALSE))*(RU69/100)))</f>
        <v/>
      </c>
      <c r="RY69" s="184" t="str">
        <f>IF(RU69="","",((VLOOKUP(Compositions!BC134,'HHV-LHV-MW'!$A$3:$F$40,5,FALSE))*(RU69/100)))</f>
        <v/>
      </c>
      <c r="RZ69" s="184" t="str">
        <f>IF(RU69="","",((VLOOKUP(Compositions!BC134,'HHV-LHV-MW'!$A$3:$F$40,6,FALSE))*(RU69/100)))</f>
        <v/>
      </c>
      <c r="SA69" s="184" t="str">
        <f>IF(Compositions!BG134="","",(Compositions!BG134*(VLOOKUP(Compositions!BC134,'HHV-LHV-MW'!$A$3:$F$40,6,FALSE))))</f>
        <v/>
      </c>
      <c r="SB69" s="297" t="str">
        <f>IF(Compositions!BG134="","",IF(OR(Compositions!$BG$118="wt%",Compositions!$BG$118=""),Compositions!BG134,(IF(SA69="","",((SA69/$SA$78)*100)))))</f>
        <v/>
      </c>
      <c r="SC69" s="39" t="str">
        <f>IF(SB69="","",(IF(OR(Compositions!BC134="Hydrogen",Compositions!BC134="Helium",Compositions!BC134="Water",Compositions!BC134="Carbon Monoxide",Compositions!BC134="Nitrogen",Compositions!BC134="Oxygen",Compositions!BC134="Hydrogen Sulfide",Compositions!BC134="Argon",Compositions!BC134="Carbon Dioxide",Compositions!BC134="Carbon Disulfide"),0,SB69)))</f>
        <v/>
      </c>
      <c r="SD69" s="186" t="str">
        <f>IF(Compositions!BG134="","",((RU69/100)*((VLOOKUP(Compositions!BC134,'HHV-LHV-MW'!$A$3:$G$40,7,FALSE)))))</f>
        <v/>
      </c>
      <c r="SE69" s="186" t="str">
        <f>IF(RU69="","",(IF(OR(Compositions!BC134="Hydrogen",Compositions!BC134="Carbon Disulfide",Compositions!BC134="Helium",Compositions!BC134="Water",Compositions!BC134="Carbon Monoxide",Compositions!BC134="Nitrogen",Compositions!BC134="Oxygen",Compositions!BC134="Hydrogen Sulfide",Compositions!BC134="Argon",Compositions!BC134="Carbon Dioxide",Compositions!BC134="Methane",Compositions!BC134="Ethane"),0,(RU69/100))))</f>
        <v/>
      </c>
      <c r="SF69" s="39" t="str">
        <f>IF(RU69="","",(IF(OR($SE$78=0,$SE$78=""),0,     ((VLOOKUP(Compositions!BC134,'HHV-LHV-MW'!$A$3:$F$40,6,FALSE))*(SE69/$SE$78)))))</f>
        <v/>
      </c>
    </row>
    <row r="70" spans="1:500" ht="15.6">
      <c r="A70" s="173" t="s">
        <v>203</v>
      </c>
      <c r="B70" s="19" t="s">
        <v>192</v>
      </c>
      <c r="C70" s="20">
        <v>6</v>
      </c>
      <c r="D70" s="20">
        <v>4.1920999999999999</v>
      </c>
      <c r="E70" s="20">
        <v>3.8795999999999999</v>
      </c>
      <c r="F70" s="20">
        <v>86.177160000000001</v>
      </c>
      <c r="G70" s="20">
        <v>0</v>
      </c>
      <c r="H70" s="170"/>
      <c r="I70" s="170"/>
      <c r="K70" s="27" t="str">
        <f>IF(Compositions!B135="","",IF(Compositions!$B$118="mol%",Compositions!B135,L70))</f>
        <v/>
      </c>
      <c r="L70" s="27" t="str">
        <f t="shared" si="25"/>
        <v/>
      </c>
      <c r="M70" s="27" t="str">
        <f>IF(Compositions!B135="","",(Compositions!B135/(VLOOKUP(Compositions!A135,'HHV-LHV-MW'!$A$3:$F$40,6,FALSE))))</f>
        <v/>
      </c>
      <c r="N70" s="25" t="str">
        <f>IF(K70="","",((VLOOKUP(Compositions!A135,'HHV-LHV-MW'!$A$3:$F$40,4,FALSE))*(K70/100)))</f>
        <v/>
      </c>
      <c r="O70" s="25" t="str">
        <f>IF(K70="","",((VLOOKUP(Compositions!A135,'HHV-LHV-MW'!$A$3:$F$40,5,FALSE))*(K70/100)))</f>
        <v/>
      </c>
      <c r="P70" s="25" t="str">
        <f>IF(K70="","",((VLOOKUP(Compositions!A135,'HHV-LHV-MW'!$A$3:$F$40,6,FALSE))*(K70/100)))</f>
        <v/>
      </c>
      <c r="Q70" s="25" t="str">
        <f>IF(Compositions!B135="","",(Compositions!B135*(VLOOKUP(Compositions!A135,'HHV-LHV-MW'!$A$3:$F$40,6,FALSE))))</f>
        <v/>
      </c>
      <c r="R70" s="188" t="str">
        <f>IF(Compositions!B135="","",IF(OR(Compositions!$B$118="wt%",Compositions!$B$118=""),Compositions!B135,(IF(Q70="","",((Q70/$Q$78)*100)))))</f>
        <v/>
      </c>
      <c r="S70" s="185" t="str">
        <f>IF(R70="","",(IF(OR(Compositions!A135="Hydrogen",Compositions!A135="Helium",Compositions!A135="Water",Compositions!A135="Carbon Monoxide",Compositions!A135="Nitrogen",Compositions!A135="Oxygen",Compositions!A135="Hydrogen Sulfide",Compositions!A135="Argon",Compositions!A135="Carbon Dioxide",Compositions!A135="Carbon Disulfide"),0,R70)))</f>
        <v/>
      </c>
      <c r="T70" s="169" t="str">
        <f>IF(Compositions!B135="","",((K70/100)*((VLOOKUP(Compositions!A135,'HHV-LHV-MW'!$A$3:$G$40,7,FALSE)))))</f>
        <v/>
      </c>
      <c r="U70" s="187" t="str">
        <f>IF(K70="","",(IF(OR(Compositions!A135="Hydrogen",Compositions!A135="Carbon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Dioxide",Compositions!A135="Methane",Compositions!A135="Ethane"),0,(K70/100))))</f>
        <v/>
      </c>
      <c r="V70" s="188" t="str">
        <f>IF(K70="","", (IF(OR($U$78=0,$U$78=""),0,((VLOOKUP(Compositions!A135,'HHV-LHV-MW'!$A$3:$F$40,6,FALSE))*(U70/$U$78))   ))   )</f>
        <v/>
      </c>
      <c r="W70" s="28" t="str">
        <f>IF(Compositions!C135="","",IF(Compositions!$C$118="mol%",Compositions!C135,X70))</f>
        <v/>
      </c>
      <c r="X70" s="28" t="str">
        <f t="shared" si="26"/>
        <v/>
      </c>
      <c r="Y70" s="28" t="str">
        <f>IF(Compositions!C135="","",(Compositions!C135/(VLOOKUP(Compositions!A135,'HHV-LHV-MW'!$A$3:$F$40,6,FALSE))))</f>
        <v/>
      </c>
      <c r="Z70" s="26" t="str">
        <f>IF(W70="","",((VLOOKUP(Compositions!A135,'HHV-LHV-MW'!$A$3:$F$40,4,FALSE))*(W70/100)))</f>
        <v/>
      </c>
      <c r="AA70" s="26" t="str">
        <f>IF(W70="","",((VLOOKUP(Compositions!A135,'HHV-LHV-MW'!$A$3:$F$40,5,FALSE))*(W70/100)))</f>
        <v/>
      </c>
      <c r="AB70" s="26" t="str">
        <f>IF(W70="","",((VLOOKUP(Compositions!A135,'HHV-LHV-MW'!$A$3:$F$40,6,FALSE))*(W70/100)))</f>
        <v/>
      </c>
      <c r="AC70" s="26" t="str">
        <f>IF(Compositions!C135="","",(Compositions!C135*(VLOOKUP(Compositions!A135,'HHV-LHV-MW'!$A$3:$F$40,6,FALSE))))</f>
        <v/>
      </c>
      <c r="AD70" s="296" t="str">
        <f>IF(Compositions!C135="","",IF(OR(Compositions!$C$118="wt%",Compositions!$C$118=""),Compositions!C135,(IF(AC70="","",((AC70/$AC$78)*100)))))</f>
        <v/>
      </c>
      <c r="AE70" s="39" t="str">
        <f>IF(AD70="","",(IF(OR(Compositions!A135="Hydrogen",Compositions!A135="Helium",Compositions!A135="Water",Compositions!A135="Carbon Monoxide",Compositions!A135="Nitrogen",Compositions!A135="Oxygen",Compositions!A135="Hydrogen Sulfide",Compositions!A135="Argon",Compositions!A135="Carbon Dioxide",Compositions!A135="Carbon Disulfide"),0,AD70)))</f>
        <v/>
      </c>
      <c r="AF70" s="186" t="str">
        <f>IF(Compositions!C135="","",((W70/100)*((VLOOKUP(Compositions!A135,'HHV-LHV-MW'!$A$3:$G$40,7,FALSE)))))</f>
        <v/>
      </c>
      <c r="AG70" s="186" t="str">
        <f>IF(W70="","",(IF(OR(Compositions!A135="Hydrogen",Compositions!A135="Carbon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Dioxide",Compositions!A135="Methane",Compositions!A135="Ethane"),0,(W70/100))))</f>
        <v/>
      </c>
      <c r="AH70" s="39" t="str">
        <f>IF(W70="","", (IF(OR($AG$78=0,$AG$78=""),0,   ((VLOOKUP(Compositions!A135,'HHV-LHV-MW'!$A$3:$F$40,6,FALSE))*(AG70/$AG$78)))))</f>
        <v/>
      </c>
      <c r="AI70" s="27" t="str">
        <f>IF(Compositions!D135="","",IF(Compositions!$D$118="mol%",Compositions!D135,AJ70))</f>
        <v/>
      </c>
      <c r="AJ70" s="27" t="str">
        <f t="shared" si="27"/>
        <v/>
      </c>
      <c r="AK70" s="27" t="str">
        <f>IF(Compositions!D135="","",(Compositions!D135/(VLOOKUP(Compositions!A135,'HHV-LHV-MW'!$A$3:$F$40,6,FALSE))))</f>
        <v/>
      </c>
      <c r="AL70" s="25" t="str">
        <f>IF(AI70="","",((VLOOKUP(Compositions!A135,'HHV-LHV-MW'!$A$3:$F$40,4,FALSE))*(AI70/100)))</f>
        <v/>
      </c>
      <c r="AM70" s="25" t="str">
        <f>IF(AI70="","",((VLOOKUP(Compositions!A135,'HHV-LHV-MW'!$A$3:$F$40,5,FALSE))*(AI70/100)))</f>
        <v/>
      </c>
      <c r="AN70" s="25" t="str">
        <f>IF(AI70="","",((VLOOKUP(Compositions!A135,'HHV-LHV-MW'!$A$3:$F$40,6,FALSE))*(AI70/100)))</f>
        <v/>
      </c>
      <c r="AO70" s="25" t="str">
        <f>IF(Compositions!D135="","",(Compositions!D135*(VLOOKUP(Compositions!A135,'HHV-LHV-MW'!$A$3:$F$40,6,FALSE))))</f>
        <v/>
      </c>
      <c r="AP70" s="295" t="str">
        <f>IF(Compositions!D135="","",IF(OR(Compositions!$D$118="wt%",Compositions!$D$118=""),Compositions!D135,(IF(AO70="","",((AO70/$AO$78)*100)))))</f>
        <v/>
      </c>
      <c r="AQ70" s="185" t="str">
        <f>IF(AP70="","",(IF(OR(Compositions!A135="Hydrogen",Compositions!A135="Helium",Compositions!A135="Water",Compositions!A135="Carbon Monoxide",Compositions!A135="Nitrogen",Compositions!A135="Oxygen",Compositions!A135="Hydrogen Sulfide",Compositions!A135="Argon",Compositions!A135="Carbon Dioxide",Compositions!A135="Carbon Disulfide"),0,AP70)))</f>
        <v/>
      </c>
      <c r="AR70" s="187" t="str">
        <f>IF(Compositions!D135="","",((AI70/100)*((VLOOKUP(Compositions!A135,'HHV-LHV-MW'!$A$3:$G$40,7,FALSE)))))</f>
        <v/>
      </c>
      <c r="AS70" s="187" t="str">
        <f>IF(AI70="","",(IF(OR(Compositions!A135="Hydrogen",Compositions!A135="Carbon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Dioxide",Compositions!A135="Methane",Compositions!A135="Ethane"),0,(AI70/100))))</f>
        <v/>
      </c>
      <c r="AT70" s="205" t="str">
        <f>IF(AI70="","",(IF(OR($AS$78=0,$AS$78=""),0,      ((VLOOKUP(Compositions!A135,'HHV-LHV-MW'!$A$3:$F$40,6,FALSE))*(AS70/$AS$78)))))</f>
        <v/>
      </c>
      <c r="AU70" s="28" t="str">
        <f>IF(Compositions!E135="","",IF(Compositions!$E$118="mol%",Compositions!E135,AV70))</f>
        <v/>
      </c>
      <c r="AV70" s="28" t="str">
        <f t="shared" si="28"/>
        <v/>
      </c>
      <c r="AW70" s="28" t="str">
        <f>IF(Compositions!E135="","",(Compositions!E135/(VLOOKUP(Compositions!A135,'HHV-LHV-MW'!$A$3:$F$40,6,FALSE))))</f>
        <v/>
      </c>
      <c r="AX70" s="26" t="str">
        <f>IF(AU70="","",((VLOOKUP(Compositions!A135,'HHV-LHV-MW'!$A$3:$F$40,4,FALSE))*(AU70/100)))</f>
        <v/>
      </c>
      <c r="AY70" s="26" t="str">
        <f>IF(AU70="","",((VLOOKUP(Compositions!A135,'HHV-LHV-MW'!$A$3:$F$40,5,FALSE))*(AU70/100)))</f>
        <v/>
      </c>
      <c r="AZ70" s="26" t="str">
        <f>IF(AU70="","",((VLOOKUP(Compositions!A135,'HHV-LHV-MW'!$A$3:$F$40,6,FALSE))*(AU70/100)))</f>
        <v/>
      </c>
      <c r="BA70" s="26" t="str">
        <f>IF(Compositions!E135="","",(Compositions!E135*(VLOOKUP(Compositions!A135,'HHV-LHV-MW'!$A$3:$F$40,6,FALSE))))</f>
        <v/>
      </c>
      <c r="BB70" s="296" t="str">
        <f>IF(Compositions!E135="","",IF(OR(Compositions!$E$118="wt%",Compositions!$E$118=""),Compositions!E135,(IF(BA70="","",((BA70/$BA$78)*100)))))</f>
        <v/>
      </c>
      <c r="BC70" s="39" t="str">
        <f>IF(BB70="","",(IF(OR(Compositions!A135="Hydrogen",Compositions!A135="Helium",Compositions!A135="Water",Compositions!A135="Carbon Monoxide",Compositions!A135="Nitrogen",Compositions!A135="Oxygen",Compositions!A135="Hydrogen Sulfide",Compositions!A135="Argon",Compositions!A135="Carbon Dioxide",Compositions!A135="Carbon Disulfide"),0,BB70)))</f>
        <v/>
      </c>
      <c r="BD70" s="186" t="str">
        <f>IF(Compositions!E135="","",((AU70/100)*((VLOOKUP(Compositions!A135,'HHV-LHV-MW'!$A$3:$G$40,7,FALSE)))))</f>
        <v/>
      </c>
      <c r="BE70" s="186" t="str">
        <f>IF(AU70="","",(IF(OR(Compositions!A135="Hydrogen",Compositions!A135="Carbon Disulfide",Compositions!A135="Helium",Compositions!A135="Water",Compositions!A135="Carbon Monoxide",Compositions!A135="Nitrogen",Compositions!A135="Oxygen",Compositions!A135="Hydrogen Sulfide",Compositions!A135="Argon",Compositions!A135="Carbon Dioxide",Compositions!A135="Methane",Compositions!A135="Ethane"),0,(AU70/100))))</f>
        <v/>
      </c>
      <c r="BF70" s="39" t="str">
        <f>IF(AU70="","",(IF(OR($BE$78=0,$BE$78=""),0,     ((VLOOKUP(Compositions!A135,'HHV-LHV-MW'!$A$3:$F$40,6,FALSE))*(BE70/$BE$78)))))</f>
        <v/>
      </c>
      <c r="BH70" s="27" t="str">
        <f>IF(Compositions!H135="","",IF(Compositions!$H$118="mol%",Compositions!H135,BI70))</f>
        <v/>
      </c>
      <c r="BI70" s="27" t="str">
        <f t="shared" si="29"/>
        <v/>
      </c>
      <c r="BJ70" s="27" t="str">
        <f>IF(Compositions!H135="","",(Compositions!H135/(VLOOKUP(Compositions!G135,'HHV-LHV-MW'!$A$3:$F$40,6,FALSE))))</f>
        <v/>
      </c>
      <c r="BK70" s="25" t="str">
        <f>IF(BH70="","",((VLOOKUP(Compositions!G135,'HHV-LHV-MW'!$A$3:$F$40,4,FALSE))*(BH70/100)))</f>
        <v/>
      </c>
      <c r="BL70" s="25" t="str">
        <f>IF(BH70="","",((VLOOKUP(Compositions!G135,'HHV-LHV-MW'!$A$3:$F$40,5,FALSE))*(BH70/100)))</f>
        <v/>
      </c>
      <c r="BM70" s="25" t="str">
        <f>IF(BH70="","",((VLOOKUP(Compositions!G135,'HHV-LHV-MW'!$A$3:$F$40,6,FALSE))*(BH70/100)))</f>
        <v/>
      </c>
      <c r="BN70" s="25" t="str">
        <f>IF(Compositions!H135="","",(Compositions!H135*(VLOOKUP(Compositions!G135,'HHV-LHV-MW'!$A$3:$F$40,6,FALSE))))</f>
        <v/>
      </c>
      <c r="BO70" s="295" t="str">
        <f>IF(Compositions!H135="","",IF(OR(Compositions!$H$118="wt%",Compositions!$H$118=""),Compositions!H135,(IF(BN70="","",((BN70/$BN$78)*100)))))</f>
        <v/>
      </c>
      <c r="BP70" s="185" t="str">
        <f>IF(BO70="","",(IF(OR(Compositions!G135="Hydrogen",Compositions!G135="Helium",Compositions!G135="Water",Compositions!G135="Carbon Monoxide",Compositions!G135="Nitrogen",Compositions!G135="Oxygen",Compositions!G135="Hydrogen Sulfide",Compositions!G135="Argon",Compositions!G135="Carbon Dioxide",Compositions!G135="Carbon Disulfide"),0,BO70)))</f>
        <v/>
      </c>
      <c r="BQ70" s="187" t="str">
        <f>IF(Compositions!H135="","",((BH70/100)*((VLOOKUP(Compositions!G135,'HHV-LHV-MW'!$A$3:$G$40,7,FALSE)))))</f>
        <v/>
      </c>
      <c r="BR70" s="187" t="str">
        <f>IF(BH70="","",(IF(OR(Compositions!G135="Hydrogen",Compositions!G135="Carbon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Dioxide",Compositions!G135="Methane",Compositions!G135="Ethane"),0,(BH70/100))))</f>
        <v/>
      </c>
      <c r="BS70" s="205" t="str">
        <f>IF(BH70="","",(IF(OR($BR$78=0,$BR$78=""),0,    ((VLOOKUP(Compositions!G135,'HHV-LHV-MW'!$A$3:$F$40,6,FALSE))*(BR70/$BR$78)))))</f>
        <v/>
      </c>
      <c r="BT70" s="28" t="str">
        <f>IF(Compositions!I135="","",IF(Compositions!$I$118="mol%",Compositions!I135,BU70))</f>
        <v/>
      </c>
      <c r="BU70" s="28" t="str">
        <f t="shared" si="30"/>
        <v/>
      </c>
      <c r="BV70" s="28" t="str">
        <f>IF(Compositions!I135="","",(Compositions!I135/(VLOOKUP(Compositions!G135,'HHV-LHV-MW'!$A$3:$F$40,6,FALSE))))</f>
        <v/>
      </c>
      <c r="BW70" s="26" t="str">
        <f>IF(BT70="","",((VLOOKUP(Compositions!G135,'HHV-LHV-MW'!$A$3:$F$40,4,FALSE))*(BT70/100)))</f>
        <v/>
      </c>
      <c r="BX70" s="26" t="str">
        <f>IF(BT70="","",((VLOOKUP(Compositions!G135,'HHV-LHV-MW'!$A$3:$F$40,5,FALSE))*(BT70/100)))</f>
        <v/>
      </c>
      <c r="BY70" s="26" t="str">
        <f>IF(BT70="","",((VLOOKUP(Compositions!G135,'HHV-LHV-MW'!$A$3:$F$40,6,FALSE))*(BT70/100)))</f>
        <v/>
      </c>
      <c r="BZ70" s="26" t="str">
        <f>IF(Compositions!I135="","",(Compositions!I135*(VLOOKUP(Compositions!G135,'HHV-LHV-MW'!$A$3:$F$40,6,FALSE))))</f>
        <v/>
      </c>
      <c r="CA70" s="296" t="str">
        <f>IF(Compositions!I135="","",IF(OR(Compositions!$I$118="wt%",Compositions!$I$118=""),Compositions!I135,(IF(BZ70="","",((BZ70/$BZ$78)*100)))))</f>
        <v/>
      </c>
      <c r="CB70" s="39" t="str">
        <f>IF(CA70="","",(IF(OR(Compositions!G135="Hydrogen",Compositions!G135="Helium",Compositions!G135="Water",Compositions!G135="Carbon Monoxide",Compositions!G135="Nitrogen",Compositions!G135="Oxygen",Compositions!G135="Hydrogen Sulfide",Compositions!G135="Argon",Compositions!G135="Carbon Dioxide",Compositions!G135="Carbon Disulfide"),0,CA70)))</f>
        <v/>
      </c>
      <c r="CC70" s="186" t="str">
        <f>IF(Compositions!I135="","",((BT70/100)*((VLOOKUP(Compositions!G135,'HHV-LHV-MW'!$A$3:$G$40,7,FALSE)))))</f>
        <v/>
      </c>
      <c r="CD70" s="186" t="str">
        <f>IF(BT70="","",(IF(OR(Compositions!G135="Hydrogen",Compositions!G135="Carbon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Dioxide",Compositions!G135="Methane",Compositions!G135="Ethane"),0,(BT70/100))))</f>
        <v/>
      </c>
      <c r="CE70" s="39" t="str">
        <f>IF(BT70="","",(IF(OR($CD$78=0,$CD$78=""),0,       ((VLOOKUP(Compositions!G135,'HHV-LHV-MW'!$A$3:$F$40,6,FALSE))*(CD70/$CD$78)))))</f>
        <v/>
      </c>
      <c r="CF70" s="27" t="str">
        <f>IF(Compositions!J135="","",IF(Compositions!$J$118="mol%",Compositions!J135,CG70))</f>
        <v/>
      </c>
      <c r="CG70" s="27" t="str">
        <f t="shared" si="31"/>
        <v/>
      </c>
      <c r="CH70" s="27" t="str">
        <f>IF(Compositions!J135="","",(Compositions!J135/(VLOOKUP(Compositions!G135,'HHV-LHV-MW'!$A$3:$F$40,6,FALSE))))</f>
        <v/>
      </c>
      <c r="CI70" s="25" t="str">
        <f>IF(CF70="","",((VLOOKUP(Compositions!G135,'HHV-LHV-MW'!$A$3:$F$40,4,FALSE))*(CF70/100)))</f>
        <v/>
      </c>
      <c r="CJ70" s="25" t="str">
        <f>IF(CF70="","",((VLOOKUP(Compositions!G135,'HHV-LHV-MW'!$A$3:$F$40,5,FALSE))*(CF70/100)))</f>
        <v/>
      </c>
      <c r="CK70" s="25" t="str">
        <f>IF(CF70="","",((VLOOKUP(Compositions!G135,'HHV-LHV-MW'!$A$3:$F$40,6,FALSE))*(CF70/100)))</f>
        <v/>
      </c>
      <c r="CL70" s="25" t="str">
        <f>IF(Compositions!J135="","",(Compositions!J135*(VLOOKUP(Compositions!G135,'HHV-LHV-MW'!$A$3:$F$40,6,FALSE))))</f>
        <v/>
      </c>
      <c r="CM70" s="295" t="str">
        <f>IF(Compositions!J135="","",IF(OR(Compositions!$J$118="wt%",Compositions!$J$118=""),Compositions!J135,(IF(CL70="","",((CL70/$CL$78)*100)))))</f>
        <v/>
      </c>
      <c r="CN70" s="185" t="str">
        <f>IF(CM70="","",(IF(OR(Compositions!G135="Hydrogen",Compositions!G135="Helium",Compositions!G135="Water",Compositions!G135="Carbon Monoxide",Compositions!G135="Nitrogen",Compositions!G135="Oxygen",Compositions!G135="Hydrogen Sulfide",Compositions!G135="Argon",Compositions!G135="Carbon Dioxide",Compositions!G135="Carbon Disulfide"),0,CM70)))</f>
        <v/>
      </c>
      <c r="CO70" s="187" t="str">
        <f>IF(Compositions!J135="","",((CF70/100)*((VLOOKUP(Compositions!G135,'HHV-LHV-MW'!$A$3:$G$40,7,FALSE)))))</f>
        <v/>
      </c>
      <c r="CP70" s="187" t="str">
        <f>IF(CF70="","",(IF(OR(Compositions!G135="Hydrogen",Compositions!G135="Carbon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Dioxide",Compositions!G135="Methane",Compositions!G135="Ethane"),0,(CF70/100))))</f>
        <v/>
      </c>
      <c r="CQ70" s="205" t="str">
        <f>IF(CF70="","",(IF(OR($CP$78=0,$CP$78=""),0,       ((VLOOKUP(Compositions!G135,'HHV-LHV-MW'!$A$3:$F$40,6,FALSE))*(CP70/$CP$78)))))</f>
        <v/>
      </c>
      <c r="CR70" s="28" t="str">
        <f>IF(Compositions!K135="","",IF(Compositions!$K$118="mol%",Compositions!K135,CS70))</f>
        <v/>
      </c>
      <c r="CS70" s="28" t="str">
        <f t="shared" si="32"/>
        <v/>
      </c>
      <c r="CT70" s="28" t="str">
        <f>IF(Compositions!K135="","",(Compositions!K135/(VLOOKUP(Compositions!G135,'HHV-LHV-MW'!$A$3:$F$40,6,FALSE))))</f>
        <v/>
      </c>
      <c r="CU70" s="26" t="str">
        <f>IF(CR70="","",((VLOOKUP(Compositions!G135,'HHV-LHV-MW'!$A$3:$F$40,4,FALSE))*(CR70/100)))</f>
        <v/>
      </c>
      <c r="CV70" s="26" t="str">
        <f>IF(CR70="","",((VLOOKUP(Compositions!G135,'HHV-LHV-MW'!$A$3:$F$40,5,FALSE))*(CR70/100)))</f>
        <v/>
      </c>
      <c r="CW70" s="26" t="str">
        <f>IF(CR70="","",((VLOOKUP(Compositions!G135,'HHV-LHV-MW'!$A$3:$F$40,6,FALSE))*(CR70/100)))</f>
        <v/>
      </c>
      <c r="CX70" s="26" t="str">
        <f>IF(Compositions!K135="","",(Compositions!K135*(VLOOKUP(Compositions!G135,'HHV-LHV-MW'!$A$3:$F$40,6,FALSE))))</f>
        <v/>
      </c>
      <c r="CY70" s="296" t="str">
        <f>IF(Compositions!K135="","",IF(OR(Compositions!$K$118="wt%",Compositions!$K$118=""),Compositions!K135,(IF(CX70="","",((CX70/$CX$78)*100)))))</f>
        <v/>
      </c>
      <c r="CZ70" s="39" t="str">
        <f>IF(CY70="","",(IF(OR(Compositions!G135="Hydrogen",Compositions!G135="Helium",Compositions!G135="Water",Compositions!G135="Carbon Monoxide",Compositions!G135="Nitrogen",Compositions!G135="Oxygen",Compositions!G135="Hydrogen Sulfide",Compositions!G135="Argon",Compositions!G135="Carbon Dioxide",Compositions!G135="Carbon Disulfide"),0,CY70)))</f>
        <v/>
      </c>
      <c r="DA70" s="186" t="str">
        <f>IF(Compositions!K135="","",((CR70/100)*((VLOOKUP(Compositions!G135,'HHV-LHV-MW'!$A$3:$G$40,7,FALSE)))))</f>
        <v/>
      </c>
      <c r="DB70" s="186" t="str">
        <f>IF(CR70="","",(IF(OR(Compositions!G135="Hydrogen",Compositions!G135="Carbon Disulfide",Compositions!G135="Helium",Compositions!G135="Water",Compositions!G135="Carbon Monoxide",Compositions!G135="Nitrogen",Compositions!G135="Oxygen",Compositions!G135="Hydrogen Sulfide",Compositions!G135="Argon",Compositions!G135="Carbon Dioxide",Compositions!G135="Methane",Compositions!G135="Ethane"),0,(CR70/100))))</f>
        <v/>
      </c>
      <c r="DC70" s="39" t="str">
        <f>IF(CR70="","",(IF(OR($DB$78=0,$DB$78=""),0,       ((VLOOKUP(Compositions!G135,'HHV-LHV-MW'!$A$3:$F$40,6,FALSE))*(DB70/$DB$78)))))</f>
        <v/>
      </c>
      <c r="DE70" s="27" t="str">
        <f>IF(Compositions!N135="","",IF(Compositions!$N$118="mol%",Compositions!N135,DF70))</f>
        <v/>
      </c>
      <c r="DF70" s="27" t="str">
        <f t="shared" si="33"/>
        <v/>
      </c>
      <c r="DG70" s="27" t="str">
        <f>IF(Compositions!N135="","",(Compositions!N135/(VLOOKUP(Compositions!M135,'HHV-LHV-MW'!$A$3:$F$40,6,FALSE))))</f>
        <v/>
      </c>
      <c r="DH70" s="25" t="str">
        <f>IF(DE70="","",((VLOOKUP(Compositions!M135,'HHV-LHV-MW'!$A$3:$F$40,4,FALSE))*(DE70/100)))</f>
        <v/>
      </c>
      <c r="DI70" s="25" t="str">
        <f>IF(DE70="","",((VLOOKUP(Compositions!M135,'HHV-LHV-MW'!$A$3:$F$40,5,FALSE))*(DE70/100)))</f>
        <v/>
      </c>
      <c r="DJ70" s="25" t="str">
        <f>IF(DE70="","",((VLOOKUP(Compositions!M135,'HHV-LHV-MW'!$A$3:$F$40,6,FALSE))*(DE70/100)))</f>
        <v/>
      </c>
      <c r="DK70" s="25" t="str">
        <f>IF(Compositions!N135="","",(Compositions!N135*(VLOOKUP(Compositions!M135,'HHV-LHV-MW'!$A$3:$F$40,6,FALSE))))</f>
        <v/>
      </c>
      <c r="DL70" s="295" t="str">
        <f>IF(Compositions!N135="","",IF(OR(Compositions!$N$118="wt%",Compositions!$N$118=""),Compositions!N135,(IF(DK70="","",((DK70/$DK$78)*100)))))</f>
        <v/>
      </c>
      <c r="DM70" s="185" t="str">
        <f>IF(DL70="","",(IF(OR(Compositions!M135="Hydrogen",Compositions!M135="Helium",Compositions!M135="Water",Compositions!M135="Carbon Monoxide",Compositions!M135="Nitrogen",Compositions!M135="Oxygen",Compositions!M135="Hydrogen Sulfide",Compositions!M135="Argon",Compositions!M135="Carbon Dioxide",Compositions!M135="Carbon Disulfide"),0,DL70)))</f>
        <v/>
      </c>
      <c r="DN70" s="187" t="str">
        <f>IF(Compositions!N135="","",((DE70/100)*((VLOOKUP(Compositions!M135,'HHV-LHV-MW'!$A$3:$G$40,7,FALSE)))))</f>
        <v/>
      </c>
      <c r="DO70" s="187" t="str">
        <f>IF(DE70="","",(IF(OR(Compositions!M135="Hydrogen",Compositions!M135="Carbon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Dioxide",Compositions!M135="Methane",Compositions!M135="Ethane"),0,(DE70/100))))</f>
        <v/>
      </c>
      <c r="DP70" s="205" t="str">
        <f>IF(DE70="","",(IF(OR($DO$78=0,$DO$78=""),0,       ((VLOOKUP(Compositions!M135,'HHV-LHV-MW'!$A$3:$F$40,6,FALSE))*(DO70/$DO$78)))))</f>
        <v/>
      </c>
      <c r="DQ70" s="28" t="str">
        <f>IF(Compositions!O135="","",IF(Compositions!$O$118="mol%",Compositions!O135,DR70))</f>
        <v/>
      </c>
      <c r="DR70" s="28" t="str">
        <f t="shared" si="34"/>
        <v/>
      </c>
      <c r="DS70" s="28" t="str">
        <f>IF(Compositions!O135="","",(Compositions!O135/(VLOOKUP(Compositions!M135,'HHV-LHV-MW'!$A$3:$F$40,6,FALSE))))</f>
        <v/>
      </c>
      <c r="DT70" s="26" t="str">
        <f>IF(DQ70="","",((VLOOKUP(Compositions!M135,'HHV-LHV-MW'!$A$3:$F$40,4,FALSE))*(DQ70/100)))</f>
        <v/>
      </c>
      <c r="DU70" s="26" t="str">
        <f>IF(DQ70="","",((VLOOKUP(Compositions!M135,'HHV-LHV-MW'!$A$3:$F$40,5,FALSE))*(DQ70/100)))</f>
        <v/>
      </c>
      <c r="DV70" s="26" t="str">
        <f>IF(DQ70="","",((VLOOKUP(Compositions!M135,'HHV-LHV-MW'!$A$3:$F$40,6,FALSE))*(DQ70/100)))</f>
        <v/>
      </c>
      <c r="DW70" s="26" t="str">
        <f>IF(Compositions!O135="","",(Compositions!O135*(VLOOKUP(Compositions!M135,'HHV-LHV-MW'!$A$3:$F$40,6,FALSE))))</f>
        <v/>
      </c>
      <c r="DX70" s="296" t="str">
        <f>IF(Compositions!O135="","",IF(OR(Compositions!$O$118="wt%",Compositions!$O$118=""),Compositions!O135,(IF(DW70="","",((DW70/$DW$78)*100)))))</f>
        <v/>
      </c>
      <c r="DY70" s="39" t="str">
        <f>IF(DX70="","",(IF(OR(Compositions!M135="Hydrogen",Compositions!M135="Helium",Compositions!M135="Water",Compositions!M135="Carbon Monoxide",Compositions!M135="Nitrogen",Compositions!M135="Oxygen",Compositions!M135="Hydrogen Sulfide",Compositions!M135="Argon",Compositions!M135="Carbon Dioxide",Compositions!M135="Carbon Disulfide"),0,DX70)))</f>
        <v/>
      </c>
      <c r="DZ70" s="186" t="str">
        <f>IF(Compositions!O135="","",((DQ70/100)*((VLOOKUP(Compositions!M135,'HHV-LHV-MW'!$A$3:$G$40,7,FALSE)))))</f>
        <v/>
      </c>
      <c r="EA70" s="186" t="str">
        <f>IF(DQ70="","",(IF(OR(Compositions!M135="Hydrogen",Compositions!M135="Carbon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Dioxide",Compositions!M135="Methane",Compositions!M135="Ethane"),0,(DQ70/100))))</f>
        <v/>
      </c>
      <c r="EB70" s="39" t="str">
        <f>IF(DQ70="","",(IF(OR($EA$78=0,$EA$78=""),0,       ((VLOOKUP(Compositions!M135,'HHV-LHV-MW'!$A$3:$F$40,6,FALSE))*(EA70/$EA$78)))))</f>
        <v/>
      </c>
      <c r="EC70" s="27" t="str">
        <f>IF(Compositions!P135="","",IF(Compositions!$P$118="mol%",Compositions!P135,ED70))</f>
        <v/>
      </c>
      <c r="ED70" s="27" t="str">
        <f t="shared" si="35"/>
        <v/>
      </c>
      <c r="EE70" s="27" t="str">
        <f>IF(Compositions!P135="","",(Compositions!P135/(VLOOKUP(Compositions!M135,'HHV-LHV-MW'!$A$3:$F$40,6,FALSE))))</f>
        <v/>
      </c>
      <c r="EF70" s="25" t="str">
        <f>IF(EC70="","",((VLOOKUP(Compositions!M135,'HHV-LHV-MW'!$A$3:$F$40,4,FALSE))*(EC70/100)))</f>
        <v/>
      </c>
      <c r="EG70" s="25" t="str">
        <f>IF(EC70="","",((VLOOKUP(Compositions!M135,'HHV-LHV-MW'!$A$3:$F$40,5,FALSE))*(EC70/100)))</f>
        <v/>
      </c>
      <c r="EH70" s="25" t="str">
        <f>IF(EC70="","",((VLOOKUP(Compositions!M135,'HHV-LHV-MW'!$A$3:$F$40,6,FALSE))*(EC70/100)))</f>
        <v/>
      </c>
      <c r="EI70" s="25" t="str">
        <f>IF(Compositions!P135="","",(Compositions!P135*(VLOOKUP(Compositions!M135,'HHV-LHV-MW'!$A$3:$F$40,6,FALSE))))</f>
        <v/>
      </c>
      <c r="EJ70" s="295" t="str">
        <f>IF(Compositions!P135="","",IF(OR(Compositions!$P$118="wt%",Compositions!$P$118=""),Compositions!P135,(IF(EI70="","",((EI70/$EI$78)*100)))))</f>
        <v/>
      </c>
      <c r="EK70" s="185" t="str">
        <f>IF(EJ70="","",(IF(OR(Compositions!M135="Hydrogen",Compositions!M135="Helium",Compositions!M135="Water",Compositions!M135="Carbon Monoxide",Compositions!M135="Nitrogen",Compositions!M135="Oxygen",Compositions!M135="Hydrogen Sulfide",Compositions!M135="Argon",Compositions!M135="Carbon Dioxide",Compositions!M135="Carbon Disulfide"),0,EJ70)))</f>
        <v/>
      </c>
      <c r="EL70" s="187" t="str">
        <f>IF(Compositions!P135="","",((EC70/100)*((VLOOKUP(Compositions!M135,'HHV-LHV-MW'!$A$3:$G$40,7,FALSE)))))</f>
        <v/>
      </c>
      <c r="EM70" s="187" t="str">
        <f>IF(EC70="","",(IF(OR(Compositions!M135="Hydrogen",Compositions!M135="Carbon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Dioxide",Compositions!M135="Methane",Compositions!M135="Ethane"),0,(EC70/100))))</f>
        <v/>
      </c>
      <c r="EN70" s="205" t="str">
        <f>IF(EC70="","",(IF(OR($EM$78=0,$EM$78=""),0,       ((VLOOKUP(Compositions!M135,'HHV-LHV-MW'!$A$3:$F$40,6,FALSE))*(EM70/$EM$78)))))</f>
        <v/>
      </c>
      <c r="EO70" s="28" t="str">
        <f>IF(Compositions!Q135="","",IF(Compositions!$Q$118="mol%",Compositions!Q135,EP70))</f>
        <v/>
      </c>
      <c r="EP70" s="28" t="str">
        <f t="shared" si="36"/>
        <v/>
      </c>
      <c r="EQ70" s="28" t="str">
        <f>IF(Compositions!Q135="","",(Compositions!Q135/(VLOOKUP(Compositions!M135,'HHV-LHV-MW'!$A$3:$F$40,6,FALSE))))</f>
        <v/>
      </c>
      <c r="ER70" s="26" t="str">
        <f>IF(EO70="","",((VLOOKUP(Compositions!M135,'HHV-LHV-MW'!$A$3:$F$40,4,FALSE))*(EO70/100)))</f>
        <v/>
      </c>
      <c r="ES70" s="26" t="str">
        <f>IF(EO70="","",((VLOOKUP(Compositions!M135,'HHV-LHV-MW'!$A$3:$F$40,5,FALSE))*(EO70/100)))</f>
        <v/>
      </c>
      <c r="ET70" s="26" t="str">
        <f>IF(EO70="","",((VLOOKUP(Compositions!M135,'HHV-LHV-MW'!$A$3:$F$40,6,FALSE))*(EO70/100)))</f>
        <v/>
      </c>
      <c r="EU70" s="26" t="str">
        <f>IF(Compositions!Q135="","",(Compositions!Q135*(VLOOKUP(Compositions!M135,'HHV-LHV-MW'!$A$3:$F$40,6,FALSE))))</f>
        <v/>
      </c>
      <c r="EV70" s="296" t="str">
        <f>IF(Compositions!Q135="","",IF(OR(Compositions!$Q$118="wt%",Compositions!$Q$118=""),Compositions!Q135,(IF(EU70="","",((EU70/$EU$78)*100)))))</f>
        <v/>
      </c>
      <c r="EW70" s="39" t="str">
        <f>IF(EV70="","",(IF(OR(Compositions!M135="Hydrogen",Compositions!M135="Helium",Compositions!M135="Water",Compositions!M135="Carbon Monoxide",Compositions!M135="Nitrogen",Compositions!M135="Oxygen",Compositions!M135="Hydrogen Sulfide",Compositions!M135="Argon",Compositions!M135="Carbon Dioxide",Compositions!M135="Carbon Disulfide"),0,EV70)))</f>
        <v/>
      </c>
      <c r="EX70" s="186" t="str">
        <f>IF(Compositions!Q135="","",((EO70/100)*((VLOOKUP(Compositions!M135,'HHV-LHV-MW'!$A$3:$G$40,7,FALSE)))))</f>
        <v/>
      </c>
      <c r="EY70" s="186" t="str">
        <f>IF(EO70="","",(IF(OR(Compositions!M135="Hydrogen",Compositions!M135="Carbon Disulfide",Compositions!M135="Helium",Compositions!M135="Water",Compositions!M135="Carbon Monoxide",Compositions!M135="Nitrogen",Compositions!M135="Oxygen",Compositions!M135="Hydrogen Sulfide",Compositions!M135="Argon",Compositions!M135="Carbon Dioxide",Compositions!M135="Methane",Compositions!M135="Ethane"),0,(EO70/100))))</f>
        <v/>
      </c>
      <c r="EZ70" s="39" t="str">
        <f>IF(EO70="","",(IF(OR($EY$78=0,$EY$78=""),0,       ((VLOOKUP(Compositions!M135,'HHV-LHV-MW'!$A$3:$F$40,6,FALSE))*(EY70/$EY$78)))))</f>
        <v/>
      </c>
      <c r="FB70" s="27" t="str">
        <f>IF(Compositions!T135="","",IF(Compositions!$T$118="mol%",Compositions!T135,FC70))</f>
        <v/>
      </c>
      <c r="FC70" s="27" t="str">
        <f t="shared" si="37"/>
        <v/>
      </c>
      <c r="FD70" s="27" t="str">
        <f>IF(Compositions!T135="","",(Compositions!T135/(VLOOKUP(Compositions!S135,'HHV-LHV-MW'!$A$3:$F$40,6,FALSE))))</f>
        <v/>
      </c>
      <c r="FE70" s="25" t="str">
        <f>IF(FB70="","",((VLOOKUP(Compositions!S135,'HHV-LHV-MW'!$A$3:$F$40,4,FALSE))*(FB70/100)))</f>
        <v/>
      </c>
      <c r="FF70" s="25" t="str">
        <f>IF(FB70="","",((VLOOKUP(Compositions!S135,'HHV-LHV-MW'!$A$3:$F$40,5,FALSE))*(FB70/100)))</f>
        <v/>
      </c>
      <c r="FG70" s="25" t="str">
        <f>IF(FB70="","",((VLOOKUP(Compositions!S135,'HHV-LHV-MW'!$A$3:$F$40,6,FALSE))*(FB70/100)))</f>
        <v/>
      </c>
      <c r="FH70" s="25" t="str">
        <f>IF(Compositions!T135="","",(Compositions!T135*(VLOOKUP(Compositions!S135,'HHV-LHV-MW'!$A$3:$F$40,6,FALSE))))</f>
        <v/>
      </c>
      <c r="FI70" s="295" t="str">
        <f>IF(Compositions!T135="","",IF(OR(Compositions!$T$118="wt%",Compositions!$T$118=""),Compositions!T135,(IF(FH70="","",((FH70/$FH$78)*100)))))</f>
        <v/>
      </c>
      <c r="FJ70" s="185" t="str">
        <f>IF(FI70="","",(IF(OR(Compositions!S135="Hydrogen",Compositions!S135="Helium",Compositions!S135="Water",Compositions!S135="Carbon Monoxide",Compositions!S135="Nitrogen",Compositions!S135="Oxygen",Compositions!S135="Hydrogen Sulfide",Compositions!S135="Argon",Compositions!S135="Carbon Dioxide",Compositions!S135="Carbon Disulfide"),0,FI70)))</f>
        <v/>
      </c>
      <c r="FK70" s="187" t="str">
        <f>IF(Compositions!T135="","",((FB70/100)*((VLOOKUP(Compositions!S135,'HHV-LHV-MW'!$A$3:$G$40,7,FALSE)))))</f>
        <v/>
      </c>
      <c r="FL70" s="187" t="str">
        <f>IF(FB70="","",(IF(OR(Compositions!S135="Hydrogen",Compositions!S135="Carbon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Dioxide",Compositions!S135="Methane",Compositions!S135="Ethane"),0,(FB70/100))))</f>
        <v/>
      </c>
      <c r="FM70" s="205" t="str">
        <f>IF(FB70="","",(IF(OR($FL$78=0,$FL$78=""),0,       ((VLOOKUP(Compositions!S135,'HHV-LHV-MW'!$A$3:$F$40,6,FALSE))*(FL70/$FL$78)))))</f>
        <v/>
      </c>
      <c r="FN70" s="28" t="str">
        <f>IF(Compositions!U135="","",IF(Compositions!$U$118="mol%",Compositions!U135,FO70))</f>
        <v/>
      </c>
      <c r="FO70" s="28" t="str">
        <f t="shared" si="38"/>
        <v/>
      </c>
      <c r="FP70" s="28" t="str">
        <f>IF(Compositions!U135="","",(Compositions!U135/(VLOOKUP(Compositions!S135,'HHV-LHV-MW'!$A$3:$F$40,6,FALSE))))</f>
        <v/>
      </c>
      <c r="FQ70" s="26" t="str">
        <f>IF(FN70="","",((VLOOKUP(Compositions!S135,'HHV-LHV-MW'!$A$3:$F$40,4,FALSE))*(FN70/100)))</f>
        <v/>
      </c>
      <c r="FR70" s="26" t="str">
        <f>IF(FN70="","",((VLOOKUP(Compositions!S135,'HHV-LHV-MW'!$A$3:$F$40,5,FALSE))*(FN70/100)))</f>
        <v/>
      </c>
      <c r="FS70" s="26" t="str">
        <f>IF(FN70="","",((VLOOKUP(Compositions!S135,'HHV-LHV-MW'!$A$3:$F$40,6,FALSE))*(FN70/100)))</f>
        <v/>
      </c>
      <c r="FT70" s="26" t="str">
        <f>IF(Compositions!U135="","",(Compositions!U135*(VLOOKUP(Compositions!S135,'HHV-LHV-MW'!$A$3:$F$40,6,FALSE))))</f>
        <v/>
      </c>
      <c r="FU70" s="296" t="str">
        <f>IF(Compositions!U135="","",IF(OR(Compositions!$U$118="wt%",Compositions!$U$118=""),Compositions!U135,(IF(FT70="","",((FT70/$FT$78)*100)))))</f>
        <v/>
      </c>
      <c r="FV70" s="39" t="str">
        <f>IF(FU70="","",(IF(OR(Compositions!S135="Hydrogen",Compositions!S135="Helium",Compositions!S135="Water",Compositions!S135="Carbon Monoxide",Compositions!S135="Nitrogen",Compositions!S135="Oxygen",Compositions!S135="Hydrogen Sulfide",Compositions!S135="Argon",Compositions!S135="Carbon Dioxide",Compositions!S135="Carbon Disulfide"),0,FU70)))</f>
        <v/>
      </c>
      <c r="FW70" s="186" t="str">
        <f>IF(Compositions!U135="","",((FN70/100)*((VLOOKUP(Compositions!S135,'HHV-LHV-MW'!$A$3:$G$40,7,FALSE)))))</f>
        <v/>
      </c>
      <c r="FX70" s="186" t="str">
        <f>IF(FN70="","",(IF(OR(Compositions!S135="Hydrogen",Compositions!S135="Carbon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Dioxide",Compositions!S135="Methane",Compositions!S135="Ethane"),0,(FN70/100))))</f>
        <v/>
      </c>
      <c r="FY70" s="39" t="str">
        <f>IF(FN70="","",(IF(OR($FX$78=0,$FX$78=""),0,       ((VLOOKUP(Compositions!S135,'HHV-LHV-MW'!$A$3:$F$40,6,FALSE))*(FX70/$FX$78)))))</f>
        <v/>
      </c>
      <c r="FZ70" s="27" t="str">
        <f>IF(Compositions!V135="","",IF(Compositions!$V$118="mol%",Compositions!V135,GA70))</f>
        <v/>
      </c>
      <c r="GA70" s="27" t="str">
        <f t="shared" si="39"/>
        <v/>
      </c>
      <c r="GB70" s="27" t="str">
        <f>IF(Compositions!V135="","",(Compositions!V135/(VLOOKUP(Compositions!S135,'HHV-LHV-MW'!$A$3:$F$40,6,FALSE))))</f>
        <v/>
      </c>
      <c r="GC70" s="25" t="str">
        <f>IF(FZ70="","",((VLOOKUP(Compositions!S135,'HHV-LHV-MW'!$A$3:$F$40,4,FALSE))*(FZ70/100)))</f>
        <v/>
      </c>
      <c r="GD70" s="25" t="str">
        <f>IF(FZ70="","",((VLOOKUP(Compositions!S135,'HHV-LHV-MW'!$A$3:$F$40,5,FALSE))*(FZ70/100)))</f>
        <v/>
      </c>
      <c r="GE70" s="25" t="str">
        <f>IF(FZ70="","",((VLOOKUP(Compositions!S135,'HHV-LHV-MW'!$A$3:$F$40,6,FALSE))*(FZ70/100)))</f>
        <v/>
      </c>
      <c r="GF70" s="25" t="str">
        <f>IF(Compositions!V135="","",(Compositions!V135*(VLOOKUP(Compositions!S135,'HHV-LHV-MW'!$A$3:$F$40,6,FALSE))))</f>
        <v/>
      </c>
      <c r="GG70" s="295" t="str">
        <f>IF(Compositions!V135="","",IF(OR(Compositions!$V$118="wt%",Compositions!$V$118=""),Compositions!V135,(IF(GF70="","",((GF70/$GF$78)*100)))))</f>
        <v/>
      </c>
      <c r="GH70" s="185" t="str">
        <f>IF(GG70="","",(IF(OR(Compositions!S135="Hydrogen",Compositions!S135="Helium",Compositions!S135="Water",Compositions!S135="Carbon Monoxide",Compositions!S135="Nitrogen",Compositions!S135="Oxygen",Compositions!S135="Hydrogen Sulfide",Compositions!S135="Argon",Compositions!S135="Carbon Dioxide",Compositions!S135="Carbon Disulfide"),0,GG70)))</f>
        <v/>
      </c>
      <c r="GI70" s="187" t="str">
        <f>IF(Compositions!V135="","",((FZ70/100)*((VLOOKUP(Compositions!S135,'HHV-LHV-MW'!$A$3:$G$40,7,FALSE)))))</f>
        <v/>
      </c>
      <c r="GJ70" s="187" t="str">
        <f>IF(FZ70="","",(IF(OR(Compositions!S135="Hydrogen",Compositions!S135="Carbon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Dioxide",Compositions!S135="Methane",Compositions!S135="Ethane"),0,(FZ70/100))))</f>
        <v/>
      </c>
      <c r="GK70" s="205" t="str">
        <f>IF(FZ70="","",(IF(OR($GJ$78=0,$GJ$78=""),0,       ((VLOOKUP(Compositions!S135,'HHV-LHV-MW'!$A$3:$F$40,6,FALSE))*(GJ70/$GJ$78)))))</f>
        <v/>
      </c>
      <c r="GL70" s="28" t="str">
        <f>IF(Compositions!W135="","",IF(Compositions!$W$118="mol%",Compositions!W135,GM70))</f>
        <v/>
      </c>
      <c r="GM70" s="28" t="str">
        <f t="shared" si="40"/>
        <v/>
      </c>
      <c r="GN70" s="28" t="str">
        <f>IF(Compositions!W135="","",(Compositions!W135/(VLOOKUP(Compositions!S135,'HHV-LHV-MW'!$A$3:$F$40,6,FALSE))))</f>
        <v/>
      </c>
      <c r="GO70" s="26" t="str">
        <f>IF(GL70="","",((VLOOKUP(Compositions!S135,'HHV-LHV-MW'!$A$3:$F$40,4,FALSE))*(GL70/100)))</f>
        <v/>
      </c>
      <c r="GP70" s="26" t="str">
        <f>IF(GL70="","",((VLOOKUP(Compositions!S135,'HHV-LHV-MW'!$A$3:$F$40,5,FALSE))*(GL70/100)))</f>
        <v/>
      </c>
      <c r="GQ70" s="26" t="str">
        <f>IF(GL70="","",((VLOOKUP(Compositions!S135,'HHV-LHV-MW'!$A$3:$F$40,6,FALSE))*(GL70/100)))</f>
        <v/>
      </c>
      <c r="GR70" s="26" t="str">
        <f>IF(Compositions!W135="","",(Compositions!W135*(VLOOKUP(Compositions!S135,'HHV-LHV-MW'!$A$3:$F$40,6,FALSE))))</f>
        <v/>
      </c>
      <c r="GS70" s="296" t="str">
        <f>IF(Compositions!W135="","",IF(OR(Compositions!$W$118="wt%",Compositions!$W$118=""),Compositions!W135,(IF(GR70="","",((GR70/$GR$78)*100)))))</f>
        <v/>
      </c>
      <c r="GT70" s="39" t="str">
        <f>IF(GS70="","",(IF(OR(Compositions!S135="Hydrogen",Compositions!S135="Helium",Compositions!S135="Water",Compositions!S135="Carbon Monoxide",Compositions!S135="Nitrogen",Compositions!S135="Oxygen",Compositions!S135="Hydrogen Sulfide",Compositions!S135="Argon",Compositions!S135="Carbon Dioxide",Compositions!S135="Carbon Disulfide"),0,GS70)))</f>
        <v/>
      </c>
      <c r="GU70" s="186" t="str">
        <f>IF(Compositions!W135="","",((GL70/100)*((VLOOKUP(Compositions!S135,'HHV-LHV-MW'!$A$3:$G$40,7,FALSE)))))</f>
        <v/>
      </c>
      <c r="GV70" s="186" t="str">
        <f>IF(GL70="","",(IF(OR(Compositions!S135="Hydrogen",Compositions!S135="Carbon Disulfide",Compositions!S135="Helium",Compositions!S135="Water",Compositions!S135="Carbon Monoxide",Compositions!S135="Nitrogen",Compositions!S135="Oxygen",Compositions!S135="Hydrogen Sulfide",Compositions!S135="Argon",Compositions!S135="Carbon Dioxide",Compositions!S135="Methane",Compositions!S135="Ethane"),0,(GL70/100))))</f>
        <v/>
      </c>
      <c r="GW70" s="39" t="str">
        <f>IF(GL70="","",(IF(OR($GV$78=0,$GV$78=""),0,       ((VLOOKUP(Compositions!S135,'HHV-LHV-MW'!$A$3:$F$40,6,FALSE))*(GV70/$GV$78)))))</f>
        <v/>
      </c>
      <c r="GY70" s="27" t="str">
        <f>IF(Compositions!Z135="","",IF(Compositions!$Z$118="mol%",Compositions!Z135,GZ70))</f>
        <v/>
      </c>
      <c r="GZ70" s="27" t="str">
        <f t="shared" si="41"/>
        <v/>
      </c>
      <c r="HA70" s="27" t="str">
        <f>IF(Compositions!Z135="","",(Compositions!Z135/(VLOOKUP(Compositions!Y135,'HHV-LHV-MW'!$A$3:$F$40,6,FALSE))))</f>
        <v/>
      </c>
      <c r="HB70" s="25" t="str">
        <f>IF(GY70="","",((VLOOKUP(Compositions!Y135,'HHV-LHV-MW'!$A$3:$F$40,4,FALSE))*(GY70/100)))</f>
        <v/>
      </c>
      <c r="HC70" s="25" t="str">
        <f>IF(GY70="","",((VLOOKUP(Compositions!Y135,'HHV-LHV-MW'!$A$3:$F$40,5,FALSE))*(GY70/100)))</f>
        <v/>
      </c>
      <c r="HD70" s="25" t="str">
        <f>IF(GY70="","",((VLOOKUP(Compositions!Y135,'HHV-LHV-MW'!$A$3:$F$40,6,FALSE))*(GY70/100)))</f>
        <v/>
      </c>
      <c r="HE70" s="25" t="str">
        <f>IF(Compositions!Z135="","",(Compositions!Z135*(VLOOKUP(Compositions!Y135,'HHV-LHV-MW'!$A$3:$F$40,6,FALSE))))</f>
        <v/>
      </c>
      <c r="HF70" s="295" t="str">
        <f>IF(Compositions!Z135="","",IF(OR(Compositions!$Z$118="wt%",Compositions!$Z$118=""),Compositions!Z135,(IF(HE70="","",((HE70/$HE$78)*100)))))</f>
        <v/>
      </c>
      <c r="HG70" s="185" t="str">
        <f>IF(HF70="","",(IF(OR(Compositions!Y135="Hydrogen",Compositions!Y135="Helium",Compositions!Y135="Water",Compositions!Y135="Carbon Monoxide",Compositions!Y135="Nitrogen",Compositions!Y135="Oxygen",Compositions!Y135="Hydrogen Sulfide",Compositions!Y135="Argon",Compositions!Y135="Carbon Dioxide",Compositions!Y135="Carbon Disulfide"),0,HF70)))</f>
        <v/>
      </c>
      <c r="HH70" s="187" t="str">
        <f>IF(Compositions!Z135="","",((GY70/100)*((VLOOKUP(Compositions!Y135,'HHV-LHV-MW'!$A$3:$G$40,7,FALSE)))))</f>
        <v/>
      </c>
      <c r="HI70" s="187" t="str">
        <f>IF(GY70="","",(IF(OR(Compositions!Y135="Hydrogen",Compositions!Y135="Carbon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Dioxide",Compositions!Y135="Methane",Compositions!Y135="Ethane"),0,(GY70/100))))</f>
        <v/>
      </c>
      <c r="HJ70" s="205" t="str">
        <f>IF(GY70="","",(IF(OR($HI$78=0,$HI$78=""),0,       ((VLOOKUP(Compositions!Y135,'HHV-LHV-MW'!$A$3:$F$40,6,FALSE))*(HI70/$HI$78)))))</f>
        <v/>
      </c>
      <c r="HK70" s="28" t="str">
        <f>IF(Compositions!AA135="","",IF(Compositions!$AA$118="mol%",Compositions!AA135,HL70))</f>
        <v/>
      </c>
      <c r="HL70" s="28" t="str">
        <f t="shared" si="42"/>
        <v/>
      </c>
      <c r="HM70" s="28" t="str">
        <f>IF(Compositions!AA135="","",(Compositions!AA135/(VLOOKUP(Compositions!Y135,'HHV-LHV-MW'!$A$3:$F$40,6,FALSE))))</f>
        <v/>
      </c>
      <c r="HN70" s="26" t="str">
        <f>IF(HK70="","",((VLOOKUP(Compositions!Y135,'HHV-LHV-MW'!$A$3:$F$40,4,FALSE))*(HK70/100)))</f>
        <v/>
      </c>
      <c r="HO70" s="26" t="str">
        <f>IF(HK70="","",((VLOOKUP(Compositions!Y135,'HHV-LHV-MW'!$A$3:$F$40,5,FALSE))*(HK70/100)))</f>
        <v/>
      </c>
      <c r="HP70" s="26" t="str">
        <f>IF(HK70="","",((VLOOKUP(Compositions!Y135,'HHV-LHV-MW'!$A$3:$F$40,6,FALSE))*(HK70/100)))</f>
        <v/>
      </c>
      <c r="HQ70" s="26" t="str">
        <f>IF(Compositions!AA135="","",(Compositions!AA135*(VLOOKUP(Compositions!Y135,'HHV-LHV-MW'!$A$3:$F$40,6,FALSE))))</f>
        <v/>
      </c>
      <c r="HR70" s="296" t="str">
        <f>IF(Compositions!AA135="","",IF(OR(Compositions!$AA$118="wt%",Compositions!$AA$118=""),Compositions!AA135,(IF(HQ70="","",((HQ70/$HQ$78)*100)))))</f>
        <v/>
      </c>
      <c r="HS70" s="39" t="str">
        <f>IF(HR70="","",(IF(OR(Compositions!Y135="Hydrogen",Compositions!Y135="Helium",Compositions!Y135="Water",Compositions!Y135="Carbon Monoxide",Compositions!Y135="Nitrogen",Compositions!Y135="Oxygen",Compositions!Y135="Hydrogen Sulfide",Compositions!Y135="Argon",Compositions!Y135="Carbon Dioxide",Compositions!Y135="Carbon Disulfide"),0,HR70)))</f>
        <v/>
      </c>
      <c r="HT70" s="186" t="str">
        <f>IF(Compositions!AA135="","",((HK70/100)*((VLOOKUP(Compositions!Y135,'HHV-LHV-MW'!$A$3:$G$40,7,FALSE)))))</f>
        <v/>
      </c>
      <c r="HU70" s="186" t="str">
        <f>IF(HK70="","",(IF(OR(Compositions!Y135="Hydrogen",Compositions!Y135="Carbon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Dioxide",Compositions!Y135="Methane",Compositions!Y135="Ethane"),0,(HK70/100))))</f>
        <v/>
      </c>
      <c r="HV70" s="39" t="str">
        <f>IF(HK70="","",(IF(OR($HU$78=0,$HU$78=""),0,       ((VLOOKUP(Compositions!Y135,'HHV-LHV-MW'!$A$3:$F$40,6,FALSE))*(HU70/$HU$78)))))</f>
        <v/>
      </c>
      <c r="HW70" s="27" t="str">
        <f>IF(Compositions!AB135="","",IF(Compositions!$AB$118="mol%",Compositions!AB135,HX70))</f>
        <v/>
      </c>
      <c r="HX70" s="27" t="str">
        <f t="shared" si="43"/>
        <v/>
      </c>
      <c r="HY70" s="27" t="str">
        <f>IF(Compositions!AB135="","",(Compositions!AB135/(VLOOKUP(Compositions!Y135,'HHV-LHV-MW'!$A$3:$F$40,6,FALSE))))</f>
        <v/>
      </c>
      <c r="HZ70" s="25" t="str">
        <f>IF(HW70="","",((VLOOKUP(Compositions!Y135,'HHV-LHV-MW'!$A$3:$F$40,4,FALSE))*(HW70/100)))</f>
        <v/>
      </c>
      <c r="IA70" s="25" t="str">
        <f>IF(HW70="","",((VLOOKUP(Compositions!Y135,'HHV-LHV-MW'!$A$3:$F$40,5,FALSE))*(HW70/100)))</f>
        <v/>
      </c>
      <c r="IB70" s="25" t="str">
        <f>IF(HW70="","",((VLOOKUP(Compositions!Y135,'HHV-LHV-MW'!$A$3:$F$40,6,FALSE))*(HW70/100)))</f>
        <v/>
      </c>
      <c r="IC70" s="25" t="str">
        <f>IF(Compositions!AB135="","",(Compositions!AB135*(VLOOKUP(Compositions!Y135,'HHV-LHV-MW'!$A$3:$F$40,6,FALSE))))</f>
        <v/>
      </c>
      <c r="ID70" s="295" t="str">
        <f>IF(Compositions!AB135="","",IF(OR(Compositions!$AB$118="wt%",Compositions!$AB$118=""),Compositions!AB135,(IF(IC70="","",((IC70/$IC$78)*100)))))</f>
        <v/>
      </c>
      <c r="IE70" s="185" t="str">
        <f>IF(ID70="","",(IF(OR(Compositions!Y135="Hydrogen",Compositions!Y135="Helium",Compositions!Y135="Water",Compositions!Y135="Carbon Monoxide",Compositions!Y135="Nitrogen",Compositions!Y135="Oxygen",Compositions!Y135="Hydrogen Sulfide",Compositions!Y135="Argon",Compositions!Y135="Carbon Dioxide",Compositions!Y135="Carbon Disulfide"),0,ID70)))</f>
        <v/>
      </c>
      <c r="IF70" s="187" t="str">
        <f>IF(Compositions!AB135="","",((HW70/100)*((VLOOKUP(Compositions!Y135,'HHV-LHV-MW'!$A$3:$G$40,7,FALSE)))))</f>
        <v/>
      </c>
      <c r="IG70" s="187" t="str">
        <f>IF(HW70="","",(IF(OR(Compositions!Y135="Hydrogen",Compositions!Y135="Carbon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Dioxide",Compositions!Y135="Methane",Compositions!Y135="Ethane"),0,(HW70/100))))</f>
        <v/>
      </c>
      <c r="IH70" s="205" t="str">
        <f>IF(HW70="","",(IF(OR($IG$78=0,$IG$78=""),0,       ((VLOOKUP(Compositions!Y135,'HHV-LHV-MW'!$A$3:$F$40,6,FALSE))*(IG70/$IG$78)))))</f>
        <v/>
      </c>
      <c r="II70" s="28" t="str">
        <f>IF(Compositions!AC135="","",IF(Compositions!$AC$118="mol%",Compositions!AC135,IJ70))</f>
        <v/>
      </c>
      <c r="IJ70" s="28" t="str">
        <f t="shared" si="44"/>
        <v/>
      </c>
      <c r="IK70" s="28" t="str">
        <f>IF(Compositions!AC135="","",(Compositions!AC135/(VLOOKUP(Compositions!Y135,'HHV-LHV-MW'!$A$3:$F$40,6,FALSE))))</f>
        <v/>
      </c>
      <c r="IL70" s="26" t="str">
        <f>IF(II70="","",((VLOOKUP(Compositions!Y135,'HHV-LHV-MW'!$A$3:$F$40,4,FALSE))*(II70/100)))</f>
        <v/>
      </c>
      <c r="IM70" s="26" t="str">
        <f>IF(II70="","",((VLOOKUP(Compositions!Y135,'HHV-LHV-MW'!$A$3:$F$40,5,FALSE))*(II70/100)))</f>
        <v/>
      </c>
      <c r="IN70" s="26" t="str">
        <f>IF(II70="","",((VLOOKUP(Compositions!Y135,'HHV-LHV-MW'!$A$3:$F$40,6,FALSE))*(II70/100)))</f>
        <v/>
      </c>
      <c r="IO70" s="26" t="str">
        <f>IF(Compositions!AC135="","",(Compositions!AC135*(VLOOKUP(Compositions!Y135,'HHV-LHV-MW'!$A$3:$F$40,6,FALSE))))</f>
        <v/>
      </c>
      <c r="IP70" s="296" t="str">
        <f>IF(Compositions!AC135="","",IF(OR(Compositions!$AC$118="wt%",Compositions!$AC$118=""),Compositions!AC135,(IF(IO70="","",((IO70/$IO$78)*100)))))</f>
        <v/>
      </c>
      <c r="IQ70" s="39" t="str">
        <f>IF(IP70="","",(IF(OR(Compositions!Y135="Hydrogen",Compositions!Y135="Helium",Compositions!Y135="Water",Compositions!Y135="Carbon Monoxide",Compositions!Y135="Nitrogen",Compositions!Y135="Oxygen",Compositions!Y135="Hydrogen Sulfide",Compositions!Y135="Argon",Compositions!Y135="Carbon Dioxide",Compositions!Y135="Carbon Disulfide"),0,IP70)))</f>
        <v/>
      </c>
      <c r="IR70" s="186" t="str">
        <f>IF(Compositions!AC135="","",((II70/100)*((VLOOKUP(Compositions!Y135,'HHV-LHV-MW'!$A$3:$G$40,7,FALSE)))))</f>
        <v/>
      </c>
      <c r="IS70" s="186" t="str">
        <f>IF(II70="","",(IF(OR(Compositions!Y135="Hydrogen",Compositions!Y135="Carbon Disulfide",Compositions!Y135="Helium",Compositions!Y135="Water",Compositions!Y135="Carbon Monoxide",Compositions!Y135="Nitrogen",Compositions!Y135="Oxygen",Compositions!Y135="Hydrogen Sulfide",Compositions!Y135="Argon",Compositions!Y135="Carbon Dioxide",Compositions!Y135="Methane",Compositions!Y135="Ethane"),0,(II70/100))))</f>
        <v/>
      </c>
      <c r="IT70" s="39" t="str">
        <f>IF(II70="","",(IF(OR($IS$78=0,$IS$78=""),0,      ((VLOOKUP(Compositions!Y135,'HHV-LHV-MW'!$A$3:$F$40,6,FALSE))*(IS70/$IS$78)))))</f>
        <v/>
      </c>
      <c r="IV70" s="27" t="str">
        <f>IF(Compositions!AF135="","",IF(Compositions!$AF$118="mol%",Compositions!AF135,IW70))</f>
        <v/>
      </c>
      <c r="IW70" s="27" t="str">
        <f t="shared" si="45"/>
        <v/>
      </c>
      <c r="IX70" s="27" t="str">
        <f>IF(Compositions!AF135="","",(Compositions!AF135/(VLOOKUP(Compositions!AE135,'HHV-LHV-MW'!$A$3:$F$40,6,FALSE))))</f>
        <v/>
      </c>
      <c r="IY70" s="25" t="str">
        <f>IF(IV70="","",((VLOOKUP(Compositions!AE135,'HHV-LHV-MW'!$A$3:$F$40,4,FALSE))*(IV70/100)))</f>
        <v/>
      </c>
      <c r="IZ70" s="25" t="str">
        <f>IF(IV70="","",((VLOOKUP(Compositions!AE135,'HHV-LHV-MW'!$A$3:$F$40,5,FALSE))*(IV70/100)))</f>
        <v/>
      </c>
      <c r="JA70" s="25" t="str">
        <f>IF(IV70="","",((VLOOKUP(Compositions!AE135,'HHV-LHV-MW'!$A$3:$F$40,6,FALSE))*(IV70/100)))</f>
        <v/>
      </c>
      <c r="JB70" s="25" t="str">
        <f>IF(Compositions!AF135="","",(Compositions!AF135*(VLOOKUP(Compositions!AE135,'HHV-LHV-MW'!$A$3:$F$40,6,FALSE))))</f>
        <v/>
      </c>
      <c r="JC70" s="298" t="str">
        <f>IF(Compositions!AF135="","",IF(OR(Compositions!$AF$118="wt%",Compositions!$AF$118=""),Compositions!AF135,(IF(JB70="","",((JB70/$JB$78)*100)))))</f>
        <v/>
      </c>
      <c r="JD70" s="185" t="str">
        <f>IF(JC70="","",(IF(OR(Compositions!AE135="Hydrogen",Compositions!AE135="Helium",Compositions!AE135="Water",Compositions!AE135="Carbon Monoxide",Compositions!AE135="Nitrogen",Compositions!AE135="Oxygen",Compositions!AE135="Hydrogen Sulfide",Compositions!AE135="Argon",Compositions!AE135="Carbon Dioxide",Compositions!AE135="Carbon Disulfide"),0,JC70)))</f>
        <v/>
      </c>
      <c r="JE70" s="187" t="str">
        <f>IF(Compositions!AF135="","",((IV70/100)*((VLOOKUP(Compositions!AE135,'HHV-LHV-MW'!$A$3:$G$40,7,FALSE)))))</f>
        <v/>
      </c>
      <c r="JF70" s="187" t="str">
        <f>IF(IV70="","",(IF(OR(Compositions!AE135="Hydrogen",Compositions!AE135="Carbon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Dioxide",Compositions!AE135="Methane",Compositions!AE135="Ethane"),0,(IV70/100))))</f>
        <v/>
      </c>
      <c r="JG70" s="205" t="str">
        <f>IF(IV70="","",(IF(OR($JF$78=0,$JF$78=""),0,      ((VLOOKUP(Compositions!AE135,'HHV-LHV-MW'!$A$3:$F$40,6,FALSE))*(JF70/$JF$78)))))</f>
        <v/>
      </c>
      <c r="JH70" s="28" t="str">
        <f>IF(Compositions!AG135="","",IF(Compositions!$AG$118="mol%",Compositions!AG135,JI70))</f>
        <v/>
      </c>
      <c r="JI70" s="28" t="str">
        <f t="shared" si="46"/>
        <v/>
      </c>
      <c r="JJ70" s="28" t="str">
        <f>IF(Compositions!AG135="","",(Compositions!AG135/(VLOOKUP(Compositions!AE135,'HHV-LHV-MW'!$A$3:$F$40,6,FALSE))))</f>
        <v/>
      </c>
      <c r="JK70" s="26" t="str">
        <f>IF(JH70="","",((VLOOKUP(Compositions!AE135,'HHV-LHV-MW'!$A$3:$F$40,4,FALSE))*(JH70/100)))</f>
        <v/>
      </c>
      <c r="JL70" s="26" t="str">
        <f>IF(JH70="","",((VLOOKUP(Compositions!AE135,'HHV-LHV-MW'!$A$3:$F$40,5,FALSE))*(JH70/100)))</f>
        <v/>
      </c>
      <c r="JM70" s="26" t="str">
        <f>IF(JH70="","",((VLOOKUP(Compositions!AE135,'HHV-LHV-MW'!$A$3:$F$40,6,FALSE))*(JH70/100)))</f>
        <v/>
      </c>
      <c r="JN70" s="26" t="str">
        <f>IF(Compositions!AG135="","",(Compositions!AG135*(VLOOKUP(Compositions!AE135,'HHV-LHV-MW'!$A$3:$F$40,6,FALSE))))</f>
        <v/>
      </c>
      <c r="JO70" s="297" t="str">
        <f>IF(Compositions!AG135="","",IF(OR(Compositions!$AG$118="wt%",Compositions!$AG$118=""),Compositions!AG135,(IF(JN70="","",((JN70/$JN$78)*100)))))</f>
        <v/>
      </c>
      <c r="JP70" s="39" t="str">
        <f>IF(JO70="","",(IF(OR(Compositions!AE135="Hydrogen",Compositions!AE135="Helium",Compositions!AE135="Water",Compositions!AE135="Carbon Monoxide",Compositions!AE135="Nitrogen",Compositions!AE135="Oxygen",Compositions!AE135="Hydrogen Sulfide",Compositions!AE135="Argon",Compositions!AE135="Carbon Dioxide",Compositions!AE135="Carbon Disulfide"),0,JO70)))</f>
        <v/>
      </c>
      <c r="JQ70" s="186" t="str">
        <f>IF(Compositions!AG135="","",((JH70/100)*((VLOOKUP(Compositions!AE135,'HHV-LHV-MW'!$A$3:$G$40,7,FALSE)))))</f>
        <v/>
      </c>
      <c r="JR70" s="186" t="str">
        <f>IF(JH70="","",(IF(OR(Compositions!AE135="Hydrogen",Compositions!AE135="Carbon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Dioxide",Compositions!AE135="Methane",Compositions!AE135="Ethane"),0,(JH70/100))))</f>
        <v/>
      </c>
      <c r="JS70" s="39" t="str">
        <f>IF(JH70="","",(IF(OR($JR$78=0,$JR$78=""),0,      ((VLOOKUP(Compositions!AE135,'HHV-LHV-MW'!$A$3:$F$40,6,FALSE))*(JR70/$JR$78)))))</f>
        <v/>
      </c>
      <c r="JT70" s="27" t="str">
        <f>IF(Compositions!AH135="","",IF(Compositions!$AH$118="mol%",Compositions!AH135,JU70))</f>
        <v/>
      </c>
      <c r="JU70" s="27" t="str">
        <f t="shared" si="47"/>
        <v/>
      </c>
      <c r="JV70" s="27" t="str">
        <f>IF(Compositions!AH135="","",(Compositions!AH135/(VLOOKUP(Compositions!AE135,'HHV-LHV-MW'!$A$3:$F$40,6,FALSE))))</f>
        <v/>
      </c>
      <c r="JW70" s="25" t="str">
        <f>IF(JT70="","",((VLOOKUP(Compositions!AE135,'HHV-LHV-MW'!$A$3:$F$40,4,FALSE))*(JT70/100)))</f>
        <v/>
      </c>
      <c r="JX70" s="25" t="str">
        <f>IF(JT70="","",((VLOOKUP(Compositions!AE135,'HHV-LHV-MW'!$A$3:$F$40,5,FALSE))*(JT70/100)))</f>
        <v/>
      </c>
      <c r="JY70" s="25" t="str">
        <f>IF(JT70="","",((VLOOKUP(Compositions!AE135,'HHV-LHV-MW'!$A$3:$F$40,6,FALSE))*(JT70/100)))</f>
        <v/>
      </c>
      <c r="JZ70" s="25" t="str">
        <f>IF(Compositions!AH135="","",(Compositions!AH135*(VLOOKUP(Compositions!AE135,'HHV-LHV-MW'!$A$3:$F$40,6,FALSE))))</f>
        <v/>
      </c>
      <c r="KA70" s="298" t="str">
        <f>IF(Compositions!AH135="","",IF(OR(Compositions!$AH$118="wt%",Compositions!$AH$118=""),Compositions!AH135,(IF(JZ70="","",((JZ70/$JZ$78)*100)))))</f>
        <v/>
      </c>
      <c r="KB70" s="185" t="str">
        <f>IF(KA70="","",(IF(OR(Compositions!AE135="Hydrogen",Compositions!AE135="Helium",Compositions!AE135="Water",Compositions!AE135="Carbon Monoxide",Compositions!AE135="Nitrogen",Compositions!AE135="Oxygen",Compositions!AE135="Hydrogen Sulfide",Compositions!AE135="Argon",Compositions!AE135="Carbon Dioxide",Compositions!AE135="Carbon Disulfide"),0,KA70)))</f>
        <v/>
      </c>
      <c r="KC70" s="187" t="str">
        <f>IF(Compositions!AH135="","",((JT70/100)*((VLOOKUP(Compositions!AE135,'HHV-LHV-MW'!$A$3:$G$40,7,FALSE)))))</f>
        <v/>
      </c>
      <c r="KD70" s="187" t="str">
        <f>IF(JT70="","",(IF(OR(Compositions!AE135="Hydrogen",Compositions!AE135="Carbon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Dioxide",Compositions!AE135="Methane",Compositions!AE135="Ethane"),0,(JT70/100))))</f>
        <v/>
      </c>
      <c r="KE70" s="205" t="str">
        <f>IF(JT70="","",(IF(OR($KD$78=0,$KD$78=""),0,      ((VLOOKUP(Compositions!AE135,'HHV-LHV-MW'!$A$3:$F$40,6,FALSE))*(KD70/$KD$78)))))</f>
        <v/>
      </c>
      <c r="KF70" s="28" t="str">
        <f>IF(Compositions!AI135="","",IF(Compositions!$AI$118="mol%",Compositions!AI135,KG70))</f>
        <v/>
      </c>
      <c r="KG70" s="28" t="str">
        <f t="shared" si="48"/>
        <v/>
      </c>
      <c r="KH70" s="28" t="str">
        <f>IF(Compositions!AI135="","",(Compositions!AI135/(VLOOKUP(Compositions!AE135,'HHV-LHV-MW'!$A$3:$F$40,6,FALSE))))</f>
        <v/>
      </c>
      <c r="KI70" s="26" t="str">
        <f>IF(KF70="","",((VLOOKUP(Compositions!AE135,'HHV-LHV-MW'!$A$3:$F$40,4,FALSE))*(KF70/100)))</f>
        <v/>
      </c>
      <c r="KJ70" s="26" t="str">
        <f>IF(KF70="","",((VLOOKUP(Compositions!AE135,'HHV-LHV-MW'!$A$3:$F$40,5,FALSE))*(KF70/100)))</f>
        <v/>
      </c>
      <c r="KK70" s="26" t="str">
        <f>IF(KF70="","",((VLOOKUP(Compositions!AE135,'HHV-LHV-MW'!$A$3:$F$40,6,FALSE))*(KF70/100)))</f>
        <v/>
      </c>
      <c r="KL70" s="26" t="str">
        <f>IF(Compositions!AI135="","",(Compositions!AI135*(VLOOKUP(Compositions!AE135,'HHV-LHV-MW'!$A$3:$F$40,6,FALSE))))</f>
        <v/>
      </c>
      <c r="KM70" s="297" t="str">
        <f>IF(Compositions!AI135="","",IF(OR(Compositions!$AI$118="wt%",Compositions!$AI$118=""),Compositions!AI135,(IF(KL70="","",((KL70/$KL$78)*100)))))</f>
        <v/>
      </c>
      <c r="KN70" s="39" t="str">
        <f>IF(KM70="","",(IF(OR(Compositions!AE135="Hydrogen",Compositions!AE135="Helium",Compositions!AE135="Water",Compositions!AE135="Carbon Monoxide",Compositions!AE135="Nitrogen",Compositions!AE135="Oxygen",Compositions!AE135="Hydrogen Sulfide",Compositions!AE135="Argon",Compositions!AE135="Carbon Dioxide",Compositions!AE135="Carbon Disulfide"),0,KM70)))</f>
        <v/>
      </c>
      <c r="KO70" s="186" t="str">
        <f>IF(Compositions!AI135="","",((KF70/100)*((VLOOKUP(Compositions!AE135,'HHV-LHV-MW'!$A$3:$G$40,7,FALSE)))))</f>
        <v/>
      </c>
      <c r="KP70" s="186" t="str">
        <f>IF(KF70="","",(IF(OR(Compositions!AE135="Hydrogen",Compositions!AE135="Carbon Disulfide",Compositions!AE135="Helium",Compositions!AE135="Water",Compositions!AE135="Carbon Monoxide",Compositions!AE135="Nitrogen",Compositions!AE135="Oxygen",Compositions!AE135="Hydrogen Sulfide",Compositions!AE135="Argon",Compositions!AE135="Carbon Dioxide",Compositions!AE135="Methane",Compositions!AE135="Ethane"),0,(KF70/100))))</f>
        <v/>
      </c>
      <c r="KQ70" s="39" t="str">
        <f>IF(KF70="","",(IF(OR($KP$78=0,$KP$78=""),0,      ((VLOOKUP(Compositions!AE135,'HHV-LHV-MW'!$A$3:$F$40,6,FALSE))*(KP70/$KP$78)))))</f>
        <v/>
      </c>
      <c r="KS70" s="27" t="str">
        <f>IF(Compositions!AL135="","",IF(Compositions!$AL$118="mol%",Compositions!AL135,KT70))</f>
        <v/>
      </c>
      <c r="KT70" s="27" t="str">
        <f t="shared" si="49"/>
        <v/>
      </c>
      <c r="KU70" s="27" t="str">
        <f>IF(Compositions!AL135="","",(Compositions!AL135/(VLOOKUP(Compositions!AK135,'HHV-LHV-MW'!$A$3:$F$40,6,FALSE))))</f>
        <v/>
      </c>
      <c r="KV70" s="185" t="str">
        <f>IF(KS70="","",((VLOOKUP(Compositions!AK135,'HHV-LHV-MW'!$A$3:$F$40,4,FALSE))*(KS70/100)))</f>
        <v/>
      </c>
      <c r="KW70" s="185" t="str">
        <f>IF(KS70="","",((VLOOKUP(Compositions!AK135,'HHV-LHV-MW'!$A$3:$F$40,5,FALSE))*(KS70/100)))</f>
        <v/>
      </c>
      <c r="KX70" s="185" t="str">
        <f>IF(KS70="","",((VLOOKUP(Compositions!AK135,'HHV-LHV-MW'!$A$3:$F$40,6,FALSE))*(KS70/100)))</f>
        <v/>
      </c>
      <c r="KY70" s="185" t="str">
        <f>IF(Compositions!AL135="","",(Compositions!AL135*(VLOOKUP(Compositions!AK135,'HHV-LHV-MW'!$A$3:$F$40,6,FALSE))))</f>
        <v/>
      </c>
      <c r="KZ70" s="298" t="str">
        <f>IF(Compositions!AL135="","",IF(OR(Compositions!$AL$118="wt%",Compositions!$AL$118=""),Compositions!AL135,(IF(KY70="","",((KY70/$KY$78)*100)))))</f>
        <v/>
      </c>
      <c r="LA70" s="185" t="str">
        <f>IF(KZ70="","",(IF(OR(Compositions!AK135="Hydrogen",Compositions!AK135="Helium",Compositions!AK135="Water",Compositions!AK135="Carbon Monoxide",Compositions!AK135="Nitrogen",Compositions!AK135="Oxygen",Compositions!AK135="Hydrogen Sulfide",Compositions!AK135="Argon",Compositions!AK135="Carbon Dioxide",Compositions!AK135="Carbon Disulfide"),0,KZ70)))</f>
        <v/>
      </c>
      <c r="LB70" s="187" t="str">
        <f>IF(Compositions!AL135="","",((KS70/100)*((VLOOKUP(Compositions!AK135,'HHV-LHV-MW'!$A$3:$G$40,7,FALSE)))))</f>
        <v/>
      </c>
      <c r="LC70" s="187" t="str">
        <f>IF(KS70="","",(IF(OR(Compositions!AK135="Hydrogen",Compositions!AK135="Carbon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Dioxide",Compositions!AK135="Methane",Compositions!AK135="Ethane"),0,(KS70/100))))</f>
        <v/>
      </c>
      <c r="LD70" s="205" t="str">
        <f>IF(KS70="","",(IF(OR($LC$78=0,$LC$78=""),0,      ((VLOOKUP(Compositions!AK135,'HHV-LHV-MW'!$A$3:$F$40,6,FALSE))*(LC70/$LC$78)))))</f>
        <v/>
      </c>
      <c r="LE70" s="28" t="str">
        <f>IF(Compositions!AM135="","",IF(Compositions!$AM$118="mol%",Compositions!AM135,LF70))</f>
        <v/>
      </c>
      <c r="LF70" s="28" t="str">
        <f t="shared" si="50"/>
        <v/>
      </c>
      <c r="LG70" s="28" t="str">
        <f>IF(Compositions!AM135="","",(Compositions!AM135/(VLOOKUP(Compositions!AK135,'HHV-LHV-MW'!$A$3:$F$40,6,FALSE))))</f>
        <v/>
      </c>
      <c r="LH70" s="184" t="str">
        <f>IF(LE70="","",((VLOOKUP(Compositions!AK135,'HHV-LHV-MW'!$A$3:$F$40,4,FALSE))*(LE70/100)))</f>
        <v/>
      </c>
      <c r="LI70" s="184" t="str">
        <f>IF(LE70="","",((VLOOKUP(Compositions!AK135,'HHV-LHV-MW'!$A$3:$F$40,5,FALSE))*(LE70/100)))</f>
        <v/>
      </c>
      <c r="LJ70" s="184" t="str">
        <f>IF(LE70="","",((VLOOKUP(Compositions!AK135,'HHV-LHV-MW'!$A$3:$F$40,6,FALSE))*(LE70/100)))</f>
        <v/>
      </c>
      <c r="LK70" s="184" t="str">
        <f>IF(Compositions!AM135="","",(Compositions!AM135*(VLOOKUP(Compositions!AK135,'HHV-LHV-MW'!$A$3:$F$40,6,FALSE))))</f>
        <v/>
      </c>
      <c r="LL70" s="297" t="str">
        <f>IF(Compositions!AM135="","",IF(OR(Compositions!$AM$118="wt%",Compositions!$AM$118=""),Compositions!AM135,(IF(LK70="","",((LK70/$LK$78)*100)))))</f>
        <v/>
      </c>
      <c r="LM70" s="39" t="str">
        <f>IF(LL70="","",(IF(OR(Compositions!AK135="Hydrogen",Compositions!AK135="Helium",Compositions!AK135="Water",Compositions!AK135="Carbon Monoxide",Compositions!AK135="Nitrogen",Compositions!AK135="Oxygen",Compositions!AK135="Hydrogen Sulfide",Compositions!AK135="Argon",Compositions!AK135="Carbon Dioxide",Compositions!AK135="Carbon Disulfide"),0,LL70)))</f>
        <v/>
      </c>
      <c r="LN70" s="186" t="str">
        <f>IF(Compositions!AM135="","",((LE70/100)*((VLOOKUP(Compositions!AK135,'HHV-LHV-MW'!$A$3:$G$40,7,FALSE)))))</f>
        <v/>
      </c>
      <c r="LO70" s="186" t="str">
        <f>IF(LE70="","",(IF(OR(Compositions!AK135="Hydrogen",Compositions!AK135="Carbon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Dioxide",Compositions!AK135="Methane",Compositions!AK135="Ethane"),0,(LE70/100))))</f>
        <v/>
      </c>
      <c r="LP70" s="39" t="str">
        <f>IF(LE70="","",(IF(OR($LO$78=0,$LO$78=""),0,     ((VLOOKUP(Compositions!AK135,'HHV-LHV-MW'!$A$3:$F$40,6,FALSE))*(LO70/$LO$78)))))</f>
        <v/>
      </c>
      <c r="LQ70" s="27" t="str">
        <f>IF(Compositions!AN135="","",IF(Compositions!$AN$118="mol%",Compositions!AN135,LR70))</f>
        <v/>
      </c>
      <c r="LR70" s="27" t="str">
        <f t="shared" si="51"/>
        <v/>
      </c>
      <c r="LS70" s="27" t="str">
        <f>IF(Compositions!AN135="","",(Compositions!AN135/(VLOOKUP(Compositions!AK135,'HHV-LHV-MW'!$A$3:$F$40,6,FALSE))))</f>
        <v/>
      </c>
      <c r="LT70" s="185" t="str">
        <f>IF(LQ70="","",((VLOOKUP(Compositions!AK135,'HHV-LHV-MW'!$A$3:$F$40,4,FALSE))*(LQ70/100)))</f>
        <v/>
      </c>
      <c r="LU70" s="185" t="str">
        <f>IF(LQ70="","",((VLOOKUP(Compositions!AK135,'HHV-LHV-MW'!$A$3:$F$40,5,FALSE))*(LQ70/100)))</f>
        <v/>
      </c>
      <c r="LV70" s="185" t="str">
        <f>IF(LQ70="","",((VLOOKUP(Compositions!AK135,'HHV-LHV-MW'!$A$3:$F$40,6,FALSE))*(LQ70/100)))</f>
        <v/>
      </c>
      <c r="LW70" s="185" t="str">
        <f>IF(Compositions!AN135="","",(Compositions!AN135*(VLOOKUP(Compositions!AK135,'HHV-LHV-MW'!$A$3:$F$40,6,FALSE))))</f>
        <v/>
      </c>
      <c r="LX70" s="298" t="str">
        <f>IF(Compositions!AN135="","",IF(OR(Compositions!$AN$118="wt%",Compositions!$AN$118=""),Compositions!AN135,(IF(LW70="","",((LW70/$LW$78)*100)))))</f>
        <v/>
      </c>
      <c r="LY70" s="185" t="str">
        <f>IF(LX70="","",(IF(OR(Compositions!AK135="Hydrogen",Compositions!AK135="Helium",Compositions!AK135="Water",Compositions!AK135="Carbon Monoxide",Compositions!AK135="Nitrogen",Compositions!AK135="Oxygen",Compositions!AK135="Hydrogen Sulfide",Compositions!AK135="Argon",Compositions!AK135="Carbon Dioxide",Compositions!AK135="Carbon Disulfide"),0,LX70)))</f>
        <v/>
      </c>
      <c r="LZ70" s="187" t="str">
        <f>IF(Compositions!AN135="","",((LQ70/100)*((VLOOKUP(Compositions!AK135,'HHV-LHV-MW'!$A$3:$G$40,7,FALSE)))))</f>
        <v/>
      </c>
      <c r="MA70" s="187" t="str">
        <f>IF(LQ70="","",(IF(OR(Compositions!AK135="Hydrogen",Compositions!AK135="Carbon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Dioxide",Compositions!AK135="Methane",Compositions!AK135="Ethane"),0,(LQ70/100))))</f>
        <v/>
      </c>
      <c r="MB70" s="205" t="str">
        <f>IF(LQ70="","",(IF(OR($MA$78=0,$MA$78=""),0,     ((VLOOKUP(Compositions!AK135,'HHV-LHV-MW'!$A$3:$F$40,6,FALSE))*(MA70/$MA$78)))))</f>
        <v/>
      </c>
      <c r="MC70" s="28" t="str">
        <f>IF(Compositions!AO135="","",IF(Compositions!$AO$118="mol%",Compositions!AO135,MD70))</f>
        <v/>
      </c>
      <c r="MD70" s="28" t="str">
        <f t="shared" si="52"/>
        <v/>
      </c>
      <c r="ME70" s="28" t="str">
        <f>IF(Compositions!AO135="","",(Compositions!AO135/(VLOOKUP(Compositions!AK135,'HHV-LHV-MW'!$A$3:$F$40,6,FALSE))))</f>
        <v/>
      </c>
      <c r="MF70" s="184" t="str">
        <f>IF(MC70="","",((VLOOKUP(Compositions!AK135,'HHV-LHV-MW'!$A$3:$F$40,4,FALSE))*(MC70/100)))</f>
        <v/>
      </c>
      <c r="MG70" s="184" t="str">
        <f>IF(MC70="","",((VLOOKUP(Compositions!AK135,'HHV-LHV-MW'!$A$3:$F$40,5,FALSE))*(MC70/100)))</f>
        <v/>
      </c>
      <c r="MH70" s="184" t="str">
        <f>IF(MC70="","",((VLOOKUP(Compositions!AK135,'HHV-LHV-MW'!$A$3:$F$40,6,FALSE))*(MC70/100)))</f>
        <v/>
      </c>
      <c r="MI70" s="184" t="str">
        <f>IF(Compositions!AO135="","",(Compositions!AO135*(VLOOKUP(Compositions!AK135,'HHV-LHV-MW'!$A$3:$F$40,6,FALSE))))</f>
        <v/>
      </c>
      <c r="MJ70" s="297" t="str">
        <f>IF(Compositions!AO135="","",IF(OR(Compositions!$AO$118="wt%",Compositions!$AO$118=""),Compositions!AO135,(IF(MI70="","",((MI70/$MI$78)*100)))))</f>
        <v/>
      </c>
      <c r="MK70" s="39" t="str">
        <f>IF(MJ70="","",(IF(OR(Compositions!AK135="Hydrogen",Compositions!AK135="Helium",Compositions!AK135="Water",Compositions!AK135="Carbon Monoxide",Compositions!AK135="Nitrogen",Compositions!AK135="Oxygen",Compositions!AK135="Hydrogen Sulfide",Compositions!AK135="Argon",Compositions!AK135="Carbon Dioxide",Compositions!AK135="Carbon Disulfide"),0,MJ70)))</f>
        <v/>
      </c>
      <c r="ML70" s="186" t="str">
        <f>IF(Compositions!AO135="","",((MC70/100)*((VLOOKUP(Compositions!AK135,'HHV-LHV-MW'!$A$3:$G$40,7,FALSE)))))</f>
        <v/>
      </c>
      <c r="MM70" s="186" t="str">
        <f>IF(MC70="","",(IF(OR(Compositions!AK135="Hydrogen",Compositions!AK135="Carbon Disulfide",Compositions!AK135="Helium",Compositions!AK135="Water",Compositions!AK135="Carbon Monoxide",Compositions!AK135="Nitrogen",Compositions!AK135="Oxygen",Compositions!AK135="Hydrogen Sulfide",Compositions!AK135="Argon",Compositions!AK135="Carbon Dioxide",Compositions!AK135="Methane",Compositions!AK135="Ethane"),0,(MC70/100))))</f>
        <v/>
      </c>
      <c r="MN70" s="39" t="str">
        <f>IF(MC70="","",(IF(OR($MM$78=0,$MM$78=""),0,     ((VLOOKUP(Compositions!AK135,'HHV-LHV-MW'!$A$3:$F$40,6,FALSE))*(MM70/$MM$78)))))</f>
        <v/>
      </c>
      <c r="MP70" s="27" t="str">
        <f>IF(Compositions!AR135="","",IF(Compositions!$AR$118="mol%",Compositions!AR135,MQ70))</f>
        <v/>
      </c>
      <c r="MQ70" s="27" t="str">
        <f t="shared" si="53"/>
        <v/>
      </c>
      <c r="MR70" s="27" t="str">
        <f>IF(Compositions!AR135="","",(Compositions!AR135/(VLOOKUP(Compositions!AQ135,'HHV-LHV-MW'!$A$3:$F$40,6,FALSE))))</f>
        <v/>
      </c>
      <c r="MS70" s="185" t="str">
        <f>IF(MP70="","",((VLOOKUP(Compositions!AQ135,'HHV-LHV-MW'!$A$3:$F$40,4,FALSE))*(MP70/100)))</f>
        <v/>
      </c>
      <c r="MT70" s="185" t="str">
        <f>IF(MP70="","",((VLOOKUP(Compositions!AQ135,'HHV-LHV-MW'!$A$3:$F$40,5,FALSE))*(MP70/100)))</f>
        <v/>
      </c>
      <c r="MU70" s="185" t="str">
        <f>IF(MP70="","",((VLOOKUP(Compositions!AQ135,'HHV-LHV-MW'!$A$3:$F$40,6,FALSE))*(MP70/100)))</f>
        <v/>
      </c>
      <c r="MV70" s="185" t="str">
        <f>IF(Compositions!AR135="","",(Compositions!AR135*(VLOOKUP(Compositions!AQ135,'HHV-LHV-MW'!$A$3:$F$40,6,FALSE))))</f>
        <v/>
      </c>
      <c r="MW70" s="298" t="str">
        <f>IF(Compositions!AR135="","",IF(OR(Compositions!$AR$118="wt%",Compositions!$AR$118=""),Compositions!AR135,(IF(MV70="","",((MV70/$MV$78)*100)))))</f>
        <v/>
      </c>
      <c r="MX70" s="185" t="str">
        <f>IF(MW70="","",(IF(OR(Compositions!AQ135="Hydrogen",Compositions!AQ135="Helium",Compositions!AQ135="Water",Compositions!AQ135="Carbon Monoxide",Compositions!AQ135="Nitrogen",Compositions!AQ135="Oxygen",Compositions!AQ135="Hydrogen Sulfide",Compositions!AQ135="Argon",Compositions!AQ135="Carbon Dioxide",Compositions!AQ135="Carbon Disulfide"),0,MW70)))</f>
        <v/>
      </c>
      <c r="MY70" s="187" t="str">
        <f>IF(Compositions!AR135="","",((MP70/100)*((VLOOKUP(Compositions!AQ135,'HHV-LHV-MW'!$A$3:$G$40,7,FALSE)))))</f>
        <v/>
      </c>
      <c r="MZ70" s="187" t="str">
        <f>IF(MP70="","",(IF(OR(Compositions!AQ135="Hydrogen",Compositions!AQ135="Carbon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Dioxide",Compositions!AQ135="Methane",Compositions!AQ135="Ethane"),0,(MP70/100))))</f>
        <v/>
      </c>
      <c r="NA70" s="205" t="str">
        <f>IF(MP70="","",(IF(OR($MZ$78=0,$MZ$78=""),0,     ((VLOOKUP(Compositions!AQ135,'HHV-LHV-MW'!$A$3:$F$40,6,FALSE))*(MZ70/$MZ$78)))))</f>
        <v/>
      </c>
      <c r="NB70" s="28" t="str">
        <f>IF(Compositions!AS135="","",IF(Compositions!$AS$118="mol%",Compositions!AS135,NC70))</f>
        <v/>
      </c>
      <c r="NC70" s="28" t="str">
        <f t="shared" si="54"/>
        <v/>
      </c>
      <c r="ND70" s="28" t="str">
        <f>IF(Compositions!AS135="","",(Compositions!AS135/(VLOOKUP(Compositions!AQ135,'HHV-LHV-MW'!$A$3:$F$40,6,FALSE))))</f>
        <v/>
      </c>
      <c r="NE70" s="184" t="str">
        <f>IF(NB70="","",((VLOOKUP(Compositions!AQ135,'HHV-LHV-MW'!$A$3:$F$40,4,FALSE))*(NB70/100)))</f>
        <v/>
      </c>
      <c r="NF70" s="184" t="str">
        <f>IF(NB70="","",((VLOOKUP(Compositions!AQ135,'HHV-LHV-MW'!$A$3:$F$40,5,FALSE))*(NB70/100)))</f>
        <v/>
      </c>
      <c r="NG70" s="184" t="str">
        <f>IF(NB70="","",((VLOOKUP(Compositions!AQ135,'HHV-LHV-MW'!$A$3:$F$40,6,FALSE))*(NB70/100)))</f>
        <v/>
      </c>
      <c r="NH70" s="184" t="str">
        <f>IF(Compositions!AS135="","",(Compositions!AS135*(VLOOKUP(Compositions!AQ135,'HHV-LHV-MW'!$A$3:$F$40,6,FALSE))))</f>
        <v/>
      </c>
      <c r="NI70" s="297" t="str">
        <f>IF(Compositions!AS135="","",IF(OR(Compositions!$AS$118="wt%",Compositions!$AS$118=""),Compositions!AS135,(IF(NH70="","",((NH70/$NH$78)*100)))))</f>
        <v/>
      </c>
      <c r="NJ70" s="39" t="str">
        <f>IF(NI70="","",(IF(OR(Compositions!AQ135="Hydrogen",Compositions!AQ135="Helium",Compositions!AQ135="Water",Compositions!AQ135="Carbon Monoxide",Compositions!AQ135="Nitrogen",Compositions!AQ135="Oxygen",Compositions!AQ135="Hydrogen Sulfide",Compositions!AQ135="Argon",Compositions!AQ135="Carbon Dioxide",Compositions!AQ135="Carbon Disulfide"),0,NI70)))</f>
        <v/>
      </c>
      <c r="NK70" s="186" t="str">
        <f>IF(Compositions!AS135="","",((NB70/100)*((VLOOKUP(Compositions!AQ135,'HHV-LHV-MW'!$A$3:$G$40,7,FALSE)))))</f>
        <v/>
      </c>
      <c r="NL70" s="186" t="str">
        <f>IF(NB70="","",(IF(OR(Compositions!AQ135="Hydrogen",Compositions!AQ135="Carbon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Dioxide",Compositions!AQ135="Methane",Compositions!AQ135="Ethane"),0,(NB70/100))))</f>
        <v/>
      </c>
      <c r="NM70" s="39" t="str">
        <f>IF(NB70="","",(IF(OR($NL$78=0,$NL$78=""),0,     ((VLOOKUP(Compositions!AQ135,'HHV-LHV-MW'!$A$3:$F$40,6,FALSE))*(NL70/$NL$78)))))</f>
        <v/>
      </c>
      <c r="NN70" s="27" t="str">
        <f>IF(Compositions!AT135="","",IF(Compositions!$AT$118="mol%",Compositions!AT135,NO70))</f>
        <v/>
      </c>
      <c r="NO70" s="27" t="str">
        <f t="shared" si="55"/>
        <v/>
      </c>
      <c r="NP70" s="27" t="str">
        <f>IF(Compositions!AT135="","",(Compositions!AT135/(VLOOKUP(Compositions!AQ135,'HHV-LHV-MW'!$A$3:$F$40,6,FALSE))))</f>
        <v/>
      </c>
      <c r="NQ70" s="185" t="str">
        <f>IF(NN70="","",((VLOOKUP(Compositions!AQ135,'HHV-LHV-MW'!$A$3:$F$40,4,FALSE))*(NN70/100)))</f>
        <v/>
      </c>
      <c r="NR70" s="185" t="str">
        <f>IF(NN70="","",((VLOOKUP(Compositions!AQ135,'HHV-LHV-MW'!$A$3:$F$40,5,FALSE))*(NN70/100)))</f>
        <v/>
      </c>
      <c r="NS70" s="185" t="str">
        <f>IF(NN70="","",((VLOOKUP(Compositions!AQ135,'HHV-LHV-MW'!$A$3:$F$40,6,FALSE))*(NN70/100)))</f>
        <v/>
      </c>
      <c r="NT70" s="185" t="str">
        <f>IF(Compositions!AT135="","",(Compositions!AT135*(VLOOKUP(Compositions!AQ135,'HHV-LHV-MW'!$A$3:$F$40,6,FALSE))))</f>
        <v/>
      </c>
      <c r="NU70" s="298" t="str">
        <f>IF(Compositions!AT135="","",IF(OR(Compositions!$AT$118="wt%",Compositions!$AT$118=""),Compositions!AT135,(IF(NT70="","",((NT70/$NT$78)*100)))))</f>
        <v/>
      </c>
      <c r="NV70" s="185" t="str">
        <f>IF(NU70="","",(IF(OR(Compositions!AQ135="Hydrogen",Compositions!AQ135="Helium",Compositions!AQ135="Water",Compositions!AQ135="Carbon Monoxide",Compositions!AQ135="Nitrogen",Compositions!AQ135="Oxygen",Compositions!AQ135="Hydrogen Sulfide",Compositions!AQ135="Argon",Compositions!AQ135="Carbon Dioxide",Compositions!AQ135="Carbon Disulfide"),0,NU70)))</f>
        <v/>
      </c>
      <c r="NW70" s="187" t="str">
        <f>IF(Compositions!AT135="","",((NN70/100)*((VLOOKUP(Compositions!AQ135,'HHV-LHV-MW'!$A$3:$G$40,7,FALSE)))))</f>
        <v/>
      </c>
      <c r="NX70" s="187" t="str">
        <f>IF(NN70="","",(IF(OR(Compositions!AQ135="Hydrogen",Compositions!AQ135="Carbon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Dioxide",Compositions!AQ135="Methane",Compositions!AQ135="Ethane"),0,(NN70/100))))</f>
        <v/>
      </c>
      <c r="NY70" s="205" t="str">
        <f>IF(NN70="","",(IF(OR($NX$78=0,$NX$78=""),0,     ((VLOOKUP(Compositions!AQ135,'HHV-LHV-MW'!$A$3:$F$40,6,FALSE))*(NX70/$NX$78)))))</f>
        <v/>
      </c>
      <c r="NZ70" s="28" t="str">
        <f>IF(Compositions!AU135="","",IF(Compositions!$AU$118="mol%",Compositions!AU135,OA70))</f>
        <v/>
      </c>
      <c r="OA70" s="28" t="str">
        <f t="shared" si="56"/>
        <v/>
      </c>
      <c r="OB70" s="28" t="str">
        <f>IF(Compositions!AU135="","",(Compositions!AU135/(VLOOKUP(Compositions!AQ135,'HHV-LHV-MW'!$A$3:$F$40,6,FALSE))))</f>
        <v/>
      </c>
      <c r="OC70" s="184" t="str">
        <f>IF(NZ70="","",((VLOOKUP(Compositions!AQ135,'HHV-LHV-MW'!$A$3:$F$40,4,FALSE))*(NZ70/100)))</f>
        <v/>
      </c>
      <c r="OD70" s="184" t="str">
        <f>IF(NZ70="","",((VLOOKUP(Compositions!AQ135,'HHV-LHV-MW'!$A$3:$F$40,5,FALSE))*(NZ70/100)))</f>
        <v/>
      </c>
      <c r="OE70" s="184" t="str">
        <f>IF(NZ70="","",((VLOOKUP(Compositions!AQ135,'HHV-LHV-MW'!$A$3:$F$40,6,FALSE))*(NZ70/100)))</f>
        <v/>
      </c>
      <c r="OF70" s="184" t="str">
        <f>IF(Compositions!AU135="","",(Compositions!AU135*(VLOOKUP(Compositions!AQ135,'HHV-LHV-MW'!$A$3:$F$40,6,FALSE))))</f>
        <v/>
      </c>
      <c r="OG70" s="297" t="str">
        <f>IF(Compositions!AU135="","",IF(OR(Compositions!$AU$118="wt%",Compositions!$AU$118=""),Compositions!AU135,(IF(OF70="","",((OF70/$OF$78)*100)))))</f>
        <v/>
      </c>
      <c r="OH70" s="39" t="str">
        <f>IF(OG70="","",(IF(OR(Compositions!AQ135="Hydrogen",Compositions!AQ135="Helium",Compositions!AQ135="Water",Compositions!AQ135="Carbon Monoxide",Compositions!AQ135="Nitrogen",Compositions!AQ135="Oxygen",Compositions!AQ135="Hydrogen Sulfide",Compositions!AQ135="Argon",Compositions!AQ135="Carbon Dioxide",Compositions!AQ135="Carbon Disulfide"),0,OG70)))</f>
        <v/>
      </c>
      <c r="OI70" s="186" t="str">
        <f>IF(Compositions!AU135="","",((NZ70/100)*((VLOOKUP(Compositions!AQ135,'HHV-LHV-MW'!$A$3:$G$40,7,FALSE)))))</f>
        <v/>
      </c>
      <c r="OJ70" s="186" t="str">
        <f>IF(NZ70="","",(IF(OR(Compositions!AQ135="Hydrogen",Compositions!AQ135="Carbon Disulfide",Compositions!AQ135="Helium",Compositions!AQ135="Water",Compositions!AQ135="Carbon Monoxide",Compositions!AQ135="Nitrogen",Compositions!AQ135="Oxygen",Compositions!AQ135="Hydrogen Sulfide",Compositions!AQ135="Argon",Compositions!AQ135="Carbon Dioxide",Compositions!AQ135="Methane",Compositions!AQ135="Ethane"),0,(NZ70/100))))</f>
        <v/>
      </c>
      <c r="OK70" s="39" t="str">
        <f>IF(NZ70="","",(IF(OR($OJ$78=0,$OJ$78=""),0,     ((VLOOKUP(Compositions!AQ135,'HHV-LHV-MW'!$A$3:$F$40,6,FALSE))*(OJ70/$OJ$78)))))</f>
        <v/>
      </c>
      <c r="ON70" s="27" t="str">
        <f>IF(Compositions!AX135="","",IF(Compositions!$AX$118="mol%",Compositions!AX135,OO70))</f>
        <v/>
      </c>
      <c r="OO70" s="27" t="str">
        <f t="shared" si="57"/>
        <v/>
      </c>
      <c r="OP70" s="27" t="str">
        <f>IF(Compositions!AX135="","",(Compositions!AX135/(VLOOKUP(Compositions!AW135,'HHV-LHV-MW'!$A$3:$F$40,6,FALSE))))</f>
        <v/>
      </c>
      <c r="OQ70" s="185" t="str">
        <f>IF(ON70="","",((VLOOKUP(Compositions!AW135,'HHV-LHV-MW'!$A$3:$F$40,4,FALSE))*(ON70/100)))</f>
        <v/>
      </c>
      <c r="OR70" s="185" t="str">
        <f>IF(ON70="","",((VLOOKUP(Compositions!AW135,'HHV-LHV-MW'!$A$3:$F$40,5,FALSE))*(ON70/100)))</f>
        <v/>
      </c>
      <c r="OS70" s="185" t="str">
        <f>IF(ON70="","",((VLOOKUP(Compositions!AW135,'HHV-LHV-MW'!$A$3:$F$40,6,FALSE))*(ON70/100)))</f>
        <v/>
      </c>
      <c r="OT70" s="185" t="str">
        <f>IF(Compositions!AX135="","",(Compositions!AX135*(VLOOKUP(Compositions!AW135,'HHV-LHV-MW'!$A$3:$F$40,6,FALSE))))</f>
        <v/>
      </c>
      <c r="OU70" s="298" t="str">
        <f>IF(Compositions!AX135="","",IF(OR(Compositions!$AX$118="wt%",Compositions!$AX$118=""),Compositions!AX135,(IF(OT70="","",((OT70/$OT$78)*100)))))</f>
        <v/>
      </c>
      <c r="OV70" s="185" t="str">
        <f>IF(OU70="","",(IF(OR(Compositions!AW135="Hydrogen",Compositions!AW135="Helium",Compositions!AW135="Water",Compositions!AW135="Carbon Monoxide",Compositions!AW135="Nitrogen",Compositions!AW135="Oxygen",Compositions!AW135="Hydrogen Sulfide",Compositions!AW135="Argon",Compositions!AW135="Carbon Dioxide",Compositions!AW135="Carbon Disulfide"),0,OU70)))</f>
        <v/>
      </c>
      <c r="OW70" s="187" t="str">
        <f>IF(Compositions!AX135="","",((ON70/100)*((VLOOKUP(Compositions!AW135,'HHV-LHV-MW'!$A$3:$G$40,7,FALSE)))))</f>
        <v/>
      </c>
      <c r="OX70" s="187" t="str">
        <f>IF(ON70="","",(IF(OR(Compositions!AW135="Hydrogen",Compositions!AW135="Carbon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Dioxide",Compositions!AW135="Methane",Compositions!AW135="Ethane"),0,(ON70/100))))</f>
        <v/>
      </c>
      <c r="OY70" s="205" t="str">
        <f>IF(ON70="","",(IF(OR($OX$78=0,$OX$78=""),0,     ((VLOOKUP(Compositions!AW135,'HHV-LHV-MW'!$A$3:$F$40,6,FALSE))*(OX70/$OX$78)))))</f>
        <v/>
      </c>
      <c r="OZ70" s="28" t="str">
        <f>IF(Compositions!AY135="","",IF(Compositions!$AY$118="mol%",Compositions!AY135,PA70))</f>
        <v/>
      </c>
      <c r="PA70" s="28" t="str">
        <f t="shared" si="64"/>
        <v/>
      </c>
      <c r="PB70" s="28" t="str">
        <f>IF(Compositions!AY135="","",(Compositions!AY135/(VLOOKUP(Compositions!AW135,'HHV-LHV-MW'!$A$3:$F$40,6,FALSE))))</f>
        <v/>
      </c>
      <c r="PC70" s="184" t="str">
        <f>IF(OZ70="","",((VLOOKUP(Compositions!AW135,'HHV-LHV-MW'!$A$3:$F$40,4,FALSE))*(OZ70/100)))</f>
        <v/>
      </c>
      <c r="PD70" s="184" t="str">
        <f>IF(OZ70="","",((VLOOKUP(Compositions!AW135,'HHV-LHV-MW'!$A$3:$F$40,5,FALSE))*(OZ70/100)))</f>
        <v/>
      </c>
      <c r="PE70" s="184" t="str">
        <f>IF(OZ70="","",((VLOOKUP(Compositions!AW135,'HHV-LHV-MW'!$A$3:$F$40,6,FALSE))*(OZ70/100)))</f>
        <v/>
      </c>
      <c r="PF70" s="184" t="str">
        <f>IF(Compositions!AY135="","",(Compositions!AY135*(VLOOKUP(Compositions!AW135,'HHV-LHV-MW'!$A$3:$F$40,6,FALSE))))</f>
        <v/>
      </c>
      <c r="PG70" s="297" t="str">
        <f>IF(Compositions!AY135="","",IF(OR(Compositions!$AY$118="wt%",Compositions!$AY$118=""),Compositions!AY135,(IF(PF70="","",((PF70/$PF$78)*100)))))</f>
        <v/>
      </c>
      <c r="PH70" s="39" t="str">
        <f>IF(PG70="","",(IF(OR(Compositions!AW135="Hydrogen",Compositions!AW135="Helium",Compositions!AW135="Water",Compositions!AW135="Carbon Monoxide",Compositions!AW135="Nitrogen",Compositions!AW135="Oxygen",Compositions!AW135="Hydrogen Sulfide",Compositions!AW135="Argon",Compositions!AW135="Carbon Dioxide",Compositions!AW135="Carbon Disulfide"),0,PG70)))</f>
        <v/>
      </c>
      <c r="PI70" s="186" t="str">
        <f>IF(Compositions!AY135="","",((OZ70/100)*((VLOOKUP(Compositions!AW135,'HHV-LHV-MW'!$A$3:$G$40,7,FALSE)))))</f>
        <v/>
      </c>
      <c r="PJ70" s="186" t="str">
        <f>IF(OZ70="","",(IF(OR(Compositions!AW135="Hydrogen",Compositions!AW135="Carbon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Dioxide",Compositions!AW135="Methane",Compositions!AW135="Ethane"),0,(OZ70/100))))</f>
        <v/>
      </c>
      <c r="PK70" s="39" t="str">
        <f>IF(OZ70="","",(IF(OR($PJ$78=0,$PJ$78=""),0,     ((VLOOKUP(Compositions!AW135,'HHV-LHV-MW'!$A$3:$F$40,6,FALSE))*(PJ70/$PJ$78)))))</f>
        <v/>
      </c>
      <c r="PL70" s="27" t="str">
        <f>IF(Compositions!AZ135="","",IF(Compositions!$AZ$118="mol%",Compositions!AZ135,PM70))</f>
        <v/>
      </c>
      <c r="PM70" s="27" t="str">
        <f t="shared" si="58"/>
        <v/>
      </c>
      <c r="PN70" s="27" t="str">
        <f>IF(Compositions!AZ135="","",(Compositions!AZ135/(VLOOKUP(Compositions!AW135,'HHV-LHV-MW'!$A$3:$F$40,6,FALSE))))</f>
        <v/>
      </c>
      <c r="PO70" s="185" t="str">
        <f>IF(PL70="","",((VLOOKUP(Compositions!AW135,'HHV-LHV-MW'!$A$3:$F$40,4,FALSE))*(PL70/100)))</f>
        <v/>
      </c>
      <c r="PP70" s="185" t="str">
        <f>IF(PL70="","",((VLOOKUP(Compositions!AW135,'HHV-LHV-MW'!$A$3:$F$40,5,FALSE))*(PL70/100)))</f>
        <v/>
      </c>
      <c r="PQ70" s="185" t="str">
        <f>IF(PL70="","",((VLOOKUP(Compositions!AW135,'HHV-LHV-MW'!$A$3:$F$40,6,FALSE))*(PL70/100)))</f>
        <v/>
      </c>
      <c r="PR70" s="185" t="str">
        <f>IF(Compositions!AZ135="","",(Compositions!AZ135*(VLOOKUP(Compositions!AW135,'HHV-LHV-MW'!$A$3:$F$40,6,FALSE))))</f>
        <v/>
      </c>
      <c r="PS70" s="298" t="str">
        <f>IF(Compositions!AZ135="","",IF(OR(Compositions!$AZ$118="wt%",Compositions!$AZ$118=""),Compositions!AZ135,(IF(PR70="","",((PR70/$PR$78)*100)))))</f>
        <v/>
      </c>
      <c r="PT70" s="185" t="str">
        <f>IF(PS70="","",(IF(OR(Compositions!AW135="Hydrogen",Compositions!AW135="Helium",Compositions!AW135="Water",Compositions!AW135="Carbon Monoxide",Compositions!AW135="Nitrogen",Compositions!AW135="Oxygen",Compositions!AW135="Hydrogen Sulfide",Compositions!AW135="Argon",Compositions!AW135="Carbon Dioxide",Compositions!AW135="Carbon Disulfide"),0,PS70)))</f>
        <v/>
      </c>
      <c r="PU70" s="187" t="str">
        <f>IF(Compositions!AZ135="","",((PL70/100)*((VLOOKUP(Compositions!AW135,'HHV-LHV-MW'!$A$3:$G$40,7,FALSE)))))</f>
        <v/>
      </c>
      <c r="PV70" s="187" t="str">
        <f>IF(PL70="","",(IF(OR(Compositions!AW135="Hydrogen",Compositions!AW135="Carbon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Dioxide",Compositions!AW135="Methane",Compositions!AW135="Ethane"),0,(PL70/100))))</f>
        <v/>
      </c>
      <c r="PW70" s="205" t="str">
        <f>IF(PL70="","",(IF(OR($PV$78=0,$PV$78=""),0,     ((VLOOKUP(Compositions!AW135,'HHV-LHV-MW'!$A$3:$F$40,6,FALSE))*(PV70/$PV$78)))))</f>
        <v/>
      </c>
      <c r="PX70" s="28" t="str">
        <f>IF(Compositions!BA135="","",IF(Compositions!$BA$118="mol%",Compositions!BA135,PY70))</f>
        <v/>
      </c>
      <c r="PY70" s="28" t="str">
        <f t="shared" si="59"/>
        <v/>
      </c>
      <c r="PZ70" s="28" t="str">
        <f>IF(Compositions!BA135="","",(Compositions!BA135/(VLOOKUP(Compositions!AW135,'HHV-LHV-MW'!$A$3:$F$40,6,FALSE))))</f>
        <v/>
      </c>
      <c r="QA70" s="184" t="str">
        <f>IF(PX70="","",((VLOOKUP(Compositions!AW135,'HHV-LHV-MW'!$A$3:$F$40,4,FALSE))*(PX70/100)))</f>
        <v/>
      </c>
      <c r="QB70" s="184" t="str">
        <f>IF(PX70="","",((VLOOKUP(Compositions!AW135,'HHV-LHV-MW'!$A$3:$F$40,5,FALSE))*(PX70/100)))</f>
        <v/>
      </c>
      <c r="QC70" s="184" t="str">
        <f>IF(PX70="","",((VLOOKUP(Compositions!AW135,'HHV-LHV-MW'!$A$3:$F$40,6,FALSE))*(PX70/100)))</f>
        <v/>
      </c>
      <c r="QD70" s="184" t="str">
        <f>IF(Compositions!BA135="","",(Compositions!BA135*(VLOOKUP(Compositions!AW135,'HHV-LHV-MW'!$A$3:$F$40,6,FALSE))))</f>
        <v/>
      </c>
      <c r="QE70" s="297" t="str">
        <f>IF(Compositions!BA135="","",IF(OR(Compositions!$BA$118="wt%",Compositions!$BA$118=""),Compositions!BA135,(IF(QD70="","",((QD70/$QD$78)*100)))))</f>
        <v/>
      </c>
      <c r="QF70" s="39" t="str">
        <f>IF(QE70="","",(IF(OR(Compositions!AW135="Hydrogen",Compositions!AW135="Helium",Compositions!AW135="Water",Compositions!AW135="Carbon Monoxide",Compositions!AW135="Nitrogen",Compositions!AW135="Oxygen",Compositions!AW135="Hydrogen Sulfide",Compositions!AW135="Argon",Compositions!AW135="Carbon Dioxide",Compositions!AW135="Carbon Disulfide"),0,QE70)))</f>
        <v/>
      </c>
      <c r="QG70" s="186" t="str">
        <f>IF(Compositions!BA135="","",((PX70/100)*((VLOOKUP(Compositions!AW135,'HHV-LHV-MW'!$A$3:$G$40,7,FALSE)))))</f>
        <v/>
      </c>
      <c r="QH70" s="186" t="str">
        <f>IF(PX70="","",(IF(OR(Compositions!AW135="Hydrogen",Compositions!AW135="Carbon Disulfide",Compositions!AW135="Helium",Compositions!AW135="Water",Compositions!AW135="Carbon Monoxide",Compositions!AW135="Nitrogen",Compositions!AW135="Oxygen",Compositions!AW135="Hydrogen Sulfide",Compositions!AW135="Argon",Compositions!AW135="Carbon Dioxide",Compositions!AW135="Methane",Compositions!AW135="Ethane"),0,(PX70/100))))</f>
        <v/>
      </c>
      <c r="QI70" s="39" t="str">
        <f>IF(PX70="","",(IF(OR($QH$78=0,$QH$78=""),0,     ((VLOOKUP(Compositions!AW135,'HHV-LHV-MW'!$A$3:$F$40,6,FALSE))*(QH70/$QH$78)))))</f>
        <v/>
      </c>
      <c r="QK70" s="27" t="str">
        <f>IF(Compositions!BD135="","",IF(Compositions!$BD$118="mol%",Compositions!BD135,QL70))</f>
        <v/>
      </c>
      <c r="QL70" s="27" t="str">
        <f t="shared" si="60"/>
        <v/>
      </c>
      <c r="QM70" s="27" t="str">
        <f>IF(Compositions!BD135="","",(Compositions!BD135/(VLOOKUP(Compositions!BC135,'HHV-LHV-MW'!$A$3:$F$40,6,FALSE))))</f>
        <v/>
      </c>
      <c r="QN70" s="185" t="str">
        <f>IF(QK70="","",((VLOOKUP(Compositions!BC135,'HHV-LHV-MW'!$A$3:$F$40,4,FALSE))*(QK70/100)))</f>
        <v/>
      </c>
      <c r="QO70" s="185" t="str">
        <f>IF(QK70="","",((VLOOKUP(Compositions!BC135,'HHV-LHV-MW'!$A$3:$F$40,5,FALSE))*(QK70/100)))</f>
        <v/>
      </c>
      <c r="QP70" s="185" t="str">
        <f>IF(QK70="","",((VLOOKUP(Compositions!BC135,'HHV-LHV-MW'!$A$3:$F$40,6,FALSE))*(QK70/100)))</f>
        <v/>
      </c>
      <c r="QQ70" s="185" t="str">
        <f>IF(Compositions!BD135="","",(Compositions!BD135*(VLOOKUP(Compositions!BC135,'HHV-LHV-MW'!$A$3:$F$40,6,FALSE))))</f>
        <v/>
      </c>
      <c r="QR70" s="298" t="str">
        <f>IF(Compositions!BD135="","",IF(OR(Compositions!$BD$118="wt%",Compositions!$BD$118=""),Compositions!BD135,(IF(QQ70="","",((QQ70/$QQ$78)*100)))))</f>
        <v/>
      </c>
      <c r="QS70" s="185" t="str">
        <f>IF(QR70="","",(IF(OR(Compositions!BC135="Hydrogen",Compositions!BC135="Helium",Compositions!BC135="Water",Compositions!BC135="Carbon Monoxide",Compositions!BC135="Nitrogen",Compositions!BC135="Oxygen",Compositions!BC135="Hydrogen Sulfide",Compositions!BC135="Argon",Compositions!BC135="Carbon Dioxide",Compositions!BC135="Carbon Disulfide"),0,QR70)))</f>
        <v/>
      </c>
      <c r="QT70" s="187" t="str">
        <f>IF(Compositions!BD135="","",((QK70/100)*((VLOOKUP(Compositions!BC135,'HHV-LHV-MW'!$A$3:$G$40,7,FALSE)))))</f>
        <v/>
      </c>
      <c r="QU70" s="187" t="str">
        <f>IF(QK70="","",(IF(OR(Compositions!BC135="Hydrogen",Compositions!BC135="Carbon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Dioxide",Compositions!BC135="Methane",Compositions!BC135="Ethane"),0,(QK70/100))))</f>
        <v/>
      </c>
      <c r="QV70" s="205" t="str">
        <f>IF(QK70="","",(IF(OR($QU$78=0,$QU$78=""),0,     ((VLOOKUP(Compositions!BC135,'HHV-LHV-MW'!$A$3:$F$40,6,FALSE))*(QU70/$QU$78)))))</f>
        <v/>
      </c>
      <c r="QW70" s="28" t="str">
        <f>IF(Compositions!BE135="","",IF(Compositions!$BE$118="mol%",Compositions!BE135,QX70))</f>
        <v/>
      </c>
      <c r="QX70" s="28" t="str">
        <f t="shared" si="61"/>
        <v/>
      </c>
      <c r="QY70" s="28" t="str">
        <f>IF(Compositions!BE135="","",(Compositions!BE135/(VLOOKUP(Compositions!BC135,'HHV-LHV-MW'!$A$3:$F$40,6,FALSE))))</f>
        <v/>
      </c>
      <c r="QZ70" s="184" t="str">
        <f>IF(QW70="","",((VLOOKUP(Compositions!BC135,'HHV-LHV-MW'!$A$3:$F$40,4,FALSE))*(QW70/100)))</f>
        <v/>
      </c>
      <c r="RA70" s="184" t="str">
        <f>IF(QW70="","",((VLOOKUP(Compositions!BC135,'HHV-LHV-MW'!$A$3:$F$40,5,FALSE))*(QW70/100)))</f>
        <v/>
      </c>
      <c r="RB70" s="184" t="str">
        <f>IF(QW70="","",((VLOOKUP(Compositions!BC135,'HHV-LHV-MW'!$A$3:$F$40,6,FALSE))*(QW70/100)))</f>
        <v/>
      </c>
      <c r="RC70" s="184" t="str">
        <f>IF(Compositions!BE135="","",(Compositions!BE135*(VLOOKUP(Compositions!BC135,'HHV-LHV-MW'!$A$3:$F$40,6,FALSE))))</f>
        <v/>
      </c>
      <c r="RD70" s="297" t="str">
        <f>IF(Compositions!BE135="","",IF(OR(Compositions!$BE$118="wt%",Compositions!$BE$118=""),Compositions!BE135,(IF(RC70="","",((RC70/$RC$78)*100)))))</f>
        <v/>
      </c>
      <c r="RE70" s="39" t="str">
        <f>IF(RD70="","",(IF(OR(Compositions!BC135="Hydrogen",Compositions!BC135="Helium",Compositions!BC135="Water",Compositions!BC135="Carbon Monoxide",Compositions!BC135="Nitrogen",Compositions!BC135="Oxygen",Compositions!BC135="Hydrogen Sulfide",Compositions!BC135="Argon",Compositions!BC135="Carbon Dioxide",Compositions!BC135="Carbon Disulfide"),0,RD70)))</f>
        <v/>
      </c>
      <c r="RF70" s="186" t="str">
        <f>IF(Compositions!BE135="","",((QW70/100)*((VLOOKUP(Compositions!BC135,'HHV-LHV-MW'!$A$3:$G$40,7,FALSE)))))</f>
        <v/>
      </c>
      <c r="RG70" s="186" t="str">
        <f>IF(QW70="","",(IF(OR(Compositions!BC135="Hydrogen",Compositions!BC135="Carbon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Dioxide",Compositions!BC135="Methane",Compositions!BC135="Ethane"),0,(QW70/100))))</f>
        <v/>
      </c>
      <c r="RH70" s="39" t="str">
        <f>IF(QW70="","",(IF(OR($RG$78=0,$RG$78=""),0,     ((VLOOKUP(Compositions!BC135,'HHV-LHV-MW'!$A$3:$F$40,6,FALSE))*(RG70/$RG$78)))))</f>
        <v/>
      </c>
      <c r="RI70" s="27" t="str">
        <f>IF(Compositions!BF135="","",IF(Compositions!$BF$118="mol%",Compositions!BF135,RJ70))</f>
        <v/>
      </c>
      <c r="RJ70" s="27" t="str">
        <f t="shared" si="62"/>
        <v/>
      </c>
      <c r="RK70" s="27" t="str">
        <f>IF(Compositions!BF135="","",(Compositions!BF135/(VLOOKUP(Compositions!BC135,'HHV-LHV-MW'!$A$3:$F$40,6,FALSE))))</f>
        <v/>
      </c>
      <c r="RL70" s="185" t="str">
        <f>IF(RI70="","",((VLOOKUP(Compositions!BC135,'HHV-LHV-MW'!$A$3:$F$40,4,FALSE))*(RI70/100)))</f>
        <v/>
      </c>
      <c r="RM70" s="185" t="str">
        <f>IF(RI70="","",((VLOOKUP(Compositions!BC135,'HHV-LHV-MW'!$A$3:$F$40,5,FALSE))*(RI70/100)))</f>
        <v/>
      </c>
      <c r="RN70" s="185" t="str">
        <f>IF(RI70="","",((VLOOKUP(Compositions!BC135,'HHV-LHV-MW'!$A$3:$F$40,6,FALSE))*(RI70/100)))</f>
        <v/>
      </c>
      <c r="RO70" s="185" t="str">
        <f>IF(Compositions!BF135="","",(Compositions!BF135*(VLOOKUP(Compositions!BC135,'HHV-LHV-MW'!$A$3:$F$40,6,FALSE))))</f>
        <v/>
      </c>
      <c r="RP70" s="298" t="str">
        <f>IF(Compositions!BF135="","",IF(OR(Compositions!$BF$118="wt%",Compositions!$BF$118=""),Compositions!BF135,(IF(RO70="","",((RO70/$RO$78)*100)))))</f>
        <v/>
      </c>
      <c r="RQ70" s="185" t="str">
        <f>IF(RP70="","",(IF(OR(Compositions!BC135="Hydrogen",Compositions!BC135="Helium",Compositions!BC135="Water",Compositions!BC135="Carbon Monoxide",Compositions!BC135="Nitrogen",Compositions!BC135="Oxygen",Compositions!BC135="Hydrogen Sulfide",Compositions!BC135="Argon",Compositions!BC135="Carbon Dioxide",Compositions!BC135="Carbon Disulfide"),0,RP70)))</f>
        <v/>
      </c>
      <c r="RR70" s="187" t="str">
        <f>IF(Compositions!BF135="","",((RI70/100)*((VLOOKUP(Compositions!BC135,'HHV-LHV-MW'!$A$3:$G$40,7,FALSE)))))</f>
        <v/>
      </c>
      <c r="RS70" s="187" t="str">
        <f>IF(RI70="","",(IF(OR(Compositions!BC135="Hydrogen",Compositions!BC135="Carbon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Dioxide",Compositions!BC135="Methane",Compositions!BC135="Ethane"),0,(RI70/100))))</f>
        <v/>
      </c>
      <c r="RT70" s="205" t="str">
        <f>IF(RI70="","",(IF(OR($RS$78=0,$RS$78=""),0,     ((VLOOKUP(Compositions!BC135,'HHV-LHV-MW'!$A$3:$F$40,6,FALSE))*(RS70/$RS$78)))))</f>
        <v/>
      </c>
      <c r="RU70" s="28" t="str">
        <f>IF(Compositions!BG135="","",IF(Compositions!$BG$118="mol%",Compositions!BG135,RV70))</f>
        <v/>
      </c>
      <c r="RV70" s="28" t="str">
        <f t="shared" si="63"/>
        <v/>
      </c>
      <c r="RW70" s="28" t="str">
        <f>IF(Compositions!BG135="","",(Compositions!BG135/(VLOOKUP(Compositions!BC135,'HHV-LHV-MW'!$A$3:$F$40,6,FALSE))))</f>
        <v/>
      </c>
      <c r="RX70" s="184" t="str">
        <f>IF(RU70="","",((VLOOKUP(Compositions!BC135,'HHV-LHV-MW'!$A$3:$F$40,4,FALSE))*(RU70/100)))</f>
        <v/>
      </c>
      <c r="RY70" s="184" t="str">
        <f>IF(RU70="","",((VLOOKUP(Compositions!BC135,'HHV-LHV-MW'!$A$3:$F$40,5,FALSE))*(RU70/100)))</f>
        <v/>
      </c>
      <c r="RZ70" s="184" t="str">
        <f>IF(RU70="","",((VLOOKUP(Compositions!BC135,'HHV-LHV-MW'!$A$3:$F$40,6,FALSE))*(RU70/100)))</f>
        <v/>
      </c>
      <c r="SA70" s="184" t="str">
        <f>IF(Compositions!BG135="","",(Compositions!BG135*(VLOOKUP(Compositions!BC135,'HHV-LHV-MW'!$A$3:$F$40,6,FALSE))))</f>
        <v/>
      </c>
      <c r="SB70" s="297" t="str">
        <f>IF(Compositions!BG135="","",IF(OR(Compositions!$BG$118="wt%",Compositions!$BG$118=""),Compositions!BG135,(IF(SA70="","",((SA70/$SA$78)*100)))))</f>
        <v/>
      </c>
      <c r="SC70" s="39" t="str">
        <f>IF(SB70="","",(IF(OR(Compositions!BC135="Hydrogen",Compositions!BC135="Helium",Compositions!BC135="Water",Compositions!BC135="Carbon Monoxide",Compositions!BC135="Nitrogen",Compositions!BC135="Oxygen",Compositions!BC135="Hydrogen Sulfide",Compositions!BC135="Argon",Compositions!BC135="Carbon Dioxide",Compositions!BC135="Carbon Disulfide"),0,SB70)))</f>
        <v/>
      </c>
      <c r="SD70" s="186" t="str">
        <f>IF(Compositions!BG135="","",((RU70/100)*((VLOOKUP(Compositions!BC135,'HHV-LHV-MW'!$A$3:$G$40,7,FALSE)))))</f>
        <v/>
      </c>
      <c r="SE70" s="186" t="str">
        <f>IF(RU70="","",(IF(OR(Compositions!BC135="Hydrogen",Compositions!BC135="Carbon Disulfide",Compositions!BC135="Helium",Compositions!BC135="Water",Compositions!BC135="Carbon Monoxide",Compositions!BC135="Nitrogen",Compositions!BC135="Oxygen",Compositions!BC135="Hydrogen Sulfide",Compositions!BC135="Argon",Compositions!BC135="Carbon Dioxide",Compositions!BC135="Methane",Compositions!BC135="Ethane"),0,(RU70/100))))</f>
        <v/>
      </c>
      <c r="SF70" s="39" t="str">
        <f>IF(RU70="","",(IF(OR($SE$78=0,$SE$78=""),0,     ((VLOOKUP(Compositions!BC135,'HHV-LHV-MW'!$A$3:$F$40,6,FALSE))*(SE70/$SE$78)))))</f>
        <v/>
      </c>
    </row>
    <row r="71" spans="1:500" ht="15.6">
      <c r="A71" s="173" t="s">
        <v>204</v>
      </c>
      <c r="B71" s="19" t="s">
        <v>192</v>
      </c>
      <c r="C71" s="20">
        <v>6</v>
      </c>
      <c r="D71" s="20">
        <v>4.1947000000000001</v>
      </c>
      <c r="E71" s="20">
        <v>3.8822000000000001</v>
      </c>
      <c r="F71" s="20">
        <v>86.177160000000001</v>
      </c>
      <c r="G71" s="20">
        <v>0</v>
      </c>
      <c r="H71" s="170"/>
      <c r="I71" s="170"/>
      <c r="K71" s="27" t="str">
        <f>IF(Compositions!B136="","",IF(Compositions!$B$118="mol%",Compositions!B136,L71))</f>
        <v/>
      </c>
      <c r="L71" s="27" t="str">
        <f t="shared" si="25"/>
        <v/>
      </c>
      <c r="M71" s="27" t="str">
        <f>IF(Compositions!B136="","",(Compositions!B136/(VLOOKUP(Compositions!A136,'HHV-LHV-MW'!$A$3:$F$40,6,FALSE))))</f>
        <v/>
      </c>
      <c r="N71" s="25" t="str">
        <f>IF(K71="","",((VLOOKUP(Compositions!A136,'HHV-LHV-MW'!$A$3:$F$40,4,FALSE))*(K71/100)))</f>
        <v/>
      </c>
      <c r="O71" s="25" t="str">
        <f>IF(K71="","",((VLOOKUP(Compositions!A136,'HHV-LHV-MW'!$A$3:$F$40,5,FALSE))*(K71/100)))</f>
        <v/>
      </c>
      <c r="P71" s="25" t="str">
        <f>IF(K71="","",((VLOOKUP(Compositions!A136,'HHV-LHV-MW'!$A$3:$F$40,6,FALSE))*(K71/100)))</f>
        <v/>
      </c>
      <c r="Q71" s="25" t="str">
        <f>IF(Compositions!B136="","",(Compositions!B136*(VLOOKUP(Compositions!A136,'HHV-LHV-MW'!$A$3:$F$40,6,FALSE))))</f>
        <v/>
      </c>
      <c r="R71" s="188" t="str">
        <f>IF(Compositions!B136="","",IF(OR(Compositions!$B$118="wt%",Compositions!$B$118=""),Compositions!B136,(IF(Q71="","",((Q71/$Q$78)*100)))))</f>
        <v/>
      </c>
      <c r="S71" s="185" t="str">
        <f>IF(R71="","",(IF(OR(Compositions!A136="Hydrogen",Compositions!A136="Helium",Compositions!A136="Water",Compositions!A136="Carbon Monoxide",Compositions!A136="Nitrogen",Compositions!A136="Oxygen",Compositions!A136="Hydrogen Sulfide",Compositions!A136="Argon",Compositions!A136="Carbon Dioxide",Compositions!A136="Carbon Disulfide"),0,R71)))</f>
        <v/>
      </c>
      <c r="T71" s="169" t="str">
        <f>IF(Compositions!B136="","",((K71/100)*((VLOOKUP(Compositions!A136,'HHV-LHV-MW'!$A$3:$G$40,7,FALSE)))))</f>
        <v/>
      </c>
      <c r="U71" s="187" t="str">
        <f>IF(K71="","",(IF(OR(Compositions!A136="Hydrogen",Compositions!A136="Carbon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Dioxide",Compositions!A136="Methane",Compositions!A136="Ethane"),0,(K71/100))))</f>
        <v/>
      </c>
      <c r="V71" s="188" t="str">
        <f>IF(K71="","", (IF(OR($U$78=0,$U$78=""),0,((VLOOKUP(Compositions!A136,'HHV-LHV-MW'!$A$3:$F$40,6,FALSE))*(U71/$U$78))   ))   )</f>
        <v/>
      </c>
      <c r="W71" s="28" t="str">
        <f>IF(Compositions!C136="","",IF(Compositions!$C$118="mol%",Compositions!C136,X71))</f>
        <v/>
      </c>
      <c r="X71" s="28" t="str">
        <f t="shared" si="26"/>
        <v/>
      </c>
      <c r="Y71" s="28" t="str">
        <f>IF(Compositions!C136="","",(Compositions!C136/(VLOOKUP(Compositions!A136,'HHV-LHV-MW'!$A$3:$F$40,6,FALSE))))</f>
        <v/>
      </c>
      <c r="Z71" s="26" t="str">
        <f>IF(W71="","",((VLOOKUP(Compositions!A136,'HHV-LHV-MW'!$A$3:$F$40,4,FALSE))*(W71/100)))</f>
        <v/>
      </c>
      <c r="AA71" s="26" t="str">
        <f>IF(W71="","",((VLOOKUP(Compositions!A136,'HHV-LHV-MW'!$A$3:$F$40,5,FALSE))*(W71/100)))</f>
        <v/>
      </c>
      <c r="AB71" s="26" t="str">
        <f>IF(W71="","",((VLOOKUP(Compositions!A136,'HHV-LHV-MW'!$A$3:$F$40,6,FALSE))*(W71/100)))</f>
        <v/>
      </c>
      <c r="AC71" s="26" t="str">
        <f>IF(Compositions!C136="","",(Compositions!C136*(VLOOKUP(Compositions!A136,'HHV-LHV-MW'!$A$3:$F$40,6,FALSE))))</f>
        <v/>
      </c>
      <c r="AD71" s="296" t="str">
        <f>IF(Compositions!C136="","",IF(OR(Compositions!$C$118="wt%",Compositions!$C$118=""),Compositions!C136,(IF(AC71="","",((AC71/$AC$78)*100)))))</f>
        <v/>
      </c>
      <c r="AE71" s="39" t="str">
        <f>IF(AD71="","",(IF(OR(Compositions!A136="Hydrogen",Compositions!A136="Helium",Compositions!A136="Water",Compositions!A136="Carbon Monoxide",Compositions!A136="Nitrogen",Compositions!A136="Oxygen",Compositions!A136="Hydrogen Sulfide",Compositions!A136="Argon",Compositions!A136="Carbon Dioxide",Compositions!A136="Carbon Disulfide"),0,AD71)))</f>
        <v/>
      </c>
      <c r="AF71" s="186" t="str">
        <f>IF(Compositions!C136="","",((W71/100)*((VLOOKUP(Compositions!A136,'HHV-LHV-MW'!$A$3:$G$40,7,FALSE)))))</f>
        <v/>
      </c>
      <c r="AG71" s="186" t="str">
        <f>IF(W71="","",(IF(OR(Compositions!A136="Hydrogen",Compositions!A136="Carbon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Dioxide",Compositions!A136="Methane",Compositions!A136="Ethane"),0,(W71/100))))</f>
        <v/>
      </c>
      <c r="AH71" s="39" t="str">
        <f>IF(W71="","", (IF(OR($AG$78=0,$AG$78=""),0,   ((VLOOKUP(Compositions!A136,'HHV-LHV-MW'!$A$3:$F$40,6,FALSE))*(AG71/$AG$78)))))</f>
        <v/>
      </c>
      <c r="AI71" s="27" t="str">
        <f>IF(Compositions!D136="","",IF(Compositions!$D$118="mol%",Compositions!D136,AJ71))</f>
        <v/>
      </c>
      <c r="AJ71" s="27" t="str">
        <f t="shared" si="27"/>
        <v/>
      </c>
      <c r="AK71" s="27" t="str">
        <f>IF(Compositions!D136="","",(Compositions!D136/(VLOOKUP(Compositions!A136,'HHV-LHV-MW'!$A$3:$F$40,6,FALSE))))</f>
        <v/>
      </c>
      <c r="AL71" s="25" t="str">
        <f>IF(AI71="","",((VLOOKUP(Compositions!A136,'HHV-LHV-MW'!$A$3:$F$40,4,FALSE))*(AI71/100)))</f>
        <v/>
      </c>
      <c r="AM71" s="25" t="str">
        <f>IF(AI71="","",((VLOOKUP(Compositions!A136,'HHV-LHV-MW'!$A$3:$F$40,5,FALSE))*(AI71/100)))</f>
        <v/>
      </c>
      <c r="AN71" s="25" t="str">
        <f>IF(AI71="","",((VLOOKUP(Compositions!A136,'HHV-LHV-MW'!$A$3:$F$40,6,FALSE))*(AI71/100)))</f>
        <v/>
      </c>
      <c r="AO71" s="25" t="str">
        <f>IF(Compositions!D136="","",(Compositions!D136*(VLOOKUP(Compositions!A136,'HHV-LHV-MW'!$A$3:$F$40,6,FALSE))))</f>
        <v/>
      </c>
      <c r="AP71" s="295" t="str">
        <f>IF(Compositions!D136="","",IF(OR(Compositions!$D$118="wt%",Compositions!$D$118=""),Compositions!D136,(IF(AO71="","",((AO71/$AO$78)*100)))))</f>
        <v/>
      </c>
      <c r="AQ71" s="185" t="str">
        <f>IF(AP71="","",(IF(OR(Compositions!A136="Hydrogen",Compositions!A136="Helium",Compositions!A136="Water",Compositions!A136="Carbon Monoxide",Compositions!A136="Nitrogen",Compositions!A136="Oxygen",Compositions!A136="Hydrogen Sulfide",Compositions!A136="Argon",Compositions!A136="Carbon Dioxide",Compositions!A136="Carbon Disulfide"),0,AP71)))</f>
        <v/>
      </c>
      <c r="AR71" s="187" t="str">
        <f>IF(Compositions!D136="","",((AI71/100)*((VLOOKUP(Compositions!A136,'HHV-LHV-MW'!$A$3:$G$40,7,FALSE)))))</f>
        <v/>
      </c>
      <c r="AS71" s="187" t="str">
        <f>IF(AI71="","",(IF(OR(Compositions!A136="Hydrogen",Compositions!A136="Carbon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Dioxide",Compositions!A136="Methane",Compositions!A136="Ethane"),0,(AI71/100))))</f>
        <v/>
      </c>
      <c r="AT71" s="205" t="str">
        <f>IF(AI71="","",(IF(OR($AS$78=0,$AS$78=""),0,      ((VLOOKUP(Compositions!A136,'HHV-LHV-MW'!$A$3:$F$40,6,FALSE))*(AS71/$AS$78)))))</f>
        <v/>
      </c>
      <c r="AU71" s="28" t="str">
        <f>IF(Compositions!E136="","",IF(Compositions!$E$118="mol%",Compositions!E136,AV71))</f>
        <v/>
      </c>
      <c r="AV71" s="28" t="str">
        <f t="shared" si="28"/>
        <v/>
      </c>
      <c r="AW71" s="28" t="str">
        <f>IF(Compositions!E136="","",(Compositions!E136/(VLOOKUP(Compositions!A136,'HHV-LHV-MW'!$A$3:$F$40,6,FALSE))))</f>
        <v/>
      </c>
      <c r="AX71" s="26" t="str">
        <f>IF(AU71="","",((VLOOKUP(Compositions!A136,'HHV-LHV-MW'!$A$3:$F$40,4,FALSE))*(AU71/100)))</f>
        <v/>
      </c>
      <c r="AY71" s="26" t="str">
        <f>IF(AU71="","",((VLOOKUP(Compositions!A136,'HHV-LHV-MW'!$A$3:$F$40,5,FALSE))*(AU71/100)))</f>
        <v/>
      </c>
      <c r="AZ71" s="26" t="str">
        <f>IF(AU71="","",((VLOOKUP(Compositions!A136,'HHV-LHV-MW'!$A$3:$F$40,6,FALSE))*(AU71/100)))</f>
        <v/>
      </c>
      <c r="BA71" s="26" t="str">
        <f>IF(Compositions!E136="","",(Compositions!E136*(VLOOKUP(Compositions!A136,'HHV-LHV-MW'!$A$3:$F$40,6,FALSE))))</f>
        <v/>
      </c>
      <c r="BB71" s="296" t="str">
        <f>IF(Compositions!E136="","",IF(OR(Compositions!$E$118="wt%",Compositions!$E$118=""),Compositions!E136,(IF(BA71="","",((BA71/$BA$78)*100)))))</f>
        <v/>
      </c>
      <c r="BC71" s="39" t="str">
        <f>IF(BB71="","",(IF(OR(Compositions!A136="Hydrogen",Compositions!A136="Helium",Compositions!A136="Water",Compositions!A136="Carbon Monoxide",Compositions!A136="Nitrogen",Compositions!A136="Oxygen",Compositions!A136="Hydrogen Sulfide",Compositions!A136="Argon",Compositions!A136="Carbon Dioxide",Compositions!A136="Carbon Disulfide"),0,BB71)))</f>
        <v/>
      </c>
      <c r="BD71" s="186" t="str">
        <f>IF(Compositions!E136="","",((AU71/100)*((VLOOKUP(Compositions!A136,'HHV-LHV-MW'!$A$3:$G$40,7,FALSE)))))</f>
        <v/>
      </c>
      <c r="BE71" s="186" t="str">
        <f>IF(AU71="","",(IF(OR(Compositions!A136="Hydrogen",Compositions!A136="Carbon Disulfide",Compositions!A136="Helium",Compositions!A136="Water",Compositions!A136="Carbon Monoxide",Compositions!A136="Nitrogen",Compositions!A136="Oxygen",Compositions!A136="Hydrogen Sulfide",Compositions!A136="Argon",Compositions!A136="Carbon Dioxide",Compositions!A136="Methane",Compositions!A136="Ethane"),0,(AU71/100))))</f>
        <v/>
      </c>
      <c r="BF71" s="39" t="str">
        <f>IF(AU71="","",(IF(OR($BE$78=0,$BE$78=""),0,     ((VLOOKUP(Compositions!A136,'HHV-LHV-MW'!$A$3:$F$40,6,FALSE))*(BE71/$BE$78)))))</f>
        <v/>
      </c>
      <c r="BH71" s="27" t="str">
        <f>IF(Compositions!H136="","",IF(Compositions!$H$118="mol%",Compositions!H136,BI71))</f>
        <v/>
      </c>
      <c r="BI71" s="27" t="str">
        <f t="shared" si="29"/>
        <v/>
      </c>
      <c r="BJ71" s="27" t="str">
        <f>IF(Compositions!H136="","",(Compositions!H136/(VLOOKUP(Compositions!G136,'HHV-LHV-MW'!$A$3:$F$40,6,FALSE))))</f>
        <v/>
      </c>
      <c r="BK71" s="25" t="str">
        <f>IF(BH71="","",((VLOOKUP(Compositions!G136,'HHV-LHV-MW'!$A$3:$F$40,4,FALSE))*(BH71/100)))</f>
        <v/>
      </c>
      <c r="BL71" s="25" t="str">
        <f>IF(BH71="","",((VLOOKUP(Compositions!G136,'HHV-LHV-MW'!$A$3:$F$40,5,FALSE))*(BH71/100)))</f>
        <v/>
      </c>
      <c r="BM71" s="25" t="str">
        <f>IF(BH71="","",((VLOOKUP(Compositions!G136,'HHV-LHV-MW'!$A$3:$F$40,6,FALSE))*(BH71/100)))</f>
        <v/>
      </c>
      <c r="BN71" s="25" t="str">
        <f>IF(Compositions!H136="","",(Compositions!H136*(VLOOKUP(Compositions!G136,'HHV-LHV-MW'!$A$3:$F$40,6,FALSE))))</f>
        <v/>
      </c>
      <c r="BO71" s="295" t="str">
        <f>IF(Compositions!H136="","",IF(OR(Compositions!$H$118="wt%",Compositions!$H$118=""),Compositions!H136,(IF(BN71="","",((BN71/$BN$78)*100)))))</f>
        <v/>
      </c>
      <c r="BP71" s="185" t="str">
        <f>IF(BO71="","",(IF(OR(Compositions!G136="Hydrogen",Compositions!G136="Helium",Compositions!G136="Water",Compositions!G136="Carbon Monoxide",Compositions!G136="Nitrogen",Compositions!G136="Oxygen",Compositions!G136="Hydrogen Sulfide",Compositions!G136="Argon",Compositions!G136="Carbon Dioxide",Compositions!G136="Carbon Disulfide"),0,BO71)))</f>
        <v/>
      </c>
      <c r="BQ71" s="187" t="str">
        <f>IF(Compositions!H136="","",((BH71/100)*((VLOOKUP(Compositions!G136,'HHV-LHV-MW'!$A$3:$G$40,7,FALSE)))))</f>
        <v/>
      </c>
      <c r="BR71" s="187" t="str">
        <f>IF(BH71="","",(IF(OR(Compositions!G136="Hydrogen",Compositions!G136="Carbon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Dioxide",Compositions!G136="Methane",Compositions!G136="Ethane"),0,(BH71/100))))</f>
        <v/>
      </c>
      <c r="BS71" s="205" t="str">
        <f>IF(BH71="","",(IF(OR($BR$78=0,$BR$78=""),0,    ((VLOOKUP(Compositions!G136,'HHV-LHV-MW'!$A$3:$F$40,6,FALSE))*(BR71/$BR$78)))))</f>
        <v/>
      </c>
      <c r="BT71" s="28" t="str">
        <f>IF(Compositions!I136="","",IF(Compositions!$I$118="mol%",Compositions!I136,BU71))</f>
        <v/>
      </c>
      <c r="BU71" s="28" t="str">
        <f t="shared" si="30"/>
        <v/>
      </c>
      <c r="BV71" s="28" t="str">
        <f>IF(Compositions!I136="","",(Compositions!I136/(VLOOKUP(Compositions!G136,'HHV-LHV-MW'!$A$3:$F$40,6,FALSE))))</f>
        <v/>
      </c>
      <c r="BW71" s="26" t="str">
        <f>IF(BT71="","",((VLOOKUP(Compositions!G136,'HHV-LHV-MW'!$A$3:$F$40,4,FALSE))*(BT71/100)))</f>
        <v/>
      </c>
      <c r="BX71" s="26" t="str">
        <f>IF(BT71="","",((VLOOKUP(Compositions!G136,'HHV-LHV-MW'!$A$3:$F$40,5,FALSE))*(BT71/100)))</f>
        <v/>
      </c>
      <c r="BY71" s="26" t="str">
        <f>IF(BT71="","",((VLOOKUP(Compositions!G136,'HHV-LHV-MW'!$A$3:$F$40,6,FALSE))*(BT71/100)))</f>
        <v/>
      </c>
      <c r="BZ71" s="26" t="str">
        <f>IF(Compositions!I136="","",(Compositions!I136*(VLOOKUP(Compositions!G136,'HHV-LHV-MW'!$A$3:$F$40,6,FALSE))))</f>
        <v/>
      </c>
      <c r="CA71" s="296" t="str">
        <f>IF(Compositions!I136="","",IF(OR(Compositions!$I$118="wt%",Compositions!$I$118=""),Compositions!I136,(IF(BZ71="","",((BZ71/$BZ$78)*100)))))</f>
        <v/>
      </c>
      <c r="CB71" s="39" t="str">
        <f>IF(CA71="","",(IF(OR(Compositions!G136="Hydrogen",Compositions!G136="Helium",Compositions!G136="Water",Compositions!G136="Carbon Monoxide",Compositions!G136="Nitrogen",Compositions!G136="Oxygen",Compositions!G136="Hydrogen Sulfide",Compositions!G136="Argon",Compositions!G136="Carbon Dioxide",Compositions!G136="Carbon Disulfide"),0,CA71)))</f>
        <v/>
      </c>
      <c r="CC71" s="186" t="str">
        <f>IF(Compositions!I136="","",((BT71/100)*((VLOOKUP(Compositions!G136,'HHV-LHV-MW'!$A$3:$G$40,7,FALSE)))))</f>
        <v/>
      </c>
      <c r="CD71" s="186" t="str">
        <f>IF(BT71="","",(IF(OR(Compositions!G136="Hydrogen",Compositions!G136="Carbon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Dioxide",Compositions!G136="Methane",Compositions!G136="Ethane"),0,(BT71/100))))</f>
        <v/>
      </c>
      <c r="CE71" s="39" t="str">
        <f>IF(BT71="","",(IF(OR($CD$78=0,$CD$78=""),0,       ((VLOOKUP(Compositions!G136,'HHV-LHV-MW'!$A$3:$F$40,6,FALSE))*(CD71/$CD$78)))))</f>
        <v/>
      </c>
      <c r="CF71" s="27" t="str">
        <f>IF(Compositions!J136="","",IF(Compositions!$J$118="mol%",Compositions!J136,CG71))</f>
        <v/>
      </c>
      <c r="CG71" s="27" t="str">
        <f t="shared" si="31"/>
        <v/>
      </c>
      <c r="CH71" s="27" t="str">
        <f>IF(Compositions!J136="","",(Compositions!J136/(VLOOKUP(Compositions!G136,'HHV-LHV-MW'!$A$3:$F$40,6,FALSE))))</f>
        <v/>
      </c>
      <c r="CI71" s="25" t="str">
        <f>IF(CF71="","",((VLOOKUP(Compositions!G136,'HHV-LHV-MW'!$A$3:$F$40,4,FALSE))*(CF71/100)))</f>
        <v/>
      </c>
      <c r="CJ71" s="25" t="str">
        <f>IF(CF71="","",((VLOOKUP(Compositions!G136,'HHV-LHV-MW'!$A$3:$F$40,5,FALSE))*(CF71/100)))</f>
        <v/>
      </c>
      <c r="CK71" s="25" t="str">
        <f>IF(CF71="","",((VLOOKUP(Compositions!G136,'HHV-LHV-MW'!$A$3:$F$40,6,FALSE))*(CF71/100)))</f>
        <v/>
      </c>
      <c r="CL71" s="25" t="str">
        <f>IF(Compositions!J136="","",(Compositions!J136*(VLOOKUP(Compositions!G136,'HHV-LHV-MW'!$A$3:$F$40,6,FALSE))))</f>
        <v/>
      </c>
      <c r="CM71" s="295" t="str">
        <f>IF(Compositions!J136="","",IF(OR(Compositions!$J$118="wt%",Compositions!$J$118=""),Compositions!J136,(IF(CL71="","",((CL71/$CL$78)*100)))))</f>
        <v/>
      </c>
      <c r="CN71" s="185" t="str">
        <f>IF(CM71="","",(IF(OR(Compositions!G136="Hydrogen",Compositions!G136="Helium",Compositions!G136="Water",Compositions!G136="Carbon Monoxide",Compositions!G136="Nitrogen",Compositions!G136="Oxygen",Compositions!G136="Hydrogen Sulfide",Compositions!G136="Argon",Compositions!G136="Carbon Dioxide",Compositions!G136="Carbon Disulfide"),0,CM71)))</f>
        <v/>
      </c>
      <c r="CO71" s="187" t="str">
        <f>IF(Compositions!J136="","",((CF71/100)*((VLOOKUP(Compositions!G136,'HHV-LHV-MW'!$A$3:$G$40,7,FALSE)))))</f>
        <v/>
      </c>
      <c r="CP71" s="187" t="str">
        <f>IF(CF71="","",(IF(OR(Compositions!G136="Hydrogen",Compositions!G136="Carbon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Dioxide",Compositions!G136="Methane",Compositions!G136="Ethane"),0,(CF71/100))))</f>
        <v/>
      </c>
      <c r="CQ71" s="205" t="str">
        <f>IF(CF71="","",(IF(OR($CP$78=0,$CP$78=""),0,       ((VLOOKUP(Compositions!G136,'HHV-LHV-MW'!$A$3:$F$40,6,FALSE))*(CP71/$CP$78)))))</f>
        <v/>
      </c>
      <c r="CR71" s="28" t="str">
        <f>IF(Compositions!K136="","",IF(Compositions!$K$118="mol%",Compositions!K136,CS71))</f>
        <v/>
      </c>
      <c r="CS71" s="28" t="str">
        <f t="shared" si="32"/>
        <v/>
      </c>
      <c r="CT71" s="28" t="str">
        <f>IF(Compositions!K136="","",(Compositions!K136/(VLOOKUP(Compositions!G136,'HHV-LHV-MW'!$A$3:$F$40,6,FALSE))))</f>
        <v/>
      </c>
      <c r="CU71" s="26" t="str">
        <f>IF(CR71="","",((VLOOKUP(Compositions!G136,'HHV-LHV-MW'!$A$3:$F$40,4,FALSE))*(CR71/100)))</f>
        <v/>
      </c>
      <c r="CV71" s="26" t="str">
        <f>IF(CR71="","",((VLOOKUP(Compositions!G136,'HHV-LHV-MW'!$A$3:$F$40,5,FALSE))*(CR71/100)))</f>
        <v/>
      </c>
      <c r="CW71" s="26" t="str">
        <f>IF(CR71="","",((VLOOKUP(Compositions!G136,'HHV-LHV-MW'!$A$3:$F$40,6,FALSE))*(CR71/100)))</f>
        <v/>
      </c>
      <c r="CX71" s="26" t="str">
        <f>IF(Compositions!K136="","",(Compositions!K136*(VLOOKUP(Compositions!G136,'HHV-LHV-MW'!$A$3:$F$40,6,FALSE))))</f>
        <v/>
      </c>
      <c r="CY71" s="296" t="str">
        <f>IF(Compositions!K136="","",IF(OR(Compositions!$K$118="wt%",Compositions!$K$118=""),Compositions!K136,(IF(CX71="","",((CX71/$CX$78)*100)))))</f>
        <v/>
      </c>
      <c r="CZ71" s="39" t="str">
        <f>IF(CY71="","",(IF(OR(Compositions!G136="Hydrogen",Compositions!G136="Helium",Compositions!G136="Water",Compositions!G136="Carbon Monoxide",Compositions!G136="Nitrogen",Compositions!G136="Oxygen",Compositions!G136="Hydrogen Sulfide",Compositions!G136="Argon",Compositions!G136="Carbon Dioxide",Compositions!G136="Carbon Disulfide"),0,CY71)))</f>
        <v/>
      </c>
      <c r="DA71" s="186" t="str">
        <f>IF(Compositions!K136="","",((CR71/100)*((VLOOKUP(Compositions!G136,'HHV-LHV-MW'!$A$3:$G$40,7,FALSE)))))</f>
        <v/>
      </c>
      <c r="DB71" s="186" t="str">
        <f>IF(CR71="","",(IF(OR(Compositions!G136="Hydrogen",Compositions!G136="Carbon Disulfide",Compositions!G136="Helium",Compositions!G136="Water",Compositions!G136="Carbon Monoxide",Compositions!G136="Nitrogen",Compositions!G136="Oxygen",Compositions!G136="Hydrogen Sulfide",Compositions!G136="Argon",Compositions!G136="Carbon Dioxide",Compositions!G136="Methane",Compositions!G136="Ethane"),0,(CR71/100))))</f>
        <v/>
      </c>
      <c r="DC71" s="39" t="str">
        <f>IF(CR71="","",(IF(OR($DB$78=0,$DB$78=""),0,       ((VLOOKUP(Compositions!G136,'HHV-LHV-MW'!$A$3:$F$40,6,FALSE))*(DB71/$DB$78)))))</f>
        <v/>
      </c>
      <c r="DE71" s="27" t="str">
        <f>IF(Compositions!N136="","",IF(Compositions!$N$118="mol%",Compositions!N136,DF71))</f>
        <v/>
      </c>
      <c r="DF71" s="27" t="str">
        <f t="shared" si="33"/>
        <v/>
      </c>
      <c r="DG71" s="27" t="str">
        <f>IF(Compositions!N136="","",(Compositions!N136/(VLOOKUP(Compositions!M136,'HHV-LHV-MW'!$A$3:$F$40,6,FALSE))))</f>
        <v/>
      </c>
      <c r="DH71" s="25" t="str">
        <f>IF(DE71="","",((VLOOKUP(Compositions!M136,'HHV-LHV-MW'!$A$3:$F$40,4,FALSE))*(DE71/100)))</f>
        <v/>
      </c>
      <c r="DI71" s="25" t="str">
        <f>IF(DE71="","",((VLOOKUP(Compositions!M136,'HHV-LHV-MW'!$A$3:$F$40,5,FALSE))*(DE71/100)))</f>
        <v/>
      </c>
      <c r="DJ71" s="25" t="str">
        <f>IF(DE71="","",((VLOOKUP(Compositions!M136,'HHV-LHV-MW'!$A$3:$F$40,6,FALSE))*(DE71/100)))</f>
        <v/>
      </c>
      <c r="DK71" s="25" t="str">
        <f>IF(Compositions!N136="","",(Compositions!N136*(VLOOKUP(Compositions!M136,'HHV-LHV-MW'!$A$3:$F$40,6,FALSE))))</f>
        <v/>
      </c>
      <c r="DL71" s="295" t="str">
        <f>IF(Compositions!N136="","",IF(OR(Compositions!$N$118="wt%",Compositions!$N$118=""),Compositions!N136,(IF(DK71="","",((DK71/$DK$78)*100)))))</f>
        <v/>
      </c>
      <c r="DM71" s="185" t="str">
        <f>IF(DL71="","",(IF(OR(Compositions!M136="Hydrogen",Compositions!M136="Helium",Compositions!M136="Water",Compositions!M136="Carbon Monoxide",Compositions!M136="Nitrogen",Compositions!M136="Oxygen",Compositions!M136="Hydrogen Sulfide",Compositions!M136="Argon",Compositions!M136="Carbon Dioxide",Compositions!M136="Carbon Disulfide"),0,DL71)))</f>
        <v/>
      </c>
      <c r="DN71" s="187" t="str">
        <f>IF(Compositions!N136="","",((DE71/100)*((VLOOKUP(Compositions!M136,'HHV-LHV-MW'!$A$3:$G$40,7,FALSE)))))</f>
        <v/>
      </c>
      <c r="DO71" s="187" t="str">
        <f>IF(DE71="","",(IF(OR(Compositions!M136="Hydrogen",Compositions!M136="Carbon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Dioxide",Compositions!M136="Methane",Compositions!M136="Ethane"),0,(DE71/100))))</f>
        <v/>
      </c>
      <c r="DP71" s="205" t="str">
        <f>IF(DE71="","",(IF(OR($DO$78=0,$DO$78=""),0,       ((VLOOKUP(Compositions!M136,'HHV-LHV-MW'!$A$3:$F$40,6,FALSE))*(DO71/$DO$78)))))</f>
        <v/>
      </c>
      <c r="DQ71" s="28" t="str">
        <f>IF(Compositions!O136="","",IF(Compositions!$O$118="mol%",Compositions!O136,DR71))</f>
        <v/>
      </c>
      <c r="DR71" s="28" t="str">
        <f t="shared" si="34"/>
        <v/>
      </c>
      <c r="DS71" s="28" t="str">
        <f>IF(Compositions!O136="","",(Compositions!O136/(VLOOKUP(Compositions!M136,'HHV-LHV-MW'!$A$3:$F$40,6,FALSE))))</f>
        <v/>
      </c>
      <c r="DT71" s="26" t="str">
        <f>IF(DQ71="","",((VLOOKUP(Compositions!M136,'HHV-LHV-MW'!$A$3:$F$40,4,FALSE))*(DQ71/100)))</f>
        <v/>
      </c>
      <c r="DU71" s="26" t="str">
        <f>IF(DQ71="","",((VLOOKUP(Compositions!M136,'HHV-LHV-MW'!$A$3:$F$40,5,FALSE))*(DQ71/100)))</f>
        <v/>
      </c>
      <c r="DV71" s="26" t="str">
        <f>IF(DQ71="","",((VLOOKUP(Compositions!M136,'HHV-LHV-MW'!$A$3:$F$40,6,FALSE))*(DQ71/100)))</f>
        <v/>
      </c>
      <c r="DW71" s="26" t="str">
        <f>IF(Compositions!O136="","",(Compositions!O136*(VLOOKUP(Compositions!M136,'HHV-LHV-MW'!$A$3:$F$40,6,FALSE))))</f>
        <v/>
      </c>
      <c r="DX71" s="296" t="str">
        <f>IF(Compositions!O136="","",IF(OR(Compositions!$O$118="wt%",Compositions!$O$118=""),Compositions!O136,(IF(DW71="","",((DW71/$DW$78)*100)))))</f>
        <v/>
      </c>
      <c r="DY71" s="39" t="str">
        <f>IF(DX71="","",(IF(OR(Compositions!M136="Hydrogen",Compositions!M136="Helium",Compositions!M136="Water",Compositions!M136="Carbon Monoxide",Compositions!M136="Nitrogen",Compositions!M136="Oxygen",Compositions!M136="Hydrogen Sulfide",Compositions!M136="Argon",Compositions!M136="Carbon Dioxide",Compositions!M136="Carbon Disulfide"),0,DX71)))</f>
        <v/>
      </c>
      <c r="DZ71" s="186" t="str">
        <f>IF(Compositions!O136="","",((DQ71/100)*((VLOOKUP(Compositions!M136,'HHV-LHV-MW'!$A$3:$G$40,7,FALSE)))))</f>
        <v/>
      </c>
      <c r="EA71" s="186" t="str">
        <f>IF(DQ71="","",(IF(OR(Compositions!M136="Hydrogen",Compositions!M136="Carbon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Dioxide",Compositions!M136="Methane",Compositions!M136="Ethane"),0,(DQ71/100))))</f>
        <v/>
      </c>
      <c r="EB71" s="39" t="str">
        <f>IF(DQ71="","",(IF(OR($EA$78=0,$EA$78=""),0,       ((VLOOKUP(Compositions!M136,'HHV-LHV-MW'!$A$3:$F$40,6,FALSE))*(EA71/$EA$78)))))</f>
        <v/>
      </c>
      <c r="EC71" s="27" t="str">
        <f>IF(Compositions!P136="","",IF(Compositions!$P$118="mol%",Compositions!P136,ED71))</f>
        <v/>
      </c>
      <c r="ED71" s="27" t="str">
        <f t="shared" si="35"/>
        <v/>
      </c>
      <c r="EE71" s="27" t="str">
        <f>IF(Compositions!P136="","",(Compositions!P136/(VLOOKUP(Compositions!M136,'HHV-LHV-MW'!$A$3:$F$40,6,FALSE))))</f>
        <v/>
      </c>
      <c r="EF71" s="25" t="str">
        <f>IF(EC71="","",((VLOOKUP(Compositions!M136,'HHV-LHV-MW'!$A$3:$F$40,4,FALSE))*(EC71/100)))</f>
        <v/>
      </c>
      <c r="EG71" s="25" t="str">
        <f>IF(EC71="","",((VLOOKUP(Compositions!M136,'HHV-LHV-MW'!$A$3:$F$40,5,FALSE))*(EC71/100)))</f>
        <v/>
      </c>
      <c r="EH71" s="25" t="str">
        <f>IF(EC71="","",((VLOOKUP(Compositions!M136,'HHV-LHV-MW'!$A$3:$F$40,6,FALSE))*(EC71/100)))</f>
        <v/>
      </c>
      <c r="EI71" s="25" t="str">
        <f>IF(Compositions!P136="","",(Compositions!P136*(VLOOKUP(Compositions!M136,'HHV-LHV-MW'!$A$3:$F$40,6,FALSE))))</f>
        <v/>
      </c>
      <c r="EJ71" s="295" t="str">
        <f>IF(Compositions!P136="","",IF(OR(Compositions!$P$118="wt%",Compositions!$P$118=""),Compositions!P136,(IF(EI71="","",((EI71/$EI$78)*100)))))</f>
        <v/>
      </c>
      <c r="EK71" s="185" t="str">
        <f>IF(EJ71="","",(IF(OR(Compositions!M136="Hydrogen",Compositions!M136="Helium",Compositions!M136="Water",Compositions!M136="Carbon Monoxide",Compositions!M136="Nitrogen",Compositions!M136="Oxygen",Compositions!M136="Hydrogen Sulfide",Compositions!M136="Argon",Compositions!M136="Carbon Dioxide",Compositions!M136="Carbon Disulfide"),0,EJ71)))</f>
        <v/>
      </c>
      <c r="EL71" s="187" t="str">
        <f>IF(Compositions!P136="","",((EC71/100)*((VLOOKUP(Compositions!M136,'HHV-LHV-MW'!$A$3:$G$40,7,FALSE)))))</f>
        <v/>
      </c>
      <c r="EM71" s="187" t="str">
        <f>IF(EC71="","",(IF(OR(Compositions!M136="Hydrogen",Compositions!M136="Carbon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Dioxide",Compositions!M136="Methane",Compositions!M136="Ethane"),0,(EC71/100))))</f>
        <v/>
      </c>
      <c r="EN71" s="205" t="str">
        <f>IF(EC71="","",(IF(OR($EM$78=0,$EM$78=""),0,       ((VLOOKUP(Compositions!M136,'HHV-LHV-MW'!$A$3:$F$40,6,FALSE))*(EM71/$EM$78)))))</f>
        <v/>
      </c>
      <c r="EO71" s="28" t="str">
        <f>IF(Compositions!Q136="","",IF(Compositions!$Q$118="mol%",Compositions!Q136,EP71))</f>
        <v/>
      </c>
      <c r="EP71" s="28" t="str">
        <f t="shared" si="36"/>
        <v/>
      </c>
      <c r="EQ71" s="28" t="str">
        <f>IF(Compositions!Q136="","",(Compositions!Q136/(VLOOKUP(Compositions!M136,'HHV-LHV-MW'!$A$3:$F$40,6,FALSE))))</f>
        <v/>
      </c>
      <c r="ER71" s="26" t="str">
        <f>IF(EO71="","",((VLOOKUP(Compositions!M136,'HHV-LHV-MW'!$A$3:$F$40,4,FALSE))*(EO71/100)))</f>
        <v/>
      </c>
      <c r="ES71" s="26" t="str">
        <f>IF(EO71="","",((VLOOKUP(Compositions!M136,'HHV-LHV-MW'!$A$3:$F$40,5,FALSE))*(EO71/100)))</f>
        <v/>
      </c>
      <c r="ET71" s="26" t="str">
        <f>IF(EO71="","",((VLOOKUP(Compositions!M136,'HHV-LHV-MW'!$A$3:$F$40,6,FALSE))*(EO71/100)))</f>
        <v/>
      </c>
      <c r="EU71" s="26" t="str">
        <f>IF(Compositions!Q136="","",(Compositions!Q136*(VLOOKUP(Compositions!M136,'HHV-LHV-MW'!$A$3:$F$40,6,FALSE))))</f>
        <v/>
      </c>
      <c r="EV71" s="296" t="str">
        <f>IF(Compositions!Q136="","",IF(OR(Compositions!$Q$118="wt%",Compositions!$Q$118=""),Compositions!Q136,(IF(EU71="","",((EU71/$EU$78)*100)))))</f>
        <v/>
      </c>
      <c r="EW71" s="39" t="str">
        <f>IF(EV71="","",(IF(OR(Compositions!M136="Hydrogen",Compositions!M136="Helium",Compositions!M136="Water",Compositions!M136="Carbon Monoxide",Compositions!M136="Nitrogen",Compositions!M136="Oxygen",Compositions!M136="Hydrogen Sulfide",Compositions!M136="Argon",Compositions!M136="Carbon Dioxide",Compositions!M136="Carbon Disulfide"),0,EV71)))</f>
        <v/>
      </c>
      <c r="EX71" s="186" t="str">
        <f>IF(Compositions!Q136="","",((EO71/100)*((VLOOKUP(Compositions!M136,'HHV-LHV-MW'!$A$3:$G$40,7,FALSE)))))</f>
        <v/>
      </c>
      <c r="EY71" s="186" t="str">
        <f>IF(EO71="","",(IF(OR(Compositions!M136="Hydrogen",Compositions!M136="Carbon Disulfide",Compositions!M136="Helium",Compositions!M136="Water",Compositions!M136="Carbon Monoxide",Compositions!M136="Nitrogen",Compositions!M136="Oxygen",Compositions!M136="Hydrogen Sulfide",Compositions!M136="Argon",Compositions!M136="Carbon Dioxide",Compositions!M136="Methane",Compositions!M136="Ethane"),0,(EO71/100))))</f>
        <v/>
      </c>
      <c r="EZ71" s="39" t="str">
        <f>IF(EO71="","",(IF(OR($EY$78=0,$EY$78=""),0,       ((VLOOKUP(Compositions!M136,'HHV-LHV-MW'!$A$3:$F$40,6,FALSE))*(EY71/$EY$78)))))</f>
        <v/>
      </c>
      <c r="FB71" s="27" t="str">
        <f>IF(Compositions!T136="","",IF(Compositions!$T$118="mol%",Compositions!T136,FC71))</f>
        <v/>
      </c>
      <c r="FC71" s="27" t="str">
        <f t="shared" si="37"/>
        <v/>
      </c>
      <c r="FD71" s="27" t="str">
        <f>IF(Compositions!T136="","",(Compositions!T136/(VLOOKUP(Compositions!S136,'HHV-LHV-MW'!$A$3:$F$40,6,FALSE))))</f>
        <v/>
      </c>
      <c r="FE71" s="25" t="str">
        <f>IF(FB71="","",((VLOOKUP(Compositions!S136,'HHV-LHV-MW'!$A$3:$F$40,4,FALSE))*(FB71/100)))</f>
        <v/>
      </c>
      <c r="FF71" s="25" t="str">
        <f>IF(FB71="","",((VLOOKUP(Compositions!S136,'HHV-LHV-MW'!$A$3:$F$40,5,FALSE))*(FB71/100)))</f>
        <v/>
      </c>
      <c r="FG71" s="25" t="str">
        <f>IF(FB71="","",((VLOOKUP(Compositions!S136,'HHV-LHV-MW'!$A$3:$F$40,6,FALSE))*(FB71/100)))</f>
        <v/>
      </c>
      <c r="FH71" s="25" t="str">
        <f>IF(Compositions!T136="","",(Compositions!T136*(VLOOKUP(Compositions!S136,'HHV-LHV-MW'!$A$3:$F$40,6,FALSE))))</f>
        <v/>
      </c>
      <c r="FI71" s="295" t="str">
        <f>IF(Compositions!T136="","",IF(OR(Compositions!$T$118="wt%",Compositions!$T$118=""),Compositions!T136,(IF(FH71="","",((FH71/$FH$78)*100)))))</f>
        <v/>
      </c>
      <c r="FJ71" s="185" t="str">
        <f>IF(FI71="","",(IF(OR(Compositions!S136="Hydrogen",Compositions!S136="Helium",Compositions!S136="Water",Compositions!S136="Carbon Monoxide",Compositions!S136="Nitrogen",Compositions!S136="Oxygen",Compositions!S136="Hydrogen Sulfide",Compositions!S136="Argon",Compositions!S136="Carbon Dioxide",Compositions!S136="Carbon Disulfide"),0,FI71)))</f>
        <v/>
      </c>
      <c r="FK71" s="187" t="str">
        <f>IF(Compositions!T136="","",((FB71/100)*((VLOOKUP(Compositions!S136,'HHV-LHV-MW'!$A$3:$G$40,7,FALSE)))))</f>
        <v/>
      </c>
      <c r="FL71" s="187" t="str">
        <f>IF(FB71="","",(IF(OR(Compositions!S136="Hydrogen",Compositions!S136="Carbon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Dioxide",Compositions!S136="Methane",Compositions!S136="Ethane"),0,(FB71/100))))</f>
        <v/>
      </c>
      <c r="FM71" s="205" t="str">
        <f>IF(FB71="","",(IF(OR($FL$78=0,$FL$78=""),0,       ((VLOOKUP(Compositions!S136,'HHV-LHV-MW'!$A$3:$F$40,6,FALSE))*(FL71/$FL$78)))))</f>
        <v/>
      </c>
      <c r="FN71" s="28" t="str">
        <f>IF(Compositions!U136="","",IF(Compositions!$U$118="mol%",Compositions!U136,FO71))</f>
        <v/>
      </c>
      <c r="FO71" s="28" t="str">
        <f t="shared" si="38"/>
        <v/>
      </c>
      <c r="FP71" s="28" t="str">
        <f>IF(Compositions!U136="","",(Compositions!U136/(VLOOKUP(Compositions!S136,'HHV-LHV-MW'!$A$3:$F$40,6,FALSE))))</f>
        <v/>
      </c>
      <c r="FQ71" s="26" t="str">
        <f>IF(FN71="","",((VLOOKUP(Compositions!S136,'HHV-LHV-MW'!$A$3:$F$40,4,FALSE))*(FN71/100)))</f>
        <v/>
      </c>
      <c r="FR71" s="26" t="str">
        <f>IF(FN71="","",((VLOOKUP(Compositions!S136,'HHV-LHV-MW'!$A$3:$F$40,5,FALSE))*(FN71/100)))</f>
        <v/>
      </c>
      <c r="FS71" s="26" t="str">
        <f>IF(FN71="","",((VLOOKUP(Compositions!S136,'HHV-LHV-MW'!$A$3:$F$40,6,FALSE))*(FN71/100)))</f>
        <v/>
      </c>
      <c r="FT71" s="26" t="str">
        <f>IF(Compositions!U136="","",(Compositions!U136*(VLOOKUP(Compositions!S136,'HHV-LHV-MW'!$A$3:$F$40,6,FALSE))))</f>
        <v/>
      </c>
      <c r="FU71" s="296" t="str">
        <f>IF(Compositions!U136="","",IF(OR(Compositions!$U$118="wt%",Compositions!$U$118=""),Compositions!U136,(IF(FT71="","",((FT71/$FT$78)*100)))))</f>
        <v/>
      </c>
      <c r="FV71" s="39" t="str">
        <f>IF(FU71="","",(IF(OR(Compositions!S136="Hydrogen",Compositions!S136="Helium",Compositions!S136="Water",Compositions!S136="Carbon Monoxide",Compositions!S136="Nitrogen",Compositions!S136="Oxygen",Compositions!S136="Hydrogen Sulfide",Compositions!S136="Argon",Compositions!S136="Carbon Dioxide",Compositions!S136="Carbon Disulfide"),0,FU71)))</f>
        <v/>
      </c>
      <c r="FW71" s="186" t="str">
        <f>IF(Compositions!U136="","",((FN71/100)*((VLOOKUP(Compositions!S136,'HHV-LHV-MW'!$A$3:$G$40,7,FALSE)))))</f>
        <v/>
      </c>
      <c r="FX71" s="186" t="str">
        <f>IF(FN71="","",(IF(OR(Compositions!S136="Hydrogen",Compositions!S136="Carbon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Dioxide",Compositions!S136="Methane",Compositions!S136="Ethane"),0,(FN71/100))))</f>
        <v/>
      </c>
      <c r="FY71" s="39" t="str">
        <f>IF(FN71="","",(IF(OR($FX$78=0,$FX$78=""),0,       ((VLOOKUP(Compositions!S136,'HHV-LHV-MW'!$A$3:$F$40,6,FALSE))*(FX71/$FX$78)))))</f>
        <v/>
      </c>
      <c r="FZ71" s="27" t="str">
        <f>IF(Compositions!V136="","",IF(Compositions!$V$118="mol%",Compositions!V136,GA71))</f>
        <v/>
      </c>
      <c r="GA71" s="27" t="str">
        <f t="shared" si="39"/>
        <v/>
      </c>
      <c r="GB71" s="27" t="str">
        <f>IF(Compositions!V136="","",(Compositions!V136/(VLOOKUP(Compositions!S136,'HHV-LHV-MW'!$A$3:$F$40,6,FALSE))))</f>
        <v/>
      </c>
      <c r="GC71" s="25" t="str">
        <f>IF(FZ71="","",((VLOOKUP(Compositions!S136,'HHV-LHV-MW'!$A$3:$F$40,4,FALSE))*(FZ71/100)))</f>
        <v/>
      </c>
      <c r="GD71" s="25" t="str">
        <f>IF(FZ71="","",((VLOOKUP(Compositions!S136,'HHV-LHV-MW'!$A$3:$F$40,5,FALSE))*(FZ71/100)))</f>
        <v/>
      </c>
      <c r="GE71" s="25" t="str">
        <f>IF(FZ71="","",((VLOOKUP(Compositions!S136,'HHV-LHV-MW'!$A$3:$F$40,6,FALSE))*(FZ71/100)))</f>
        <v/>
      </c>
      <c r="GF71" s="25" t="str">
        <f>IF(Compositions!V136="","",(Compositions!V136*(VLOOKUP(Compositions!S136,'HHV-LHV-MW'!$A$3:$F$40,6,FALSE))))</f>
        <v/>
      </c>
      <c r="GG71" s="295" t="str">
        <f>IF(Compositions!V136="","",IF(OR(Compositions!$V$118="wt%",Compositions!$V$118=""),Compositions!V136,(IF(GF71="","",((GF71/$GF$78)*100)))))</f>
        <v/>
      </c>
      <c r="GH71" s="185" t="str">
        <f>IF(GG71="","",(IF(OR(Compositions!S136="Hydrogen",Compositions!S136="Helium",Compositions!S136="Water",Compositions!S136="Carbon Monoxide",Compositions!S136="Nitrogen",Compositions!S136="Oxygen",Compositions!S136="Hydrogen Sulfide",Compositions!S136="Argon",Compositions!S136="Carbon Dioxide",Compositions!S136="Carbon Disulfide"),0,GG71)))</f>
        <v/>
      </c>
      <c r="GI71" s="187" t="str">
        <f>IF(Compositions!V136="","",((FZ71/100)*((VLOOKUP(Compositions!S136,'HHV-LHV-MW'!$A$3:$G$40,7,FALSE)))))</f>
        <v/>
      </c>
      <c r="GJ71" s="187" t="str">
        <f>IF(FZ71="","",(IF(OR(Compositions!S136="Hydrogen",Compositions!S136="Carbon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Dioxide",Compositions!S136="Methane",Compositions!S136="Ethane"),0,(FZ71/100))))</f>
        <v/>
      </c>
      <c r="GK71" s="205" t="str">
        <f>IF(FZ71="","",(IF(OR($GJ$78=0,$GJ$78=""),0,       ((VLOOKUP(Compositions!S136,'HHV-LHV-MW'!$A$3:$F$40,6,FALSE))*(GJ71/$GJ$78)))))</f>
        <v/>
      </c>
      <c r="GL71" s="28" t="str">
        <f>IF(Compositions!W136="","",IF(Compositions!$W$118="mol%",Compositions!W136,GM71))</f>
        <v/>
      </c>
      <c r="GM71" s="28" t="str">
        <f t="shared" si="40"/>
        <v/>
      </c>
      <c r="GN71" s="28" t="str">
        <f>IF(Compositions!W136="","",(Compositions!W136/(VLOOKUP(Compositions!S136,'HHV-LHV-MW'!$A$3:$F$40,6,FALSE))))</f>
        <v/>
      </c>
      <c r="GO71" s="26" t="str">
        <f>IF(GL71="","",((VLOOKUP(Compositions!S136,'HHV-LHV-MW'!$A$3:$F$40,4,FALSE))*(GL71/100)))</f>
        <v/>
      </c>
      <c r="GP71" s="26" t="str">
        <f>IF(GL71="","",((VLOOKUP(Compositions!S136,'HHV-LHV-MW'!$A$3:$F$40,5,FALSE))*(GL71/100)))</f>
        <v/>
      </c>
      <c r="GQ71" s="26" t="str">
        <f>IF(GL71="","",((VLOOKUP(Compositions!S136,'HHV-LHV-MW'!$A$3:$F$40,6,FALSE))*(GL71/100)))</f>
        <v/>
      </c>
      <c r="GR71" s="26" t="str">
        <f>IF(Compositions!W136="","",(Compositions!W136*(VLOOKUP(Compositions!S136,'HHV-LHV-MW'!$A$3:$F$40,6,FALSE))))</f>
        <v/>
      </c>
      <c r="GS71" s="296" t="str">
        <f>IF(Compositions!W136="","",IF(OR(Compositions!$W$118="wt%",Compositions!$W$118=""),Compositions!W136,(IF(GR71="","",((GR71/$GR$78)*100)))))</f>
        <v/>
      </c>
      <c r="GT71" s="39" t="str">
        <f>IF(GS71="","",(IF(OR(Compositions!S136="Hydrogen",Compositions!S136="Helium",Compositions!S136="Water",Compositions!S136="Carbon Monoxide",Compositions!S136="Nitrogen",Compositions!S136="Oxygen",Compositions!S136="Hydrogen Sulfide",Compositions!S136="Argon",Compositions!S136="Carbon Dioxide",Compositions!S136="Carbon Disulfide"),0,GS71)))</f>
        <v/>
      </c>
      <c r="GU71" s="186" t="str">
        <f>IF(Compositions!W136="","",((GL71/100)*((VLOOKUP(Compositions!S136,'HHV-LHV-MW'!$A$3:$G$40,7,FALSE)))))</f>
        <v/>
      </c>
      <c r="GV71" s="186" t="str">
        <f>IF(GL71="","",(IF(OR(Compositions!S136="Hydrogen",Compositions!S136="Carbon Disulfide",Compositions!S136="Helium",Compositions!S136="Water",Compositions!S136="Carbon Monoxide",Compositions!S136="Nitrogen",Compositions!S136="Oxygen",Compositions!S136="Hydrogen Sulfide",Compositions!S136="Argon",Compositions!S136="Carbon Dioxide",Compositions!S136="Methane",Compositions!S136="Ethane"),0,(GL71/100))))</f>
        <v/>
      </c>
      <c r="GW71" s="39" t="str">
        <f>IF(GL71="","",(IF(OR($GV$78=0,$GV$78=""),0,       ((VLOOKUP(Compositions!S136,'HHV-LHV-MW'!$A$3:$F$40,6,FALSE))*(GV71/$GV$78)))))</f>
        <v/>
      </c>
      <c r="GY71" s="27" t="str">
        <f>IF(Compositions!Z136="","",IF(Compositions!$Z$118="mol%",Compositions!Z136,GZ71))</f>
        <v/>
      </c>
      <c r="GZ71" s="27" t="str">
        <f t="shared" si="41"/>
        <v/>
      </c>
      <c r="HA71" s="27" t="str">
        <f>IF(Compositions!Z136="","",(Compositions!Z136/(VLOOKUP(Compositions!Y136,'HHV-LHV-MW'!$A$3:$F$40,6,FALSE))))</f>
        <v/>
      </c>
      <c r="HB71" s="25" t="str">
        <f>IF(GY71="","",((VLOOKUP(Compositions!Y136,'HHV-LHV-MW'!$A$3:$F$40,4,FALSE))*(GY71/100)))</f>
        <v/>
      </c>
      <c r="HC71" s="25" t="str">
        <f>IF(GY71="","",((VLOOKUP(Compositions!Y136,'HHV-LHV-MW'!$A$3:$F$40,5,FALSE))*(GY71/100)))</f>
        <v/>
      </c>
      <c r="HD71" s="25" t="str">
        <f>IF(GY71="","",((VLOOKUP(Compositions!Y136,'HHV-LHV-MW'!$A$3:$F$40,6,FALSE))*(GY71/100)))</f>
        <v/>
      </c>
      <c r="HE71" s="25" t="str">
        <f>IF(Compositions!Z136="","",(Compositions!Z136*(VLOOKUP(Compositions!Y136,'HHV-LHV-MW'!$A$3:$F$40,6,FALSE))))</f>
        <v/>
      </c>
      <c r="HF71" s="295" t="str">
        <f>IF(Compositions!Z136="","",IF(OR(Compositions!$Z$118="wt%",Compositions!$Z$118=""),Compositions!Z136,(IF(HE71="","",((HE71/$HE$78)*100)))))</f>
        <v/>
      </c>
      <c r="HG71" s="185" t="str">
        <f>IF(HF71="","",(IF(OR(Compositions!Y136="Hydrogen",Compositions!Y136="Helium",Compositions!Y136="Water",Compositions!Y136="Carbon Monoxide",Compositions!Y136="Nitrogen",Compositions!Y136="Oxygen",Compositions!Y136="Hydrogen Sulfide",Compositions!Y136="Argon",Compositions!Y136="Carbon Dioxide",Compositions!Y136="Carbon Disulfide"),0,HF71)))</f>
        <v/>
      </c>
      <c r="HH71" s="187" t="str">
        <f>IF(Compositions!Z136="","",((GY71/100)*((VLOOKUP(Compositions!Y136,'HHV-LHV-MW'!$A$3:$G$40,7,FALSE)))))</f>
        <v/>
      </c>
      <c r="HI71" s="187" t="str">
        <f>IF(GY71="","",(IF(OR(Compositions!Y136="Hydrogen",Compositions!Y136="Carbon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Dioxide",Compositions!Y136="Methane",Compositions!Y136="Ethane"),0,(GY71/100))))</f>
        <v/>
      </c>
      <c r="HJ71" s="205" t="str">
        <f>IF(GY71="","",(IF(OR($HI$78=0,$HI$78=""),0,       ((VLOOKUP(Compositions!Y136,'HHV-LHV-MW'!$A$3:$F$40,6,FALSE))*(HI71/$HI$78)))))</f>
        <v/>
      </c>
      <c r="HK71" s="28" t="str">
        <f>IF(Compositions!AA136="","",IF(Compositions!$AA$118="mol%",Compositions!AA136,HL71))</f>
        <v/>
      </c>
      <c r="HL71" s="28" t="str">
        <f t="shared" si="42"/>
        <v/>
      </c>
      <c r="HM71" s="28" t="str">
        <f>IF(Compositions!AA136="","",(Compositions!AA136/(VLOOKUP(Compositions!Y136,'HHV-LHV-MW'!$A$3:$F$40,6,FALSE))))</f>
        <v/>
      </c>
      <c r="HN71" s="26" t="str">
        <f>IF(HK71="","",((VLOOKUP(Compositions!Y136,'HHV-LHV-MW'!$A$3:$F$40,4,FALSE))*(HK71/100)))</f>
        <v/>
      </c>
      <c r="HO71" s="26" t="str">
        <f>IF(HK71="","",((VLOOKUP(Compositions!Y136,'HHV-LHV-MW'!$A$3:$F$40,5,FALSE))*(HK71/100)))</f>
        <v/>
      </c>
      <c r="HP71" s="26" t="str">
        <f>IF(HK71="","",((VLOOKUP(Compositions!Y136,'HHV-LHV-MW'!$A$3:$F$40,6,FALSE))*(HK71/100)))</f>
        <v/>
      </c>
      <c r="HQ71" s="26" t="str">
        <f>IF(Compositions!AA136="","",(Compositions!AA136*(VLOOKUP(Compositions!Y136,'HHV-LHV-MW'!$A$3:$F$40,6,FALSE))))</f>
        <v/>
      </c>
      <c r="HR71" s="296" t="str">
        <f>IF(Compositions!AA136="","",IF(OR(Compositions!$AA$118="wt%",Compositions!$AA$118=""),Compositions!AA136,(IF(HQ71="","",((HQ71/$HQ$78)*100)))))</f>
        <v/>
      </c>
      <c r="HS71" s="39" t="str">
        <f>IF(HR71="","",(IF(OR(Compositions!Y136="Hydrogen",Compositions!Y136="Helium",Compositions!Y136="Water",Compositions!Y136="Carbon Monoxide",Compositions!Y136="Nitrogen",Compositions!Y136="Oxygen",Compositions!Y136="Hydrogen Sulfide",Compositions!Y136="Argon",Compositions!Y136="Carbon Dioxide",Compositions!Y136="Carbon Disulfide"),0,HR71)))</f>
        <v/>
      </c>
      <c r="HT71" s="186" t="str">
        <f>IF(Compositions!AA136="","",((HK71/100)*((VLOOKUP(Compositions!Y136,'HHV-LHV-MW'!$A$3:$G$40,7,FALSE)))))</f>
        <v/>
      </c>
      <c r="HU71" s="186" t="str">
        <f>IF(HK71="","",(IF(OR(Compositions!Y136="Hydrogen",Compositions!Y136="Carbon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Dioxide",Compositions!Y136="Methane",Compositions!Y136="Ethane"),0,(HK71/100))))</f>
        <v/>
      </c>
      <c r="HV71" s="39" t="str">
        <f>IF(HK71="","",(IF(OR($HU$78=0,$HU$78=""),0,       ((VLOOKUP(Compositions!Y136,'HHV-LHV-MW'!$A$3:$F$40,6,FALSE))*(HU71/$HU$78)))))</f>
        <v/>
      </c>
      <c r="HW71" s="27" t="str">
        <f>IF(Compositions!AB136="","",IF(Compositions!$AB$118="mol%",Compositions!AB136,HX71))</f>
        <v/>
      </c>
      <c r="HX71" s="27" t="str">
        <f t="shared" si="43"/>
        <v/>
      </c>
      <c r="HY71" s="27" t="str">
        <f>IF(Compositions!AB136="","",(Compositions!AB136/(VLOOKUP(Compositions!Y136,'HHV-LHV-MW'!$A$3:$F$40,6,FALSE))))</f>
        <v/>
      </c>
      <c r="HZ71" s="25" t="str">
        <f>IF(HW71="","",((VLOOKUP(Compositions!Y136,'HHV-LHV-MW'!$A$3:$F$40,4,FALSE))*(HW71/100)))</f>
        <v/>
      </c>
      <c r="IA71" s="25" t="str">
        <f>IF(HW71="","",((VLOOKUP(Compositions!Y136,'HHV-LHV-MW'!$A$3:$F$40,5,FALSE))*(HW71/100)))</f>
        <v/>
      </c>
      <c r="IB71" s="25" t="str">
        <f>IF(HW71="","",((VLOOKUP(Compositions!Y136,'HHV-LHV-MW'!$A$3:$F$40,6,FALSE))*(HW71/100)))</f>
        <v/>
      </c>
      <c r="IC71" s="25" t="str">
        <f>IF(Compositions!AB136="","",(Compositions!AB136*(VLOOKUP(Compositions!Y136,'HHV-LHV-MW'!$A$3:$F$40,6,FALSE))))</f>
        <v/>
      </c>
      <c r="ID71" s="295" t="str">
        <f>IF(Compositions!AB136="","",IF(OR(Compositions!$AB$118="wt%",Compositions!$AB$118=""),Compositions!AB136,(IF(IC71="","",((IC71/$IC$78)*100)))))</f>
        <v/>
      </c>
      <c r="IE71" s="185" t="str">
        <f>IF(ID71="","",(IF(OR(Compositions!Y136="Hydrogen",Compositions!Y136="Helium",Compositions!Y136="Water",Compositions!Y136="Carbon Monoxide",Compositions!Y136="Nitrogen",Compositions!Y136="Oxygen",Compositions!Y136="Hydrogen Sulfide",Compositions!Y136="Argon",Compositions!Y136="Carbon Dioxide",Compositions!Y136="Carbon Disulfide"),0,ID71)))</f>
        <v/>
      </c>
      <c r="IF71" s="187" t="str">
        <f>IF(Compositions!AB136="","",((HW71/100)*((VLOOKUP(Compositions!Y136,'HHV-LHV-MW'!$A$3:$G$40,7,FALSE)))))</f>
        <v/>
      </c>
      <c r="IG71" s="187" t="str">
        <f>IF(HW71="","",(IF(OR(Compositions!Y136="Hydrogen",Compositions!Y136="Carbon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Dioxide",Compositions!Y136="Methane",Compositions!Y136="Ethane"),0,(HW71/100))))</f>
        <v/>
      </c>
      <c r="IH71" s="205" t="str">
        <f>IF(HW71="","",(IF(OR($IG$78=0,$IG$78=""),0,       ((VLOOKUP(Compositions!Y136,'HHV-LHV-MW'!$A$3:$F$40,6,FALSE))*(IG71/$IG$78)))))</f>
        <v/>
      </c>
      <c r="II71" s="28" t="str">
        <f>IF(Compositions!AC136="","",IF(Compositions!$AC$118="mol%",Compositions!AC136,IJ71))</f>
        <v/>
      </c>
      <c r="IJ71" s="28" t="str">
        <f t="shared" si="44"/>
        <v/>
      </c>
      <c r="IK71" s="28" t="str">
        <f>IF(Compositions!AC136="","",(Compositions!AC136/(VLOOKUP(Compositions!Y136,'HHV-LHV-MW'!$A$3:$F$40,6,FALSE))))</f>
        <v/>
      </c>
      <c r="IL71" s="26" t="str">
        <f>IF(II71="","",((VLOOKUP(Compositions!Y136,'HHV-LHV-MW'!$A$3:$F$40,4,FALSE))*(II71/100)))</f>
        <v/>
      </c>
      <c r="IM71" s="26" t="str">
        <f>IF(II71="","",((VLOOKUP(Compositions!Y136,'HHV-LHV-MW'!$A$3:$F$40,5,FALSE))*(II71/100)))</f>
        <v/>
      </c>
      <c r="IN71" s="26" t="str">
        <f>IF(II71="","",((VLOOKUP(Compositions!Y136,'HHV-LHV-MW'!$A$3:$F$40,6,FALSE))*(II71/100)))</f>
        <v/>
      </c>
      <c r="IO71" s="26" t="str">
        <f>IF(Compositions!AC136="","",(Compositions!AC136*(VLOOKUP(Compositions!Y136,'HHV-LHV-MW'!$A$3:$F$40,6,FALSE))))</f>
        <v/>
      </c>
      <c r="IP71" s="296" t="str">
        <f>IF(Compositions!AC136="","",IF(OR(Compositions!$AC$118="wt%",Compositions!$AC$118=""),Compositions!AC136,(IF(IO71="","",((IO71/$IO$78)*100)))))</f>
        <v/>
      </c>
      <c r="IQ71" s="39" t="str">
        <f>IF(IP71="","",(IF(OR(Compositions!Y136="Hydrogen",Compositions!Y136="Helium",Compositions!Y136="Water",Compositions!Y136="Carbon Monoxide",Compositions!Y136="Nitrogen",Compositions!Y136="Oxygen",Compositions!Y136="Hydrogen Sulfide",Compositions!Y136="Argon",Compositions!Y136="Carbon Dioxide",Compositions!Y136="Carbon Disulfide"),0,IP71)))</f>
        <v/>
      </c>
      <c r="IR71" s="186" t="str">
        <f>IF(Compositions!AC136="","",((II71/100)*((VLOOKUP(Compositions!Y136,'HHV-LHV-MW'!$A$3:$G$40,7,FALSE)))))</f>
        <v/>
      </c>
      <c r="IS71" s="186" t="str">
        <f>IF(II71="","",(IF(OR(Compositions!Y136="Hydrogen",Compositions!Y136="Carbon Disulfide",Compositions!Y136="Helium",Compositions!Y136="Water",Compositions!Y136="Carbon Monoxide",Compositions!Y136="Nitrogen",Compositions!Y136="Oxygen",Compositions!Y136="Hydrogen Sulfide",Compositions!Y136="Argon",Compositions!Y136="Carbon Dioxide",Compositions!Y136="Methane",Compositions!Y136="Ethane"),0,(II71/100))))</f>
        <v/>
      </c>
      <c r="IT71" s="39" t="str">
        <f>IF(II71="","",(IF(OR($IS$78=0,$IS$78=""),0,      ((VLOOKUP(Compositions!Y136,'HHV-LHV-MW'!$A$3:$F$40,6,FALSE))*(IS71/$IS$78)))))</f>
        <v/>
      </c>
      <c r="IV71" s="27" t="str">
        <f>IF(Compositions!AF136="","",IF(Compositions!$AF$118="mol%",Compositions!AF136,IW71))</f>
        <v/>
      </c>
      <c r="IW71" s="27" t="str">
        <f t="shared" si="45"/>
        <v/>
      </c>
      <c r="IX71" s="27" t="str">
        <f>IF(Compositions!AF136="","",(Compositions!AF136/(VLOOKUP(Compositions!AE136,'HHV-LHV-MW'!$A$3:$F$40,6,FALSE))))</f>
        <v/>
      </c>
      <c r="IY71" s="25" t="str">
        <f>IF(IV71="","",((VLOOKUP(Compositions!AE136,'HHV-LHV-MW'!$A$3:$F$40,4,FALSE))*(IV71/100)))</f>
        <v/>
      </c>
      <c r="IZ71" s="25" t="str">
        <f>IF(IV71="","",((VLOOKUP(Compositions!AE136,'HHV-LHV-MW'!$A$3:$F$40,5,FALSE))*(IV71/100)))</f>
        <v/>
      </c>
      <c r="JA71" s="25" t="str">
        <f>IF(IV71="","",((VLOOKUP(Compositions!AE136,'HHV-LHV-MW'!$A$3:$F$40,6,FALSE))*(IV71/100)))</f>
        <v/>
      </c>
      <c r="JB71" s="25" t="str">
        <f>IF(Compositions!AF136="","",(Compositions!AF136*(VLOOKUP(Compositions!AE136,'HHV-LHV-MW'!$A$3:$F$40,6,FALSE))))</f>
        <v/>
      </c>
      <c r="JC71" s="298" t="str">
        <f>IF(Compositions!AF136="","",IF(OR(Compositions!$AF$118="wt%",Compositions!$AF$118=""),Compositions!AF136,(IF(JB71="","",((JB71/$JB$78)*100)))))</f>
        <v/>
      </c>
      <c r="JD71" s="185" t="str">
        <f>IF(JC71="","",(IF(OR(Compositions!AE136="Hydrogen",Compositions!AE136="Helium",Compositions!AE136="Water",Compositions!AE136="Carbon Monoxide",Compositions!AE136="Nitrogen",Compositions!AE136="Oxygen",Compositions!AE136="Hydrogen Sulfide",Compositions!AE136="Argon",Compositions!AE136="Carbon Dioxide",Compositions!AE136="Carbon Disulfide"),0,JC71)))</f>
        <v/>
      </c>
      <c r="JE71" s="187" t="str">
        <f>IF(Compositions!AF136="","",((IV71/100)*((VLOOKUP(Compositions!AE136,'HHV-LHV-MW'!$A$3:$G$40,7,FALSE)))))</f>
        <v/>
      </c>
      <c r="JF71" s="187" t="str">
        <f>IF(IV71="","",(IF(OR(Compositions!AE136="Hydrogen",Compositions!AE136="Carbon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Dioxide",Compositions!AE136="Methane",Compositions!AE136="Ethane"),0,(IV71/100))))</f>
        <v/>
      </c>
      <c r="JG71" s="205" t="str">
        <f>IF(IV71="","",(IF(OR($JF$78=0,$JF$78=""),0,      ((VLOOKUP(Compositions!AE136,'HHV-LHV-MW'!$A$3:$F$40,6,FALSE))*(JF71/$JF$78)))))</f>
        <v/>
      </c>
      <c r="JH71" s="28" t="str">
        <f>IF(Compositions!AG136="","",IF(Compositions!$AG$118="mol%",Compositions!AG136,JI71))</f>
        <v/>
      </c>
      <c r="JI71" s="28" t="str">
        <f t="shared" si="46"/>
        <v/>
      </c>
      <c r="JJ71" s="28" t="str">
        <f>IF(Compositions!AG136="","",(Compositions!AG136/(VLOOKUP(Compositions!AE136,'HHV-LHV-MW'!$A$3:$F$40,6,FALSE))))</f>
        <v/>
      </c>
      <c r="JK71" s="26" t="str">
        <f>IF(JH71="","",((VLOOKUP(Compositions!AE136,'HHV-LHV-MW'!$A$3:$F$40,4,FALSE))*(JH71/100)))</f>
        <v/>
      </c>
      <c r="JL71" s="26" t="str">
        <f>IF(JH71="","",((VLOOKUP(Compositions!AE136,'HHV-LHV-MW'!$A$3:$F$40,5,FALSE))*(JH71/100)))</f>
        <v/>
      </c>
      <c r="JM71" s="26" t="str">
        <f>IF(JH71="","",((VLOOKUP(Compositions!AE136,'HHV-LHV-MW'!$A$3:$F$40,6,FALSE))*(JH71/100)))</f>
        <v/>
      </c>
      <c r="JN71" s="26" t="str">
        <f>IF(Compositions!AG136="","",(Compositions!AG136*(VLOOKUP(Compositions!AE136,'HHV-LHV-MW'!$A$3:$F$40,6,FALSE))))</f>
        <v/>
      </c>
      <c r="JO71" s="297" t="str">
        <f>IF(Compositions!AG136="","",IF(OR(Compositions!$AG$118="wt%",Compositions!$AG$118=""),Compositions!AG136,(IF(JN71="","",((JN71/$JN$78)*100)))))</f>
        <v/>
      </c>
      <c r="JP71" s="39" t="str">
        <f>IF(JO71="","",(IF(OR(Compositions!AE136="Hydrogen",Compositions!AE136="Helium",Compositions!AE136="Water",Compositions!AE136="Carbon Monoxide",Compositions!AE136="Nitrogen",Compositions!AE136="Oxygen",Compositions!AE136="Hydrogen Sulfide",Compositions!AE136="Argon",Compositions!AE136="Carbon Dioxide",Compositions!AE136="Carbon Disulfide"),0,JO71)))</f>
        <v/>
      </c>
      <c r="JQ71" s="186" t="str">
        <f>IF(Compositions!AG136="","",((JH71/100)*((VLOOKUP(Compositions!AE136,'HHV-LHV-MW'!$A$3:$G$40,7,FALSE)))))</f>
        <v/>
      </c>
      <c r="JR71" s="186" t="str">
        <f>IF(JH71="","",(IF(OR(Compositions!AE136="Hydrogen",Compositions!AE136="Carbon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Dioxide",Compositions!AE136="Methane",Compositions!AE136="Ethane"),0,(JH71/100))))</f>
        <v/>
      </c>
      <c r="JS71" s="39" t="str">
        <f>IF(JH71="","",(IF(OR($JR$78=0,$JR$78=""),0,      ((VLOOKUP(Compositions!AE136,'HHV-LHV-MW'!$A$3:$F$40,6,FALSE))*(JR71/$JR$78)))))</f>
        <v/>
      </c>
      <c r="JT71" s="27" t="str">
        <f>IF(Compositions!AH136="","",IF(Compositions!$AH$118="mol%",Compositions!AH136,JU71))</f>
        <v/>
      </c>
      <c r="JU71" s="27" t="str">
        <f t="shared" si="47"/>
        <v/>
      </c>
      <c r="JV71" s="27" t="str">
        <f>IF(Compositions!AH136="","",(Compositions!AH136/(VLOOKUP(Compositions!AE136,'HHV-LHV-MW'!$A$3:$F$40,6,FALSE))))</f>
        <v/>
      </c>
      <c r="JW71" s="25" t="str">
        <f>IF(JT71="","",((VLOOKUP(Compositions!AE136,'HHV-LHV-MW'!$A$3:$F$40,4,FALSE))*(JT71/100)))</f>
        <v/>
      </c>
      <c r="JX71" s="25" t="str">
        <f>IF(JT71="","",((VLOOKUP(Compositions!AE136,'HHV-LHV-MW'!$A$3:$F$40,5,FALSE))*(JT71/100)))</f>
        <v/>
      </c>
      <c r="JY71" s="25" t="str">
        <f>IF(JT71="","",((VLOOKUP(Compositions!AE136,'HHV-LHV-MW'!$A$3:$F$40,6,FALSE))*(JT71/100)))</f>
        <v/>
      </c>
      <c r="JZ71" s="25" t="str">
        <f>IF(Compositions!AH136="","",(Compositions!AH136*(VLOOKUP(Compositions!AE136,'HHV-LHV-MW'!$A$3:$F$40,6,FALSE))))</f>
        <v/>
      </c>
      <c r="KA71" s="298" t="str">
        <f>IF(Compositions!AH136="","",IF(OR(Compositions!$AH$118="wt%",Compositions!$AH$118=""),Compositions!AH136,(IF(JZ71="","",((JZ71/$JZ$78)*100)))))</f>
        <v/>
      </c>
      <c r="KB71" s="185" t="str">
        <f>IF(KA71="","",(IF(OR(Compositions!AE136="Hydrogen",Compositions!AE136="Helium",Compositions!AE136="Water",Compositions!AE136="Carbon Monoxide",Compositions!AE136="Nitrogen",Compositions!AE136="Oxygen",Compositions!AE136="Hydrogen Sulfide",Compositions!AE136="Argon",Compositions!AE136="Carbon Dioxide",Compositions!AE136="Carbon Disulfide"),0,KA71)))</f>
        <v/>
      </c>
      <c r="KC71" s="187" t="str">
        <f>IF(Compositions!AH136="","",((JT71/100)*((VLOOKUP(Compositions!AE136,'HHV-LHV-MW'!$A$3:$G$40,7,FALSE)))))</f>
        <v/>
      </c>
      <c r="KD71" s="187" t="str">
        <f>IF(JT71="","",(IF(OR(Compositions!AE136="Hydrogen",Compositions!AE136="Carbon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Dioxide",Compositions!AE136="Methane",Compositions!AE136="Ethane"),0,(JT71/100))))</f>
        <v/>
      </c>
      <c r="KE71" s="205" t="str">
        <f>IF(JT71="","",(IF(OR($KD$78=0,$KD$78=""),0,      ((VLOOKUP(Compositions!AE136,'HHV-LHV-MW'!$A$3:$F$40,6,FALSE))*(KD71/$KD$78)))))</f>
        <v/>
      </c>
      <c r="KF71" s="28" t="str">
        <f>IF(Compositions!AI136="","",IF(Compositions!$AI$118="mol%",Compositions!AI136,KG71))</f>
        <v/>
      </c>
      <c r="KG71" s="28" t="str">
        <f t="shared" si="48"/>
        <v/>
      </c>
      <c r="KH71" s="28" t="str">
        <f>IF(Compositions!AI136="","",(Compositions!AI136/(VLOOKUP(Compositions!AE136,'HHV-LHV-MW'!$A$3:$F$40,6,FALSE))))</f>
        <v/>
      </c>
      <c r="KI71" s="26" t="str">
        <f>IF(KF71="","",((VLOOKUP(Compositions!AE136,'HHV-LHV-MW'!$A$3:$F$40,4,FALSE))*(KF71/100)))</f>
        <v/>
      </c>
      <c r="KJ71" s="26" t="str">
        <f>IF(KF71="","",((VLOOKUP(Compositions!AE136,'HHV-LHV-MW'!$A$3:$F$40,5,FALSE))*(KF71/100)))</f>
        <v/>
      </c>
      <c r="KK71" s="26" t="str">
        <f>IF(KF71="","",((VLOOKUP(Compositions!AE136,'HHV-LHV-MW'!$A$3:$F$40,6,FALSE))*(KF71/100)))</f>
        <v/>
      </c>
      <c r="KL71" s="26" t="str">
        <f>IF(Compositions!AI136="","",(Compositions!AI136*(VLOOKUP(Compositions!AE136,'HHV-LHV-MW'!$A$3:$F$40,6,FALSE))))</f>
        <v/>
      </c>
      <c r="KM71" s="297" t="str">
        <f>IF(Compositions!AI136="","",IF(OR(Compositions!$AI$118="wt%",Compositions!$AI$118=""),Compositions!AI136,(IF(KL71="","",((KL71/$KL$78)*100)))))</f>
        <v/>
      </c>
      <c r="KN71" s="39" t="str">
        <f>IF(KM71="","",(IF(OR(Compositions!AE136="Hydrogen",Compositions!AE136="Helium",Compositions!AE136="Water",Compositions!AE136="Carbon Monoxide",Compositions!AE136="Nitrogen",Compositions!AE136="Oxygen",Compositions!AE136="Hydrogen Sulfide",Compositions!AE136="Argon",Compositions!AE136="Carbon Dioxide",Compositions!AE136="Carbon Disulfide"),0,KM71)))</f>
        <v/>
      </c>
      <c r="KO71" s="186" t="str">
        <f>IF(Compositions!AI136="","",((KF71/100)*((VLOOKUP(Compositions!AE136,'HHV-LHV-MW'!$A$3:$G$40,7,FALSE)))))</f>
        <v/>
      </c>
      <c r="KP71" s="186" t="str">
        <f>IF(KF71="","",(IF(OR(Compositions!AE136="Hydrogen",Compositions!AE136="Carbon Disulfide",Compositions!AE136="Helium",Compositions!AE136="Water",Compositions!AE136="Carbon Monoxide",Compositions!AE136="Nitrogen",Compositions!AE136="Oxygen",Compositions!AE136="Hydrogen Sulfide",Compositions!AE136="Argon",Compositions!AE136="Carbon Dioxide",Compositions!AE136="Methane",Compositions!AE136="Ethane"),0,(KF71/100))))</f>
        <v/>
      </c>
      <c r="KQ71" s="39" t="str">
        <f>IF(KF71="","",(IF(OR($KP$78=0,$KP$78=""),0,      ((VLOOKUP(Compositions!AE136,'HHV-LHV-MW'!$A$3:$F$40,6,FALSE))*(KP71/$KP$78)))))</f>
        <v/>
      </c>
      <c r="KS71" s="27" t="str">
        <f>IF(Compositions!AL136="","",IF(Compositions!$AL$118="mol%",Compositions!AL136,KT71))</f>
        <v/>
      </c>
      <c r="KT71" s="27" t="str">
        <f t="shared" si="49"/>
        <v/>
      </c>
      <c r="KU71" s="27" t="str">
        <f>IF(Compositions!AL136="","",(Compositions!AL136/(VLOOKUP(Compositions!AK136,'HHV-LHV-MW'!$A$3:$F$40,6,FALSE))))</f>
        <v/>
      </c>
      <c r="KV71" s="185" t="str">
        <f>IF(KS71="","",((VLOOKUP(Compositions!AK136,'HHV-LHV-MW'!$A$3:$F$40,4,FALSE))*(KS71/100)))</f>
        <v/>
      </c>
      <c r="KW71" s="185" t="str">
        <f>IF(KS71="","",((VLOOKUP(Compositions!AK136,'HHV-LHV-MW'!$A$3:$F$40,5,FALSE))*(KS71/100)))</f>
        <v/>
      </c>
      <c r="KX71" s="185" t="str">
        <f>IF(KS71="","",((VLOOKUP(Compositions!AK136,'HHV-LHV-MW'!$A$3:$F$40,6,FALSE))*(KS71/100)))</f>
        <v/>
      </c>
      <c r="KY71" s="185" t="str">
        <f>IF(Compositions!AL136="","",(Compositions!AL136*(VLOOKUP(Compositions!AK136,'HHV-LHV-MW'!$A$3:$F$40,6,FALSE))))</f>
        <v/>
      </c>
      <c r="KZ71" s="298" t="str">
        <f>IF(Compositions!AL136="","",IF(OR(Compositions!$AL$118="wt%",Compositions!$AL$118=""),Compositions!AL136,(IF(KY71="","",((KY71/$KY$78)*100)))))</f>
        <v/>
      </c>
      <c r="LA71" s="185" t="str">
        <f>IF(KZ71="","",(IF(OR(Compositions!AK136="Hydrogen",Compositions!AK136="Helium",Compositions!AK136="Water",Compositions!AK136="Carbon Monoxide",Compositions!AK136="Nitrogen",Compositions!AK136="Oxygen",Compositions!AK136="Hydrogen Sulfide",Compositions!AK136="Argon",Compositions!AK136="Carbon Dioxide",Compositions!AK136="Carbon Disulfide"),0,KZ71)))</f>
        <v/>
      </c>
      <c r="LB71" s="187" t="str">
        <f>IF(Compositions!AL136="","",((KS71/100)*((VLOOKUP(Compositions!AK136,'HHV-LHV-MW'!$A$3:$G$40,7,FALSE)))))</f>
        <v/>
      </c>
      <c r="LC71" s="187" t="str">
        <f>IF(KS71="","",(IF(OR(Compositions!AK136="Hydrogen",Compositions!AK136="Carbon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Dioxide",Compositions!AK136="Methane",Compositions!AK136="Ethane"),0,(KS71/100))))</f>
        <v/>
      </c>
      <c r="LD71" s="205" t="str">
        <f>IF(KS71="","",(IF(OR($LC$78=0,$LC$78=""),0,      ((VLOOKUP(Compositions!AK136,'HHV-LHV-MW'!$A$3:$F$40,6,FALSE))*(LC71/$LC$78)))))</f>
        <v/>
      </c>
      <c r="LE71" s="28" t="str">
        <f>IF(Compositions!AM136="","",IF(Compositions!$AM$118="mol%",Compositions!AM136,LF71))</f>
        <v/>
      </c>
      <c r="LF71" s="28" t="str">
        <f t="shared" si="50"/>
        <v/>
      </c>
      <c r="LG71" s="28" t="str">
        <f>IF(Compositions!AM136="","",(Compositions!AM136/(VLOOKUP(Compositions!AK136,'HHV-LHV-MW'!$A$3:$F$40,6,FALSE))))</f>
        <v/>
      </c>
      <c r="LH71" s="184" t="str">
        <f>IF(LE71="","",((VLOOKUP(Compositions!AK136,'HHV-LHV-MW'!$A$3:$F$40,4,FALSE))*(LE71/100)))</f>
        <v/>
      </c>
      <c r="LI71" s="184" t="str">
        <f>IF(LE71="","",((VLOOKUP(Compositions!AK136,'HHV-LHV-MW'!$A$3:$F$40,5,FALSE))*(LE71/100)))</f>
        <v/>
      </c>
      <c r="LJ71" s="184" t="str">
        <f>IF(LE71="","",((VLOOKUP(Compositions!AK136,'HHV-LHV-MW'!$A$3:$F$40,6,FALSE))*(LE71/100)))</f>
        <v/>
      </c>
      <c r="LK71" s="184" t="str">
        <f>IF(Compositions!AM136="","",(Compositions!AM136*(VLOOKUP(Compositions!AK136,'HHV-LHV-MW'!$A$3:$F$40,6,FALSE))))</f>
        <v/>
      </c>
      <c r="LL71" s="297" t="str">
        <f>IF(Compositions!AM136="","",IF(OR(Compositions!$AM$118="wt%",Compositions!$AM$118=""),Compositions!AM136,(IF(LK71="","",((LK71/$LK$78)*100)))))</f>
        <v/>
      </c>
      <c r="LM71" s="39" t="str">
        <f>IF(LL71="","",(IF(OR(Compositions!AK136="Hydrogen",Compositions!AK136="Helium",Compositions!AK136="Water",Compositions!AK136="Carbon Monoxide",Compositions!AK136="Nitrogen",Compositions!AK136="Oxygen",Compositions!AK136="Hydrogen Sulfide",Compositions!AK136="Argon",Compositions!AK136="Carbon Dioxide",Compositions!AK136="Carbon Disulfide"),0,LL71)))</f>
        <v/>
      </c>
      <c r="LN71" s="186" t="str">
        <f>IF(Compositions!AM136="","",((LE71/100)*((VLOOKUP(Compositions!AK136,'HHV-LHV-MW'!$A$3:$G$40,7,FALSE)))))</f>
        <v/>
      </c>
      <c r="LO71" s="186" t="str">
        <f>IF(LE71="","",(IF(OR(Compositions!AK136="Hydrogen",Compositions!AK136="Carbon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Dioxide",Compositions!AK136="Methane",Compositions!AK136="Ethane"),0,(LE71/100))))</f>
        <v/>
      </c>
      <c r="LP71" s="39" t="str">
        <f>IF(LE71="","",(IF(OR($LO$78=0,$LO$78=""),0,     ((VLOOKUP(Compositions!AK136,'HHV-LHV-MW'!$A$3:$F$40,6,FALSE))*(LO71/$LO$78)))))</f>
        <v/>
      </c>
      <c r="LQ71" s="27" t="str">
        <f>IF(Compositions!AN136="","",IF(Compositions!$AN$118="mol%",Compositions!AN136,LR71))</f>
        <v/>
      </c>
      <c r="LR71" s="27" t="str">
        <f t="shared" si="51"/>
        <v/>
      </c>
      <c r="LS71" s="27" t="str">
        <f>IF(Compositions!AN136="","",(Compositions!AN136/(VLOOKUP(Compositions!AK136,'HHV-LHV-MW'!$A$3:$F$40,6,FALSE))))</f>
        <v/>
      </c>
      <c r="LT71" s="185" t="str">
        <f>IF(LQ71="","",((VLOOKUP(Compositions!AK136,'HHV-LHV-MW'!$A$3:$F$40,4,FALSE))*(LQ71/100)))</f>
        <v/>
      </c>
      <c r="LU71" s="185" t="str">
        <f>IF(LQ71="","",((VLOOKUP(Compositions!AK136,'HHV-LHV-MW'!$A$3:$F$40,5,FALSE))*(LQ71/100)))</f>
        <v/>
      </c>
      <c r="LV71" s="185" t="str">
        <f>IF(LQ71="","",((VLOOKUP(Compositions!AK136,'HHV-LHV-MW'!$A$3:$F$40,6,FALSE))*(LQ71/100)))</f>
        <v/>
      </c>
      <c r="LW71" s="185" t="str">
        <f>IF(Compositions!AN136="","",(Compositions!AN136*(VLOOKUP(Compositions!AK136,'HHV-LHV-MW'!$A$3:$F$40,6,FALSE))))</f>
        <v/>
      </c>
      <c r="LX71" s="298" t="str">
        <f>IF(Compositions!AN136="","",IF(OR(Compositions!$AN$118="wt%",Compositions!$AN$118=""),Compositions!AN136,(IF(LW71="","",((LW71/$LW$78)*100)))))</f>
        <v/>
      </c>
      <c r="LY71" s="185" t="str">
        <f>IF(LX71="","",(IF(OR(Compositions!AK136="Hydrogen",Compositions!AK136="Helium",Compositions!AK136="Water",Compositions!AK136="Carbon Monoxide",Compositions!AK136="Nitrogen",Compositions!AK136="Oxygen",Compositions!AK136="Hydrogen Sulfide",Compositions!AK136="Argon",Compositions!AK136="Carbon Dioxide",Compositions!AK136="Carbon Disulfide"),0,LX71)))</f>
        <v/>
      </c>
      <c r="LZ71" s="187" t="str">
        <f>IF(Compositions!AN136="","",((LQ71/100)*((VLOOKUP(Compositions!AK136,'HHV-LHV-MW'!$A$3:$G$40,7,FALSE)))))</f>
        <v/>
      </c>
      <c r="MA71" s="187" t="str">
        <f>IF(LQ71="","",(IF(OR(Compositions!AK136="Hydrogen",Compositions!AK136="Carbon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Dioxide",Compositions!AK136="Methane",Compositions!AK136="Ethane"),0,(LQ71/100))))</f>
        <v/>
      </c>
      <c r="MB71" s="205" t="str">
        <f>IF(LQ71="","",(IF(OR($MA$78=0,$MA$78=""),0,     ((VLOOKUP(Compositions!AK136,'HHV-LHV-MW'!$A$3:$F$40,6,FALSE))*(MA71/$MA$78)))))</f>
        <v/>
      </c>
      <c r="MC71" s="28" t="str">
        <f>IF(Compositions!AO136="","",IF(Compositions!$AO$118="mol%",Compositions!AO136,MD71))</f>
        <v/>
      </c>
      <c r="MD71" s="28" t="str">
        <f t="shared" si="52"/>
        <v/>
      </c>
      <c r="ME71" s="28" t="str">
        <f>IF(Compositions!AO136="","",(Compositions!AO136/(VLOOKUP(Compositions!AK136,'HHV-LHV-MW'!$A$3:$F$40,6,FALSE))))</f>
        <v/>
      </c>
      <c r="MF71" s="184" t="str">
        <f>IF(MC71="","",((VLOOKUP(Compositions!AK136,'HHV-LHV-MW'!$A$3:$F$40,4,FALSE))*(MC71/100)))</f>
        <v/>
      </c>
      <c r="MG71" s="184" t="str">
        <f>IF(MC71="","",((VLOOKUP(Compositions!AK136,'HHV-LHV-MW'!$A$3:$F$40,5,FALSE))*(MC71/100)))</f>
        <v/>
      </c>
      <c r="MH71" s="184" t="str">
        <f>IF(MC71="","",((VLOOKUP(Compositions!AK136,'HHV-LHV-MW'!$A$3:$F$40,6,FALSE))*(MC71/100)))</f>
        <v/>
      </c>
      <c r="MI71" s="184" t="str">
        <f>IF(Compositions!AO136="","",(Compositions!AO136*(VLOOKUP(Compositions!AK136,'HHV-LHV-MW'!$A$3:$F$40,6,FALSE))))</f>
        <v/>
      </c>
      <c r="MJ71" s="297" t="str">
        <f>IF(Compositions!AO136="","",IF(OR(Compositions!$AO$118="wt%",Compositions!$AO$118=""),Compositions!AO136,(IF(MI71="","",((MI71/$MI$78)*100)))))</f>
        <v/>
      </c>
      <c r="MK71" s="39" t="str">
        <f>IF(MJ71="","",(IF(OR(Compositions!AK136="Hydrogen",Compositions!AK136="Helium",Compositions!AK136="Water",Compositions!AK136="Carbon Monoxide",Compositions!AK136="Nitrogen",Compositions!AK136="Oxygen",Compositions!AK136="Hydrogen Sulfide",Compositions!AK136="Argon",Compositions!AK136="Carbon Dioxide",Compositions!AK136="Carbon Disulfide"),0,MJ71)))</f>
        <v/>
      </c>
      <c r="ML71" s="186" t="str">
        <f>IF(Compositions!AO136="","",((MC71/100)*((VLOOKUP(Compositions!AK136,'HHV-LHV-MW'!$A$3:$G$40,7,FALSE)))))</f>
        <v/>
      </c>
      <c r="MM71" s="186" t="str">
        <f>IF(MC71="","",(IF(OR(Compositions!AK136="Hydrogen",Compositions!AK136="Carbon Disulfide",Compositions!AK136="Helium",Compositions!AK136="Water",Compositions!AK136="Carbon Monoxide",Compositions!AK136="Nitrogen",Compositions!AK136="Oxygen",Compositions!AK136="Hydrogen Sulfide",Compositions!AK136="Argon",Compositions!AK136="Carbon Dioxide",Compositions!AK136="Methane",Compositions!AK136="Ethane"),0,(MC71/100))))</f>
        <v/>
      </c>
      <c r="MN71" s="39" t="str">
        <f>IF(MC71="","",(IF(OR($MM$78=0,$MM$78=""),0,     ((VLOOKUP(Compositions!AK136,'HHV-LHV-MW'!$A$3:$F$40,6,FALSE))*(MM71/$MM$78)))))</f>
        <v/>
      </c>
      <c r="MP71" s="27" t="str">
        <f>IF(Compositions!AR136="","",IF(Compositions!$AR$118="mol%",Compositions!AR136,MQ71))</f>
        <v/>
      </c>
      <c r="MQ71" s="27" t="str">
        <f t="shared" si="53"/>
        <v/>
      </c>
      <c r="MR71" s="27" t="str">
        <f>IF(Compositions!AR136="","",(Compositions!AR136/(VLOOKUP(Compositions!AQ136,'HHV-LHV-MW'!$A$3:$F$40,6,FALSE))))</f>
        <v/>
      </c>
      <c r="MS71" s="185" t="str">
        <f>IF(MP71="","",((VLOOKUP(Compositions!AQ136,'HHV-LHV-MW'!$A$3:$F$40,4,FALSE))*(MP71/100)))</f>
        <v/>
      </c>
      <c r="MT71" s="185" t="str">
        <f>IF(MP71="","",((VLOOKUP(Compositions!AQ136,'HHV-LHV-MW'!$A$3:$F$40,5,FALSE))*(MP71/100)))</f>
        <v/>
      </c>
      <c r="MU71" s="185" t="str">
        <f>IF(MP71="","",((VLOOKUP(Compositions!AQ136,'HHV-LHV-MW'!$A$3:$F$40,6,FALSE))*(MP71/100)))</f>
        <v/>
      </c>
      <c r="MV71" s="185" t="str">
        <f>IF(Compositions!AR136="","",(Compositions!AR136*(VLOOKUP(Compositions!AQ136,'HHV-LHV-MW'!$A$3:$F$40,6,FALSE))))</f>
        <v/>
      </c>
      <c r="MW71" s="298" t="str">
        <f>IF(Compositions!AR136="","",IF(OR(Compositions!$AR$118="wt%",Compositions!$AR$118=""),Compositions!AR136,(IF(MV71="","",((MV71/$MV$78)*100)))))</f>
        <v/>
      </c>
      <c r="MX71" s="185" t="str">
        <f>IF(MW71="","",(IF(OR(Compositions!AQ136="Hydrogen",Compositions!AQ136="Helium",Compositions!AQ136="Water",Compositions!AQ136="Carbon Monoxide",Compositions!AQ136="Nitrogen",Compositions!AQ136="Oxygen",Compositions!AQ136="Hydrogen Sulfide",Compositions!AQ136="Argon",Compositions!AQ136="Carbon Dioxide",Compositions!AQ136="Carbon Disulfide"),0,MW71)))</f>
        <v/>
      </c>
      <c r="MY71" s="187" t="str">
        <f>IF(Compositions!AR136="","",((MP71/100)*((VLOOKUP(Compositions!AQ136,'HHV-LHV-MW'!$A$3:$G$40,7,FALSE)))))</f>
        <v/>
      </c>
      <c r="MZ71" s="187" t="str">
        <f>IF(MP71="","",(IF(OR(Compositions!AQ136="Hydrogen",Compositions!AQ136="Carbon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Dioxide",Compositions!AQ136="Methane",Compositions!AQ136="Ethane"),0,(MP71/100))))</f>
        <v/>
      </c>
      <c r="NA71" s="205" t="str">
        <f>IF(MP71="","",(IF(OR($MZ$78=0,$MZ$78=""),0,     ((VLOOKUP(Compositions!AQ136,'HHV-LHV-MW'!$A$3:$F$40,6,FALSE))*(MZ71/$MZ$78)))))</f>
        <v/>
      </c>
      <c r="NB71" s="28" t="str">
        <f>IF(Compositions!AS136="","",IF(Compositions!$AS$118="mol%",Compositions!AS136,NC71))</f>
        <v/>
      </c>
      <c r="NC71" s="28" t="str">
        <f t="shared" si="54"/>
        <v/>
      </c>
      <c r="ND71" s="28" t="str">
        <f>IF(Compositions!AS136="","",(Compositions!AS136/(VLOOKUP(Compositions!AQ136,'HHV-LHV-MW'!$A$3:$F$40,6,FALSE))))</f>
        <v/>
      </c>
      <c r="NE71" s="184" t="str">
        <f>IF(NB71="","",((VLOOKUP(Compositions!AQ136,'HHV-LHV-MW'!$A$3:$F$40,4,FALSE))*(NB71/100)))</f>
        <v/>
      </c>
      <c r="NF71" s="184" t="str">
        <f>IF(NB71="","",((VLOOKUP(Compositions!AQ136,'HHV-LHV-MW'!$A$3:$F$40,5,FALSE))*(NB71/100)))</f>
        <v/>
      </c>
      <c r="NG71" s="184" t="str">
        <f>IF(NB71="","",((VLOOKUP(Compositions!AQ136,'HHV-LHV-MW'!$A$3:$F$40,6,FALSE))*(NB71/100)))</f>
        <v/>
      </c>
      <c r="NH71" s="184" t="str">
        <f>IF(Compositions!AS136="","",(Compositions!AS136*(VLOOKUP(Compositions!AQ136,'HHV-LHV-MW'!$A$3:$F$40,6,FALSE))))</f>
        <v/>
      </c>
      <c r="NI71" s="297" t="str">
        <f>IF(Compositions!AS136="","",IF(OR(Compositions!$AS$118="wt%",Compositions!$AS$118=""),Compositions!AS136,(IF(NH71="","",((NH71/$NH$78)*100)))))</f>
        <v/>
      </c>
      <c r="NJ71" s="39" t="str">
        <f>IF(NI71="","",(IF(OR(Compositions!AQ136="Hydrogen",Compositions!AQ136="Helium",Compositions!AQ136="Water",Compositions!AQ136="Carbon Monoxide",Compositions!AQ136="Nitrogen",Compositions!AQ136="Oxygen",Compositions!AQ136="Hydrogen Sulfide",Compositions!AQ136="Argon",Compositions!AQ136="Carbon Dioxide",Compositions!AQ136="Carbon Disulfide"),0,NI71)))</f>
        <v/>
      </c>
      <c r="NK71" s="186" t="str">
        <f>IF(Compositions!AS136="","",((NB71/100)*((VLOOKUP(Compositions!AQ136,'HHV-LHV-MW'!$A$3:$G$40,7,FALSE)))))</f>
        <v/>
      </c>
      <c r="NL71" s="186" t="str">
        <f>IF(NB71="","",(IF(OR(Compositions!AQ136="Hydrogen",Compositions!AQ136="Carbon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Dioxide",Compositions!AQ136="Methane",Compositions!AQ136="Ethane"),0,(NB71/100))))</f>
        <v/>
      </c>
      <c r="NM71" s="39" t="str">
        <f>IF(NB71="","",(IF(OR($NL$78=0,$NL$78=""),0,     ((VLOOKUP(Compositions!AQ136,'HHV-LHV-MW'!$A$3:$F$40,6,FALSE))*(NL71/$NL$78)))))</f>
        <v/>
      </c>
      <c r="NN71" s="27" t="str">
        <f>IF(Compositions!AT136="","",IF(Compositions!$AT$118="mol%",Compositions!AT136,NO71))</f>
        <v/>
      </c>
      <c r="NO71" s="27" t="str">
        <f t="shared" si="55"/>
        <v/>
      </c>
      <c r="NP71" s="27" t="str">
        <f>IF(Compositions!AT136="","",(Compositions!AT136/(VLOOKUP(Compositions!AQ136,'HHV-LHV-MW'!$A$3:$F$40,6,FALSE))))</f>
        <v/>
      </c>
      <c r="NQ71" s="185" t="str">
        <f>IF(NN71="","",((VLOOKUP(Compositions!AQ136,'HHV-LHV-MW'!$A$3:$F$40,4,FALSE))*(NN71/100)))</f>
        <v/>
      </c>
      <c r="NR71" s="185" t="str">
        <f>IF(NN71="","",((VLOOKUP(Compositions!AQ136,'HHV-LHV-MW'!$A$3:$F$40,5,FALSE))*(NN71/100)))</f>
        <v/>
      </c>
      <c r="NS71" s="185" t="str">
        <f>IF(NN71="","",((VLOOKUP(Compositions!AQ136,'HHV-LHV-MW'!$A$3:$F$40,6,FALSE))*(NN71/100)))</f>
        <v/>
      </c>
      <c r="NT71" s="185" t="str">
        <f>IF(Compositions!AT136="","",(Compositions!AT136*(VLOOKUP(Compositions!AQ136,'HHV-LHV-MW'!$A$3:$F$40,6,FALSE))))</f>
        <v/>
      </c>
      <c r="NU71" s="298" t="str">
        <f>IF(Compositions!AT136="","",IF(OR(Compositions!$AT$118="wt%",Compositions!$AT$118=""),Compositions!AT136,(IF(NT71="","",((NT71/$NT$78)*100)))))</f>
        <v/>
      </c>
      <c r="NV71" s="185" t="str">
        <f>IF(NU71="","",(IF(OR(Compositions!AQ136="Hydrogen",Compositions!AQ136="Helium",Compositions!AQ136="Water",Compositions!AQ136="Carbon Monoxide",Compositions!AQ136="Nitrogen",Compositions!AQ136="Oxygen",Compositions!AQ136="Hydrogen Sulfide",Compositions!AQ136="Argon",Compositions!AQ136="Carbon Dioxide",Compositions!AQ136="Carbon Disulfide"),0,NU71)))</f>
        <v/>
      </c>
      <c r="NW71" s="187" t="str">
        <f>IF(Compositions!AT136="","",((NN71/100)*((VLOOKUP(Compositions!AQ136,'HHV-LHV-MW'!$A$3:$G$40,7,FALSE)))))</f>
        <v/>
      </c>
      <c r="NX71" s="187" t="str">
        <f>IF(NN71="","",(IF(OR(Compositions!AQ136="Hydrogen",Compositions!AQ136="Carbon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Dioxide",Compositions!AQ136="Methane",Compositions!AQ136="Ethane"),0,(NN71/100))))</f>
        <v/>
      </c>
      <c r="NY71" s="205" t="str">
        <f>IF(NN71="","",(IF(OR($NX$78=0,$NX$78=""),0,     ((VLOOKUP(Compositions!AQ136,'HHV-LHV-MW'!$A$3:$F$40,6,FALSE))*(NX71/$NX$78)))))</f>
        <v/>
      </c>
      <c r="NZ71" s="28" t="str">
        <f>IF(Compositions!AU136="","",IF(Compositions!$AU$118="mol%",Compositions!AU136,OA71))</f>
        <v/>
      </c>
      <c r="OA71" s="28" t="str">
        <f t="shared" si="56"/>
        <v/>
      </c>
      <c r="OB71" s="28" t="str">
        <f>IF(Compositions!AU136="","",(Compositions!AU136/(VLOOKUP(Compositions!AQ136,'HHV-LHV-MW'!$A$3:$F$40,6,FALSE))))</f>
        <v/>
      </c>
      <c r="OC71" s="184" t="str">
        <f>IF(NZ71="","",((VLOOKUP(Compositions!AQ136,'HHV-LHV-MW'!$A$3:$F$40,4,FALSE))*(NZ71/100)))</f>
        <v/>
      </c>
      <c r="OD71" s="184" t="str">
        <f>IF(NZ71="","",((VLOOKUP(Compositions!AQ136,'HHV-LHV-MW'!$A$3:$F$40,5,FALSE))*(NZ71/100)))</f>
        <v/>
      </c>
      <c r="OE71" s="184" t="str">
        <f>IF(NZ71="","",((VLOOKUP(Compositions!AQ136,'HHV-LHV-MW'!$A$3:$F$40,6,FALSE))*(NZ71/100)))</f>
        <v/>
      </c>
      <c r="OF71" s="184" t="str">
        <f>IF(Compositions!AU136="","",(Compositions!AU136*(VLOOKUP(Compositions!AQ136,'HHV-LHV-MW'!$A$3:$F$40,6,FALSE))))</f>
        <v/>
      </c>
      <c r="OG71" s="297" t="str">
        <f>IF(Compositions!AU136="","",IF(OR(Compositions!$AU$118="wt%",Compositions!$AU$118=""),Compositions!AU136,(IF(OF71="","",((OF71/$OF$78)*100)))))</f>
        <v/>
      </c>
      <c r="OH71" s="39" t="str">
        <f>IF(OG71="","",(IF(OR(Compositions!AQ136="Hydrogen",Compositions!AQ136="Helium",Compositions!AQ136="Water",Compositions!AQ136="Carbon Monoxide",Compositions!AQ136="Nitrogen",Compositions!AQ136="Oxygen",Compositions!AQ136="Hydrogen Sulfide",Compositions!AQ136="Argon",Compositions!AQ136="Carbon Dioxide",Compositions!AQ136="Carbon Disulfide"),0,OG71)))</f>
        <v/>
      </c>
      <c r="OI71" s="186" t="str">
        <f>IF(Compositions!AU136="","",((NZ71/100)*((VLOOKUP(Compositions!AQ136,'HHV-LHV-MW'!$A$3:$G$40,7,FALSE)))))</f>
        <v/>
      </c>
      <c r="OJ71" s="186" t="str">
        <f>IF(NZ71="","",(IF(OR(Compositions!AQ136="Hydrogen",Compositions!AQ136="Carbon Disulfide",Compositions!AQ136="Helium",Compositions!AQ136="Water",Compositions!AQ136="Carbon Monoxide",Compositions!AQ136="Nitrogen",Compositions!AQ136="Oxygen",Compositions!AQ136="Hydrogen Sulfide",Compositions!AQ136="Argon",Compositions!AQ136="Carbon Dioxide",Compositions!AQ136="Methane",Compositions!AQ136="Ethane"),0,(NZ71/100))))</f>
        <v/>
      </c>
      <c r="OK71" s="39" t="str">
        <f>IF(NZ71="","",(IF(OR($OJ$78=0,$OJ$78=""),0,     ((VLOOKUP(Compositions!AQ136,'HHV-LHV-MW'!$A$3:$F$40,6,FALSE))*(OJ71/$OJ$78)))))</f>
        <v/>
      </c>
      <c r="ON71" s="27" t="str">
        <f>IF(Compositions!AX136="","",IF(Compositions!$AX$118="mol%",Compositions!AX136,OO71))</f>
        <v/>
      </c>
      <c r="OO71" s="27" t="str">
        <f t="shared" si="57"/>
        <v/>
      </c>
      <c r="OP71" s="27" t="str">
        <f>IF(Compositions!AX136="","",(Compositions!AX136/(VLOOKUP(Compositions!AW136,'HHV-LHV-MW'!$A$3:$F$40,6,FALSE))))</f>
        <v/>
      </c>
      <c r="OQ71" s="185" t="str">
        <f>IF(ON71="","",((VLOOKUP(Compositions!AW136,'HHV-LHV-MW'!$A$3:$F$40,4,FALSE))*(ON71/100)))</f>
        <v/>
      </c>
      <c r="OR71" s="185" t="str">
        <f>IF(ON71="","",((VLOOKUP(Compositions!AW136,'HHV-LHV-MW'!$A$3:$F$40,5,FALSE))*(ON71/100)))</f>
        <v/>
      </c>
      <c r="OS71" s="185" t="str">
        <f>IF(ON71="","",((VLOOKUP(Compositions!AW136,'HHV-LHV-MW'!$A$3:$F$40,6,FALSE))*(ON71/100)))</f>
        <v/>
      </c>
      <c r="OT71" s="185" t="str">
        <f>IF(Compositions!AX136="","",(Compositions!AX136*(VLOOKUP(Compositions!AW136,'HHV-LHV-MW'!$A$3:$F$40,6,FALSE))))</f>
        <v/>
      </c>
      <c r="OU71" s="298" t="str">
        <f>IF(Compositions!AX136="","",IF(OR(Compositions!$AX$118="wt%",Compositions!$AX$118=""),Compositions!AX136,(IF(OT71="","",((OT71/$OT$78)*100)))))</f>
        <v/>
      </c>
      <c r="OV71" s="185" t="str">
        <f>IF(OU71="","",(IF(OR(Compositions!AW136="Hydrogen",Compositions!AW136="Helium",Compositions!AW136="Water",Compositions!AW136="Carbon Monoxide",Compositions!AW136="Nitrogen",Compositions!AW136="Oxygen",Compositions!AW136="Hydrogen Sulfide",Compositions!AW136="Argon",Compositions!AW136="Carbon Dioxide",Compositions!AW136="Carbon Disulfide"),0,OU71)))</f>
        <v/>
      </c>
      <c r="OW71" s="187" t="str">
        <f>IF(Compositions!AX136="","",((ON71/100)*((VLOOKUP(Compositions!AW136,'HHV-LHV-MW'!$A$3:$G$40,7,FALSE)))))</f>
        <v/>
      </c>
      <c r="OX71" s="187" t="str">
        <f>IF(ON71="","",(IF(OR(Compositions!AW136="Hydrogen",Compositions!AW136="Carbon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Dioxide",Compositions!AW136="Methane",Compositions!AW136="Ethane"),0,(ON71/100))))</f>
        <v/>
      </c>
      <c r="OY71" s="205" t="str">
        <f>IF(ON71="","",(IF(OR($OX$78=0,$OX$78=""),0,     ((VLOOKUP(Compositions!AW136,'HHV-LHV-MW'!$A$3:$F$40,6,FALSE))*(OX71/$OX$78)))))</f>
        <v/>
      </c>
      <c r="OZ71" s="28" t="str">
        <f>IF(Compositions!AY136="","",IF(Compositions!$AY$118="mol%",Compositions!AY136,PA71))</f>
        <v/>
      </c>
      <c r="PA71" s="28" t="str">
        <f t="shared" si="64"/>
        <v/>
      </c>
      <c r="PB71" s="28" t="str">
        <f>IF(Compositions!AY136="","",(Compositions!AY136/(VLOOKUP(Compositions!AW136,'HHV-LHV-MW'!$A$3:$F$40,6,FALSE))))</f>
        <v/>
      </c>
      <c r="PC71" s="184" t="str">
        <f>IF(OZ71="","",((VLOOKUP(Compositions!AW136,'HHV-LHV-MW'!$A$3:$F$40,4,FALSE))*(OZ71/100)))</f>
        <v/>
      </c>
      <c r="PD71" s="184" t="str">
        <f>IF(OZ71="","",((VLOOKUP(Compositions!AW136,'HHV-LHV-MW'!$A$3:$F$40,5,FALSE))*(OZ71/100)))</f>
        <v/>
      </c>
      <c r="PE71" s="184" t="str">
        <f>IF(OZ71="","",((VLOOKUP(Compositions!AW136,'HHV-LHV-MW'!$A$3:$F$40,6,FALSE))*(OZ71/100)))</f>
        <v/>
      </c>
      <c r="PF71" s="184" t="str">
        <f>IF(Compositions!AY136="","",(Compositions!AY136*(VLOOKUP(Compositions!AW136,'HHV-LHV-MW'!$A$3:$F$40,6,FALSE))))</f>
        <v/>
      </c>
      <c r="PG71" s="297" t="str">
        <f>IF(Compositions!AY136="","",IF(OR(Compositions!$AY$118="wt%",Compositions!$AY$118=""),Compositions!AY136,(IF(PF71="","",((PF71/$PF$78)*100)))))</f>
        <v/>
      </c>
      <c r="PH71" s="39" t="str">
        <f>IF(PG71="","",(IF(OR(Compositions!AW136="Hydrogen",Compositions!AW136="Helium",Compositions!AW136="Water",Compositions!AW136="Carbon Monoxide",Compositions!AW136="Nitrogen",Compositions!AW136="Oxygen",Compositions!AW136="Hydrogen Sulfide",Compositions!AW136="Argon",Compositions!AW136="Carbon Dioxide",Compositions!AW136="Carbon Disulfide"),0,PG71)))</f>
        <v/>
      </c>
      <c r="PI71" s="186" t="str">
        <f>IF(Compositions!AY136="","",((OZ71/100)*((VLOOKUP(Compositions!AW136,'HHV-LHV-MW'!$A$3:$G$40,7,FALSE)))))</f>
        <v/>
      </c>
      <c r="PJ71" s="186" t="str">
        <f>IF(OZ71="","",(IF(OR(Compositions!AW136="Hydrogen",Compositions!AW136="Carbon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Dioxide",Compositions!AW136="Methane",Compositions!AW136="Ethane"),0,(OZ71/100))))</f>
        <v/>
      </c>
      <c r="PK71" s="39" t="str">
        <f>IF(OZ71="","",(IF(OR($PJ$78=0,$PJ$78=""),0,     ((VLOOKUP(Compositions!AW136,'HHV-LHV-MW'!$A$3:$F$40,6,FALSE))*(PJ71/$PJ$78)))))</f>
        <v/>
      </c>
      <c r="PL71" s="27" t="str">
        <f>IF(Compositions!AZ136="","",IF(Compositions!$AZ$118="mol%",Compositions!AZ136,PM71))</f>
        <v/>
      </c>
      <c r="PM71" s="27" t="str">
        <f t="shared" si="58"/>
        <v/>
      </c>
      <c r="PN71" s="27" t="str">
        <f>IF(Compositions!AZ136="","",(Compositions!AZ136/(VLOOKUP(Compositions!AW136,'HHV-LHV-MW'!$A$3:$F$40,6,FALSE))))</f>
        <v/>
      </c>
      <c r="PO71" s="185" t="str">
        <f>IF(PL71="","",((VLOOKUP(Compositions!AW136,'HHV-LHV-MW'!$A$3:$F$40,4,FALSE))*(PL71/100)))</f>
        <v/>
      </c>
      <c r="PP71" s="185" t="str">
        <f>IF(PL71="","",((VLOOKUP(Compositions!AW136,'HHV-LHV-MW'!$A$3:$F$40,5,FALSE))*(PL71/100)))</f>
        <v/>
      </c>
      <c r="PQ71" s="185" t="str">
        <f>IF(PL71="","",((VLOOKUP(Compositions!AW136,'HHV-LHV-MW'!$A$3:$F$40,6,FALSE))*(PL71/100)))</f>
        <v/>
      </c>
      <c r="PR71" s="185" t="str">
        <f>IF(Compositions!AZ136="","",(Compositions!AZ136*(VLOOKUP(Compositions!AW136,'HHV-LHV-MW'!$A$3:$F$40,6,FALSE))))</f>
        <v/>
      </c>
      <c r="PS71" s="298" t="str">
        <f>IF(Compositions!AZ136="","",IF(OR(Compositions!$AZ$118="wt%",Compositions!$AZ$118=""),Compositions!AZ136,(IF(PR71="","",((PR71/$PR$78)*100)))))</f>
        <v/>
      </c>
      <c r="PT71" s="185" t="str">
        <f>IF(PS71="","",(IF(OR(Compositions!AW136="Hydrogen",Compositions!AW136="Helium",Compositions!AW136="Water",Compositions!AW136="Carbon Monoxide",Compositions!AW136="Nitrogen",Compositions!AW136="Oxygen",Compositions!AW136="Hydrogen Sulfide",Compositions!AW136="Argon",Compositions!AW136="Carbon Dioxide",Compositions!AW136="Carbon Disulfide"),0,PS71)))</f>
        <v/>
      </c>
      <c r="PU71" s="187" t="str">
        <f>IF(Compositions!AZ136="","",((PL71/100)*((VLOOKUP(Compositions!AW136,'HHV-LHV-MW'!$A$3:$G$40,7,FALSE)))))</f>
        <v/>
      </c>
      <c r="PV71" s="187" t="str">
        <f>IF(PL71="","",(IF(OR(Compositions!AW136="Hydrogen",Compositions!AW136="Carbon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Dioxide",Compositions!AW136="Methane",Compositions!AW136="Ethane"),0,(PL71/100))))</f>
        <v/>
      </c>
      <c r="PW71" s="205" t="str">
        <f>IF(PL71="","",(IF(OR($PV$78=0,$PV$78=""),0,     ((VLOOKUP(Compositions!AW136,'HHV-LHV-MW'!$A$3:$F$40,6,FALSE))*(PV71/$PV$78)))))</f>
        <v/>
      </c>
      <c r="PX71" s="28" t="str">
        <f>IF(Compositions!BA136="","",IF(Compositions!$BA$118="mol%",Compositions!BA136,PY71))</f>
        <v/>
      </c>
      <c r="PY71" s="28" t="str">
        <f t="shared" si="59"/>
        <v/>
      </c>
      <c r="PZ71" s="28" t="str">
        <f>IF(Compositions!BA136="","",(Compositions!BA136/(VLOOKUP(Compositions!AW136,'HHV-LHV-MW'!$A$3:$F$40,6,FALSE))))</f>
        <v/>
      </c>
      <c r="QA71" s="184" t="str">
        <f>IF(PX71="","",((VLOOKUP(Compositions!AW136,'HHV-LHV-MW'!$A$3:$F$40,4,FALSE))*(PX71/100)))</f>
        <v/>
      </c>
      <c r="QB71" s="184" t="str">
        <f>IF(PX71="","",((VLOOKUP(Compositions!AW136,'HHV-LHV-MW'!$A$3:$F$40,5,FALSE))*(PX71/100)))</f>
        <v/>
      </c>
      <c r="QC71" s="184" t="str">
        <f>IF(PX71="","",((VLOOKUP(Compositions!AW136,'HHV-LHV-MW'!$A$3:$F$40,6,FALSE))*(PX71/100)))</f>
        <v/>
      </c>
      <c r="QD71" s="184" t="str">
        <f>IF(Compositions!BA136="","",(Compositions!BA136*(VLOOKUP(Compositions!AW136,'HHV-LHV-MW'!$A$3:$F$40,6,FALSE))))</f>
        <v/>
      </c>
      <c r="QE71" s="297" t="str">
        <f>IF(Compositions!BA136="","",IF(OR(Compositions!$BA$118="wt%",Compositions!$BA$118=""),Compositions!BA136,(IF(QD71="","",((QD71/$QD$78)*100)))))</f>
        <v/>
      </c>
      <c r="QF71" s="39" t="str">
        <f>IF(QE71="","",(IF(OR(Compositions!AW136="Hydrogen",Compositions!AW136="Helium",Compositions!AW136="Water",Compositions!AW136="Carbon Monoxide",Compositions!AW136="Nitrogen",Compositions!AW136="Oxygen",Compositions!AW136="Hydrogen Sulfide",Compositions!AW136="Argon",Compositions!AW136="Carbon Dioxide",Compositions!AW136="Carbon Disulfide"),0,QE71)))</f>
        <v/>
      </c>
      <c r="QG71" s="186" t="str">
        <f>IF(Compositions!BA136="","",((PX71/100)*((VLOOKUP(Compositions!AW136,'HHV-LHV-MW'!$A$3:$G$40,7,FALSE)))))</f>
        <v/>
      </c>
      <c r="QH71" s="186" t="str">
        <f>IF(PX71="","",(IF(OR(Compositions!AW136="Hydrogen",Compositions!AW136="Carbon Disulfide",Compositions!AW136="Helium",Compositions!AW136="Water",Compositions!AW136="Carbon Monoxide",Compositions!AW136="Nitrogen",Compositions!AW136="Oxygen",Compositions!AW136="Hydrogen Sulfide",Compositions!AW136="Argon",Compositions!AW136="Carbon Dioxide",Compositions!AW136="Methane",Compositions!AW136="Ethane"),0,(PX71/100))))</f>
        <v/>
      </c>
      <c r="QI71" s="39" t="str">
        <f>IF(PX71="","",(IF(OR($QH$78=0,$QH$78=""),0,     ((VLOOKUP(Compositions!AW136,'HHV-LHV-MW'!$A$3:$F$40,6,FALSE))*(QH71/$QH$78)))))</f>
        <v/>
      </c>
      <c r="QK71" s="27" t="str">
        <f>IF(Compositions!BD136="","",IF(Compositions!$BD$118="mol%",Compositions!BD136,QL71))</f>
        <v/>
      </c>
      <c r="QL71" s="27" t="str">
        <f t="shared" si="60"/>
        <v/>
      </c>
      <c r="QM71" s="27" t="str">
        <f>IF(Compositions!BD136="","",(Compositions!BD136/(VLOOKUP(Compositions!BC136,'HHV-LHV-MW'!$A$3:$F$40,6,FALSE))))</f>
        <v/>
      </c>
      <c r="QN71" s="185" t="str">
        <f>IF(QK71="","",((VLOOKUP(Compositions!BC136,'HHV-LHV-MW'!$A$3:$F$40,4,FALSE))*(QK71/100)))</f>
        <v/>
      </c>
      <c r="QO71" s="185" t="str">
        <f>IF(QK71="","",((VLOOKUP(Compositions!BC136,'HHV-LHV-MW'!$A$3:$F$40,5,FALSE))*(QK71/100)))</f>
        <v/>
      </c>
      <c r="QP71" s="185" t="str">
        <f>IF(QK71="","",((VLOOKUP(Compositions!BC136,'HHV-LHV-MW'!$A$3:$F$40,6,FALSE))*(QK71/100)))</f>
        <v/>
      </c>
      <c r="QQ71" s="185" t="str">
        <f>IF(Compositions!BD136="","",(Compositions!BD136*(VLOOKUP(Compositions!BC136,'HHV-LHV-MW'!$A$3:$F$40,6,FALSE))))</f>
        <v/>
      </c>
      <c r="QR71" s="298" t="str">
        <f>IF(Compositions!BD136="","",IF(OR(Compositions!$BD$118="wt%",Compositions!$BD$118=""),Compositions!BD136,(IF(QQ71="","",((QQ71/$QQ$78)*100)))))</f>
        <v/>
      </c>
      <c r="QS71" s="185" t="str">
        <f>IF(QR71="","",(IF(OR(Compositions!BC136="Hydrogen",Compositions!BC136="Helium",Compositions!BC136="Water",Compositions!BC136="Carbon Monoxide",Compositions!BC136="Nitrogen",Compositions!BC136="Oxygen",Compositions!BC136="Hydrogen Sulfide",Compositions!BC136="Argon",Compositions!BC136="Carbon Dioxide",Compositions!BC136="Carbon Disulfide"),0,QR71)))</f>
        <v/>
      </c>
      <c r="QT71" s="187" t="str">
        <f>IF(Compositions!BD136="","",((QK71/100)*((VLOOKUP(Compositions!BC136,'HHV-LHV-MW'!$A$3:$G$40,7,FALSE)))))</f>
        <v/>
      </c>
      <c r="QU71" s="187" t="str">
        <f>IF(QK71="","",(IF(OR(Compositions!BC136="Hydrogen",Compositions!BC136="Carbon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Dioxide",Compositions!BC136="Methane",Compositions!BC136="Ethane"),0,(QK71/100))))</f>
        <v/>
      </c>
      <c r="QV71" s="205" t="str">
        <f>IF(QK71="","",(IF(OR($QU$78=0,$QU$78=""),0,     ((VLOOKUP(Compositions!BC136,'HHV-LHV-MW'!$A$3:$F$40,6,FALSE))*(QU71/$QU$78)))))</f>
        <v/>
      </c>
      <c r="QW71" s="28" t="str">
        <f>IF(Compositions!BE136="","",IF(Compositions!$BE$118="mol%",Compositions!BE136,QX71))</f>
        <v/>
      </c>
      <c r="QX71" s="28" t="str">
        <f t="shared" si="61"/>
        <v/>
      </c>
      <c r="QY71" s="28" t="str">
        <f>IF(Compositions!BE136="","",(Compositions!BE136/(VLOOKUP(Compositions!BC136,'HHV-LHV-MW'!$A$3:$F$40,6,FALSE))))</f>
        <v/>
      </c>
      <c r="QZ71" s="184" t="str">
        <f>IF(QW71="","",((VLOOKUP(Compositions!BC136,'HHV-LHV-MW'!$A$3:$F$40,4,FALSE))*(QW71/100)))</f>
        <v/>
      </c>
      <c r="RA71" s="184" t="str">
        <f>IF(QW71="","",((VLOOKUP(Compositions!BC136,'HHV-LHV-MW'!$A$3:$F$40,5,FALSE))*(QW71/100)))</f>
        <v/>
      </c>
      <c r="RB71" s="184" t="str">
        <f>IF(QW71="","",((VLOOKUP(Compositions!BC136,'HHV-LHV-MW'!$A$3:$F$40,6,FALSE))*(QW71/100)))</f>
        <v/>
      </c>
      <c r="RC71" s="184" t="str">
        <f>IF(Compositions!BE136="","",(Compositions!BE136*(VLOOKUP(Compositions!BC136,'HHV-LHV-MW'!$A$3:$F$40,6,FALSE))))</f>
        <v/>
      </c>
      <c r="RD71" s="297" t="str">
        <f>IF(Compositions!BE136="","",IF(OR(Compositions!$BE$118="wt%",Compositions!$BE$118=""),Compositions!BE136,(IF(RC71="","",((RC71/$RC$78)*100)))))</f>
        <v/>
      </c>
      <c r="RE71" s="39" t="str">
        <f>IF(RD71="","",(IF(OR(Compositions!BC136="Hydrogen",Compositions!BC136="Helium",Compositions!BC136="Water",Compositions!BC136="Carbon Monoxide",Compositions!BC136="Nitrogen",Compositions!BC136="Oxygen",Compositions!BC136="Hydrogen Sulfide",Compositions!BC136="Argon",Compositions!BC136="Carbon Dioxide",Compositions!BC136="Carbon Disulfide"),0,RD71)))</f>
        <v/>
      </c>
      <c r="RF71" s="186" t="str">
        <f>IF(Compositions!BE136="","",((QW71/100)*((VLOOKUP(Compositions!BC136,'HHV-LHV-MW'!$A$3:$G$40,7,FALSE)))))</f>
        <v/>
      </c>
      <c r="RG71" s="186" t="str">
        <f>IF(QW71="","",(IF(OR(Compositions!BC136="Hydrogen",Compositions!BC136="Carbon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Dioxide",Compositions!BC136="Methane",Compositions!BC136="Ethane"),0,(QW71/100))))</f>
        <v/>
      </c>
      <c r="RH71" s="39" t="str">
        <f>IF(QW71="","",(IF(OR($RG$78=0,$RG$78=""),0,     ((VLOOKUP(Compositions!BC136,'HHV-LHV-MW'!$A$3:$F$40,6,FALSE))*(RG71/$RG$78)))))</f>
        <v/>
      </c>
      <c r="RI71" s="27" t="str">
        <f>IF(Compositions!BF136="","",IF(Compositions!$BF$118="mol%",Compositions!BF136,RJ71))</f>
        <v/>
      </c>
      <c r="RJ71" s="27" t="str">
        <f t="shared" si="62"/>
        <v/>
      </c>
      <c r="RK71" s="27" t="str">
        <f>IF(Compositions!BF136="","",(Compositions!BF136/(VLOOKUP(Compositions!BC136,'HHV-LHV-MW'!$A$3:$F$40,6,FALSE))))</f>
        <v/>
      </c>
      <c r="RL71" s="185" t="str">
        <f>IF(RI71="","",((VLOOKUP(Compositions!BC136,'HHV-LHV-MW'!$A$3:$F$40,4,FALSE))*(RI71/100)))</f>
        <v/>
      </c>
      <c r="RM71" s="185" t="str">
        <f>IF(RI71="","",((VLOOKUP(Compositions!BC136,'HHV-LHV-MW'!$A$3:$F$40,5,FALSE))*(RI71/100)))</f>
        <v/>
      </c>
      <c r="RN71" s="185" t="str">
        <f>IF(RI71="","",((VLOOKUP(Compositions!BC136,'HHV-LHV-MW'!$A$3:$F$40,6,FALSE))*(RI71/100)))</f>
        <v/>
      </c>
      <c r="RO71" s="185" t="str">
        <f>IF(Compositions!BF136="","",(Compositions!BF136*(VLOOKUP(Compositions!BC136,'HHV-LHV-MW'!$A$3:$F$40,6,FALSE))))</f>
        <v/>
      </c>
      <c r="RP71" s="298" t="str">
        <f>IF(Compositions!BF136="","",IF(OR(Compositions!$BF$118="wt%",Compositions!$BF$118=""),Compositions!BF136,(IF(RO71="","",((RO71/$RO$78)*100)))))</f>
        <v/>
      </c>
      <c r="RQ71" s="185" t="str">
        <f>IF(RP71="","",(IF(OR(Compositions!BC136="Hydrogen",Compositions!BC136="Helium",Compositions!BC136="Water",Compositions!BC136="Carbon Monoxide",Compositions!BC136="Nitrogen",Compositions!BC136="Oxygen",Compositions!BC136="Hydrogen Sulfide",Compositions!BC136="Argon",Compositions!BC136="Carbon Dioxide",Compositions!BC136="Carbon Disulfide"),0,RP71)))</f>
        <v/>
      </c>
      <c r="RR71" s="187" t="str">
        <f>IF(Compositions!BF136="","",((RI71/100)*((VLOOKUP(Compositions!BC136,'HHV-LHV-MW'!$A$3:$G$40,7,FALSE)))))</f>
        <v/>
      </c>
      <c r="RS71" s="187" t="str">
        <f>IF(RI71="","",(IF(OR(Compositions!BC136="Hydrogen",Compositions!BC136="Carbon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Dioxide",Compositions!BC136="Methane",Compositions!BC136="Ethane"),0,(RI71/100))))</f>
        <v/>
      </c>
      <c r="RT71" s="205" t="str">
        <f>IF(RI71="","",(IF(OR($RS$78=0,$RS$78=""),0,     ((VLOOKUP(Compositions!BC136,'HHV-LHV-MW'!$A$3:$F$40,6,FALSE))*(RS71/$RS$78)))))</f>
        <v/>
      </c>
      <c r="RU71" s="28" t="str">
        <f>IF(Compositions!BG136="","",IF(Compositions!$BG$118="mol%",Compositions!BG136,RV71))</f>
        <v/>
      </c>
      <c r="RV71" s="28" t="str">
        <f t="shared" si="63"/>
        <v/>
      </c>
      <c r="RW71" s="28" t="str">
        <f>IF(Compositions!BG136="","",(Compositions!BG136/(VLOOKUP(Compositions!BC136,'HHV-LHV-MW'!$A$3:$F$40,6,FALSE))))</f>
        <v/>
      </c>
      <c r="RX71" s="184" t="str">
        <f>IF(RU71="","",((VLOOKUP(Compositions!BC136,'HHV-LHV-MW'!$A$3:$F$40,4,FALSE))*(RU71/100)))</f>
        <v/>
      </c>
      <c r="RY71" s="184" t="str">
        <f>IF(RU71="","",((VLOOKUP(Compositions!BC136,'HHV-LHV-MW'!$A$3:$F$40,5,FALSE))*(RU71/100)))</f>
        <v/>
      </c>
      <c r="RZ71" s="184" t="str">
        <f>IF(RU71="","",((VLOOKUP(Compositions!BC136,'HHV-LHV-MW'!$A$3:$F$40,6,FALSE))*(RU71/100)))</f>
        <v/>
      </c>
      <c r="SA71" s="184" t="str">
        <f>IF(Compositions!BG136="","",(Compositions!BG136*(VLOOKUP(Compositions!BC136,'HHV-LHV-MW'!$A$3:$F$40,6,FALSE))))</f>
        <v/>
      </c>
      <c r="SB71" s="297" t="str">
        <f>IF(Compositions!BG136="","",IF(OR(Compositions!$BG$118="wt%",Compositions!$BG$118=""),Compositions!BG136,(IF(SA71="","",((SA71/$SA$78)*100)))))</f>
        <v/>
      </c>
      <c r="SC71" s="39" t="str">
        <f>IF(SB71="","",(IF(OR(Compositions!BC136="Hydrogen",Compositions!BC136="Helium",Compositions!BC136="Water",Compositions!BC136="Carbon Monoxide",Compositions!BC136="Nitrogen",Compositions!BC136="Oxygen",Compositions!BC136="Hydrogen Sulfide",Compositions!BC136="Argon",Compositions!BC136="Carbon Dioxide",Compositions!BC136="Carbon Disulfide"),0,SB71)))</f>
        <v/>
      </c>
      <c r="SD71" s="186" t="str">
        <f>IF(Compositions!BG136="","",((RU71/100)*((VLOOKUP(Compositions!BC136,'HHV-LHV-MW'!$A$3:$G$40,7,FALSE)))))</f>
        <v/>
      </c>
      <c r="SE71" s="186" t="str">
        <f>IF(RU71="","",(IF(OR(Compositions!BC136="Hydrogen",Compositions!BC136="Carbon Disulfide",Compositions!BC136="Helium",Compositions!BC136="Water",Compositions!BC136="Carbon Monoxide",Compositions!BC136="Nitrogen",Compositions!BC136="Oxygen",Compositions!BC136="Hydrogen Sulfide",Compositions!BC136="Argon",Compositions!BC136="Carbon Dioxide",Compositions!BC136="Methane",Compositions!BC136="Ethane"),0,(RU71/100))))</f>
        <v/>
      </c>
      <c r="SF71" s="39" t="str">
        <f>IF(RU71="","",(IF(OR($SE$78=0,$SE$78=""),0,     ((VLOOKUP(Compositions!BC136,'HHV-LHV-MW'!$A$3:$F$40,6,FALSE))*(SE71/$SE$78)))))</f>
        <v/>
      </c>
    </row>
    <row r="72" spans="1:500" ht="15.6">
      <c r="A72" s="173" t="s">
        <v>205</v>
      </c>
      <c r="B72" s="19" t="s">
        <v>192</v>
      </c>
      <c r="C72" s="20">
        <v>6</v>
      </c>
      <c r="D72" s="20">
        <v>4.1253000000000002</v>
      </c>
      <c r="E72" s="20">
        <v>3.8698000000000001</v>
      </c>
      <c r="F72" s="20">
        <v>86.177160000000001</v>
      </c>
      <c r="G72" s="20">
        <v>0</v>
      </c>
      <c r="H72" s="170"/>
      <c r="I72" s="170"/>
      <c r="K72" s="27" t="str">
        <f>IF(Compositions!B137="","",IF(Compositions!$B$118="mol%",Compositions!B137,L72))</f>
        <v/>
      </c>
      <c r="L72" s="27" t="str">
        <f t="shared" si="25"/>
        <v/>
      </c>
      <c r="M72" s="27" t="str">
        <f>IF(Compositions!B137="","",(Compositions!B137/(VLOOKUP(Compositions!A137,'HHV-LHV-MW'!$A$3:$F$40,6,FALSE))))</f>
        <v/>
      </c>
      <c r="N72" s="25" t="str">
        <f>IF(K72="","",((VLOOKUP(Compositions!A137,'HHV-LHV-MW'!$A$3:$F$40,4,FALSE))*(K72/100)))</f>
        <v/>
      </c>
      <c r="O72" s="25" t="str">
        <f>IF(K72="","",((VLOOKUP(Compositions!A137,'HHV-LHV-MW'!$A$3:$F$40,5,FALSE))*(K72/100)))</f>
        <v/>
      </c>
      <c r="P72" s="25" t="str">
        <f>IF(K72="","",((VLOOKUP(Compositions!A137,'HHV-LHV-MW'!$A$3:$F$40,6,FALSE))*(K72/100)))</f>
        <v/>
      </c>
      <c r="Q72" s="25" t="str">
        <f>IF(Compositions!B137="","",(Compositions!B137*(VLOOKUP(Compositions!A137,'HHV-LHV-MW'!$A$3:$F$40,6,FALSE))))</f>
        <v/>
      </c>
      <c r="R72" s="188" t="str">
        <f>IF(Compositions!B137="","",IF(OR(Compositions!$B$118="wt%",Compositions!$B$118=""),Compositions!B137,(IF(Q72="","",((Q72/$Q$78)*100)))))</f>
        <v/>
      </c>
      <c r="S72" s="185" t="str">
        <f>IF(R72="","",(IF(OR(Compositions!A137="Hydrogen",Compositions!A137="Helium",Compositions!A137="Water",Compositions!A137="Carbon Monoxide",Compositions!A137="Nitrogen",Compositions!A137="Oxygen",Compositions!A137="Hydrogen Sulfide",Compositions!A137="Argon",Compositions!A137="Carbon Dioxide",Compositions!A137="Carbon Disulfide"),0,R72)))</f>
        <v/>
      </c>
      <c r="T72" s="169" t="str">
        <f>IF(Compositions!B137="","",((K72/100)*((VLOOKUP(Compositions!A137,'HHV-LHV-MW'!$A$3:$G$40,7,FALSE)))))</f>
        <v/>
      </c>
      <c r="U72" s="187" t="str">
        <f>IF(K72="","",(IF(OR(Compositions!A137="Hydrogen",Compositions!A137="Carbon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Dioxide",Compositions!A137="Methane",Compositions!A137="Ethane"),0,(K72/100))))</f>
        <v/>
      </c>
      <c r="V72" s="188" t="str">
        <f>IF(K72="","", (IF(OR($U$78=0,$U$78=""),0,((VLOOKUP(Compositions!A137,'HHV-LHV-MW'!$A$3:$F$40,6,FALSE))*(U72/$U$78))   ))   )</f>
        <v/>
      </c>
      <c r="W72" s="28" t="str">
        <f>IF(Compositions!C137="","",IF(Compositions!$C$118="mol%",Compositions!C137,X72))</f>
        <v/>
      </c>
      <c r="X72" s="28" t="str">
        <f t="shared" si="26"/>
        <v/>
      </c>
      <c r="Y72" s="28" t="str">
        <f>IF(Compositions!C137="","",(Compositions!C137/(VLOOKUP(Compositions!A137,'HHV-LHV-MW'!$A$3:$F$40,6,FALSE))))</f>
        <v/>
      </c>
      <c r="Z72" s="26" t="str">
        <f>IF(W72="","",((VLOOKUP(Compositions!A137,'HHV-LHV-MW'!$A$3:$F$40,4,FALSE))*(W72/100)))</f>
        <v/>
      </c>
      <c r="AA72" s="26" t="str">
        <f>IF(W72="","",((VLOOKUP(Compositions!A137,'HHV-LHV-MW'!$A$3:$F$40,5,FALSE))*(W72/100)))</f>
        <v/>
      </c>
      <c r="AB72" s="26" t="str">
        <f>IF(W72="","",((VLOOKUP(Compositions!A137,'HHV-LHV-MW'!$A$3:$F$40,6,FALSE))*(W72/100)))</f>
        <v/>
      </c>
      <c r="AC72" s="26" t="str">
        <f>IF(Compositions!C137="","",(Compositions!C137*(VLOOKUP(Compositions!A137,'HHV-LHV-MW'!$A$3:$F$40,6,FALSE))))</f>
        <v/>
      </c>
      <c r="AD72" s="296" t="str">
        <f>IF(Compositions!C137="","",IF(OR(Compositions!$C$118="wt%",Compositions!$C$118=""),Compositions!C137,(IF(AC72="","",((AC72/$AC$78)*100)))))</f>
        <v/>
      </c>
      <c r="AE72" s="39" t="str">
        <f>IF(AD72="","",(IF(OR(Compositions!A137="Hydrogen",Compositions!A137="Helium",Compositions!A137="Water",Compositions!A137="Carbon Monoxide",Compositions!A137="Nitrogen",Compositions!A137="Oxygen",Compositions!A137="Hydrogen Sulfide",Compositions!A137="Argon",Compositions!A137="Carbon Dioxide",Compositions!A137="Carbon Disulfide"),0,AD72)))</f>
        <v/>
      </c>
      <c r="AF72" s="186" t="str">
        <f>IF(Compositions!C137="","",((W72/100)*((VLOOKUP(Compositions!A137,'HHV-LHV-MW'!$A$3:$G$40,7,FALSE)))))</f>
        <v/>
      </c>
      <c r="AG72" s="186" t="str">
        <f>IF(W72="","",(IF(OR(Compositions!A137="Hydrogen",Compositions!A137="Carbon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Dioxide",Compositions!A137="Methane",Compositions!A137="Ethane"),0,(W72/100))))</f>
        <v/>
      </c>
      <c r="AH72" s="39" t="str">
        <f>IF(W72="","", (IF(OR($AG$78=0,$AG$78=""),0,   ((VLOOKUP(Compositions!A137,'HHV-LHV-MW'!$A$3:$F$40,6,FALSE))*(AG72/$AG$78)))))</f>
        <v/>
      </c>
      <c r="AI72" s="27" t="str">
        <f>IF(Compositions!D137="","",IF(Compositions!$D$118="mol%",Compositions!D137,AJ72))</f>
        <v/>
      </c>
      <c r="AJ72" s="27" t="str">
        <f t="shared" si="27"/>
        <v/>
      </c>
      <c r="AK72" s="27" t="str">
        <f>IF(Compositions!D137="","",(Compositions!D137/(VLOOKUP(Compositions!A137,'HHV-LHV-MW'!$A$3:$F$40,6,FALSE))))</f>
        <v/>
      </c>
      <c r="AL72" s="25" t="str">
        <f>IF(AI72="","",((VLOOKUP(Compositions!A137,'HHV-LHV-MW'!$A$3:$F$40,4,FALSE))*(AI72/100)))</f>
        <v/>
      </c>
      <c r="AM72" s="25" t="str">
        <f>IF(AI72="","",((VLOOKUP(Compositions!A137,'HHV-LHV-MW'!$A$3:$F$40,5,FALSE))*(AI72/100)))</f>
        <v/>
      </c>
      <c r="AN72" s="25" t="str">
        <f>IF(AI72="","",((VLOOKUP(Compositions!A137,'HHV-LHV-MW'!$A$3:$F$40,6,FALSE))*(AI72/100)))</f>
        <v/>
      </c>
      <c r="AO72" s="25" t="str">
        <f>IF(Compositions!D137="","",(Compositions!D137*(VLOOKUP(Compositions!A137,'HHV-LHV-MW'!$A$3:$F$40,6,FALSE))))</f>
        <v/>
      </c>
      <c r="AP72" s="295" t="str">
        <f>IF(Compositions!D137="","",IF(OR(Compositions!$D$118="wt%",Compositions!$D$118=""),Compositions!D137,(IF(AO72="","",((AO72/$AO$78)*100)))))</f>
        <v/>
      </c>
      <c r="AQ72" s="185" t="str">
        <f>IF(AP72="","",(IF(OR(Compositions!A137="Hydrogen",Compositions!A137="Helium",Compositions!A137="Water",Compositions!A137="Carbon Monoxide",Compositions!A137="Nitrogen",Compositions!A137="Oxygen",Compositions!A137="Hydrogen Sulfide",Compositions!A137="Argon",Compositions!A137="Carbon Dioxide",Compositions!A137="Carbon Disulfide"),0,AP72)))</f>
        <v/>
      </c>
      <c r="AR72" s="187" t="str">
        <f>IF(Compositions!D137="","",((AI72/100)*((VLOOKUP(Compositions!A137,'HHV-LHV-MW'!$A$3:$G$40,7,FALSE)))))</f>
        <v/>
      </c>
      <c r="AS72" s="187" t="str">
        <f>IF(AI72="","",(IF(OR(Compositions!A137="Hydrogen",Compositions!A137="Carbon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Dioxide",Compositions!A137="Methane",Compositions!A137="Ethane"),0,(AI72/100))))</f>
        <v/>
      </c>
      <c r="AT72" s="205" t="str">
        <f>IF(AI72="","",(IF(OR($AS$78=0,$AS$78=""),0,      ((VLOOKUP(Compositions!A137,'HHV-LHV-MW'!$A$3:$F$40,6,FALSE))*(AS72/$AS$78)))))</f>
        <v/>
      </c>
      <c r="AU72" s="28" t="str">
        <f>IF(Compositions!E137="","",IF(Compositions!$E$118="mol%",Compositions!E137,AV72))</f>
        <v/>
      </c>
      <c r="AV72" s="28" t="str">
        <f t="shared" si="28"/>
        <v/>
      </c>
      <c r="AW72" s="28" t="str">
        <f>IF(Compositions!E137="","",(Compositions!E137/(VLOOKUP(Compositions!A137,'HHV-LHV-MW'!$A$3:$F$40,6,FALSE))))</f>
        <v/>
      </c>
      <c r="AX72" s="26" t="str">
        <f>IF(AU72="","",((VLOOKUP(Compositions!A137,'HHV-LHV-MW'!$A$3:$F$40,4,FALSE))*(AU72/100)))</f>
        <v/>
      </c>
      <c r="AY72" s="26" t="str">
        <f>IF(AU72="","",((VLOOKUP(Compositions!A137,'HHV-LHV-MW'!$A$3:$F$40,5,FALSE))*(AU72/100)))</f>
        <v/>
      </c>
      <c r="AZ72" s="26" t="str">
        <f>IF(AU72="","",((VLOOKUP(Compositions!A137,'HHV-LHV-MW'!$A$3:$F$40,6,FALSE))*(AU72/100)))</f>
        <v/>
      </c>
      <c r="BA72" s="26" t="str">
        <f>IF(Compositions!E137="","",(Compositions!E137*(VLOOKUP(Compositions!A137,'HHV-LHV-MW'!$A$3:$F$40,6,FALSE))))</f>
        <v/>
      </c>
      <c r="BB72" s="296" t="str">
        <f>IF(Compositions!E137="","",IF(OR(Compositions!$E$118="wt%",Compositions!$E$118=""),Compositions!E137,(IF(BA72="","",((BA72/$BA$78)*100)))))</f>
        <v/>
      </c>
      <c r="BC72" s="39" t="str">
        <f>IF(BB72="","",(IF(OR(Compositions!A137="Hydrogen",Compositions!A137="Helium",Compositions!A137="Water",Compositions!A137="Carbon Monoxide",Compositions!A137="Nitrogen",Compositions!A137="Oxygen",Compositions!A137="Hydrogen Sulfide",Compositions!A137="Argon",Compositions!A137="Carbon Dioxide",Compositions!A137="Carbon Disulfide"),0,BB72)))</f>
        <v/>
      </c>
      <c r="BD72" s="186" t="str">
        <f>IF(Compositions!E137="","",((AU72/100)*((VLOOKUP(Compositions!A137,'HHV-LHV-MW'!$A$3:$G$40,7,FALSE)))))</f>
        <v/>
      </c>
      <c r="BE72" s="186" t="str">
        <f>IF(AU72="","",(IF(OR(Compositions!A137="Hydrogen",Compositions!A137="Carbon Disulfide",Compositions!A137="Helium",Compositions!A137="Water",Compositions!A137="Carbon Monoxide",Compositions!A137="Nitrogen",Compositions!A137="Oxygen",Compositions!A137="Hydrogen Sulfide",Compositions!A137="Argon",Compositions!A137="Carbon Dioxide",Compositions!A137="Methane",Compositions!A137="Ethane"),0,(AU72/100))))</f>
        <v/>
      </c>
      <c r="BF72" s="39" t="str">
        <f>IF(AU72="","",(IF(OR($BE$78=0,$BE$78=""),0,     ((VLOOKUP(Compositions!A137,'HHV-LHV-MW'!$A$3:$F$40,6,FALSE))*(BE72/$BE$78)))))</f>
        <v/>
      </c>
      <c r="BH72" s="27" t="str">
        <f>IF(Compositions!H137="","",IF(Compositions!$H$118="mol%",Compositions!H137,BI72))</f>
        <v/>
      </c>
      <c r="BI72" s="27" t="str">
        <f t="shared" si="29"/>
        <v/>
      </c>
      <c r="BJ72" s="27" t="str">
        <f>IF(Compositions!H137="","",(Compositions!H137/(VLOOKUP(Compositions!G137,'HHV-LHV-MW'!$A$3:$F$40,6,FALSE))))</f>
        <v/>
      </c>
      <c r="BK72" s="25" t="str">
        <f>IF(BH72="","",((VLOOKUP(Compositions!G137,'HHV-LHV-MW'!$A$3:$F$40,4,FALSE))*(BH72/100)))</f>
        <v/>
      </c>
      <c r="BL72" s="25" t="str">
        <f>IF(BH72="","",((VLOOKUP(Compositions!G137,'HHV-LHV-MW'!$A$3:$F$40,5,FALSE))*(BH72/100)))</f>
        <v/>
      </c>
      <c r="BM72" s="25" t="str">
        <f>IF(BH72="","",((VLOOKUP(Compositions!G137,'HHV-LHV-MW'!$A$3:$F$40,6,FALSE))*(BH72/100)))</f>
        <v/>
      </c>
      <c r="BN72" s="25" t="str">
        <f>IF(Compositions!H137="","",(Compositions!H137*(VLOOKUP(Compositions!G137,'HHV-LHV-MW'!$A$3:$F$40,6,FALSE))))</f>
        <v/>
      </c>
      <c r="BO72" s="295" t="str">
        <f>IF(Compositions!H137="","",IF(OR(Compositions!$H$118="wt%",Compositions!$H$118=""),Compositions!H137,(IF(BN72="","",((BN72/$BN$78)*100)))))</f>
        <v/>
      </c>
      <c r="BP72" s="185" t="str">
        <f>IF(BO72="","",(IF(OR(Compositions!G137="Hydrogen",Compositions!G137="Helium",Compositions!G137="Water",Compositions!G137="Carbon Monoxide",Compositions!G137="Nitrogen",Compositions!G137="Oxygen",Compositions!G137="Hydrogen Sulfide",Compositions!G137="Argon",Compositions!G137="Carbon Dioxide",Compositions!G137="Carbon Disulfide"),0,BO72)))</f>
        <v/>
      </c>
      <c r="BQ72" s="187" t="str">
        <f>IF(Compositions!H137="","",((BH72/100)*((VLOOKUP(Compositions!G137,'HHV-LHV-MW'!$A$3:$G$40,7,FALSE)))))</f>
        <v/>
      </c>
      <c r="BR72" s="187" t="str">
        <f>IF(BH72="","",(IF(OR(Compositions!G137="Hydrogen",Compositions!G137="Carbon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Dioxide",Compositions!G137="Methane",Compositions!G137="Ethane"),0,(BH72/100))))</f>
        <v/>
      </c>
      <c r="BS72" s="205" t="str">
        <f>IF(BH72="","",(IF(OR($BR$78=0,$BR$78=""),0,    ((VLOOKUP(Compositions!G137,'HHV-LHV-MW'!$A$3:$F$40,6,FALSE))*(BR72/$BR$78)))))</f>
        <v/>
      </c>
      <c r="BT72" s="28" t="str">
        <f>IF(Compositions!I137="","",IF(Compositions!$I$118="mol%",Compositions!I137,BU72))</f>
        <v/>
      </c>
      <c r="BU72" s="28" t="str">
        <f t="shared" si="30"/>
        <v/>
      </c>
      <c r="BV72" s="28" t="str">
        <f>IF(Compositions!I137="","",(Compositions!I137/(VLOOKUP(Compositions!G137,'HHV-LHV-MW'!$A$3:$F$40,6,FALSE))))</f>
        <v/>
      </c>
      <c r="BW72" s="26" t="str">
        <f>IF(BT72="","",((VLOOKUP(Compositions!G137,'HHV-LHV-MW'!$A$3:$F$40,4,FALSE))*(BT72/100)))</f>
        <v/>
      </c>
      <c r="BX72" s="26" t="str">
        <f>IF(BT72="","",((VLOOKUP(Compositions!G137,'HHV-LHV-MW'!$A$3:$F$40,5,FALSE))*(BT72/100)))</f>
        <v/>
      </c>
      <c r="BY72" s="26" t="str">
        <f>IF(BT72="","",((VLOOKUP(Compositions!G137,'HHV-LHV-MW'!$A$3:$F$40,6,FALSE))*(BT72/100)))</f>
        <v/>
      </c>
      <c r="BZ72" s="26" t="str">
        <f>IF(Compositions!I137="","",(Compositions!I137*(VLOOKUP(Compositions!G137,'HHV-LHV-MW'!$A$3:$F$40,6,FALSE))))</f>
        <v/>
      </c>
      <c r="CA72" s="296" t="str">
        <f>IF(Compositions!I137="","",IF(OR(Compositions!$I$118="wt%",Compositions!$I$118=""),Compositions!I137,(IF(BZ72="","",((BZ72/$BZ$78)*100)))))</f>
        <v/>
      </c>
      <c r="CB72" s="39" t="str">
        <f>IF(CA72="","",(IF(OR(Compositions!G137="Hydrogen",Compositions!G137="Helium",Compositions!G137="Water",Compositions!G137="Carbon Monoxide",Compositions!G137="Nitrogen",Compositions!G137="Oxygen",Compositions!G137="Hydrogen Sulfide",Compositions!G137="Argon",Compositions!G137="Carbon Dioxide",Compositions!G137="Carbon Disulfide"),0,CA72)))</f>
        <v/>
      </c>
      <c r="CC72" s="186" t="str">
        <f>IF(Compositions!I137="","",((BT72/100)*((VLOOKUP(Compositions!G137,'HHV-LHV-MW'!$A$3:$G$40,7,FALSE)))))</f>
        <v/>
      </c>
      <c r="CD72" s="186" t="str">
        <f>IF(BT72="","",(IF(OR(Compositions!G137="Hydrogen",Compositions!G137="Carbon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Dioxide",Compositions!G137="Methane",Compositions!G137="Ethane"),0,(BT72/100))))</f>
        <v/>
      </c>
      <c r="CE72" s="39" t="str">
        <f>IF(BT72="","",(IF(OR($CD$78=0,$CD$78=""),0,       ((VLOOKUP(Compositions!G137,'HHV-LHV-MW'!$A$3:$F$40,6,FALSE))*(CD72/$CD$78)))))</f>
        <v/>
      </c>
      <c r="CF72" s="27" t="str">
        <f>IF(Compositions!J137="","",IF(Compositions!$J$118="mol%",Compositions!J137,CG72))</f>
        <v/>
      </c>
      <c r="CG72" s="27" t="str">
        <f t="shared" si="31"/>
        <v/>
      </c>
      <c r="CH72" s="27" t="str">
        <f>IF(Compositions!J137="","",(Compositions!J137/(VLOOKUP(Compositions!G137,'HHV-LHV-MW'!$A$3:$F$40,6,FALSE))))</f>
        <v/>
      </c>
      <c r="CI72" s="25" t="str">
        <f>IF(CF72="","",((VLOOKUP(Compositions!G137,'HHV-LHV-MW'!$A$3:$F$40,4,FALSE))*(CF72/100)))</f>
        <v/>
      </c>
      <c r="CJ72" s="25" t="str">
        <f>IF(CF72="","",((VLOOKUP(Compositions!G137,'HHV-LHV-MW'!$A$3:$F$40,5,FALSE))*(CF72/100)))</f>
        <v/>
      </c>
      <c r="CK72" s="25" t="str">
        <f>IF(CF72="","",((VLOOKUP(Compositions!G137,'HHV-LHV-MW'!$A$3:$F$40,6,FALSE))*(CF72/100)))</f>
        <v/>
      </c>
      <c r="CL72" s="25" t="str">
        <f>IF(Compositions!J137="","",(Compositions!J137*(VLOOKUP(Compositions!G137,'HHV-LHV-MW'!$A$3:$F$40,6,FALSE))))</f>
        <v/>
      </c>
      <c r="CM72" s="295" t="str">
        <f>IF(Compositions!J137="","",IF(OR(Compositions!$J$118="wt%",Compositions!$J$118=""),Compositions!J137,(IF(CL72="","",((CL72/$CL$78)*100)))))</f>
        <v/>
      </c>
      <c r="CN72" s="185" t="str">
        <f>IF(CM72="","",(IF(OR(Compositions!G137="Hydrogen",Compositions!G137="Helium",Compositions!G137="Water",Compositions!G137="Carbon Monoxide",Compositions!G137="Nitrogen",Compositions!G137="Oxygen",Compositions!G137="Hydrogen Sulfide",Compositions!G137="Argon",Compositions!G137="Carbon Dioxide",Compositions!G137="Carbon Disulfide"),0,CM72)))</f>
        <v/>
      </c>
      <c r="CO72" s="187" t="str">
        <f>IF(Compositions!J137="","",((CF72/100)*((VLOOKUP(Compositions!G137,'HHV-LHV-MW'!$A$3:$G$40,7,FALSE)))))</f>
        <v/>
      </c>
      <c r="CP72" s="187" t="str">
        <f>IF(CF72="","",(IF(OR(Compositions!G137="Hydrogen",Compositions!G137="Carbon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Dioxide",Compositions!G137="Methane",Compositions!G137="Ethane"),0,(CF72/100))))</f>
        <v/>
      </c>
      <c r="CQ72" s="205" t="str">
        <f>IF(CF72="","",(IF(OR($CP$78=0,$CP$78=""),0,       ((VLOOKUP(Compositions!G137,'HHV-LHV-MW'!$A$3:$F$40,6,FALSE))*(CP72/$CP$78)))))</f>
        <v/>
      </c>
      <c r="CR72" s="28" t="str">
        <f>IF(Compositions!K137="","",IF(Compositions!$K$118="mol%",Compositions!K137,CS72))</f>
        <v/>
      </c>
      <c r="CS72" s="28" t="str">
        <f t="shared" si="32"/>
        <v/>
      </c>
      <c r="CT72" s="28" t="str">
        <f>IF(Compositions!K137="","",(Compositions!K137/(VLOOKUP(Compositions!G137,'HHV-LHV-MW'!$A$3:$F$40,6,FALSE))))</f>
        <v/>
      </c>
      <c r="CU72" s="26" t="str">
        <f>IF(CR72="","",((VLOOKUP(Compositions!G137,'HHV-LHV-MW'!$A$3:$F$40,4,FALSE))*(CR72/100)))</f>
        <v/>
      </c>
      <c r="CV72" s="26" t="str">
        <f>IF(CR72="","",((VLOOKUP(Compositions!G137,'HHV-LHV-MW'!$A$3:$F$40,5,FALSE))*(CR72/100)))</f>
        <v/>
      </c>
      <c r="CW72" s="26" t="str">
        <f>IF(CR72="","",((VLOOKUP(Compositions!G137,'HHV-LHV-MW'!$A$3:$F$40,6,FALSE))*(CR72/100)))</f>
        <v/>
      </c>
      <c r="CX72" s="26" t="str">
        <f>IF(Compositions!K137="","",(Compositions!K137*(VLOOKUP(Compositions!G137,'HHV-LHV-MW'!$A$3:$F$40,6,FALSE))))</f>
        <v/>
      </c>
      <c r="CY72" s="296" t="str">
        <f>IF(Compositions!K137="","",IF(OR(Compositions!$K$118="wt%",Compositions!$K$118=""),Compositions!K137,(IF(CX72="","",((CX72/$CX$78)*100)))))</f>
        <v/>
      </c>
      <c r="CZ72" s="39" t="str">
        <f>IF(CY72="","",(IF(OR(Compositions!G137="Hydrogen",Compositions!G137="Helium",Compositions!G137="Water",Compositions!G137="Carbon Monoxide",Compositions!G137="Nitrogen",Compositions!G137="Oxygen",Compositions!G137="Hydrogen Sulfide",Compositions!G137="Argon",Compositions!G137="Carbon Dioxide",Compositions!G137="Carbon Disulfide"),0,CY72)))</f>
        <v/>
      </c>
      <c r="DA72" s="186" t="str">
        <f>IF(Compositions!K137="","",((CR72/100)*((VLOOKUP(Compositions!G137,'HHV-LHV-MW'!$A$3:$G$40,7,FALSE)))))</f>
        <v/>
      </c>
      <c r="DB72" s="186" t="str">
        <f>IF(CR72="","",(IF(OR(Compositions!G137="Hydrogen",Compositions!G137="Carbon Disulfide",Compositions!G137="Helium",Compositions!G137="Water",Compositions!G137="Carbon Monoxide",Compositions!G137="Nitrogen",Compositions!G137="Oxygen",Compositions!G137="Hydrogen Sulfide",Compositions!G137="Argon",Compositions!G137="Carbon Dioxide",Compositions!G137="Methane",Compositions!G137="Ethane"),0,(CR72/100))))</f>
        <v/>
      </c>
      <c r="DC72" s="39" t="str">
        <f>IF(CR72="","",(IF(OR($DB$78=0,$DB$78=""),0,       ((VLOOKUP(Compositions!G137,'HHV-LHV-MW'!$A$3:$F$40,6,FALSE))*(DB72/$DB$78)))))</f>
        <v/>
      </c>
      <c r="DE72" s="27" t="str">
        <f>IF(Compositions!N137="","",IF(Compositions!$N$118="mol%",Compositions!N137,DF72))</f>
        <v/>
      </c>
      <c r="DF72" s="27" t="str">
        <f t="shared" si="33"/>
        <v/>
      </c>
      <c r="DG72" s="27" t="str">
        <f>IF(Compositions!N137="","",(Compositions!N137/(VLOOKUP(Compositions!M137,'HHV-LHV-MW'!$A$3:$F$40,6,FALSE))))</f>
        <v/>
      </c>
      <c r="DH72" s="25" t="str">
        <f>IF(DE72="","",((VLOOKUP(Compositions!M137,'HHV-LHV-MW'!$A$3:$F$40,4,FALSE))*(DE72/100)))</f>
        <v/>
      </c>
      <c r="DI72" s="25" t="str">
        <f>IF(DE72="","",((VLOOKUP(Compositions!M137,'HHV-LHV-MW'!$A$3:$F$40,5,FALSE))*(DE72/100)))</f>
        <v/>
      </c>
      <c r="DJ72" s="25" t="str">
        <f>IF(DE72="","",((VLOOKUP(Compositions!M137,'HHV-LHV-MW'!$A$3:$F$40,6,FALSE))*(DE72/100)))</f>
        <v/>
      </c>
      <c r="DK72" s="25" t="str">
        <f>IF(Compositions!N137="","",(Compositions!N137*(VLOOKUP(Compositions!M137,'HHV-LHV-MW'!$A$3:$F$40,6,FALSE))))</f>
        <v/>
      </c>
      <c r="DL72" s="295" t="str">
        <f>IF(Compositions!N137="","",IF(OR(Compositions!$N$118="wt%",Compositions!$N$118=""),Compositions!N137,(IF(DK72="","",((DK72/$DK$78)*100)))))</f>
        <v/>
      </c>
      <c r="DM72" s="185" t="str">
        <f>IF(DL72="","",(IF(OR(Compositions!M137="Hydrogen",Compositions!M137="Helium",Compositions!M137="Water",Compositions!M137="Carbon Monoxide",Compositions!M137="Nitrogen",Compositions!M137="Oxygen",Compositions!M137="Hydrogen Sulfide",Compositions!M137="Argon",Compositions!M137="Carbon Dioxide",Compositions!M137="Carbon Disulfide"),0,DL72)))</f>
        <v/>
      </c>
      <c r="DN72" s="187" t="str">
        <f>IF(Compositions!N137="","",((DE72/100)*((VLOOKUP(Compositions!M137,'HHV-LHV-MW'!$A$3:$G$40,7,FALSE)))))</f>
        <v/>
      </c>
      <c r="DO72" s="187" t="str">
        <f>IF(DE72="","",(IF(OR(Compositions!M137="Hydrogen",Compositions!M137="Carbon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Dioxide",Compositions!M137="Methane",Compositions!M137="Ethane"),0,(DE72/100))))</f>
        <v/>
      </c>
      <c r="DP72" s="205" t="str">
        <f>IF(DE72="","",(IF(OR($DO$78=0,$DO$78=""),0,       ((VLOOKUP(Compositions!M137,'HHV-LHV-MW'!$A$3:$F$40,6,FALSE))*(DO72/$DO$78)))))</f>
        <v/>
      </c>
      <c r="DQ72" s="28" t="str">
        <f>IF(Compositions!O137="","",IF(Compositions!$O$118="mol%",Compositions!O137,DR72))</f>
        <v/>
      </c>
      <c r="DR72" s="28" t="str">
        <f t="shared" si="34"/>
        <v/>
      </c>
      <c r="DS72" s="28" t="str">
        <f>IF(Compositions!O137="","",(Compositions!O137/(VLOOKUP(Compositions!M137,'HHV-LHV-MW'!$A$3:$F$40,6,FALSE))))</f>
        <v/>
      </c>
      <c r="DT72" s="26" t="str">
        <f>IF(DQ72="","",((VLOOKUP(Compositions!M137,'HHV-LHV-MW'!$A$3:$F$40,4,FALSE))*(DQ72/100)))</f>
        <v/>
      </c>
      <c r="DU72" s="26" t="str">
        <f>IF(DQ72="","",((VLOOKUP(Compositions!M137,'HHV-LHV-MW'!$A$3:$F$40,5,FALSE))*(DQ72/100)))</f>
        <v/>
      </c>
      <c r="DV72" s="26" t="str">
        <f>IF(DQ72="","",((VLOOKUP(Compositions!M137,'HHV-LHV-MW'!$A$3:$F$40,6,FALSE))*(DQ72/100)))</f>
        <v/>
      </c>
      <c r="DW72" s="26" t="str">
        <f>IF(Compositions!O137="","",(Compositions!O137*(VLOOKUP(Compositions!M137,'HHV-LHV-MW'!$A$3:$F$40,6,FALSE))))</f>
        <v/>
      </c>
      <c r="DX72" s="296" t="str">
        <f>IF(Compositions!O137="","",IF(OR(Compositions!$O$118="wt%",Compositions!$O$118=""),Compositions!O137,(IF(DW72="","",((DW72/$DW$78)*100)))))</f>
        <v/>
      </c>
      <c r="DY72" s="39" t="str">
        <f>IF(DX72="","",(IF(OR(Compositions!M137="Hydrogen",Compositions!M137="Helium",Compositions!M137="Water",Compositions!M137="Carbon Monoxide",Compositions!M137="Nitrogen",Compositions!M137="Oxygen",Compositions!M137="Hydrogen Sulfide",Compositions!M137="Argon",Compositions!M137="Carbon Dioxide",Compositions!M137="Carbon Disulfide"),0,DX72)))</f>
        <v/>
      </c>
      <c r="DZ72" s="186" t="str">
        <f>IF(Compositions!O137="","",((DQ72/100)*((VLOOKUP(Compositions!M137,'HHV-LHV-MW'!$A$3:$G$40,7,FALSE)))))</f>
        <v/>
      </c>
      <c r="EA72" s="186" t="str">
        <f>IF(DQ72="","",(IF(OR(Compositions!M137="Hydrogen",Compositions!M137="Carbon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Dioxide",Compositions!M137="Methane",Compositions!M137="Ethane"),0,(DQ72/100))))</f>
        <v/>
      </c>
      <c r="EB72" s="39" t="str">
        <f>IF(DQ72="","",(IF(OR($EA$78=0,$EA$78=""),0,       ((VLOOKUP(Compositions!M137,'HHV-LHV-MW'!$A$3:$F$40,6,FALSE))*(EA72/$EA$78)))))</f>
        <v/>
      </c>
      <c r="EC72" s="27" t="str">
        <f>IF(Compositions!P137="","",IF(Compositions!$P$118="mol%",Compositions!P137,ED72))</f>
        <v/>
      </c>
      <c r="ED72" s="27" t="str">
        <f t="shared" si="35"/>
        <v/>
      </c>
      <c r="EE72" s="27" t="str">
        <f>IF(Compositions!P137="","",(Compositions!P137/(VLOOKUP(Compositions!M137,'HHV-LHV-MW'!$A$3:$F$40,6,FALSE))))</f>
        <v/>
      </c>
      <c r="EF72" s="25" t="str">
        <f>IF(EC72="","",((VLOOKUP(Compositions!M137,'HHV-LHV-MW'!$A$3:$F$40,4,FALSE))*(EC72/100)))</f>
        <v/>
      </c>
      <c r="EG72" s="25" t="str">
        <f>IF(EC72="","",((VLOOKUP(Compositions!M137,'HHV-LHV-MW'!$A$3:$F$40,5,FALSE))*(EC72/100)))</f>
        <v/>
      </c>
      <c r="EH72" s="25" t="str">
        <f>IF(EC72="","",((VLOOKUP(Compositions!M137,'HHV-LHV-MW'!$A$3:$F$40,6,FALSE))*(EC72/100)))</f>
        <v/>
      </c>
      <c r="EI72" s="25" t="str">
        <f>IF(Compositions!P137="","",(Compositions!P137*(VLOOKUP(Compositions!M137,'HHV-LHV-MW'!$A$3:$F$40,6,FALSE))))</f>
        <v/>
      </c>
      <c r="EJ72" s="295" t="str">
        <f>IF(Compositions!P137="","",IF(OR(Compositions!$P$118="wt%",Compositions!$P$118=""),Compositions!P137,(IF(EI72="","",((EI72/$EI$78)*100)))))</f>
        <v/>
      </c>
      <c r="EK72" s="185" t="str">
        <f>IF(EJ72="","",(IF(OR(Compositions!M137="Hydrogen",Compositions!M137="Helium",Compositions!M137="Water",Compositions!M137="Carbon Monoxide",Compositions!M137="Nitrogen",Compositions!M137="Oxygen",Compositions!M137="Hydrogen Sulfide",Compositions!M137="Argon",Compositions!M137="Carbon Dioxide",Compositions!M137="Carbon Disulfide"),0,EJ72)))</f>
        <v/>
      </c>
      <c r="EL72" s="187" t="str">
        <f>IF(Compositions!P137="","",((EC72/100)*((VLOOKUP(Compositions!M137,'HHV-LHV-MW'!$A$3:$G$40,7,FALSE)))))</f>
        <v/>
      </c>
      <c r="EM72" s="187" t="str">
        <f>IF(EC72="","",(IF(OR(Compositions!M137="Hydrogen",Compositions!M137="Carbon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Dioxide",Compositions!M137="Methane",Compositions!M137="Ethane"),0,(EC72/100))))</f>
        <v/>
      </c>
      <c r="EN72" s="205" t="str">
        <f>IF(EC72="","",(IF(OR($EM$78=0,$EM$78=""),0,       ((VLOOKUP(Compositions!M137,'HHV-LHV-MW'!$A$3:$F$40,6,FALSE))*(EM72/$EM$78)))))</f>
        <v/>
      </c>
      <c r="EO72" s="28" t="str">
        <f>IF(Compositions!Q137="","",IF(Compositions!$Q$118="mol%",Compositions!Q137,EP72))</f>
        <v/>
      </c>
      <c r="EP72" s="28" t="str">
        <f t="shared" si="36"/>
        <v/>
      </c>
      <c r="EQ72" s="28" t="str">
        <f>IF(Compositions!Q137="","",(Compositions!Q137/(VLOOKUP(Compositions!M137,'HHV-LHV-MW'!$A$3:$F$40,6,FALSE))))</f>
        <v/>
      </c>
      <c r="ER72" s="26" t="str">
        <f>IF(EO72="","",((VLOOKUP(Compositions!M137,'HHV-LHV-MW'!$A$3:$F$40,4,FALSE))*(EO72/100)))</f>
        <v/>
      </c>
      <c r="ES72" s="26" t="str">
        <f>IF(EO72="","",((VLOOKUP(Compositions!M137,'HHV-LHV-MW'!$A$3:$F$40,5,FALSE))*(EO72/100)))</f>
        <v/>
      </c>
      <c r="ET72" s="26" t="str">
        <f>IF(EO72="","",((VLOOKUP(Compositions!M137,'HHV-LHV-MW'!$A$3:$F$40,6,FALSE))*(EO72/100)))</f>
        <v/>
      </c>
      <c r="EU72" s="26" t="str">
        <f>IF(Compositions!Q137="","",(Compositions!Q137*(VLOOKUP(Compositions!M137,'HHV-LHV-MW'!$A$3:$F$40,6,FALSE))))</f>
        <v/>
      </c>
      <c r="EV72" s="296" t="str">
        <f>IF(Compositions!Q137="","",IF(OR(Compositions!$Q$118="wt%",Compositions!$Q$118=""),Compositions!Q137,(IF(EU72="","",((EU72/$EU$78)*100)))))</f>
        <v/>
      </c>
      <c r="EW72" s="39" t="str">
        <f>IF(EV72="","",(IF(OR(Compositions!M137="Hydrogen",Compositions!M137="Helium",Compositions!M137="Water",Compositions!M137="Carbon Monoxide",Compositions!M137="Nitrogen",Compositions!M137="Oxygen",Compositions!M137="Hydrogen Sulfide",Compositions!M137="Argon",Compositions!M137="Carbon Dioxide",Compositions!M137="Carbon Disulfide"),0,EV72)))</f>
        <v/>
      </c>
      <c r="EX72" s="186" t="str">
        <f>IF(Compositions!Q137="","",((EO72/100)*((VLOOKUP(Compositions!M137,'HHV-LHV-MW'!$A$3:$G$40,7,FALSE)))))</f>
        <v/>
      </c>
      <c r="EY72" s="186" t="str">
        <f>IF(EO72="","",(IF(OR(Compositions!M137="Hydrogen",Compositions!M137="Carbon Disulfide",Compositions!M137="Helium",Compositions!M137="Water",Compositions!M137="Carbon Monoxide",Compositions!M137="Nitrogen",Compositions!M137="Oxygen",Compositions!M137="Hydrogen Sulfide",Compositions!M137="Argon",Compositions!M137="Carbon Dioxide",Compositions!M137="Methane",Compositions!M137="Ethane"),0,(EO72/100))))</f>
        <v/>
      </c>
      <c r="EZ72" s="39" t="str">
        <f>IF(EO72="","",(IF(OR($EY$78=0,$EY$78=""),0,       ((VLOOKUP(Compositions!M137,'HHV-LHV-MW'!$A$3:$F$40,6,FALSE))*(EY72/$EY$78)))))</f>
        <v/>
      </c>
      <c r="FB72" s="27" t="str">
        <f>IF(Compositions!T137="","",IF(Compositions!$T$118="mol%",Compositions!T137,FC72))</f>
        <v/>
      </c>
      <c r="FC72" s="27" t="str">
        <f t="shared" si="37"/>
        <v/>
      </c>
      <c r="FD72" s="27" t="str">
        <f>IF(Compositions!T137="","",(Compositions!T137/(VLOOKUP(Compositions!S137,'HHV-LHV-MW'!$A$3:$F$40,6,FALSE))))</f>
        <v/>
      </c>
      <c r="FE72" s="25" t="str">
        <f>IF(FB72="","",((VLOOKUP(Compositions!S137,'HHV-LHV-MW'!$A$3:$F$40,4,FALSE))*(FB72/100)))</f>
        <v/>
      </c>
      <c r="FF72" s="25" t="str">
        <f>IF(FB72="","",((VLOOKUP(Compositions!S137,'HHV-LHV-MW'!$A$3:$F$40,5,FALSE))*(FB72/100)))</f>
        <v/>
      </c>
      <c r="FG72" s="25" t="str">
        <f>IF(FB72="","",((VLOOKUP(Compositions!S137,'HHV-LHV-MW'!$A$3:$F$40,6,FALSE))*(FB72/100)))</f>
        <v/>
      </c>
      <c r="FH72" s="25" t="str">
        <f>IF(Compositions!T137="","",(Compositions!T137*(VLOOKUP(Compositions!S137,'HHV-LHV-MW'!$A$3:$F$40,6,FALSE))))</f>
        <v/>
      </c>
      <c r="FI72" s="295" t="str">
        <f>IF(Compositions!T137="","",IF(OR(Compositions!$T$118="wt%",Compositions!$T$118=""),Compositions!T137,(IF(FH72="","",((FH72/$FH$78)*100)))))</f>
        <v/>
      </c>
      <c r="FJ72" s="185" t="str">
        <f>IF(FI72="","",(IF(OR(Compositions!S137="Hydrogen",Compositions!S137="Helium",Compositions!S137="Water",Compositions!S137="Carbon Monoxide",Compositions!S137="Nitrogen",Compositions!S137="Oxygen",Compositions!S137="Hydrogen Sulfide",Compositions!S137="Argon",Compositions!S137="Carbon Dioxide",Compositions!S137="Carbon Disulfide"),0,FI72)))</f>
        <v/>
      </c>
      <c r="FK72" s="187" t="str">
        <f>IF(Compositions!T137="","",((FB72/100)*((VLOOKUP(Compositions!S137,'HHV-LHV-MW'!$A$3:$G$40,7,FALSE)))))</f>
        <v/>
      </c>
      <c r="FL72" s="187" t="str">
        <f>IF(FB72="","",(IF(OR(Compositions!S137="Hydrogen",Compositions!S137="Carbon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Dioxide",Compositions!S137="Methane",Compositions!S137="Ethane"),0,(FB72/100))))</f>
        <v/>
      </c>
      <c r="FM72" s="205" t="str">
        <f>IF(FB72="","",(IF(OR($FL$78=0,$FL$78=""),0,       ((VLOOKUP(Compositions!S137,'HHV-LHV-MW'!$A$3:$F$40,6,FALSE))*(FL72/$FL$78)))))</f>
        <v/>
      </c>
      <c r="FN72" s="28" t="str">
        <f>IF(Compositions!U137="","",IF(Compositions!$U$118="mol%",Compositions!U137,FO72))</f>
        <v/>
      </c>
      <c r="FO72" s="28" t="str">
        <f t="shared" si="38"/>
        <v/>
      </c>
      <c r="FP72" s="28" t="str">
        <f>IF(Compositions!U137="","",(Compositions!U137/(VLOOKUP(Compositions!S137,'HHV-LHV-MW'!$A$3:$F$40,6,FALSE))))</f>
        <v/>
      </c>
      <c r="FQ72" s="26" t="str">
        <f>IF(FN72="","",((VLOOKUP(Compositions!S137,'HHV-LHV-MW'!$A$3:$F$40,4,FALSE))*(FN72/100)))</f>
        <v/>
      </c>
      <c r="FR72" s="26" t="str">
        <f>IF(FN72="","",((VLOOKUP(Compositions!S137,'HHV-LHV-MW'!$A$3:$F$40,5,FALSE))*(FN72/100)))</f>
        <v/>
      </c>
      <c r="FS72" s="26" t="str">
        <f>IF(FN72="","",((VLOOKUP(Compositions!S137,'HHV-LHV-MW'!$A$3:$F$40,6,FALSE))*(FN72/100)))</f>
        <v/>
      </c>
      <c r="FT72" s="26" t="str">
        <f>IF(Compositions!U137="","",(Compositions!U137*(VLOOKUP(Compositions!S137,'HHV-LHV-MW'!$A$3:$F$40,6,FALSE))))</f>
        <v/>
      </c>
      <c r="FU72" s="296" t="str">
        <f>IF(Compositions!U137="","",IF(OR(Compositions!$U$118="wt%",Compositions!$U$118=""),Compositions!U137,(IF(FT72="","",((FT72/$FT$78)*100)))))</f>
        <v/>
      </c>
      <c r="FV72" s="39" t="str">
        <f>IF(FU72="","",(IF(OR(Compositions!S137="Hydrogen",Compositions!S137="Helium",Compositions!S137="Water",Compositions!S137="Carbon Monoxide",Compositions!S137="Nitrogen",Compositions!S137="Oxygen",Compositions!S137="Hydrogen Sulfide",Compositions!S137="Argon",Compositions!S137="Carbon Dioxide",Compositions!S137="Carbon Disulfide"),0,FU72)))</f>
        <v/>
      </c>
      <c r="FW72" s="186" t="str">
        <f>IF(Compositions!U137="","",((FN72/100)*((VLOOKUP(Compositions!S137,'HHV-LHV-MW'!$A$3:$G$40,7,FALSE)))))</f>
        <v/>
      </c>
      <c r="FX72" s="186" t="str">
        <f>IF(FN72="","",(IF(OR(Compositions!S137="Hydrogen",Compositions!S137="Carbon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Dioxide",Compositions!S137="Methane",Compositions!S137="Ethane"),0,(FN72/100))))</f>
        <v/>
      </c>
      <c r="FY72" s="39" t="str">
        <f>IF(FN72="","",(IF(OR($FX$78=0,$FX$78=""),0,       ((VLOOKUP(Compositions!S137,'HHV-LHV-MW'!$A$3:$F$40,6,FALSE))*(FX72/$FX$78)))))</f>
        <v/>
      </c>
      <c r="FZ72" s="27" t="str">
        <f>IF(Compositions!V137="","",IF(Compositions!$V$118="mol%",Compositions!V137,GA72))</f>
        <v/>
      </c>
      <c r="GA72" s="27" t="str">
        <f t="shared" si="39"/>
        <v/>
      </c>
      <c r="GB72" s="27" t="str">
        <f>IF(Compositions!V137="","",(Compositions!V137/(VLOOKUP(Compositions!S137,'HHV-LHV-MW'!$A$3:$F$40,6,FALSE))))</f>
        <v/>
      </c>
      <c r="GC72" s="25" t="str">
        <f>IF(FZ72="","",((VLOOKUP(Compositions!S137,'HHV-LHV-MW'!$A$3:$F$40,4,FALSE))*(FZ72/100)))</f>
        <v/>
      </c>
      <c r="GD72" s="25" t="str">
        <f>IF(FZ72="","",((VLOOKUP(Compositions!S137,'HHV-LHV-MW'!$A$3:$F$40,5,FALSE))*(FZ72/100)))</f>
        <v/>
      </c>
      <c r="GE72" s="25" t="str">
        <f>IF(FZ72="","",((VLOOKUP(Compositions!S137,'HHV-LHV-MW'!$A$3:$F$40,6,FALSE))*(FZ72/100)))</f>
        <v/>
      </c>
      <c r="GF72" s="25" t="str">
        <f>IF(Compositions!V137="","",(Compositions!V137*(VLOOKUP(Compositions!S137,'HHV-LHV-MW'!$A$3:$F$40,6,FALSE))))</f>
        <v/>
      </c>
      <c r="GG72" s="295" t="str">
        <f>IF(Compositions!V137="","",IF(OR(Compositions!$V$118="wt%",Compositions!$V$118=""),Compositions!V137,(IF(GF72="","",((GF72/$GF$78)*100)))))</f>
        <v/>
      </c>
      <c r="GH72" s="185" t="str">
        <f>IF(GG72="","",(IF(OR(Compositions!S137="Hydrogen",Compositions!S137="Helium",Compositions!S137="Water",Compositions!S137="Carbon Monoxide",Compositions!S137="Nitrogen",Compositions!S137="Oxygen",Compositions!S137="Hydrogen Sulfide",Compositions!S137="Argon",Compositions!S137="Carbon Dioxide",Compositions!S137="Carbon Disulfide"),0,GG72)))</f>
        <v/>
      </c>
      <c r="GI72" s="187" t="str">
        <f>IF(Compositions!V137="","",((FZ72/100)*((VLOOKUP(Compositions!S137,'HHV-LHV-MW'!$A$3:$G$40,7,FALSE)))))</f>
        <v/>
      </c>
      <c r="GJ72" s="187" t="str">
        <f>IF(FZ72="","",(IF(OR(Compositions!S137="Hydrogen",Compositions!S137="Carbon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Dioxide",Compositions!S137="Methane",Compositions!S137="Ethane"),0,(FZ72/100))))</f>
        <v/>
      </c>
      <c r="GK72" s="205" t="str">
        <f>IF(FZ72="","",(IF(OR($GJ$78=0,$GJ$78=""),0,       ((VLOOKUP(Compositions!S137,'HHV-LHV-MW'!$A$3:$F$40,6,FALSE))*(GJ72/$GJ$78)))))</f>
        <v/>
      </c>
      <c r="GL72" s="28" t="str">
        <f>IF(Compositions!W137="","",IF(Compositions!$W$118="mol%",Compositions!W137,GM72))</f>
        <v/>
      </c>
      <c r="GM72" s="28" t="str">
        <f t="shared" si="40"/>
        <v/>
      </c>
      <c r="GN72" s="28" t="str">
        <f>IF(Compositions!W137="","",(Compositions!W137/(VLOOKUP(Compositions!S137,'HHV-LHV-MW'!$A$3:$F$40,6,FALSE))))</f>
        <v/>
      </c>
      <c r="GO72" s="26" t="str">
        <f>IF(GL72="","",((VLOOKUP(Compositions!S137,'HHV-LHV-MW'!$A$3:$F$40,4,FALSE))*(GL72/100)))</f>
        <v/>
      </c>
      <c r="GP72" s="26" t="str">
        <f>IF(GL72="","",((VLOOKUP(Compositions!S137,'HHV-LHV-MW'!$A$3:$F$40,5,FALSE))*(GL72/100)))</f>
        <v/>
      </c>
      <c r="GQ72" s="26" t="str">
        <f>IF(GL72="","",((VLOOKUP(Compositions!S137,'HHV-LHV-MW'!$A$3:$F$40,6,FALSE))*(GL72/100)))</f>
        <v/>
      </c>
      <c r="GR72" s="26" t="str">
        <f>IF(Compositions!W137="","",(Compositions!W137*(VLOOKUP(Compositions!S137,'HHV-LHV-MW'!$A$3:$F$40,6,FALSE))))</f>
        <v/>
      </c>
      <c r="GS72" s="296" t="str">
        <f>IF(Compositions!W137="","",IF(OR(Compositions!$W$118="wt%",Compositions!$W$118=""),Compositions!W137,(IF(GR72="","",((GR72/$GR$78)*100)))))</f>
        <v/>
      </c>
      <c r="GT72" s="39" t="str">
        <f>IF(GS72="","",(IF(OR(Compositions!S137="Hydrogen",Compositions!S137="Helium",Compositions!S137="Water",Compositions!S137="Carbon Monoxide",Compositions!S137="Nitrogen",Compositions!S137="Oxygen",Compositions!S137="Hydrogen Sulfide",Compositions!S137="Argon",Compositions!S137="Carbon Dioxide",Compositions!S137="Carbon Disulfide"),0,GS72)))</f>
        <v/>
      </c>
      <c r="GU72" s="186" t="str">
        <f>IF(Compositions!W137="","",((GL72/100)*((VLOOKUP(Compositions!S137,'HHV-LHV-MW'!$A$3:$G$40,7,FALSE)))))</f>
        <v/>
      </c>
      <c r="GV72" s="186" t="str">
        <f>IF(GL72="","",(IF(OR(Compositions!S137="Hydrogen",Compositions!S137="Carbon Disulfide",Compositions!S137="Helium",Compositions!S137="Water",Compositions!S137="Carbon Monoxide",Compositions!S137="Nitrogen",Compositions!S137="Oxygen",Compositions!S137="Hydrogen Sulfide",Compositions!S137="Argon",Compositions!S137="Carbon Dioxide",Compositions!S137="Methane",Compositions!S137="Ethane"),0,(GL72/100))))</f>
        <v/>
      </c>
      <c r="GW72" s="39" t="str">
        <f>IF(GL72="","",(IF(OR($GV$78=0,$GV$78=""),0,       ((VLOOKUP(Compositions!S137,'HHV-LHV-MW'!$A$3:$F$40,6,FALSE))*(GV72/$GV$78)))))</f>
        <v/>
      </c>
      <c r="GY72" s="27" t="str">
        <f>IF(Compositions!Z137="","",IF(Compositions!$Z$118="mol%",Compositions!Z137,GZ72))</f>
        <v/>
      </c>
      <c r="GZ72" s="27" t="str">
        <f t="shared" si="41"/>
        <v/>
      </c>
      <c r="HA72" s="27" t="str">
        <f>IF(Compositions!Z137="","",(Compositions!Z137/(VLOOKUP(Compositions!Y137,'HHV-LHV-MW'!$A$3:$F$40,6,FALSE))))</f>
        <v/>
      </c>
      <c r="HB72" s="25" t="str">
        <f>IF(GY72="","",((VLOOKUP(Compositions!Y137,'HHV-LHV-MW'!$A$3:$F$40,4,FALSE))*(GY72/100)))</f>
        <v/>
      </c>
      <c r="HC72" s="25" t="str">
        <f>IF(GY72="","",((VLOOKUP(Compositions!Y137,'HHV-LHV-MW'!$A$3:$F$40,5,FALSE))*(GY72/100)))</f>
        <v/>
      </c>
      <c r="HD72" s="25" t="str">
        <f>IF(GY72="","",((VLOOKUP(Compositions!Y137,'HHV-LHV-MW'!$A$3:$F$40,6,FALSE))*(GY72/100)))</f>
        <v/>
      </c>
      <c r="HE72" s="25" t="str">
        <f>IF(Compositions!Z137="","",(Compositions!Z137*(VLOOKUP(Compositions!Y137,'HHV-LHV-MW'!$A$3:$F$40,6,FALSE))))</f>
        <v/>
      </c>
      <c r="HF72" s="295" t="str">
        <f>IF(Compositions!Z137="","",IF(OR(Compositions!$Z$118="wt%",Compositions!$Z$118=""),Compositions!Z137,(IF(HE72="","",((HE72/$HE$78)*100)))))</f>
        <v/>
      </c>
      <c r="HG72" s="185" t="str">
        <f>IF(HF72="","",(IF(OR(Compositions!Y137="Hydrogen",Compositions!Y137="Helium",Compositions!Y137="Water",Compositions!Y137="Carbon Monoxide",Compositions!Y137="Nitrogen",Compositions!Y137="Oxygen",Compositions!Y137="Hydrogen Sulfide",Compositions!Y137="Argon",Compositions!Y137="Carbon Dioxide",Compositions!Y137="Carbon Disulfide"),0,HF72)))</f>
        <v/>
      </c>
      <c r="HH72" s="187" t="str">
        <f>IF(Compositions!Z137="","",((GY72/100)*((VLOOKUP(Compositions!Y137,'HHV-LHV-MW'!$A$3:$G$40,7,FALSE)))))</f>
        <v/>
      </c>
      <c r="HI72" s="187" t="str">
        <f>IF(GY72="","",(IF(OR(Compositions!Y137="Hydrogen",Compositions!Y137="Carbon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Dioxide",Compositions!Y137="Methane",Compositions!Y137="Ethane"),0,(GY72/100))))</f>
        <v/>
      </c>
      <c r="HJ72" s="205" t="str">
        <f>IF(GY72="","",(IF(OR($HI$78=0,$HI$78=""),0,       ((VLOOKUP(Compositions!Y137,'HHV-LHV-MW'!$A$3:$F$40,6,FALSE))*(HI72/$HI$78)))))</f>
        <v/>
      </c>
      <c r="HK72" s="28" t="str">
        <f>IF(Compositions!AA137="","",IF(Compositions!$AA$118="mol%",Compositions!AA137,HL72))</f>
        <v/>
      </c>
      <c r="HL72" s="28" t="str">
        <f t="shared" si="42"/>
        <v/>
      </c>
      <c r="HM72" s="28" t="str">
        <f>IF(Compositions!AA137="","",(Compositions!AA137/(VLOOKUP(Compositions!Y137,'HHV-LHV-MW'!$A$3:$F$40,6,FALSE))))</f>
        <v/>
      </c>
      <c r="HN72" s="26" t="str">
        <f>IF(HK72="","",((VLOOKUP(Compositions!Y137,'HHV-LHV-MW'!$A$3:$F$40,4,FALSE))*(HK72/100)))</f>
        <v/>
      </c>
      <c r="HO72" s="26" t="str">
        <f>IF(HK72="","",((VLOOKUP(Compositions!Y137,'HHV-LHV-MW'!$A$3:$F$40,5,FALSE))*(HK72/100)))</f>
        <v/>
      </c>
      <c r="HP72" s="26" t="str">
        <f>IF(HK72="","",((VLOOKUP(Compositions!Y137,'HHV-LHV-MW'!$A$3:$F$40,6,FALSE))*(HK72/100)))</f>
        <v/>
      </c>
      <c r="HQ72" s="26" t="str">
        <f>IF(Compositions!AA137="","",(Compositions!AA137*(VLOOKUP(Compositions!Y137,'HHV-LHV-MW'!$A$3:$F$40,6,FALSE))))</f>
        <v/>
      </c>
      <c r="HR72" s="296" t="str">
        <f>IF(Compositions!AA137="","",IF(OR(Compositions!$AA$118="wt%",Compositions!$AA$118=""),Compositions!AA137,(IF(HQ72="","",((HQ72/$HQ$78)*100)))))</f>
        <v/>
      </c>
      <c r="HS72" s="39" t="str">
        <f>IF(HR72="","",(IF(OR(Compositions!Y137="Hydrogen",Compositions!Y137="Helium",Compositions!Y137="Water",Compositions!Y137="Carbon Monoxide",Compositions!Y137="Nitrogen",Compositions!Y137="Oxygen",Compositions!Y137="Hydrogen Sulfide",Compositions!Y137="Argon",Compositions!Y137="Carbon Dioxide",Compositions!Y137="Carbon Disulfide"),0,HR72)))</f>
        <v/>
      </c>
      <c r="HT72" s="186" t="str">
        <f>IF(Compositions!AA137="","",((HK72/100)*((VLOOKUP(Compositions!Y137,'HHV-LHV-MW'!$A$3:$G$40,7,FALSE)))))</f>
        <v/>
      </c>
      <c r="HU72" s="186" t="str">
        <f>IF(HK72="","",(IF(OR(Compositions!Y137="Hydrogen",Compositions!Y137="Carbon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Dioxide",Compositions!Y137="Methane",Compositions!Y137="Ethane"),0,(HK72/100))))</f>
        <v/>
      </c>
      <c r="HV72" s="39" t="str">
        <f>IF(HK72="","",(IF(OR($HU$78=0,$HU$78=""),0,       ((VLOOKUP(Compositions!Y137,'HHV-LHV-MW'!$A$3:$F$40,6,FALSE))*(HU72/$HU$78)))))</f>
        <v/>
      </c>
      <c r="HW72" s="27" t="str">
        <f>IF(Compositions!AB137="","",IF(Compositions!$AB$118="mol%",Compositions!AB137,HX72))</f>
        <v/>
      </c>
      <c r="HX72" s="27" t="str">
        <f t="shared" si="43"/>
        <v/>
      </c>
      <c r="HY72" s="27" t="str">
        <f>IF(Compositions!AB137="","",(Compositions!AB137/(VLOOKUP(Compositions!Y137,'HHV-LHV-MW'!$A$3:$F$40,6,FALSE))))</f>
        <v/>
      </c>
      <c r="HZ72" s="25" t="str">
        <f>IF(HW72="","",((VLOOKUP(Compositions!Y137,'HHV-LHV-MW'!$A$3:$F$40,4,FALSE))*(HW72/100)))</f>
        <v/>
      </c>
      <c r="IA72" s="25" t="str">
        <f>IF(HW72="","",((VLOOKUP(Compositions!Y137,'HHV-LHV-MW'!$A$3:$F$40,5,FALSE))*(HW72/100)))</f>
        <v/>
      </c>
      <c r="IB72" s="25" t="str">
        <f>IF(HW72="","",((VLOOKUP(Compositions!Y137,'HHV-LHV-MW'!$A$3:$F$40,6,FALSE))*(HW72/100)))</f>
        <v/>
      </c>
      <c r="IC72" s="25" t="str">
        <f>IF(Compositions!AB137="","",(Compositions!AB137*(VLOOKUP(Compositions!Y137,'HHV-LHV-MW'!$A$3:$F$40,6,FALSE))))</f>
        <v/>
      </c>
      <c r="ID72" s="295" t="str">
        <f>IF(Compositions!AB137="","",IF(OR(Compositions!$AB$118="wt%",Compositions!$AB$118=""),Compositions!AB137,(IF(IC72="","",((IC72/$IC$78)*100)))))</f>
        <v/>
      </c>
      <c r="IE72" s="185" t="str">
        <f>IF(ID72="","",(IF(OR(Compositions!Y137="Hydrogen",Compositions!Y137="Helium",Compositions!Y137="Water",Compositions!Y137="Carbon Monoxide",Compositions!Y137="Nitrogen",Compositions!Y137="Oxygen",Compositions!Y137="Hydrogen Sulfide",Compositions!Y137="Argon",Compositions!Y137="Carbon Dioxide",Compositions!Y137="Carbon Disulfide"),0,ID72)))</f>
        <v/>
      </c>
      <c r="IF72" s="187" t="str">
        <f>IF(Compositions!AB137="","",((HW72/100)*((VLOOKUP(Compositions!Y137,'HHV-LHV-MW'!$A$3:$G$40,7,FALSE)))))</f>
        <v/>
      </c>
      <c r="IG72" s="187" t="str">
        <f>IF(HW72="","",(IF(OR(Compositions!Y137="Hydrogen",Compositions!Y137="Carbon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Dioxide",Compositions!Y137="Methane",Compositions!Y137="Ethane"),0,(HW72/100))))</f>
        <v/>
      </c>
      <c r="IH72" s="205" t="str">
        <f>IF(HW72="","",(IF(OR($IG$78=0,$IG$78=""),0,       ((VLOOKUP(Compositions!Y137,'HHV-LHV-MW'!$A$3:$F$40,6,FALSE))*(IG72/$IG$78)))))</f>
        <v/>
      </c>
      <c r="II72" s="28" t="str">
        <f>IF(Compositions!AC137="","",IF(Compositions!$AC$118="mol%",Compositions!AC137,IJ72))</f>
        <v/>
      </c>
      <c r="IJ72" s="28" t="str">
        <f t="shared" si="44"/>
        <v/>
      </c>
      <c r="IK72" s="28" t="str">
        <f>IF(Compositions!AC137="","",(Compositions!AC137/(VLOOKUP(Compositions!Y137,'HHV-LHV-MW'!$A$3:$F$40,6,FALSE))))</f>
        <v/>
      </c>
      <c r="IL72" s="26" t="str">
        <f>IF(II72="","",((VLOOKUP(Compositions!Y137,'HHV-LHV-MW'!$A$3:$F$40,4,FALSE))*(II72/100)))</f>
        <v/>
      </c>
      <c r="IM72" s="26" t="str">
        <f>IF(II72="","",((VLOOKUP(Compositions!Y137,'HHV-LHV-MW'!$A$3:$F$40,5,FALSE))*(II72/100)))</f>
        <v/>
      </c>
      <c r="IN72" s="26" t="str">
        <f>IF(II72="","",((VLOOKUP(Compositions!Y137,'HHV-LHV-MW'!$A$3:$F$40,6,FALSE))*(II72/100)))</f>
        <v/>
      </c>
      <c r="IO72" s="26" t="str">
        <f>IF(Compositions!AC137="","",(Compositions!AC137*(VLOOKUP(Compositions!Y137,'HHV-LHV-MW'!$A$3:$F$40,6,FALSE))))</f>
        <v/>
      </c>
      <c r="IP72" s="296" t="str">
        <f>IF(Compositions!AC137="","",IF(OR(Compositions!$AC$118="wt%",Compositions!$AC$118=""),Compositions!AC137,(IF(IO72="","",((IO72/$IO$78)*100)))))</f>
        <v/>
      </c>
      <c r="IQ72" s="39" t="str">
        <f>IF(IP72="","",(IF(OR(Compositions!Y137="Hydrogen",Compositions!Y137="Helium",Compositions!Y137="Water",Compositions!Y137="Carbon Monoxide",Compositions!Y137="Nitrogen",Compositions!Y137="Oxygen",Compositions!Y137="Hydrogen Sulfide",Compositions!Y137="Argon",Compositions!Y137="Carbon Dioxide",Compositions!Y137="Carbon Disulfide"),0,IP72)))</f>
        <v/>
      </c>
      <c r="IR72" s="186" t="str">
        <f>IF(Compositions!AC137="","",((II72/100)*((VLOOKUP(Compositions!Y137,'HHV-LHV-MW'!$A$3:$G$40,7,FALSE)))))</f>
        <v/>
      </c>
      <c r="IS72" s="186" t="str">
        <f>IF(II72="","",(IF(OR(Compositions!Y137="Hydrogen",Compositions!Y137="Carbon Disulfide",Compositions!Y137="Helium",Compositions!Y137="Water",Compositions!Y137="Carbon Monoxide",Compositions!Y137="Nitrogen",Compositions!Y137="Oxygen",Compositions!Y137="Hydrogen Sulfide",Compositions!Y137="Argon",Compositions!Y137="Carbon Dioxide",Compositions!Y137="Methane",Compositions!Y137="Ethane"),0,(II72/100))))</f>
        <v/>
      </c>
      <c r="IT72" s="39" t="str">
        <f>IF(II72="","",(IF(OR($IS$78=0,$IS$78=""),0,      ((VLOOKUP(Compositions!Y137,'HHV-LHV-MW'!$A$3:$F$40,6,FALSE))*(IS72/$IS$78)))))</f>
        <v/>
      </c>
      <c r="IV72" s="27" t="str">
        <f>IF(Compositions!AF137="","",IF(Compositions!$AF$118="mol%",Compositions!AF137,IW72))</f>
        <v/>
      </c>
      <c r="IW72" s="27" t="str">
        <f t="shared" si="45"/>
        <v/>
      </c>
      <c r="IX72" s="27" t="str">
        <f>IF(Compositions!AF137="","",(Compositions!AF137/(VLOOKUP(Compositions!AE137,'HHV-LHV-MW'!$A$3:$F$40,6,FALSE))))</f>
        <v/>
      </c>
      <c r="IY72" s="25" t="str">
        <f>IF(IV72="","",((VLOOKUP(Compositions!AE137,'HHV-LHV-MW'!$A$3:$F$40,4,FALSE))*(IV72/100)))</f>
        <v/>
      </c>
      <c r="IZ72" s="25" t="str">
        <f>IF(IV72="","",((VLOOKUP(Compositions!AE137,'HHV-LHV-MW'!$A$3:$F$40,5,FALSE))*(IV72/100)))</f>
        <v/>
      </c>
      <c r="JA72" s="25" t="str">
        <f>IF(IV72="","",((VLOOKUP(Compositions!AE137,'HHV-LHV-MW'!$A$3:$F$40,6,FALSE))*(IV72/100)))</f>
        <v/>
      </c>
      <c r="JB72" s="25" t="str">
        <f>IF(Compositions!AF137="","",(Compositions!AF137*(VLOOKUP(Compositions!AE137,'HHV-LHV-MW'!$A$3:$F$40,6,FALSE))))</f>
        <v/>
      </c>
      <c r="JC72" s="298" t="str">
        <f>IF(Compositions!AF137="","",IF(OR(Compositions!$AF$118="wt%",Compositions!$AF$118=""),Compositions!AF137,(IF(JB72="","",((JB72/$JB$78)*100)))))</f>
        <v/>
      </c>
      <c r="JD72" s="185" t="str">
        <f>IF(JC72="","",(IF(OR(Compositions!AE137="Hydrogen",Compositions!AE137="Helium",Compositions!AE137="Water",Compositions!AE137="Carbon Monoxide",Compositions!AE137="Nitrogen",Compositions!AE137="Oxygen",Compositions!AE137="Hydrogen Sulfide",Compositions!AE137="Argon",Compositions!AE137="Carbon Dioxide",Compositions!AE137="Carbon Disulfide"),0,JC72)))</f>
        <v/>
      </c>
      <c r="JE72" s="187" t="str">
        <f>IF(Compositions!AF137="","",((IV72/100)*((VLOOKUP(Compositions!AE137,'HHV-LHV-MW'!$A$3:$G$40,7,FALSE)))))</f>
        <v/>
      </c>
      <c r="JF72" s="187" t="str">
        <f>IF(IV72="","",(IF(OR(Compositions!AE137="Hydrogen",Compositions!AE137="Carbon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Dioxide",Compositions!AE137="Methane",Compositions!AE137="Ethane"),0,(IV72/100))))</f>
        <v/>
      </c>
      <c r="JG72" s="205" t="str">
        <f>IF(IV72="","",(IF(OR($JF$78=0,$JF$78=""),0,      ((VLOOKUP(Compositions!AE137,'HHV-LHV-MW'!$A$3:$F$40,6,FALSE))*(JF72/$JF$78)))))</f>
        <v/>
      </c>
      <c r="JH72" s="28" t="str">
        <f>IF(Compositions!AG137="","",IF(Compositions!$AG$118="mol%",Compositions!AG137,JI72))</f>
        <v/>
      </c>
      <c r="JI72" s="28" t="str">
        <f t="shared" si="46"/>
        <v/>
      </c>
      <c r="JJ72" s="28" t="str">
        <f>IF(Compositions!AG137="","",(Compositions!AG137/(VLOOKUP(Compositions!AE137,'HHV-LHV-MW'!$A$3:$F$40,6,FALSE))))</f>
        <v/>
      </c>
      <c r="JK72" s="26" t="str">
        <f>IF(JH72="","",((VLOOKUP(Compositions!AE137,'HHV-LHV-MW'!$A$3:$F$40,4,FALSE))*(JH72/100)))</f>
        <v/>
      </c>
      <c r="JL72" s="26" t="str">
        <f>IF(JH72="","",((VLOOKUP(Compositions!AE137,'HHV-LHV-MW'!$A$3:$F$40,5,FALSE))*(JH72/100)))</f>
        <v/>
      </c>
      <c r="JM72" s="26" t="str">
        <f>IF(JH72="","",((VLOOKUP(Compositions!AE137,'HHV-LHV-MW'!$A$3:$F$40,6,FALSE))*(JH72/100)))</f>
        <v/>
      </c>
      <c r="JN72" s="26" t="str">
        <f>IF(Compositions!AG137="","",(Compositions!AG137*(VLOOKUP(Compositions!AE137,'HHV-LHV-MW'!$A$3:$F$40,6,FALSE))))</f>
        <v/>
      </c>
      <c r="JO72" s="297" t="str">
        <f>IF(Compositions!AG137="","",IF(OR(Compositions!$AG$118="wt%",Compositions!$AG$118=""),Compositions!AG137,(IF(JN72="","",((JN72/$JN$78)*100)))))</f>
        <v/>
      </c>
      <c r="JP72" s="39" t="str">
        <f>IF(JO72="","",(IF(OR(Compositions!AE137="Hydrogen",Compositions!AE137="Helium",Compositions!AE137="Water",Compositions!AE137="Carbon Monoxide",Compositions!AE137="Nitrogen",Compositions!AE137="Oxygen",Compositions!AE137="Hydrogen Sulfide",Compositions!AE137="Argon",Compositions!AE137="Carbon Dioxide",Compositions!AE137="Carbon Disulfide"),0,JO72)))</f>
        <v/>
      </c>
      <c r="JQ72" s="186" t="str">
        <f>IF(Compositions!AG137="","",((JH72/100)*((VLOOKUP(Compositions!AE137,'HHV-LHV-MW'!$A$3:$G$40,7,FALSE)))))</f>
        <v/>
      </c>
      <c r="JR72" s="186" t="str">
        <f>IF(JH72="","",(IF(OR(Compositions!AE137="Hydrogen",Compositions!AE137="Carbon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Dioxide",Compositions!AE137="Methane",Compositions!AE137="Ethane"),0,(JH72/100))))</f>
        <v/>
      </c>
      <c r="JS72" s="39" t="str">
        <f>IF(JH72="","",(IF(OR($JR$78=0,$JR$78=""),0,      ((VLOOKUP(Compositions!AE137,'HHV-LHV-MW'!$A$3:$F$40,6,FALSE))*(JR72/$JR$78)))))</f>
        <v/>
      </c>
      <c r="JT72" s="27" t="str">
        <f>IF(Compositions!AH137="","",IF(Compositions!$AH$118="mol%",Compositions!AH137,JU72))</f>
        <v/>
      </c>
      <c r="JU72" s="27" t="str">
        <f t="shared" si="47"/>
        <v/>
      </c>
      <c r="JV72" s="27" t="str">
        <f>IF(Compositions!AH137="","",(Compositions!AH137/(VLOOKUP(Compositions!AE137,'HHV-LHV-MW'!$A$3:$F$40,6,FALSE))))</f>
        <v/>
      </c>
      <c r="JW72" s="25" t="str">
        <f>IF(JT72="","",((VLOOKUP(Compositions!AE137,'HHV-LHV-MW'!$A$3:$F$40,4,FALSE))*(JT72/100)))</f>
        <v/>
      </c>
      <c r="JX72" s="25" t="str">
        <f>IF(JT72="","",((VLOOKUP(Compositions!AE137,'HHV-LHV-MW'!$A$3:$F$40,5,FALSE))*(JT72/100)))</f>
        <v/>
      </c>
      <c r="JY72" s="25" t="str">
        <f>IF(JT72="","",((VLOOKUP(Compositions!AE137,'HHV-LHV-MW'!$A$3:$F$40,6,FALSE))*(JT72/100)))</f>
        <v/>
      </c>
      <c r="JZ72" s="25" t="str">
        <f>IF(Compositions!AH137="","",(Compositions!AH137*(VLOOKUP(Compositions!AE137,'HHV-LHV-MW'!$A$3:$F$40,6,FALSE))))</f>
        <v/>
      </c>
      <c r="KA72" s="298" t="str">
        <f>IF(Compositions!AH137="","",IF(OR(Compositions!$AH$118="wt%",Compositions!$AH$118=""),Compositions!AH137,(IF(JZ72="","",((JZ72/$JZ$78)*100)))))</f>
        <v/>
      </c>
      <c r="KB72" s="185" t="str">
        <f>IF(KA72="","",(IF(OR(Compositions!AE137="Hydrogen",Compositions!AE137="Helium",Compositions!AE137="Water",Compositions!AE137="Carbon Monoxide",Compositions!AE137="Nitrogen",Compositions!AE137="Oxygen",Compositions!AE137="Hydrogen Sulfide",Compositions!AE137="Argon",Compositions!AE137="Carbon Dioxide",Compositions!AE137="Carbon Disulfide"),0,KA72)))</f>
        <v/>
      </c>
      <c r="KC72" s="187" t="str">
        <f>IF(Compositions!AH137="","",((JT72/100)*((VLOOKUP(Compositions!AE137,'HHV-LHV-MW'!$A$3:$G$40,7,FALSE)))))</f>
        <v/>
      </c>
      <c r="KD72" s="187" t="str">
        <f>IF(JT72="","",(IF(OR(Compositions!AE137="Hydrogen",Compositions!AE137="Carbon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Dioxide",Compositions!AE137="Methane",Compositions!AE137="Ethane"),0,(JT72/100))))</f>
        <v/>
      </c>
      <c r="KE72" s="205" t="str">
        <f>IF(JT72="","",(IF(OR($KD$78=0,$KD$78=""),0,      ((VLOOKUP(Compositions!AE137,'HHV-LHV-MW'!$A$3:$F$40,6,FALSE))*(KD72/$KD$78)))))</f>
        <v/>
      </c>
      <c r="KF72" s="28" t="str">
        <f>IF(Compositions!AI137="","",IF(Compositions!$AI$118="mol%",Compositions!AI137,KG72))</f>
        <v/>
      </c>
      <c r="KG72" s="28" t="str">
        <f t="shared" si="48"/>
        <v/>
      </c>
      <c r="KH72" s="28" t="str">
        <f>IF(Compositions!AI137="","",(Compositions!AI137/(VLOOKUP(Compositions!AE137,'HHV-LHV-MW'!$A$3:$F$40,6,FALSE))))</f>
        <v/>
      </c>
      <c r="KI72" s="26" t="str">
        <f>IF(KF72="","",((VLOOKUP(Compositions!AE137,'HHV-LHV-MW'!$A$3:$F$40,4,FALSE))*(KF72/100)))</f>
        <v/>
      </c>
      <c r="KJ72" s="26" t="str">
        <f>IF(KF72="","",((VLOOKUP(Compositions!AE137,'HHV-LHV-MW'!$A$3:$F$40,5,FALSE))*(KF72/100)))</f>
        <v/>
      </c>
      <c r="KK72" s="26" t="str">
        <f>IF(KF72="","",((VLOOKUP(Compositions!AE137,'HHV-LHV-MW'!$A$3:$F$40,6,FALSE))*(KF72/100)))</f>
        <v/>
      </c>
      <c r="KL72" s="26" t="str">
        <f>IF(Compositions!AI137="","",(Compositions!AI137*(VLOOKUP(Compositions!AE137,'HHV-LHV-MW'!$A$3:$F$40,6,FALSE))))</f>
        <v/>
      </c>
      <c r="KM72" s="297" t="str">
        <f>IF(Compositions!AI137="","",IF(OR(Compositions!$AI$118="wt%",Compositions!$AI$118=""),Compositions!AI137,(IF(KL72="","",((KL72/$KL$78)*100)))))</f>
        <v/>
      </c>
      <c r="KN72" s="39" t="str">
        <f>IF(KM72="","",(IF(OR(Compositions!AE137="Hydrogen",Compositions!AE137="Helium",Compositions!AE137="Water",Compositions!AE137="Carbon Monoxide",Compositions!AE137="Nitrogen",Compositions!AE137="Oxygen",Compositions!AE137="Hydrogen Sulfide",Compositions!AE137="Argon",Compositions!AE137="Carbon Dioxide",Compositions!AE137="Carbon Disulfide"),0,KM72)))</f>
        <v/>
      </c>
      <c r="KO72" s="186" t="str">
        <f>IF(Compositions!AI137="","",((KF72/100)*((VLOOKUP(Compositions!AE137,'HHV-LHV-MW'!$A$3:$G$40,7,FALSE)))))</f>
        <v/>
      </c>
      <c r="KP72" s="186" t="str">
        <f>IF(KF72="","",(IF(OR(Compositions!AE137="Hydrogen",Compositions!AE137="Carbon Disulfide",Compositions!AE137="Helium",Compositions!AE137="Water",Compositions!AE137="Carbon Monoxide",Compositions!AE137="Nitrogen",Compositions!AE137="Oxygen",Compositions!AE137="Hydrogen Sulfide",Compositions!AE137="Argon",Compositions!AE137="Carbon Dioxide",Compositions!AE137="Methane",Compositions!AE137="Ethane"),0,(KF72/100))))</f>
        <v/>
      </c>
      <c r="KQ72" s="39" t="str">
        <f>IF(KF72="","",(IF(OR($KP$78=0,$KP$78=""),0,      ((VLOOKUP(Compositions!AE137,'HHV-LHV-MW'!$A$3:$F$40,6,FALSE))*(KP72/$KP$78)))))</f>
        <v/>
      </c>
      <c r="KS72" s="27" t="str">
        <f>IF(Compositions!AL137="","",IF(Compositions!$AL$118="mol%",Compositions!AL137,KT72))</f>
        <v/>
      </c>
      <c r="KT72" s="27" t="str">
        <f t="shared" si="49"/>
        <v/>
      </c>
      <c r="KU72" s="27" t="str">
        <f>IF(Compositions!AL137="","",(Compositions!AL137/(VLOOKUP(Compositions!AK137,'HHV-LHV-MW'!$A$3:$F$40,6,FALSE))))</f>
        <v/>
      </c>
      <c r="KV72" s="185" t="str">
        <f>IF(KS72="","",((VLOOKUP(Compositions!AK137,'HHV-LHV-MW'!$A$3:$F$40,4,FALSE))*(KS72/100)))</f>
        <v/>
      </c>
      <c r="KW72" s="185" t="str">
        <f>IF(KS72="","",((VLOOKUP(Compositions!AK137,'HHV-LHV-MW'!$A$3:$F$40,5,FALSE))*(KS72/100)))</f>
        <v/>
      </c>
      <c r="KX72" s="185" t="str">
        <f>IF(KS72="","",((VLOOKUP(Compositions!AK137,'HHV-LHV-MW'!$A$3:$F$40,6,FALSE))*(KS72/100)))</f>
        <v/>
      </c>
      <c r="KY72" s="185" t="str">
        <f>IF(Compositions!AL137="","",(Compositions!AL137*(VLOOKUP(Compositions!AK137,'HHV-LHV-MW'!$A$3:$F$40,6,FALSE))))</f>
        <v/>
      </c>
      <c r="KZ72" s="298" t="str">
        <f>IF(Compositions!AL137="","",IF(OR(Compositions!$AL$118="wt%",Compositions!$AL$118=""),Compositions!AL137,(IF(KY72="","",((KY72/$KY$78)*100)))))</f>
        <v/>
      </c>
      <c r="LA72" s="185" t="str">
        <f>IF(KZ72="","",(IF(OR(Compositions!AK137="Hydrogen",Compositions!AK137="Helium",Compositions!AK137="Water",Compositions!AK137="Carbon Monoxide",Compositions!AK137="Nitrogen",Compositions!AK137="Oxygen",Compositions!AK137="Hydrogen Sulfide",Compositions!AK137="Argon",Compositions!AK137="Carbon Dioxide",Compositions!AK137="Carbon Disulfide"),0,KZ72)))</f>
        <v/>
      </c>
      <c r="LB72" s="187" t="str">
        <f>IF(Compositions!AL137="","",((KS72/100)*((VLOOKUP(Compositions!AK137,'HHV-LHV-MW'!$A$3:$G$40,7,FALSE)))))</f>
        <v/>
      </c>
      <c r="LC72" s="187" t="str">
        <f>IF(KS72="","",(IF(OR(Compositions!AK137="Hydrogen",Compositions!AK137="Carbon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Dioxide",Compositions!AK137="Methane",Compositions!AK137="Ethane"),0,(KS72/100))))</f>
        <v/>
      </c>
      <c r="LD72" s="205" t="str">
        <f>IF(KS72="","",(IF(OR($LC$78=0,$LC$78=""),0,      ((VLOOKUP(Compositions!AK137,'HHV-LHV-MW'!$A$3:$F$40,6,FALSE))*(LC72/$LC$78)))))</f>
        <v/>
      </c>
      <c r="LE72" s="28" t="str">
        <f>IF(Compositions!AM137="","",IF(Compositions!$AM$118="mol%",Compositions!AM137,LF72))</f>
        <v/>
      </c>
      <c r="LF72" s="28" t="str">
        <f t="shared" si="50"/>
        <v/>
      </c>
      <c r="LG72" s="28" t="str">
        <f>IF(Compositions!AM137="","",(Compositions!AM137/(VLOOKUP(Compositions!AK137,'HHV-LHV-MW'!$A$3:$F$40,6,FALSE))))</f>
        <v/>
      </c>
      <c r="LH72" s="184" t="str">
        <f>IF(LE72="","",((VLOOKUP(Compositions!AK137,'HHV-LHV-MW'!$A$3:$F$40,4,FALSE))*(LE72/100)))</f>
        <v/>
      </c>
      <c r="LI72" s="184" t="str">
        <f>IF(LE72="","",((VLOOKUP(Compositions!AK137,'HHV-LHV-MW'!$A$3:$F$40,5,FALSE))*(LE72/100)))</f>
        <v/>
      </c>
      <c r="LJ72" s="184" t="str">
        <f>IF(LE72="","",((VLOOKUP(Compositions!AK137,'HHV-LHV-MW'!$A$3:$F$40,6,FALSE))*(LE72/100)))</f>
        <v/>
      </c>
      <c r="LK72" s="184" t="str">
        <f>IF(Compositions!AM137="","",(Compositions!AM137*(VLOOKUP(Compositions!AK137,'HHV-LHV-MW'!$A$3:$F$40,6,FALSE))))</f>
        <v/>
      </c>
      <c r="LL72" s="297" t="str">
        <f>IF(Compositions!AM137="","",IF(OR(Compositions!$AM$118="wt%",Compositions!$AM$118=""),Compositions!AM137,(IF(LK72="","",((LK72/$LK$78)*100)))))</f>
        <v/>
      </c>
      <c r="LM72" s="39" t="str">
        <f>IF(LL72="","",(IF(OR(Compositions!AK137="Hydrogen",Compositions!AK137="Helium",Compositions!AK137="Water",Compositions!AK137="Carbon Monoxide",Compositions!AK137="Nitrogen",Compositions!AK137="Oxygen",Compositions!AK137="Hydrogen Sulfide",Compositions!AK137="Argon",Compositions!AK137="Carbon Dioxide",Compositions!AK137="Carbon Disulfide"),0,LL72)))</f>
        <v/>
      </c>
      <c r="LN72" s="186" t="str">
        <f>IF(Compositions!AM137="","",((LE72/100)*((VLOOKUP(Compositions!AK137,'HHV-LHV-MW'!$A$3:$G$40,7,FALSE)))))</f>
        <v/>
      </c>
      <c r="LO72" s="186" t="str">
        <f>IF(LE72="","",(IF(OR(Compositions!AK137="Hydrogen",Compositions!AK137="Carbon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Dioxide",Compositions!AK137="Methane",Compositions!AK137="Ethane"),0,(LE72/100))))</f>
        <v/>
      </c>
      <c r="LP72" s="39" t="str">
        <f>IF(LE72="","",(IF(OR($LO$78=0,$LO$78=""),0,     ((VLOOKUP(Compositions!AK137,'HHV-LHV-MW'!$A$3:$F$40,6,FALSE))*(LO72/$LO$78)))))</f>
        <v/>
      </c>
      <c r="LQ72" s="27" t="str">
        <f>IF(Compositions!AN137="","",IF(Compositions!$AN$118="mol%",Compositions!AN137,LR72))</f>
        <v/>
      </c>
      <c r="LR72" s="27" t="str">
        <f t="shared" si="51"/>
        <v/>
      </c>
      <c r="LS72" s="27" t="str">
        <f>IF(Compositions!AN137="","",(Compositions!AN137/(VLOOKUP(Compositions!AK137,'HHV-LHV-MW'!$A$3:$F$40,6,FALSE))))</f>
        <v/>
      </c>
      <c r="LT72" s="185" t="str">
        <f>IF(LQ72="","",((VLOOKUP(Compositions!AK137,'HHV-LHV-MW'!$A$3:$F$40,4,FALSE))*(LQ72/100)))</f>
        <v/>
      </c>
      <c r="LU72" s="185" t="str">
        <f>IF(LQ72="","",((VLOOKUP(Compositions!AK137,'HHV-LHV-MW'!$A$3:$F$40,5,FALSE))*(LQ72/100)))</f>
        <v/>
      </c>
      <c r="LV72" s="185" t="str">
        <f>IF(LQ72="","",((VLOOKUP(Compositions!AK137,'HHV-LHV-MW'!$A$3:$F$40,6,FALSE))*(LQ72/100)))</f>
        <v/>
      </c>
      <c r="LW72" s="185" t="str">
        <f>IF(Compositions!AN137="","",(Compositions!AN137*(VLOOKUP(Compositions!AK137,'HHV-LHV-MW'!$A$3:$F$40,6,FALSE))))</f>
        <v/>
      </c>
      <c r="LX72" s="298" t="str">
        <f>IF(Compositions!AN137="","",IF(OR(Compositions!$AN$118="wt%",Compositions!$AN$118=""),Compositions!AN137,(IF(LW72="","",((LW72/$LW$78)*100)))))</f>
        <v/>
      </c>
      <c r="LY72" s="185" t="str">
        <f>IF(LX72="","",(IF(OR(Compositions!AK137="Hydrogen",Compositions!AK137="Helium",Compositions!AK137="Water",Compositions!AK137="Carbon Monoxide",Compositions!AK137="Nitrogen",Compositions!AK137="Oxygen",Compositions!AK137="Hydrogen Sulfide",Compositions!AK137="Argon",Compositions!AK137="Carbon Dioxide",Compositions!AK137="Carbon Disulfide"),0,LX72)))</f>
        <v/>
      </c>
      <c r="LZ72" s="187" t="str">
        <f>IF(Compositions!AN137="","",((LQ72/100)*((VLOOKUP(Compositions!AK137,'HHV-LHV-MW'!$A$3:$G$40,7,FALSE)))))</f>
        <v/>
      </c>
      <c r="MA72" s="187" t="str">
        <f>IF(LQ72="","",(IF(OR(Compositions!AK137="Hydrogen",Compositions!AK137="Carbon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Dioxide",Compositions!AK137="Methane",Compositions!AK137="Ethane"),0,(LQ72/100))))</f>
        <v/>
      </c>
      <c r="MB72" s="205" t="str">
        <f>IF(LQ72="","",(IF(OR($MA$78=0,$MA$78=""),0,     ((VLOOKUP(Compositions!AK137,'HHV-LHV-MW'!$A$3:$F$40,6,FALSE))*(MA72/$MA$78)))))</f>
        <v/>
      </c>
      <c r="MC72" s="28" t="str">
        <f>IF(Compositions!AO137="","",IF(Compositions!$AO$118="mol%",Compositions!AO137,MD72))</f>
        <v/>
      </c>
      <c r="MD72" s="28" t="str">
        <f t="shared" si="52"/>
        <v/>
      </c>
      <c r="ME72" s="28" t="str">
        <f>IF(Compositions!AO137="","",(Compositions!AO137/(VLOOKUP(Compositions!AK137,'HHV-LHV-MW'!$A$3:$F$40,6,FALSE))))</f>
        <v/>
      </c>
      <c r="MF72" s="184" t="str">
        <f>IF(MC72="","",((VLOOKUP(Compositions!AK137,'HHV-LHV-MW'!$A$3:$F$40,4,FALSE))*(MC72/100)))</f>
        <v/>
      </c>
      <c r="MG72" s="184" t="str">
        <f>IF(MC72="","",((VLOOKUP(Compositions!AK137,'HHV-LHV-MW'!$A$3:$F$40,5,FALSE))*(MC72/100)))</f>
        <v/>
      </c>
      <c r="MH72" s="184" t="str">
        <f>IF(MC72="","",((VLOOKUP(Compositions!AK137,'HHV-LHV-MW'!$A$3:$F$40,6,FALSE))*(MC72/100)))</f>
        <v/>
      </c>
      <c r="MI72" s="184" t="str">
        <f>IF(Compositions!AO137="","",(Compositions!AO137*(VLOOKUP(Compositions!AK137,'HHV-LHV-MW'!$A$3:$F$40,6,FALSE))))</f>
        <v/>
      </c>
      <c r="MJ72" s="297" t="str">
        <f>IF(Compositions!AO137="","",IF(OR(Compositions!$AO$118="wt%",Compositions!$AO$118=""),Compositions!AO137,(IF(MI72="","",((MI72/$MI$78)*100)))))</f>
        <v/>
      </c>
      <c r="MK72" s="39" t="str">
        <f>IF(MJ72="","",(IF(OR(Compositions!AK137="Hydrogen",Compositions!AK137="Helium",Compositions!AK137="Water",Compositions!AK137="Carbon Monoxide",Compositions!AK137="Nitrogen",Compositions!AK137="Oxygen",Compositions!AK137="Hydrogen Sulfide",Compositions!AK137="Argon",Compositions!AK137="Carbon Dioxide",Compositions!AK137="Carbon Disulfide"),0,MJ72)))</f>
        <v/>
      </c>
      <c r="ML72" s="186" t="str">
        <f>IF(Compositions!AO137="","",((MC72/100)*((VLOOKUP(Compositions!AK137,'HHV-LHV-MW'!$A$3:$G$40,7,FALSE)))))</f>
        <v/>
      </c>
      <c r="MM72" s="186" t="str">
        <f>IF(MC72="","",(IF(OR(Compositions!AK137="Hydrogen",Compositions!AK137="Carbon Disulfide",Compositions!AK137="Helium",Compositions!AK137="Water",Compositions!AK137="Carbon Monoxide",Compositions!AK137="Nitrogen",Compositions!AK137="Oxygen",Compositions!AK137="Hydrogen Sulfide",Compositions!AK137="Argon",Compositions!AK137="Carbon Dioxide",Compositions!AK137="Methane",Compositions!AK137="Ethane"),0,(MC72/100))))</f>
        <v/>
      </c>
      <c r="MN72" s="39" t="str">
        <f>IF(MC72="","",(IF(OR($MM$78=0,$MM$78=""),0,     ((VLOOKUP(Compositions!AK137,'HHV-LHV-MW'!$A$3:$F$40,6,FALSE))*(MM72/$MM$78)))))</f>
        <v/>
      </c>
      <c r="MP72" s="27" t="str">
        <f>IF(Compositions!AR137="","",IF(Compositions!$AR$118="mol%",Compositions!AR137,MQ72))</f>
        <v/>
      </c>
      <c r="MQ72" s="27" t="str">
        <f t="shared" si="53"/>
        <v/>
      </c>
      <c r="MR72" s="27" t="str">
        <f>IF(Compositions!AR137="","",(Compositions!AR137/(VLOOKUP(Compositions!AQ137,'HHV-LHV-MW'!$A$3:$F$40,6,FALSE))))</f>
        <v/>
      </c>
      <c r="MS72" s="185" t="str">
        <f>IF(MP72="","",((VLOOKUP(Compositions!AQ137,'HHV-LHV-MW'!$A$3:$F$40,4,FALSE))*(MP72/100)))</f>
        <v/>
      </c>
      <c r="MT72" s="185" t="str">
        <f>IF(MP72="","",((VLOOKUP(Compositions!AQ137,'HHV-LHV-MW'!$A$3:$F$40,5,FALSE))*(MP72/100)))</f>
        <v/>
      </c>
      <c r="MU72" s="185" t="str">
        <f>IF(MP72="","",((VLOOKUP(Compositions!AQ137,'HHV-LHV-MW'!$A$3:$F$40,6,FALSE))*(MP72/100)))</f>
        <v/>
      </c>
      <c r="MV72" s="185" t="str">
        <f>IF(Compositions!AR137="","",(Compositions!AR137*(VLOOKUP(Compositions!AQ137,'HHV-LHV-MW'!$A$3:$F$40,6,FALSE))))</f>
        <v/>
      </c>
      <c r="MW72" s="298" t="str">
        <f>IF(Compositions!AR137="","",IF(OR(Compositions!$AR$118="wt%",Compositions!$AR$118=""),Compositions!AR137,(IF(MV72="","",((MV72/$MV$78)*100)))))</f>
        <v/>
      </c>
      <c r="MX72" s="185" t="str">
        <f>IF(MW72="","",(IF(OR(Compositions!AQ137="Hydrogen",Compositions!AQ137="Helium",Compositions!AQ137="Water",Compositions!AQ137="Carbon Monoxide",Compositions!AQ137="Nitrogen",Compositions!AQ137="Oxygen",Compositions!AQ137="Hydrogen Sulfide",Compositions!AQ137="Argon",Compositions!AQ137="Carbon Dioxide",Compositions!AQ137="Carbon Disulfide"),0,MW72)))</f>
        <v/>
      </c>
      <c r="MY72" s="187" t="str">
        <f>IF(Compositions!AR137="","",((MP72/100)*((VLOOKUP(Compositions!AQ137,'HHV-LHV-MW'!$A$3:$G$40,7,FALSE)))))</f>
        <v/>
      </c>
      <c r="MZ72" s="187" t="str">
        <f>IF(MP72="","",(IF(OR(Compositions!AQ137="Hydrogen",Compositions!AQ137="Carbon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Dioxide",Compositions!AQ137="Methane",Compositions!AQ137="Ethane"),0,(MP72/100))))</f>
        <v/>
      </c>
      <c r="NA72" s="205" t="str">
        <f>IF(MP72="","",(IF(OR($MZ$78=0,$MZ$78=""),0,     ((VLOOKUP(Compositions!AQ137,'HHV-LHV-MW'!$A$3:$F$40,6,FALSE))*(MZ72/$MZ$78)))))</f>
        <v/>
      </c>
      <c r="NB72" s="28" t="str">
        <f>IF(Compositions!AS137="","",IF(Compositions!$AS$118="mol%",Compositions!AS137,NC72))</f>
        <v/>
      </c>
      <c r="NC72" s="28" t="str">
        <f t="shared" si="54"/>
        <v/>
      </c>
      <c r="ND72" s="28" t="str">
        <f>IF(Compositions!AS137="","",(Compositions!AS137/(VLOOKUP(Compositions!AQ137,'HHV-LHV-MW'!$A$3:$F$40,6,FALSE))))</f>
        <v/>
      </c>
      <c r="NE72" s="184" t="str">
        <f>IF(NB72="","",((VLOOKUP(Compositions!AQ137,'HHV-LHV-MW'!$A$3:$F$40,4,FALSE))*(NB72/100)))</f>
        <v/>
      </c>
      <c r="NF72" s="184" t="str">
        <f>IF(NB72="","",((VLOOKUP(Compositions!AQ137,'HHV-LHV-MW'!$A$3:$F$40,5,FALSE))*(NB72/100)))</f>
        <v/>
      </c>
      <c r="NG72" s="184" t="str">
        <f>IF(NB72="","",((VLOOKUP(Compositions!AQ137,'HHV-LHV-MW'!$A$3:$F$40,6,FALSE))*(NB72/100)))</f>
        <v/>
      </c>
      <c r="NH72" s="184" t="str">
        <f>IF(Compositions!AS137="","",(Compositions!AS137*(VLOOKUP(Compositions!AQ137,'HHV-LHV-MW'!$A$3:$F$40,6,FALSE))))</f>
        <v/>
      </c>
      <c r="NI72" s="297" t="str">
        <f>IF(Compositions!AS137="","",IF(OR(Compositions!$AS$118="wt%",Compositions!$AS$118=""),Compositions!AS137,(IF(NH72="","",((NH72/$NH$78)*100)))))</f>
        <v/>
      </c>
      <c r="NJ72" s="39" t="str">
        <f>IF(NI72="","",(IF(OR(Compositions!AQ137="Hydrogen",Compositions!AQ137="Helium",Compositions!AQ137="Water",Compositions!AQ137="Carbon Monoxide",Compositions!AQ137="Nitrogen",Compositions!AQ137="Oxygen",Compositions!AQ137="Hydrogen Sulfide",Compositions!AQ137="Argon",Compositions!AQ137="Carbon Dioxide",Compositions!AQ137="Carbon Disulfide"),0,NI72)))</f>
        <v/>
      </c>
      <c r="NK72" s="186" t="str">
        <f>IF(Compositions!AS137="","",((NB72/100)*((VLOOKUP(Compositions!AQ137,'HHV-LHV-MW'!$A$3:$G$40,7,FALSE)))))</f>
        <v/>
      </c>
      <c r="NL72" s="186" t="str">
        <f>IF(NB72="","",(IF(OR(Compositions!AQ137="Hydrogen",Compositions!AQ137="Carbon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Dioxide",Compositions!AQ137="Methane",Compositions!AQ137="Ethane"),0,(NB72/100))))</f>
        <v/>
      </c>
      <c r="NM72" s="39" t="str">
        <f>IF(NB72="","",(IF(OR($NL$78=0,$NL$78=""),0,     ((VLOOKUP(Compositions!AQ137,'HHV-LHV-MW'!$A$3:$F$40,6,FALSE))*(NL72/$NL$78)))))</f>
        <v/>
      </c>
      <c r="NN72" s="27" t="str">
        <f>IF(Compositions!AT137="","",IF(Compositions!$AT$118="mol%",Compositions!AT137,NO72))</f>
        <v/>
      </c>
      <c r="NO72" s="27" t="str">
        <f t="shared" si="55"/>
        <v/>
      </c>
      <c r="NP72" s="27" t="str">
        <f>IF(Compositions!AT137="","",(Compositions!AT137/(VLOOKUP(Compositions!AQ137,'HHV-LHV-MW'!$A$3:$F$40,6,FALSE))))</f>
        <v/>
      </c>
      <c r="NQ72" s="185" t="str">
        <f>IF(NN72="","",((VLOOKUP(Compositions!AQ137,'HHV-LHV-MW'!$A$3:$F$40,4,FALSE))*(NN72/100)))</f>
        <v/>
      </c>
      <c r="NR72" s="185" t="str">
        <f>IF(NN72="","",((VLOOKUP(Compositions!AQ137,'HHV-LHV-MW'!$A$3:$F$40,5,FALSE))*(NN72/100)))</f>
        <v/>
      </c>
      <c r="NS72" s="185" t="str">
        <f>IF(NN72="","",((VLOOKUP(Compositions!AQ137,'HHV-LHV-MW'!$A$3:$F$40,6,FALSE))*(NN72/100)))</f>
        <v/>
      </c>
      <c r="NT72" s="185" t="str">
        <f>IF(Compositions!AT137="","",(Compositions!AT137*(VLOOKUP(Compositions!AQ137,'HHV-LHV-MW'!$A$3:$F$40,6,FALSE))))</f>
        <v/>
      </c>
      <c r="NU72" s="298" t="str">
        <f>IF(Compositions!AT137="","",IF(OR(Compositions!$AT$118="wt%",Compositions!$AT$118=""),Compositions!AT137,(IF(NT72="","",((NT72/$NT$78)*100)))))</f>
        <v/>
      </c>
      <c r="NV72" s="185" t="str">
        <f>IF(NU72="","",(IF(OR(Compositions!AQ137="Hydrogen",Compositions!AQ137="Helium",Compositions!AQ137="Water",Compositions!AQ137="Carbon Monoxide",Compositions!AQ137="Nitrogen",Compositions!AQ137="Oxygen",Compositions!AQ137="Hydrogen Sulfide",Compositions!AQ137="Argon",Compositions!AQ137="Carbon Dioxide",Compositions!AQ137="Carbon Disulfide"),0,NU72)))</f>
        <v/>
      </c>
      <c r="NW72" s="187" t="str">
        <f>IF(Compositions!AT137="","",((NN72/100)*((VLOOKUP(Compositions!AQ137,'HHV-LHV-MW'!$A$3:$G$40,7,FALSE)))))</f>
        <v/>
      </c>
      <c r="NX72" s="187" t="str">
        <f>IF(NN72="","",(IF(OR(Compositions!AQ137="Hydrogen",Compositions!AQ137="Carbon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Dioxide",Compositions!AQ137="Methane",Compositions!AQ137="Ethane"),0,(NN72/100))))</f>
        <v/>
      </c>
      <c r="NY72" s="205" t="str">
        <f>IF(NN72="","",(IF(OR($NX$78=0,$NX$78=""),0,     ((VLOOKUP(Compositions!AQ137,'HHV-LHV-MW'!$A$3:$F$40,6,FALSE))*(NX72/$NX$78)))))</f>
        <v/>
      </c>
      <c r="NZ72" s="28" t="str">
        <f>IF(Compositions!AU137="","",IF(Compositions!$AU$118="mol%",Compositions!AU137,OA72))</f>
        <v/>
      </c>
      <c r="OA72" s="28" t="str">
        <f t="shared" si="56"/>
        <v/>
      </c>
      <c r="OB72" s="28" t="str">
        <f>IF(Compositions!AU137="","",(Compositions!AU137/(VLOOKUP(Compositions!AQ137,'HHV-LHV-MW'!$A$3:$F$40,6,FALSE))))</f>
        <v/>
      </c>
      <c r="OC72" s="184" t="str">
        <f>IF(NZ72="","",((VLOOKUP(Compositions!AQ137,'HHV-LHV-MW'!$A$3:$F$40,4,FALSE))*(NZ72/100)))</f>
        <v/>
      </c>
      <c r="OD72" s="184" t="str">
        <f>IF(NZ72="","",((VLOOKUP(Compositions!AQ137,'HHV-LHV-MW'!$A$3:$F$40,5,FALSE))*(NZ72/100)))</f>
        <v/>
      </c>
      <c r="OE72" s="184" t="str">
        <f>IF(NZ72="","",((VLOOKUP(Compositions!AQ137,'HHV-LHV-MW'!$A$3:$F$40,6,FALSE))*(NZ72/100)))</f>
        <v/>
      </c>
      <c r="OF72" s="184" t="str">
        <f>IF(Compositions!AU137="","",(Compositions!AU137*(VLOOKUP(Compositions!AQ137,'HHV-LHV-MW'!$A$3:$F$40,6,FALSE))))</f>
        <v/>
      </c>
      <c r="OG72" s="297" t="str">
        <f>IF(Compositions!AU137="","",IF(OR(Compositions!$AU$118="wt%",Compositions!$AU$118=""),Compositions!AU137,(IF(OF72="","",((OF72/$OF$78)*100)))))</f>
        <v/>
      </c>
      <c r="OH72" s="39" t="str">
        <f>IF(OG72="","",(IF(OR(Compositions!AQ137="Hydrogen",Compositions!AQ137="Helium",Compositions!AQ137="Water",Compositions!AQ137="Carbon Monoxide",Compositions!AQ137="Nitrogen",Compositions!AQ137="Oxygen",Compositions!AQ137="Hydrogen Sulfide",Compositions!AQ137="Argon",Compositions!AQ137="Carbon Dioxide",Compositions!AQ137="Carbon Disulfide"),0,OG72)))</f>
        <v/>
      </c>
      <c r="OI72" s="186" t="str">
        <f>IF(Compositions!AU137="","",((NZ72/100)*((VLOOKUP(Compositions!AQ137,'HHV-LHV-MW'!$A$3:$G$40,7,FALSE)))))</f>
        <v/>
      </c>
      <c r="OJ72" s="186" t="str">
        <f>IF(NZ72="","",(IF(OR(Compositions!AQ137="Hydrogen",Compositions!AQ137="Carbon Disulfide",Compositions!AQ137="Helium",Compositions!AQ137="Water",Compositions!AQ137="Carbon Monoxide",Compositions!AQ137="Nitrogen",Compositions!AQ137="Oxygen",Compositions!AQ137="Hydrogen Sulfide",Compositions!AQ137="Argon",Compositions!AQ137="Carbon Dioxide",Compositions!AQ137="Methane",Compositions!AQ137="Ethane"),0,(NZ72/100))))</f>
        <v/>
      </c>
      <c r="OK72" s="39" t="str">
        <f>IF(NZ72="","",(IF(OR($OJ$78=0,$OJ$78=""),0,     ((VLOOKUP(Compositions!AQ137,'HHV-LHV-MW'!$A$3:$F$40,6,FALSE))*(OJ72/$OJ$78)))))</f>
        <v/>
      </c>
      <c r="ON72" s="27" t="str">
        <f>IF(Compositions!AX137="","",IF(Compositions!$AX$118="mol%",Compositions!AX137,OO72))</f>
        <v/>
      </c>
      <c r="OO72" s="27" t="str">
        <f t="shared" si="57"/>
        <v/>
      </c>
      <c r="OP72" s="27" t="str">
        <f>IF(Compositions!AX137="","",(Compositions!AX137/(VLOOKUP(Compositions!AW137,'HHV-LHV-MW'!$A$3:$F$40,6,FALSE))))</f>
        <v/>
      </c>
      <c r="OQ72" s="185" t="str">
        <f>IF(ON72="","",((VLOOKUP(Compositions!AW137,'HHV-LHV-MW'!$A$3:$F$40,4,FALSE))*(ON72/100)))</f>
        <v/>
      </c>
      <c r="OR72" s="185" t="str">
        <f>IF(ON72="","",((VLOOKUP(Compositions!AW137,'HHV-LHV-MW'!$A$3:$F$40,5,FALSE))*(ON72/100)))</f>
        <v/>
      </c>
      <c r="OS72" s="185" t="str">
        <f>IF(ON72="","",((VLOOKUP(Compositions!AW137,'HHV-LHV-MW'!$A$3:$F$40,6,FALSE))*(ON72/100)))</f>
        <v/>
      </c>
      <c r="OT72" s="185" t="str">
        <f>IF(Compositions!AX137="","",(Compositions!AX137*(VLOOKUP(Compositions!AW137,'HHV-LHV-MW'!$A$3:$F$40,6,FALSE))))</f>
        <v/>
      </c>
      <c r="OU72" s="298" t="str">
        <f>IF(Compositions!AX137="","",IF(OR(Compositions!$AX$118="wt%",Compositions!$AX$118=""),Compositions!AX137,(IF(OT72="","",((OT72/$OT$78)*100)))))</f>
        <v/>
      </c>
      <c r="OV72" s="185" t="str">
        <f>IF(OU72="","",(IF(OR(Compositions!AW137="Hydrogen",Compositions!AW137="Helium",Compositions!AW137="Water",Compositions!AW137="Carbon Monoxide",Compositions!AW137="Nitrogen",Compositions!AW137="Oxygen",Compositions!AW137="Hydrogen Sulfide",Compositions!AW137="Argon",Compositions!AW137="Carbon Dioxide",Compositions!AW137="Carbon Disulfide"),0,OU72)))</f>
        <v/>
      </c>
      <c r="OW72" s="187" t="str">
        <f>IF(Compositions!AX137="","",((ON72/100)*((VLOOKUP(Compositions!AW137,'HHV-LHV-MW'!$A$3:$G$40,7,FALSE)))))</f>
        <v/>
      </c>
      <c r="OX72" s="187" t="str">
        <f>IF(ON72="","",(IF(OR(Compositions!AW137="Hydrogen",Compositions!AW137="Carbon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Dioxide",Compositions!AW137="Methane",Compositions!AW137="Ethane"),0,(ON72/100))))</f>
        <v/>
      </c>
      <c r="OY72" s="205" t="str">
        <f>IF(ON72="","",(IF(OR($OX$78=0,$OX$78=""),0,     ((VLOOKUP(Compositions!AW137,'HHV-LHV-MW'!$A$3:$F$40,6,FALSE))*(OX72/$OX$78)))))</f>
        <v/>
      </c>
      <c r="OZ72" s="28" t="str">
        <f>IF(Compositions!AY137="","",IF(Compositions!$AY$118="mol%",Compositions!AY137,PA72))</f>
        <v/>
      </c>
      <c r="PA72" s="28" t="str">
        <f t="shared" si="64"/>
        <v/>
      </c>
      <c r="PB72" s="28" t="str">
        <f>IF(Compositions!AY137="","",(Compositions!AY137/(VLOOKUP(Compositions!AW137,'HHV-LHV-MW'!$A$3:$F$40,6,FALSE))))</f>
        <v/>
      </c>
      <c r="PC72" s="184" t="str">
        <f>IF(OZ72="","",((VLOOKUP(Compositions!AW137,'HHV-LHV-MW'!$A$3:$F$40,4,FALSE))*(OZ72/100)))</f>
        <v/>
      </c>
      <c r="PD72" s="184" t="str">
        <f>IF(OZ72="","",((VLOOKUP(Compositions!AW137,'HHV-LHV-MW'!$A$3:$F$40,5,FALSE))*(OZ72/100)))</f>
        <v/>
      </c>
      <c r="PE72" s="184" t="str">
        <f>IF(OZ72="","",((VLOOKUP(Compositions!AW137,'HHV-LHV-MW'!$A$3:$F$40,6,FALSE))*(OZ72/100)))</f>
        <v/>
      </c>
      <c r="PF72" s="184" t="str">
        <f>IF(Compositions!AY137="","",(Compositions!AY137*(VLOOKUP(Compositions!AW137,'HHV-LHV-MW'!$A$3:$F$40,6,FALSE))))</f>
        <v/>
      </c>
      <c r="PG72" s="297" t="str">
        <f>IF(Compositions!AY137="","",IF(OR(Compositions!$AY$118="wt%",Compositions!$AY$118=""),Compositions!AY137,(IF(PF72="","",((PF72/$PF$78)*100)))))</f>
        <v/>
      </c>
      <c r="PH72" s="39" t="str">
        <f>IF(PG72="","",(IF(OR(Compositions!AW137="Hydrogen",Compositions!AW137="Helium",Compositions!AW137="Water",Compositions!AW137="Carbon Monoxide",Compositions!AW137="Nitrogen",Compositions!AW137="Oxygen",Compositions!AW137="Hydrogen Sulfide",Compositions!AW137="Argon",Compositions!AW137="Carbon Dioxide",Compositions!AW137="Carbon Disulfide"),0,PG72)))</f>
        <v/>
      </c>
      <c r="PI72" s="186" t="str">
        <f>IF(Compositions!AY137="","",((OZ72/100)*((VLOOKUP(Compositions!AW137,'HHV-LHV-MW'!$A$3:$G$40,7,FALSE)))))</f>
        <v/>
      </c>
      <c r="PJ72" s="186" t="str">
        <f>IF(OZ72="","",(IF(OR(Compositions!AW137="Hydrogen",Compositions!AW137="Carbon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Dioxide",Compositions!AW137="Methane",Compositions!AW137="Ethane"),0,(OZ72/100))))</f>
        <v/>
      </c>
      <c r="PK72" s="39" t="str">
        <f>IF(OZ72="","",(IF(OR($PJ$78=0,$PJ$78=""),0,     ((VLOOKUP(Compositions!AW137,'HHV-LHV-MW'!$A$3:$F$40,6,FALSE))*(PJ72/$PJ$78)))))</f>
        <v/>
      </c>
      <c r="PL72" s="27" t="str">
        <f>IF(Compositions!AZ137="","",IF(Compositions!$AZ$118="mol%",Compositions!AZ137,PM72))</f>
        <v/>
      </c>
      <c r="PM72" s="27" t="str">
        <f t="shared" si="58"/>
        <v/>
      </c>
      <c r="PN72" s="27" t="str">
        <f>IF(Compositions!AZ137="","",(Compositions!AZ137/(VLOOKUP(Compositions!AW137,'HHV-LHV-MW'!$A$3:$F$40,6,FALSE))))</f>
        <v/>
      </c>
      <c r="PO72" s="185" t="str">
        <f>IF(PL72="","",((VLOOKUP(Compositions!AW137,'HHV-LHV-MW'!$A$3:$F$40,4,FALSE))*(PL72/100)))</f>
        <v/>
      </c>
      <c r="PP72" s="185" t="str">
        <f>IF(PL72="","",((VLOOKUP(Compositions!AW137,'HHV-LHV-MW'!$A$3:$F$40,5,FALSE))*(PL72/100)))</f>
        <v/>
      </c>
      <c r="PQ72" s="185" t="str">
        <f>IF(PL72="","",((VLOOKUP(Compositions!AW137,'HHV-LHV-MW'!$A$3:$F$40,6,FALSE))*(PL72/100)))</f>
        <v/>
      </c>
      <c r="PR72" s="185" t="str">
        <f>IF(Compositions!AZ137="","",(Compositions!AZ137*(VLOOKUP(Compositions!AW137,'HHV-LHV-MW'!$A$3:$F$40,6,FALSE))))</f>
        <v/>
      </c>
      <c r="PS72" s="298" t="str">
        <f>IF(Compositions!AZ137="","",IF(OR(Compositions!$AZ$118="wt%",Compositions!$AZ$118=""),Compositions!AZ137,(IF(PR72="","",((PR72/$PR$78)*100)))))</f>
        <v/>
      </c>
      <c r="PT72" s="185" t="str">
        <f>IF(PS72="","",(IF(OR(Compositions!AW137="Hydrogen",Compositions!AW137="Helium",Compositions!AW137="Water",Compositions!AW137="Carbon Monoxide",Compositions!AW137="Nitrogen",Compositions!AW137="Oxygen",Compositions!AW137="Hydrogen Sulfide",Compositions!AW137="Argon",Compositions!AW137="Carbon Dioxide",Compositions!AW137="Carbon Disulfide"),0,PS72)))</f>
        <v/>
      </c>
      <c r="PU72" s="187" t="str">
        <f>IF(Compositions!AZ137="","",((PL72/100)*((VLOOKUP(Compositions!AW137,'HHV-LHV-MW'!$A$3:$G$40,7,FALSE)))))</f>
        <v/>
      </c>
      <c r="PV72" s="187" t="str">
        <f>IF(PL72="","",(IF(OR(Compositions!AW137="Hydrogen",Compositions!AW137="Carbon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Dioxide",Compositions!AW137="Methane",Compositions!AW137="Ethane"),0,(PL72/100))))</f>
        <v/>
      </c>
      <c r="PW72" s="205" t="str">
        <f>IF(PL72="","",(IF(OR($PV$78=0,$PV$78=""),0,     ((VLOOKUP(Compositions!AW137,'HHV-LHV-MW'!$A$3:$F$40,6,FALSE))*(PV72/$PV$78)))))</f>
        <v/>
      </c>
      <c r="PX72" s="28" t="str">
        <f>IF(Compositions!BA137="","",IF(Compositions!$BA$118="mol%",Compositions!BA137,PY72))</f>
        <v/>
      </c>
      <c r="PY72" s="28" t="str">
        <f t="shared" si="59"/>
        <v/>
      </c>
      <c r="PZ72" s="28" t="str">
        <f>IF(Compositions!BA137="","",(Compositions!BA137/(VLOOKUP(Compositions!AW137,'HHV-LHV-MW'!$A$3:$F$40,6,FALSE))))</f>
        <v/>
      </c>
      <c r="QA72" s="184" t="str">
        <f>IF(PX72="","",((VLOOKUP(Compositions!AW137,'HHV-LHV-MW'!$A$3:$F$40,4,FALSE))*(PX72/100)))</f>
        <v/>
      </c>
      <c r="QB72" s="184" t="str">
        <f>IF(PX72="","",((VLOOKUP(Compositions!AW137,'HHV-LHV-MW'!$A$3:$F$40,5,FALSE))*(PX72/100)))</f>
        <v/>
      </c>
      <c r="QC72" s="184" t="str">
        <f>IF(PX72="","",((VLOOKUP(Compositions!AW137,'HHV-LHV-MW'!$A$3:$F$40,6,FALSE))*(PX72/100)))</f>
        <v/>
      </c>
      <c r="QD72" s="184" t="str">
        <f>IF(Compositions!BA137="","",(Compositions!BA137*(VLOOKUP(Compositions!AW137,'HHV-LHV-MW'!$A$3:$F$40,6,FALSE))))</f>
        <v/>
      </c>
      <c r="QE72" s="297" t="str">
        <f>IF(Compositions!BA137="","",IF(OR(Compositions!$BA$118="wt%",Compositions!$BA$118=""),Compositions!BA137,(IF(QD72="","",((QD72/$QD$78)*100)))))</f>
        <v/>
      </c>
      <c r="QF72" s="39" t="str">
        <f>IF(QE72="","",(IF(OR(Compositions!AW137="Hydrogen",Compositions!AW137="Helium",Compositions!AW137="Water",Compositions!AW137="Carbon Monoxide",Compositions!AW137="Nitrogen",Compositions!AW137="Oxygen",Compositions!AW137="Hydrogen Sulfide",Compositions!AW137="Argon",Compositions!AW137="Carbon Dioxide",Compositions!AW137="Carbon Disulfide"),0,QE72)))</f>
        <v/>
      </c>
      <c r="QG72" s="186" t="str">
        <f>IF(Compositions!BA137="","",((PX72/100)*((VLOOKUP(Compositions!AW137,'HHV-LHV-MW'!$A$3:$G$40,7,FALSE)))))</f>
        <v/>
      </c>
      <c r="QH72" s="186" t="str">
        <f>IF(PX72="","",(IF(OR(Compositions!AW137="Hydrogen",Compositions!AW137="Carbon Disulfide",Compositions!AW137="Helium",Compositions!AW137="Water",Compositions!AW137="Carbon Monoxide",Compositions!AW137="Nitrogen",Compositions!AW137="Oxygen",Compositions!AW137="Hydrogen Sulfide",Compositions!AW137="Argon",Compositions!AW137="Carbon Dioxide",Compositions!AW137="Methane",Compositions!AW137="Ethane"),0,(PX72/100))))</f>
        <v/>
      </c>
      <c r="QI72" s="39" t="str">
        <f>IF(PX72="","",(IF(OR($QH$78=0,$QH$78=""),0,     ((VLOOKUP(Compositions!AW137,'HHV-LHV-MW'!$A$3:$F$40,6,FALSE))*(QH72/$QH$78)))))</f>
        <v/>
      </c>
      <c r="QK72" s="27" t="str">
        <f>IF(Compositions!BD137="","",IF(Compositions!$BD$118="mol%",Compositions!BD137,QL72))</f>
        <v/>
      </c>
      <c r="QL72" s="27" t="str">
        <f t="shared" si="60"/>
        <v/>
      </c>
      <c r="QM72" s="27" t="str">
        <f>IF(Compositions!BD137="","",(Compositions!BD137/(VLOOKUP(Compositions!BC137,'HHV-LHV-MW'!$A$3:$F$40,6,FALSE))))</f>
        <v/>
      </c>
      <c r="QN72" s="185" t="str">
        <f>IF(QK72="","",((VLOOKUP(Compositions!BC137,'HHV-LHV-MW'!$A$3:$F$40,4,FALSE))*(QK72/100)))</f>
        <v/>
      </c>
      <c r="QO72" s="185" t="str">
        <f>IF(QK72="","",((VLOOKUP(Compositions!BC137,'HHV-LHV-MW'!$A$3:$F$40,5,FALSE))*(QK72/100)))</f>
        <v/>
      </c>
      <c r="QP72" s="185" t="str">
        <f>IF(QK72="","",((VLOOKUP(Compositions!BC137,'HHV-LHV-MW'!$A$3:$F$40,6,FALSE))*(QK72/100)))</f>
        <v/>
      </c>
      <c r="QQ72" s="185" t="str">
        <f>IF(Compositions!BD137="","",(Compositions!BD137*(VLOOKUP(Compositions!BC137,'HHV-LHV-MW'!$A$3:$F$40,6,FALSE))))</f>
        <v/>
      </c>
      <c r="QR72" s="298" t="str">
        <f>IF(Compositions!BD137="","",IF(OR(Compositions!$BD$118="wt%",Compositions!$BD$118=""),Compositions!BD137,(IF(QQ72="","",((QQ72/$QQ$78)*100)))))</f>
        <v/>
      </c>
      <c r="QS72" s="185" t="str">
        <f>IF(QR72="","",(IF(OR(Compositions!BC137="Hydrogen",Compositions!BC137="Helium",Compositions!BC137="Water",Compositions!BC137="Carbon Monoxide",Compositions!BC137="Nitrogen",Compositions!BC137="Oxygen",Compositions!BC137="Hydrogen Sulfide",Compositions!BC137="Argon",Compositions!BC137="Carbon Dioxide",Compositions!BC137="Carbon Disulfide"),0,QR72)))</f>
        <v/>
      </c>
      <c r="QT72" s="187" t="str">
        <f>IF(Compositions!BD137="","",((QK72/100)*((VLOOKUP(Compositions!BC137,'HHV-LHV-MW'!$A$3:$G$40,7,FALSE)))))</f>
        <v/>
      </c>
      <c r="QU72" s="187" t="str">
        <f>IF(QK72="","",(IF(OR(Compositions!BC137="Hydrogen",Compositions!BC137="Carbon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Dioxide",Compositions!BC137="Methane",Compositions!BC137="Ethane"),0,(QK72/100))))</f>
        <v/>
      </c>
      <c r="QV72" s="205" t="str">
        <f>IF(QK72="","",(IF(OR($QU$78=0,$QU$78=""),0,     ((VLOOKUP(Compositions!BC137,'HHV-LHV-MW'!$A$3:$F$40,6,FALSE))*(QU72/$QU$78)))))</f>
        <v/>
      </c>
      <c r="QW72" s="28" t="str">
        <f>IF(Compositions!BE137="","",IF(Compositions!$BE$118="mol%",Compositions!BE137,QX72))</f>
        <v/>
      </c>
      <c r="QX72" s="28" t="str">
        <f t="shared" si="61"/>
        <v/>
      </c>
      <c r="QY72" s="28" t="str">
        <f>IF(Compositions!BE137="","",(Compositions!BE137/(VLOOKUP(Compositions!BC137,'HHV-LHV-MW'!$A$3:$F$40,6,FALSE))))</f>
        <v/>
      </c>
      <c r="QZ72" s="184" t="str">
        <f>IF(QW72="","",((VLOOKUP(Compositions!BC137,'HHV-LHV-MW'!$A$3:$F$40,4,FALSE))*(QW72/100)))</f>
        <v/>
      </c>
      <c r="RA72" s="184" t="str">
        <f>IF(QW72="","",((VLOOKUP(Compositions!BC137,'HHV-LHV-MW'!$A$3:$F$40,5,FALSE))*(QW72/100)))</f>
        <v/>
      </c>
      <c r="RB72" s="184" t="str">
        <f>IF(QW72="","",((VLOOKUP(Compositions!BC137,'HHV-LHV-MW'!$A$3:$F$40,6,FALSE))*(QW72/100)))</f>
        <v/>
      </c>
      <c r="RC72" s="184" t="str">
        <f>IF(Compositions!BE137="","",(Compositions!BE137*(VLOOKUP(Compositions!BC137,'HHV-LHV-MW'!$A$3:$F$40,6,FALSE))))</f>
        <v/>
      </c>
      <c r="RD72" s="297" t="str">
        <f>IF(Compositions!BE137="","",IF(OR(Compositions!$BE$118="wt%",Compositions!$BE$118=""),Compositions!BE137,(IF(RC72="","",((RC72/$RC$78)*100)))))</f>
        <v/>
      </c>
      <c r="RE72" s="39" t="str">
        <f>IF(RD72="","",(IF(OR(Compositions!BC137="Hydrogen",Compositions!BC137="Helium",Compositions!BC137="Water",Compositions!BC137="Carbon Monoxide",Compositions!BC137="Nitrogen",Compositions!BC137="Oxygen",Compositions!BC137="Hydrogen Sulfide",Compositions!BC137="Argon",Compositions!BC137="Carbon Dioxide",Compositions!BC137="Carbon Disulfide"),0,RD72)))</f>
        <v/>
      </c>
      <c r="RF72" s="186" t="str">
        <f>IF(Compositions!BE137="","",((QW72/100)*((VLOOKUP(Compositions!BC137,'HHV-LHV-MW'!$A$3:$G$40,7,FALSE)))))</f>
        <v/>
      </c>
      <c r="RG72" s="186" t="str">
        <f>IF(QW72="","",(IF(OR(Compositions!BC137="Hydrogen",Compositions!BC137="Carbon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Dioxide",Compositions!BC137="Methane",Compositions!BC137="Ethane"),0,(QW72/100))))</f>
        <v/>
      </c>
      <c r="RH72" s="39" t="str">
        <f>IF(QW72="","",(IF(OR($RG$78=0,$RG$78=""),0,     ((VLOOKUP(Compositions!BC137,'HHV-LHV-MW'!$A$3:$F$40,6,FALSE))*(RG72/$RG$78)))))</f>
        <v/>
      </c>
      <c r="RI72" s="27" t="str">
        <f>IF(Compositions!BF137="","",IF(Compositions!$BF$118="mol%",Compositions!BF137,RJ72))</f>
        <v/>
      </c>
      <c r="RJ72" s="27" t="str">
        <f t="shared" si="62"/>
        <v/>
      </c>
      <c r="RK72" s="27" t="str">
        <f>IF(Compositions!BF137="","",(Compositions!BF137/(VLOOKUP(Compositions!BC137,'HHV-LHV-MW'!$A$3:$F$40,6,FALSE))))</f>
        <v/>
      </c>
      <c r="RL72" s="185" t="str">
        <f>IF(RI72="","",((VLOOKUP(Compositions!BC137,'HHV-LHV-MW'!$A$3:$F$40,4,FALSE))*(RI72/100)))</f>
        <v/>
      </c>
      <c r="RM72" s="185" t="str">
        <f>IF(RI72="","",((VLOOKUP(Compositions!BC137,'HHV-LHV-MW'!$A$3:$F$40,5,FALSE))*(RI72/100)))</f>
        <v/>
      </c>
      <c r="RN72" s="185" t="str">
        <f>IF(RI72="","",((VLOOKUP(Compositions!BC137,'HHV-LHV-MW'!$A$3:$F$40,6,FALSE))*(RI72/100)))</f>
        <v/>
      </c>
      <c r="RO72" s="185" t="str">
        <f>IF(Compositions!BF137="","",(Compositions!BF137*(VLOOKUP(Compositions!BC137,'HHV-LHV-MW'!$A$3:$F$40,6,FALSE))))</f>
        <v/>
      </c>
      <c r="RP72" s="298" t="str">
        <f>IF(Compositions!BF137="","",IF(OR(Compositions!$BF$118="wt%",Compositions!$BF$118=""),Compositions!BF137,(IF(RO72="","",((RO72/$RO$78)*100)))))</f>
        <v/>
      </c>
      <c r="RQ72" s="185" t="str">
        <f>IF(RP72="","",(IF(OR(Compositions!BC137="Hydrogen",Compositions!BC137="Helium",Compositions!BC137="Water",Compositions!BC137="Carbon Monoxide",Compositions!BC137="Nitrogen",Compositions!BC137="Oxygen",Compositions!BC137="Hydrogen Sulfide",Compositions!BC137="Argon",Compositions!BC137="Carbon Dioxide",Compositions!BC137="Carbon Disulfide"),0,RP72)))</f>
        <v/>
      </c>
      <c r="RR72" s="187" t="str">
        <f>IF(Compositions!BF137="","",((RI72/100)*((VLOOKUP(Compositions!BC137,'HHV-LHV-MW'!$A$3:$G$40,7,FALSE)))))</f>
        <v/>
      </c>
      <c r="RS72" s="187" t="str">
        <f>IF(RI72="","",(IF(OR(Compositions!BC137="Hydrogen",Compositions!BC137="Carbon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Dioxide",Compositions!BC137="Methane",Compositions!BC137="Ethane"),0,(RI72/100))))</f>
        <v/>
      </c>
      <c r="RT72" s="205" t="str">
        <f>IF(RI72="","",(IF(OR($RS$78=0,$RS$78=""),0,     ((VLOOKUP(Compositions!BC137,'HHV-LHV-MW'!$A$3:$F$40,6,FALSE))*(RS72/$RS$78)))))</f>
        <v/>
      </c>
      <c r="RU72" s="28" t="str">
        <f>IF(Compositions!BG137="","",IF(Compositions!$BG$118="mol%",Compositions!BG137,RV72))</f>
        <v/>
      </c>
      <c r="RV72" s="28" t="str">
        <f t="shared" si="63"/>
        <v/>
      </c>
      <c r="RW72" s="28" t="str">
        <f>IF(Compositions!BG137="","",(Compositions!BG137/(VLOOKUP(Compositions!BC137,'HHV-LHV-MW'!$A$3:$F$40,6,FALSE))))</f>
        <v/>
      </c>
      <c r="RX72" s="184" t="str">
        <f>IF(RU72="","",((VLOOKUP(Compositions!BC137,'HHV-LHV-MW'!$A$3:$F$40,4,FALSE))*(RU72/100)))</f>
        <v/>
      </c>
      <c r="RY72" s="184" t="str">
        <f>IF(RU72="","",((VLOOKUP(Compositions!BC137,'HHV-LHV-MW'!$A$3:$F$40,5,FALSE))*(RU72/100)))</f>
        <v/>
      </c>
      <c r="RZ72" s="184" t="str">
        <f>IF(RU72="","",((VLOOKUP(Compositions!BC137,'HHV-LHV-MW'!$A$3:$F$40,6,FALSE))*(RU72/100)))</f>
        <v/>
      </c>
      <c r="SA72" s="184" t="str">
        <f>IF(Compositions!BG137="","",(Compositions!BG137*(VLOOKUP(Compositions!BC137,'HHV-LHV-MW'!$A$3:$F$40,6,FALSE))))</f>
        <v/>
      </c>
      <c r="SB72" s="297" t="str">
        <f>IF(Compositions!BG137="","",IF(OR(Compositions!$BG$118="wt%",Compositions!$BG$118=""),Compositions!BG137,(IF(SA72="","",((SA72/$SA$78)*100)))))</f>
        <v/>
      </c>
      <c r="SC72" s="39" t="str">
        <f>IF(SB72="","",(IF(OR(Compositions!BC137="Hydrogen",Compositions!BC137="Helium",Compositions!BC137="Water",Compositions!BC137="Carbon Monoxide",Compositions!BC137="Nitrogen",Compositions!BC137="Oxygen",Compositions!BC137="Hydrogen Sulfide",Compositions!BC137="Argon",Compositions!BC137="Carbon Dioxide",Compositions!BC137="Carbon Disulfide"),0,SB72)))</f>
        <v/>
      </c>
      <c r="SD72" s="186" t="str">
        <f>IF(Compositions!BG137="","",((RU72/100)*((VLOOKUP(Compositions!BC137,'HHV-LHV-MW'!$A$3:$G$40,7,FALSE)))))</f>
        <v/>
      </c>
      <c r="SE72" s="186" t="str">
        <f>IF(RU72="","",(IF(OR(Compositions!BC137="Hydrogen",Compositions!BC137="Carbon Disulfide",Compositions!BC137="Helium",Compositions!BC137="Water",Compositions!BC137="Carbon Monoxide",Compositions!BC137="Nitrogen",Compositions!BC137="Oxygen",Compositions!BC137="Hydrogen Sulfide",Compositions!BC137="Argon",Compositions!BC137="Carbon Dioxide",Compositions!BC137="Methane",Compositions!BC137="Ethane"),0,(RU72/100))))</f>
        <v/>
      </c>
      <c r="SF72" s="39" t="str">
        <f>IF(RU72="","",(IF(OR($SE$78=0,$SE$78=""),0,     ((VLOOKUP(Compositions!BC137,'HHV-LHV-MW'!$A$3:$F$40,6,FALSE))*(SE72/$SE$78)))))</f>
        <v/>
      </c>
    </row>
    <row r="73" spans="1:500" ht="15.6">
      <c r="A73" s="173" t="s">
        <v>206</v>
      </c>
      <c r="B73" s="19" t="s">
        <v>192</v>
      </c>
      <c r="C73" s="20">
        <v>6</v>
      </c>
      <c r="D73" s="20">
        <v>4.1900000000000004</v>
      </c>
      <c r="E73" s="20">
        <v>3.8774999999999999</v>
      </c>
      <c r="F73" s="20">
        <v>86.177160000000001</v>
      </c>
      <c r="G73" s="20">
        <v>0</v>
      </c>
      <c r="H73" s="170"/>
      <c r="I73" s="170"/>
      <c r="K73" s="27" t="str">
        <f>IF(Compositions!B138="","",IF(Compositions!$B$118="mol%",Compositions!B138,L73))</f>
        <v/>
      </c>
      <c r="L73" s="27" t="str">
        <f t="shared" si="25"/>
        <v/>
      </c>
      <c r="M73" s="27" t="str">
        <f>IF(Compositions!B138="","",(Compositions!B138/(VLOOKUP(Compositions!A138,'HHV-LHV-MW'!$A$3:$F$40,6,FALSE))))</f>
        <v/>
      </c>
      <c r="N73" s="25" t="str">
        <f>IF(K73="","",((VLOOKUP(Compositions!A138,'HHV-LHV-MW'!$A$3:$F$40,4,FALSE))*(K73/100)))</f>
        <v/>
      </c>
      <c r="O73" s="25" t="str">
        <f>IF(K73="","",((VLOOKUP(Compositions!A138,'HHV-LHV-MW'!$A$3:$F$40,5,FALSE))*(K73/100)))</f>
        <v/>
      </c>
      <c r="P73" s="25" t="str">
        <f>IF(K73="","",((VLOOKUP(Compositions!A138,'HHV-LHV-MW'!$A$3:$F$40,6,FALSE))*(K73/100)))</f>
        <v/>
      </c>
      <c r="Q73" s="25" t="str">
        <f>IF(Compositions!B138="","",(Compositions!B138*(VLOOKUP(Compositions!A138,'HHV-LHV-MW'!$A$3:$F$40,6,FALSE))))</f>
        <v/>
      </c>
      <c r="R73" s="188" t="str">
        <f>IF(Compositions!B138="","",IF(OR(Compositions!$B$118="wt%",Compositions!$B$118=""),Compositions!B138,(IF(Q73="","",((Q73/$Q$78)*100)))))</f>
        <v/>
      </c>
      <c r="S73" s="185" t="str">
        <f>IF(R73="","",(IF(OR(Compositions!A138="Hydrogen",Compositions!A138="Helium",Compositions!A138="Water",Compositions!A138="Carbon Monoxide",Compositions!A138="Nitrogen",Compositions!A138="Oxygen",Compositions!A138="Hydrogen Sulfide",Compositions!A138="Argon",Compositions!A138="Carbon Dioxide",Compositions!A138="Carbon Disulfide"),0,R73)))</f>
        <v/>
      </c>
      <c r="T73" s="169" t="str">
        <f>IF(Compositions!B138="","",((K73/100)*((VLOOKUP(Compositions!A138,'HHV-LHV-MW'!$A$3:$G$40,7,FALSE)))))</f>
        <v/>
      </c>
      <c r="U73" s="187" t="str">
        <f>IF(K73="","",(IF(OR(Compositions!A138="Hydrogen",Compositions!A138="Carbon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Dioxide",Compositions!A138="Methane",Compositions!A138="Ethane"),0,(K73/100))))</f>
        <v/>
      </c>
      <c r="V73" s="188" t="str">
        <f>IF(K73="","", (IF(OR($U$78=0,$U$78=""),0,((VLOOKUP(Compositions!A138,'HHV-LHV-MW'!$A$3:$F$40,6,FALSE))*(U73/$U$78))   ))   )</f>
        <v/>
      </c>
      <c r="W73" s="28" t="str">
        <f>IF(Compositions!C138="","",IF(Compositions!$C$118="mol%",Compositions!C138,X73))</f>
        <v/>
      </c>
      <c r="X73" s="28" t="str">
        <f t="shared" si="26"/>
        <v/>
      </c>
      <c r="Y73" s="28" t="str">
        <f>IF(Compositions!C138="","",(Compositions!C138/(VLOOKUP(Compositions!A138,'HHV-LHV-MW'!$A$3:$F$40,6,FALSE))))</f>
        <v/>
      </c>
      <c r="Z73" s="26" t="str">
        <f>IF(W73="","",((VLOOKUP(Compositions!A138,'HHV-LHV-MW'!$A$3:$F$40,4,FALSE))*(W73/100)))</f>
        <v/>
      </c>
      <c r="AA73" s="26" t="str">
        <f>IF(W73="","",((VLOOKUP(Compositions!A138,'HHV-LHV-MW'!$A$3:$F$40,5,FALSE))*(W73/100)))</f>
        <v/>
      </c>
      <c r="AB73" s="26" t="str">
        <f>IF(W73="","",((VLOOKUP(Compositions!A138,'HHV-LHV-MW'!$A$3:$F$40,6,FALSE))*(W73/100)))</f>
        <v/>
      </c>
      <c r="AC73" s="26" t="str">
        <f>IF(Compositions!C138="","",(Compositions!C138*(VLOOKUP(Compositions!A138,'HHV-LHV-MW'!$A$3:$F$40,6,FALSE))))</f>
        <v/>
      </c>
      <c r="AD73" s="296" t="str">
        <f>IF(Compositions!C138="","",IF(OR(Compositions!$C$118="wt%",Compositions!$C$118=""),Compositions!C138,(IF(AC73="","",((AC73/$AC$78)*100)))))</f>
        <v/>
      </c>
      <c r="AE73" s="39" t="str">
        <f>IF(AD73="","",(IF(OR(Compositions!A138="Hydrogen",Compositions!A138="Helium",Compositions!A138="Water",Compositions!A138="Carbon Monoxide",Compositions!A138="Nitrogen",Compositions!A138="Oxygen",Compositions!A138="Hydrogen Sulfide",Compositions!A138="Argon",Compositions!A138="Carbon Dioxide",Compositions!A138="Carbon Disulfide"),0,AD73)))</f>
        <v/>
      </c>
      <c r="AF73" s="186" t="str">
        <f>IF(Compositions!C138="","",((W73/100)*((VLOOKUP(Compositions!A138,'HHV-LHV-MW'!$A$3:$G$40,7,FALSE)))))</f>
        <v/>
      </c>
      <c r="AG73" s="186" t="str">
        <f>IF(W73="","",(IF(OR(Compositions!A138="Hydrogen",Compositions!A138="Carbon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Dioxide",Compositions!A138="Methane",Compositions!A138="Ethane"),0,(W73/100))))</f>
        <v/>
      </c>
      <c r="AH73" s="39" t="str">
        <f>IF(W73="","", (IF(OR($AG$78=0,$AG$78=""),0,   ((VLOOKUP(Compositions!A138,'HHV-LHV-MW'!$A$3:$F$40,6,FALSE))*(AG73/$AG$78)))))</f>
        <v/>
      </c>
      <c r="AI73" s="27" t="str">
        <f>IF(Compositions!D138="","",IF(Compositions!$D$118="mol%",Compositions!D138,AJ73))</f>
        <v/>
      </c>
      <c r="AJ73" s="27" t="str">
        <f t="shared" si="27"/>
        <v/>
      </c>
      <c r="AK73" s="27" t="str">
        <f>IF(Compositions!D138="","",(Compositions!D138/(VLOOKUP(Compositions!A138,'HHV-LHV-MW'!$A$3:$F$40,6,FALSE))))</f>
        <v/>
      </c>
      <c r="AL73" s="25" t="str">
        <f>IF(AI73="","",((VLOOKUP(Compositions!A138,'HHV-LHV-MW'!$A$3:$F$40,4,FALSE))*(AI73/100)))</f>
        <v/>
      </c>
      <c r="AM73" s="25" t="str">
        <f>IF(AI73="","",((VLOOKUP(Compositions!A138,'HHV-LHV-MW'!$A$3:$F$40,5,FALSE))*(AI73/100)))</f>
        <v/>
      </c>
      <c r="AN73" s="25" t="str">
        <f>IF(AI73="","",((VLOOKUP(Compositions!A138,'HHV-LHV-MW'!$A$3:$F$40,6,FALSE))*(AI73/100)))</f>
        <v/>
      </c>
      <c r="AO73" s="25" t="str">
        <f>IF(Compositions!D138="","",(Compositions!D138*(VLOOKUP(Compositions!A138,'HHV-LHV-MW'!$A$3:$F$40,6,FALSE))))</f>
        <v/>
      </c>
      <c r="AP73" s="295" t="str">
        <f>IF(Compositions!D138="","",IF(OR(Compositions!$D$118="wt%",Compositions!$D$118=""),Compositions!D138,(IF(AO73="","",((AO73/$AO$78)*100)))))</f>
        <v/>
      </c>
      <c r="AQ73" s="185" t="str">
        <f>IF(AP73="","",(IF(OR(Compositions!A138="Hydrogen",Compositions!A138="Helium",Compositions!A138="Water",Compositions!A138="Carbon Monoxide",Compositions!A138="Nitrogen",Compositions!A138="Oxygen",Compositions!A138="Hydrogen Sulfide",Compositions!A138="Argon",Compositions!A138="Carbon Dioxide",Compositions!A138="Carbon Disulfide"),0,AP73)))</f>
        <v/>
      </c>
      <c r="AR73" s="187" t="str">
        <f>IF(Compositions!D138="","",((AI73/100)*((VLOOKUP(Compositions!A138,'HHV-LHV-MW'!$A$3:$G$40,7,FALSE)))))</f>
        <v/>
      </c>
      <c r="AS73" s="187" t="str">
        <f>IF(AI73="","",(IF(OR(Compositions!A138="Hydrogen",Compositions!A138="Carbon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Dioxide",Compositions!A138="Methane",Compositions!A138="Ethane"),0,(AI73/100))))</f>
        <v/>
      </c>
      <c r="AT73" s="205" t="str">
        <f>IF(AI73="","",(IF(OR($AS$78=0,$AS$78=""),0,      ((VLOOKUP(Compositions!A138,'HHV-LHV-MW'!$A$3:$F$40,6,FALSE))*(AS73/$AS$78)))))</f>
        <v/>
      </c>
      <c r="AU73" s="28" t="str">
        <f>IF(Compositions!E138="","",IF(Compositions!$E$118="mol%",Compositions!E138,AV73))</f>
        <v/>
      </c>
      <c r="AV73" s="28" t="str">
        <f t="shared" si="28"/>
        <v/>
      </c>
      <c r="AW73" s="28" t="str">
        <f>IF(Compositions!E138="","",(Compositions!E138/(VLOOKUP(Compositions!A138,'HHV-LHV-MW'!$A$3:$F$40,6,FALSE))))</f>
        <v/>
      </c>
      <c r="AX73" s="26" t="str">
        <f>IF(AU73="","",((VLOOKUP(Compositions!A138,'HHV-LHV-MW'!$A$3:$F$40,4,FALSE))*(AU73/100)))</f>
        <v/>
      </c>
      <c r="AY73" s="26" t="str">
        <f>IF(AU73="","",((VLOOKUP(Compositions!A138,'HHV-LHV-MW'!$A$3:$F$40,5,FALSE))*(AU73/100)))</f>
        <v/>
      </c>
      <c r="AZ73" s="26" t="str">
        <f>IF(AU73="","",((VLOOKUP(Compositions!A138,'HHV-LHV-MW'!$A$3:$F$40,6,FALSE))*(AU73/100)))</f>
        <v/>
      </c>
      <c r="BA73" s="26" t="str">
        <f>IF(Compositions!E138="","",(Compositions!E138*(VLOOKUP(Compositions!A138,'HHV-LHV-MW'!$A$3:$F$40,6,FALSE))))</f>
        <v/>
      </c>
      <c r="BB73" s="296" t="str">
        <f>IF(Compositions!E138="","",IF(OR(Compositions!$E$118="wt%",Compositions!$E$118=""),Compositions!E138,(IF(BA73="","",((BA73/$BA$78)*100)))))</f>
        <v/>
      </c>
      <c r="BC73" s="39" t="str">
        <f>IF(BB73="","",(IF(OR(Compositions!A138="Hydrogen",Compositions!A138="Helium",Compositions!A138="Water",Compositions!A138="Carbon Monoxide",Compositions!A138="Nitrogen",Compositions!A138="Oxygen",Compositions!A138="Hydrogen Sulfide",Compositions!A138="Argon",Compositions!A138="Carbon Dioxide",Compositions!A138="Carbon Disulfide"),0,BB73)))</f>
        <v/>
      </c>
      <c r="BD73" s="186" t="str">
        <f>IF(Compositions!E138="","",((AU73/100)*((VLOOKUP(Compositions!A138,'HHV-LHV-MW'!$A$3:$G$40,7,FALSE)))))</f>
        <v/>
      </c>
      <c r="BE73" s="186" t="str">
        <f>IF(AU73="","",(IF(OR(Compositions!A138="Hydrogen",Compositions!A138="Carbon Disulfide",Compositions!A138="Helium",Compositions!A138="Water",Compositions!A138="Carbon Monoxide",Compositions!A138="Nitrogen",Compositions!A138="Oxygen",Compositions!A138="Hydrogen Sulfide",Compositions!A138="Argon",Compositions!A138="Carbon Dioxide",Compositions!A138="Methane",Compositions!A138="Ethane"),0,(AU73/100))))</f>
        <v/>
      </c>
      <c r="BF73" s="39" t="str">
        <f>IF(AU73="","",(IF(OR($BE$78=0,$BE$78=""),0,     ((VLOOKUP(Compositions!A138,'HHV-LHV-MW'!$A$3:$F$40,6,FALSE))*(BE73/$BE$78)))))</f>
        <v/>
      </c>
      <c r="BH73" s="27" t="str">
        <f>IF(Compositions!H138="","",IF(Compositions!$H$118="mol%",Compositions!H138,BI73))</f>
        <v/>
      </c>
      <c r="BI73" s="27" t="str">
        <f t="shared" si="29"/>
        <v/>
      </c>
      <c r="BJ73" s="27" t="str">
        <f>IF(Compositions!H138="","",(Compositions!H138/(VLOOKUP(Compositions!G138,'HHV-LHV-MW'!$A$3:$F$40,6,FALSE))))</f>
        <v/>
      </c>
      <c r="BK73" s="25" t="str">
        <f>IF(BH73="","",((VLOOKUP(Compositions!G138,'HHV-LHV-MW'!$A$3:$F$40,4,FALSE))*(BH73/100)))</f>
        <v/>
      </c>
      <c r="BL73" s="25" t="str">
        <f>IF(BH73="","",((VLOOKUP(Compositions!G138,'HHV-LHV-MW'!$A$3:$F$40,5,FALSE))*(BH73/100)))</f>
        <v/>
      </c>
      <c r="BM73" s="25" t="str">
        <f>IF(BH73="","",((VLOOKUP(Compositions!G138,'HHV-LHV-MW'!$A$3:$F$40,6,FALSE))*(BH73/100)))</f>
        <v/>
      </c>
      <c r="BN73" s="25" t="str">
        <f>IF(Compositions!H138="","",(Compositions!H138*(VLOOKUP(Compositions!G138,'HHV-LHV-MW'!$A$3:$F$40,6,FALSE))))</f>
        <v/>
      </c>
      <c r="BO73" s="295" t="str">
        <f>IF(Compositions!H138="","",IF(OR(Compositions!$H$118="wt%",Compositions!$H$118=""),Compositions!H138,(IF(BN73="","",((BN73/$BN$78)*100)))))</f>
        <v/>
      </c>
      <c r="BP73" s="185" t="str">
        <f>IF(BO73="","",(IF(OR(Compositions!G138="Hydrogen",Compositions!G138="Helium",Compositions!G138="Water",Compositions!G138="Carbon Monoxide",Compositions!G138="Nitrogen",Compositions!G138="Oxygen",Compositions!G138="Hydrogen Sulfide",Compositions!G138="Argon",Compositions!G138="Carbon Dioxide",Compositions!G138="Carbon Disulfide"),0,BO73)))</f>
        <v/>
      </c>
      <c r="BQ73" s="187" t="str">
        <f>IF(Compositions!H138="","",((BH73/100)*((VLOOKUP(Compositions!G138,'HHV-LHV-MW'!$A$3:$G$40,7,FALSE)))))</f>
        <v/>
      </c>
      <c r="BR73" s="187" t="str">
        <f>IF(BH73="","",(IF(OR(Compositions!G138="Hydrogen",Compositions!G138="Carbon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Dioxide",Compositions!G138="Methane",Compositions!G138="Ethane"),0,(BH73/100))))</f>
        <v/>
      </c>
      <c r="BS73" s="205" t="str">
        <f>IF(BH73="","",(IF(OR($BR$78=0,$BR$78=""),0,    ((VLOOKUP(Compositions!G138,'HHV-LHV-MW'!$A$3:$F$40,6,FALSE))*(BR73/$BR$78)))))</f>
        <v/>
      </c>
      <c r="BT73" s="28" t="str">
        <f>IF(Compositions!I138="","",IF(Compositions!$I$118="mol%",Compositions!I138,BU73))</f>
        <v/>
      </c>
      <c r="BU73" s="28" t="str">
        <f t="shared" si="30"/>
        <v/>
      </c>
      <c r="BV73" s="28" t="str">
        <f>IF(Compositions!I138="","",(Compositions!I138/(VLOOKUP(Compositions!G138,'HHV-LHV-MW'!$A$3:$F$40,6,FALSE))))</f>
        <v/>
      </c>
      <c r="BW73" s="26" t="str">
        <f>IF(BT73="","",((VLOOKUP(Compositions!G138,'HHV-LHV-MW'!$A$3:$F$40,4,FALSE))*(BT73/100)))</f>
        <v/>
      </c>
      <c r="BX73" s="26" t="str">
        <f>IF(BT73="","",((VLOOKUP(Compositions!G138,'HHV-LHV-MW'!$A$3:$F$40,5,FALSE))*(BT73/100)))</f>
        <v/>
      </c>
      <c r="BY73" s="26" t="str">
        <f>IF(BT73="","",((VLOOKUP(Compositions!G138,'HHV-LHV-MW'!$A$3:$F$40,6,FALSE))*(BT73/100)))</f>
        <v/>
      </c>
      <c r="BZ73" s="26" t="str">
        <f>IF(Compositions!I138="","",(Compositions!I138*(VLOOKUP(Compositions!G138,'HHV-LHV-MW'!$A$3:$F$40,6,FALSE))))</f>
        <v/>
      </c>
      <c r="CA73" s="296" t="str">
        <f>IF(Compositions!I138="","",IF(OR(Compositions!$I$118="wt%",Compositions!$I$118=""),Compositions!I138,(IF(BZ73="","",((BZ73/$BZ$78)*100)))))</f>
        <v/>
      </c>
      <c r="CB73" s="39" t="str">
        <f>IF(CA73="","",(IF(OR(Compositions!G138="Hydrogen",Compositions!G138="Helium",Compositions!G138="Water",Compositions!G138="Carbon Monoxide",Compositions!G138="Nitrogen",Compositions!G138="Oxygen",Compositions!G138="Hydrogen Sulfide",Compositions!G138="Argon",Compositions!G138="Carbon Dioxide",Compositions!G138="Carbon Disulfide"),0,CA73)))</f>
        <v/>
      </c>
      <c r="CC73" s="186" t="str">
        <f>IF(Compositions!I138="","",((BT73/100)*((VLOOKUP(Compositions!G138,'HHV-LHV-MW'!$A$3:$G$40,7,FALSE)))))</f>
        <v/>
      </c>
      <c r="CD73" s="186" t="str">
        <f>IF(BT73="","",(IF(OR(Compositions!G138="Hydrogen",Compositions!G138="Carbon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Dioxide",Compositions!G138="Methane",Compositions!G138="Ethane"),0,(BT73/100))))</f>
        <v/>
      </c>
      <c r="CE73" s="39" t="str">
        <f>IF(BT73="","",(IF(OR($CD$78=0,$CD$78=""),0,       ((VLOOKUP(Compositions!G138,'HHV-LHV-MW'!$A$3:$F$40,6,FALSE))*(CD73/$CD$78)))))</f>
        <v/>
      </c>
      <c r="CF73" s="27" t="str">
        <f>IF(Compositions!J138="","",IF(Compositions!$J$118="mol%",Compositions!J138,CG73))</f>
        <v/>
      </c>
      <c r="CG73" s="27" t="str">
        <f t="shared" si="31"/>
        <v/>
      </c>
      <c r="CH73" s="27" t="str">
        <f>IF(Compositions!J138="","",(Compositions!J138/(VLOOKUP(Compositions!G138,'HHV-LHV-MW'!$A$3:$F$40,6,FALSE))))</f>
        <v/>
      </c>
      <c r="CI73" s="25" t="str">
        <f>IF(CF73="","",((VLOOKUP(Compositions!G138,'HHV-LHV-MW'!$A$3:$F$40,4,FALSE))*(CF73/100)))</f>
        <v/>
      </c>
      <c r="CJ73" s="25" t="str">
        <f>IF(CF73="","",((VLOOKUP(Compositions!G138,'HHV-LHV-MW'!$A$3:$F$40,5,FALSE))*(CF73/100)))</f>
        <v/>
      </c>
      <c r="CK73" s="25" t="str">
        <f>IF(CF73="","",((VLOOKUP(Compositions!G138,'HHV-LHV-MW'!$A$3:$F$40,6,FALSE))*(CF73/100)))</f>
        <v/>
      </c>
      <c r="CL73" s="25" t="str">
        <f>IF(Compositions!J138="","",(Compositions!J138*(VLOOKUP(Compositions!G138,'HHV-LHV-MW'!$A$3:$F$40,6,FALSE))))</f>
        <v/>
      </c>
      <c r="CM73" s="295" t="str">
        <f>IF(Compositions!J138="","",IF(OR(Compositions!$J$118="wt%",Compositions!$J$118=""),Compositions!J138,(IF(CL73="","",((CL73/$CL$78)*100)))))</f>
        <v/>
      </c>
      <c r="CN73" s="185" t="str">
        <f>IF(CM73="","",(IF(OR(Compositions!G138="Hydrogen",Compositions!G138="Helium",Compositions!G138="Water",Compositions!G138="Carbon Monoxide",Compositions!G138="Nitrogen",Compositions!G138="Oxygen",Compositions!G138="Hydrogen Sulfide",Compositions!G138="Argon",Compositions!G138="Carbon Dioxide",Compositions!G138="Carbon Disulfide"),0,CM73)))</f>
        <v/>
      </c>
      <c r="CO73" s="187" t="str">
        <f>IF(Compositions!J138="","",((CF73/100)*((VLOOKUP(Compositions!G138,'HHV-LHV-MW'!$A$3:$G$40,7,FALSE)))))</f>
        <v/>
      </c>
      <c r="CP73" s="187" t="str">
        <f>IF(CF73="","",(IF(OR(Compositions!G138="Hydrogen",Compositions!G138="Carbon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Dioxide",Compositions!G138="Methane",Compositions!G138="Ethane"),0,(CF73/100))))</f>
        <v/>
      </c>
      <c r="CQ73" s="205" t="str">
        <f>IF(CF73="","",(IF(OR($CP$78=0,$CP$78=""),0,       ((VLOOKUP(Compositions!G138,'HHV-LHV-MW'!$A$3:$F$40,6,FALSE))*(CP73/$CP$78)))))</f>
        <v/>
      </c>
      <c r="CR73" s="28" t="str">
        <f>IF(Compositions!K138="","",IF(Compositions!$K$118="mol%",Compositions!K138,CS73))</f>
        <v/>
      </c>
      <c r="CS73" s="28" t="str">
        <f t="shared" si="32"/>
        <v/>
      </c>
      <c r="CT73" s="28" t="str">
        <f>IF(Compositions!K138="","",(Compositions!K138/(VLOOKUP(Compositions!G138,'HHV-LHV-MW'!$A$3:$F$40,6,FALSE))))</f>
        <v/>
      </c>
      <c r="CU73" s="26" t="str">
        <f>IF(CR73="","",((VLOOKUP(Compositions!G138,'HHV-LHV-MW'!$A$3:$F$40,4,FALSE))*(CR73/100)))</f>
        <v/>
      </c>
      <c r="CV73" s="26" t="str">
        <f>IF(CR73="","",((VLOOKUP(Compositions!G138,'HHV-LHV-MW'!$A$3:$F$40,5,FALSE))*(CR73/100)))</f>
        <v/>
      </c>
      <c r="CW73" s="26" t="str">
        <f>IF(CR73="","",((VLOOKUP(Compositions!G138,'HHV-LHV-MW'!$A$3:$F$40,6,FALSE))*(CR73/100)))</f>
        <v/>
      </c>
      <c r="CX73" s="26" t="str">
        <f>IF(Compositions!K138="","",(Compositions!K138*(VLOOKUP(Compositions!G138,'HHV-LHV-MW'!$A$3:$F$40,6,FALSE))))</f>
        <v/>
      </c>
      <c r="CY73" s="296" t="str">
        <f>IF(Compositions!K138="","",IF(OR(Compositions!$K$118="wt%",Compositions!$K$118=""),Compositions!K138,(IF(CX73="","",((CX73/$CX$78)*100)))))</f>
        <v/>
      </c>
      <c r="CZ73" s="39" t="str">
        <f>IF(CY73="","",(IF(OR(Compositions!G138="Hydrogen",Compositions!G138="Helium",Compositions!G138="Water",Compositions!G138="Carbon Monoxide",Compositions!G138="Nitrogen",Compositions!G138="Oxygen",Compositions!G138="Hydrogen Sulfide",Compositions!G138="Argon",Compositions!G138="Carbon Dioxide",Compositions!G138="Carbon Disulfide"),0,CY73)))</f>
        <v/>
      </c>
      <c r="DA73" s="186" t="str">
        <f>IF(Compositions!K138="","",((CR73/100)*((VLOOKUP(Compositions!G138,'HHV-LHV-MW'!$A$3:$G$40,7,FALSE)))))</f>
        <v/>
      </c>
      <c r="DB73" s="186" t="str">
        <f>IF(CR73="","",(IF(OR(Compositions!G138="Hydrogen",Compositions!G138="Carbon Disulfide",Compositions!G138="Helium",Compositions!G138="Water",Compositions!G138="Carbon Monoxide",Compositions!G138="Nitrogen",Compositions!G138="Oxygen",Compositions!G138="Hydrogen Sulfide",Compositions!G138="Argon",Compositions!G138="Carbon Dioxide",Compositions!G138="Methane",Compositions!G138="Ethane"),0,(CR73/100))))</f>
        <v/>
      </c>
      <c r="DC73" s="39" t="str">
        <f>IF(CR73="","",(IF(OR($DB$78=0,$DB$78=""),0,       ((VLOOKUP(Compositions!G138,'HHV-LHV-MW'!$A$3:$F$40,6,FALSE))*(DB73/$DB$78)))))</f>
        <v/>
      </c>
      <c r="DE73" s="27" t="str">
        <f>IF(Compositions!N138="","",IF(Compositions!$N$118="mol%",Compositions!N138,DF73))</f>
        <v/>
      </c>
      <c r="DF73" s="27" t="str">
        <f t="shared" si="33"/>
        <v/>
      </c>
      <c r="DG73" s="27" t="str">
        <f>IF(Compositions!N138="","",(Compositions!N138/(VLOOKUP(Compositions!M138,'HHV-LHV-MW'!$A$3:$F$40,6,FALSE))))</f>
        <v/>
      </c>
      <c r="DH73" s="25" t="str">
        <f>IF(DE73="","",((VLOOKUP(Compositions!M138,'HHV-LHV-MW'!$A$3:$F$40,4,FALSE))*(DE73/100)))</f>
        <v/>
      </c>
      <c r="DI73" s="25" t="str">
        <f>IF(DE73="","",((VLOOKUP(Compositions!M138,'HHV-LHV-MW'!$A$3:$F$40,5,FALSE))*(DE73/100)))</f>
        <v/>
      </c>
      <c r="DJ73" s="25" t="str">
        <f>IF(DE73="","",((VLOOKUP(Compositions!M138,'HHV-LHV-MW'!$A$3:$F$40,6,FALSE))*(DE73/100)))</f>
        <v/>
      </c>
      <c r="DK73" s="25" t="str">
        <f>IF(Compositions!N138="","",(Compositions!N138*(VLOOKUP(Compositions!M138,'HHV-LHV-MW'!$A$3:$F$40,6,FALSE))))</f>
        <v/>
      </c>
      <c r="DL73" s="295" t="str">
        <f>IF(Compositions!N138="","",IF(OR(Compositions!$N$118="wt%",Compositions!$N$118=""),Compositions!N138,(IF(DK73="","",((DK73/$DK$78)*100)))))</f>
        <v/>
      </c>
      <c r="DM73" s="185" t="str">
        <f>IF(DL73="","",(IF(OR(Compositions!M138="Hydrogen",Compositions!M138="Helium",Compositions!M138="Water",Compositions!M138="Carbon Monoxide",Compositions!M138="Nitrogen",Compositions!M138="Oxygen",Compositions!M138="Hydrogen Sulfide",Compositions!M138="Argon",Compositions!M138="Carbon Dioxide",Compositions!M138="Carbon Disulfide"),0,DL73)))</f>
        <v/>
      </c>
      <c r="DN73" s="187" t="str">
        <f>IF(Compositions!N138="","",((DE73/100)*((VLOOKUP(Compositions!M138,'HHV-LHV-MW'!$A$3:$G$40,7,FALSE)))))</f>
        <v/>
      </c>
      <c r="DO73" s="187" t="str">
        <f>IF(DE73="","",(IF(OR(Compositions!M138="Hydrogen",Compositions!M138="Carbon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Dioxide",Compositions!M138="Methane",Compositions!M138="Ethane"),0,(DE73/100))))</f>
        <v/>
      </c>
      <c r="DP73" s="205" t="str">
        <f>IF(DE73="","",(IF(OR($DO$78=0,$DO$78=""),0,       ((VLOOKUP(Compositions!M138,'HHV-LHV-MW'!$A$3:$F$40,6,FALSE))*(DO73/$DO$78)))))</f>
        <v/>
      </c>
      <c r="DQ73" s="28" t="str">
        <f>IF(Compositions!O138="","",IF(Compositions!$O$118="mol%",Compositions!O138,DR73))</f>
        <v/>
      </c>
      <c r="DR73" s="28" t="str">
        <f t="shared" si="34"/>
        <v/>
      </c>
      <c r="DS73" s="28" t="str">
        <f>IF(Compositions!O138="","",(Compositions!O138/(VLOOKUP(Compositions!M138,'HHV-LHV-MW'!$A$3:$F$40,6,FALSE))))</f>
        <v/>
      </c>
      <c r="DT73" s="26" t="str">
        <f>IF(DQ73="","",((VLOOKUP(Compositions!M138,'HHV-LHV-MW'!$A$3:$F$40,4,FALSE))*(DQ73/100)))</f>
        <v/>
      </c>
      <c r="DU73" s="26" t="str">
        <f>IF(DQ73="","",((VLOOKUP(Compositions!M138,'HHV-LHV-MW'!$A$3:$F$40,5,FALSE))*(DQ73/100)))</f>
        <v/>
      </c>
      <c r="DV73" s="26" t="str">
        <f>IF(DQ73="","",((VLOOKUP(Compositions!M138,'HHV-LHV-MW'!$A$3:$F$40,6,FALSE))*(DQ73/100)))</f>
        <v/>
      </c>
      <c r="DW73" s="26" t="str">
        <f>IF(Compositions!O138="","",(Compositions!O138*(VLOOKUP(Compositions!M138,'HHV-LHV-MW'!$A$3:$F$40,6,FALSE))))</f>
        <v/>
      </c>
      <c r="DX73" s="296" t="str">
        <f>IF(Compositions!O138="","",IF(OR(Compositions!$O$118="wt%",Compositions!$O$118=""),Compositions!O138,(IF(DW73="","",((DW73/$DW$78)*100)))))</f>
        <v/>
      </c>
      <c r="DY73" s="39" t="str">
        <f>IF(DX73="","",(IF(OR(Compositions!M138="Hydrogen",Compositions!M138="Helium",Compositions!M138="Water",Compositions!M138="Carbon Monoxide",Compositions!M138="Nitrogen",Compositions!M138="Oxygen",Compositions!M138="Hydrogen Sulfide",Compositions!M138="Argon",Compositions!M138="Carbon Dioxide",Compositions!M138="Carbon Disulfide"),0,DX73)))</f>
        <v/>
      </c>
      <c r="DZ73" s="186" t="str">
        <f>IF(Compositions!O138="","",((DQ73/100)*((VLOOKUP(Compositions!M138,'HHV-LHV-MW'!$A$3:$G$40,7,FALSE)))))</f>
        <v/>
      </c>
      <c r="EA73" s="186" t="str">
        <f>IF(DQ73="","",(IF(OR(Compositions!M138="Hydrogen",Compositions!M138="Carbon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Dioxide",Compositions!M138="Methane",Compositions!M138="Ethane"),0,(DQ73/100))))</f>
        <v/>
      </c>
      <c r="EB73" s="39" t="str">
        <f>IF(DQ73="","",(IF(OR($EA$78=0,$EA$78=""),0,       ((VLOOKUP(Compositions!M138,'HHV-LHV-MW'!$A$3:$F$40,6,FALSE))*(EA73/$EA$78)))))</f>
        <v/>
      </c>
      <c r="EC73" s="27" t="str">
        <f>IF(Compositions!P138="","",IF(Compositions!$P$118="mol%",Compositions!P138,ED73))</f>
        <v/>
      </c>
      <c r="ED73" s="27" t="str">
        <f t="shared" si="35"/>
        <v/>
      </c>
      <c r="EE73" s="27" t="str">
        <f>IF(Compositions!P138="","",(Compositions!P138/(VLOOKUP(Compositions!M138,'HHV-LHV-MW'!$A$3:$F$40,6,FALSE))))</f>
        <v/>
      </c>
      <c r="EF73" s="25" t="str">
        <f>IF(EC73="","",((VLOOKUP(Compositions!M138,'HHV-LHV-MW'!$A$3:$F$40,4,FALSE))*(EC73/100)))</f>
        <v/>
      </c>
      <c r="EG73" s="25" t="str">
        <f>IF(EC73="","",((VLOOKUP(Compositions!M138,'HHV-LHV-MW'!$A$3:$F$40,5,FALSE))*(EC73/100)))</f>
        <v/>
      </c>
      <c r="EH73" s="25" t="str">
        <f>IF(EC73="","",((VLOOKUP(Compositions!M138,'HHV-LHV-MW'!$A$3:$F$40,6,FALSE))*(EC73/100)))</f>
        <v/>
      </c>
      <c r="EI73" s="25" t="str">
        <f>IF(Compositions!P138="","",(Compositions!P138*(VLOOKUP(Compositions!M138,'HHV-LHV-MW'!$A$3:$F$40,6,FALSE))))</f>
        <v/>
      </c>
      <c r="EJ73" s="295" t="str">
        <f>IF(Compositions!P138="","",IF(OR(Compositions!$P$118="wt%",Compositions!$P$118=""),Compositions!P138,(IF(EI73="","",((EI73/$EI$78)*100)))))</f>
        <v/>
      </c>
      <c r="EK73" s="185" t="str">
        <f>IF(EJ73="","",(IF(OR(Compositions!M138="Hydrogen",Compositions!M138="Helium",Compositions!M138="Water",Compositions!M138="Carbon Monoxide",Compositions!M138="Nitrogen",Compositions!M138="Oxygen",Compositions!M138="Hydrogen Sulfide",Compositions!M138="Argon",Compositions!M138="Carbon Dioxide",Compositions!M138="Carbon Disulfide"),0,EJ73)))</f>
        <v/>
      </c>
      <c r="EL73" s="187" t="str">
        <f>IF(Compositions!P138="","",((EC73/100)*((VLOOKUP(Compositions!M138,'HHV-LHV-MW'!$A$3:$G$40,7,FALSE)))))</f>
        <v/>
      </c>
      <c r="EM73" s="187" t="str">
        <f>IF(EC73="","",(IF(OR(Compositions!M138="Hydrogen",Compositions!M138="Carbon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Dioxide",Compositions!M138="Methane",Compositions!M138="Ethane"),0,(EC73/100))))</f>
        <v/>
      </c>
      <c r="EN73" s="205" t="str">
        <f>IF(EC73="","",(IF(OR($EM$78=0,$EM$78=""),0,       ((VLOOKUP(Compositions!M138,'HHV-LHV-MW'!$A$3:$F$40,6,FALSE))*(EM73/$EM$78)))))</f>
        <v/>
      </c>
      <c r="EO73" s="28" t="str">
        <f>IF(Compositions!Q138="","",IF(Compositions!$Q$118="mol%",Compositions!Q138,EP73))</f>
        <v/>
      </c>
      <c r="EP73" s="28" t="str">
        <f t="shared" si="36"/>
        <v/>
      </c>
      <c r="EQ73" s="28" t="str">
        <f>IF(Compositions!Q138="","",(Compositions!Q138/(VLOOKUP(Compositions!M138,'HHV-LHV-MW'!$A$3:$F$40,6,FALSE))))</f>
        <v/>
      </c>
      <c r="ER73" s="26" t="str">
        <f>IF(EO73="","",((VLOOKUP(Compositions!M138,'HHV-LHV-MW'!$A$3:$F$40,4,FALSE))*(EO73/100)))</f>
        <v/>
      </c>
      <c r="ES73" s="26" t="str">
        <f>IF(EO73="","",((VLOOKUP(Compositions!M138,'HHV-LHV-MW'!$A$3:$F$40,5,FALSE))*(EO73/100)))</f>
        <v/>
      </c>
      <c r="ET73" s="26" t="str">
        <f>IF(EO73="","",((VLOOKUP(Compositions!M138,'HHV-LHV-MW'!$A$3:$F$40,6,FALSE))*(EO73/100)))</f>
        <v/>
      </c>
      <c r="EU73" s="26" t="str">
        <f>IF(Compositions!Q138="","",(Compositions!Q138*(VLOOKUP(Compositions!M138,'HHV-LHV-MW'!$A$3:$F$40,6,FALSE))))</f>
        <v/>
      </c>
      <c r="EV73" s="296" t="str">
        <f>IF(Compositions!Q138="","",IF(OR(Compositions!$Q$118="wt%",Compositions!$Q$118=""),Compositions!Q138,(IF(EU73="","",((EU73/$EU$78)*100)))))</f>
        <v/>
      </c>
      <c r="EW73" s="39" t="str">
        <f>IF(EV73="","",(IF(OR(Compositions!M138="Hydrogen",Compositions!M138="Helium",Compositions!M138="Water",Compositions!M138="Carbon Monoxide",Compositions!M138="Nitrogen",Compositions!M138="Oxygen",Compositions!M138="Hydrogen Sulfide",Compositions!M138="Argon",Compositions!M138="Carbon Dioxide",Compositions!M138="Carbon Disulfide"),0,EV73)))</f>
        <v/>
      </c>
      <c r="EX73" s="186" t="str">
        <f>IF(Compositions!Q138="","",((EO73/100)*((VLOOKUP(Compositions!M138,'HHV-LHV-MW'!$A$3:$G$40,7,FALSE)))))</f>
        <v/>
      </c>
      <c r="EY73" s="186" t="str">
        <f>IF(EO73="","",(IF(OR(Compositions!M138="Hydrogen",Compositions!M138="Carbon Disulfide",Compositions!M138="Helium",Compositions!M138="Water",Compositions!M138="Carbon Monoxide",Compositions!M138="Nitrogen",Compositions!M138="Oxygen",Compositions!M138="Hydrogen Sulfide",Compositions!M138="Argon",Compositions!M138="Carbon Dioxide",Compositions!M138="Methane",Compositions!M138="Ethane"),0,(EO73/100))))</f>
        <v/>
      </c>
      <c r="EZ73" s="39" t="str">
        <f>IF(EO73="","",(IF(OR($EY$78=0,$EY$78=""),0,       ((VLOOKUP(Compositions!M138,'HHV-LHV-MW'!$A$3:$F$40,6,FALSE))*(EY73/$EY$78)))))</f>
        <v/>
      </c>
      <c r="FB73" s="27" t="str">
        <f>IF(Compositions!T138="","",IF(Compositions!$T$118="mol%",Compositions!T138,FC73))</f>
        <v/>
      </c>
      <c r="FC73" s="27" t="str">
        <f t="shared" si="37"/>
        <v/>
      </c>
      <c r="FD73" s="27" t="str">
        <f>IF(Compositions!T138="","",(Compositions!T138/(VLOOKUP(Compositions!S138,'HHV-LHV-MW'!$A$3:$F$40,6,FALSE))))</f>
        <v/>
      </c>
      <c r="FE73" s="25" t="str">
        <f>IF(FB73="","",((VLOOKUP(Compositions!S138,'HHV-LHV-MW'!$A$3:$F$40,4,FALSE))*(FB73/100)))</f>
        <v/>
      </c>
      <c r="FF73" s="25" t="str">
        <f>IF(FB73="","",((VLOOKUP(Compositions!S138,'HHV-LHV-MW'!$A$3:$F$40,5,FALSE))*(FB73/100)))</f>
        <v/>
      </c>
      <c r="FG73" s="25" t="str">
        <f>IF(FB73="","",((VLOOKUP(Compositions!S138,'HHV-LHV-MW'!$A$3:$F$40,6,FALSE))*(FB73/100)))</f>
        <v/>
      </c>
      <c r="FH73" s="25" t="str">
        <f>IF(Compositions!T138="","",(Compositions!T138*(VLOOKUP(Compositions!S138,'HHV-LHV-MW'!$A$3:$F$40,6,FALSE))))</f>
        <v/>
      </c>
      <c r="FI73" s="295" t="str">
        <f>IF(Compositions!T138="","",IF(OR(Compositions!$T$118="wt%",Compositions!$T$118=""),Compositions!T138,(IF(FH73="","",((FH73/$FH$78)*100)))))</f>
        <v/>
      </c>
      <c r="FJ73" s="185" t="str">
        <f>IF(FI73="","",(IF(OR(Compositions!S138="Hydrogen",Compositions!S138="Helium",Compositions!S138="Water",Compositions!S138="Carbon Monoxide",Compositions!S138="Nitrogen",Compositions!S138="Oxygen",Compositions!S138="Hydrogen Sulfide",Compositions!S138="Argon",Compositions!S138="Carbon Dioxide",Compositions!S138="Carbon Disulfide"),0,FI73)))</f>
        <v/>
      </c>
      <c r="FK73" s="187" t="str">
        <f>IF(Compositions!T138="","",((FB73/100)*((VLOOKUP(Compositions!S138,'HHV-LHV-MW'!$A$3:$G$40,7,FALSE)))))</f>
        <v/>
      </c>
      <c r="FL73" s="187" t="str">
        <f>IF(FB73="","",(IF(OR(Compositions!S138="Hydrogen",Compositions!S138="Carbon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Dioxide",Compositions!S138="Methane",Compositions!S138="Ethane"),0,(FB73/100))))</f>
        <v/>
      </c>
      <c r="FM73" s="205" t="str">
        <f>IF(FB73="","",(IF(OR($FL$78=0,$FL$78=""),0,       ((VLOOKUP(Compositions!S138,'HHV-LHV-MW'!$A$3:$F$40,6,FALSE))*(FL73/$FL$78)))))</f>
        <v/>
      </c>
      <c r="FN73" s="28" t="str">
        <f>IF(Compositions!U138="","",IF(Compositions!$U$118="mol%",Compositions!U138,FO73))</f>
        <v/>
      </c>
      <c r="FO73" s="28" t="str">
        <f t="shared" si="38"/>
        <v/>
      </c>
      <c r="FP73" s="28" t="str">
        <f>IF(Compositions!U138="","",(Compositions!U138/(VLOOKUP(Compositions!S138,'HHV-LHV-MW'!$A$3:$F$40,6,FALSE))))</f>
        <v/>
      </c>
      <c r="FQ73" s="26" t="str">
        <f>IF(FN73="","",((VLOOKUP(Compositions!S138,'HHV-LHV-MW'!$A$3:$F$40,4,FALSE))*(FN73/100)))</f>
        <v/>
      </c>
      <c r="FR73" s="26" t="str">
        <f>IF(FN73="","",((VLOOKUP(Compositions!S138,'HHV-LHV-MW'!$A$3:$F$40,5,FALSE))*(FN73/100)))</f>
        <v/>
      </c>
      <c r="FS73" s="26" t="str">
        <f>IF(FN73="","",((VLOOKUP(Compositions!S138,'HHV-LHV-MW'!$A$3:$F$40,6,FALSE))*(FN73/100)))</f>
        <v/>
      </c>
      <c r="FT73" s="26" t="str">
        <f>IF(Compositions!U138="","",(Compositions!U138*(VLOOKUP(Compositions!S138,'HHV-LHV-MW'!$A$3:$F$40,6,FALSE))))</f>
        <v/>
      </c>
      <c r="FU73" s="296" t="str">
        <f>IF(Compositions!U138="","",IF(OR(Compositions!$U$118="wt%",Compositions!$U$118=""),Compositions!U138,(IF(FT73="","",((FT73/$FT$78)*100)))))</f>
        <v/>
      </c>
      <c r="FV73" s="39" t="str">
        <f>IF(FU73="","",(IF(OR(Compositions!S138="Hydrogen",Compositions!S138="Helium",Compositions!S138="Water",Compositions!S138="Carbon Monoxide",Compositions!S138="Nitrogen",Compositions!S138="Oxygen",Compositions!S138="Hydrogen Sulfide",Compositions!S138="Argon",Compositions!S138="Carbon Dioxide",Compositions!S138="Carbon Disulfide"),0,FU73)))</f>
        <v/>
      </c>
      <c r="FW73" s="186" t="str">
        <f>IF(Compositions!U138="","",((FN73/100)*((VLOOKUP(Compositions!S138,'HHV-LHV-MW'!$A$3:$G$40,7,FALSE)))))</f>
        <v/>
      </c>
      <c r="FX73" s="186" t="str">
        <f>IF(FN73="","",(IF(OR(Compositions!S138="Hydrogen",Compositions!S138="Carbon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Dioxide",Compositions!S138="Methane",Compositions!S138="Ethane"),0,(FN73/100))))</f>
        <v/>
      </c>
      <c r="FY73" s="39" t="str">
        <f>IF(FN73="","",(IF(OR($FX$78=0,$FX$78=""),0,       ((VLOOKUP(Compositions!S138,'HHV-LHV-MW'!$A$3:$F$40,6,FALSE))*(FX73/$FX$78)))))</f>
        <v/>
      </c>
      <c r="FZ73" s="27" t="str">
        <f>IF(Compositions!V138="","",IF(Compositions!$V$118="mol%",Compositions!V138,GA73))</f>
        <v/>
      </c>
      <c r="GA73" s="27" t="str">
        <f t="shared" si="39"/>
        <v/>
      </c>
      <c r="GB73" s="27" t="str">
        <f>IF(Compositions!V138="","",(Compositions!V138/(VLOOKUP(Compositions!S138,'HHV-LHV-MW'!$A$3:$F$40,6,FALSE))))</f>
        <v/>
      </c>
      <c r="GC73" s="25" t="str">
        <f>IF(FZ73="","",((VLOOKUP(Compositions!S138,'HHV-LHV-MW'!$A$3:$F$40,4,FALSE))*(FZ73/100)))</f>
        <v/>
      </c>
      <c r="GD73" s="25" t="str">
        <f>IF(FZ73="","",((VLOOKUP(Compositions!S138,'HHV-LHV-MW'!$A$3:$F$40,5,FALSE))*(FZ73/100)))</f>
        <v/>
      </c>
      <c r="GE73" s="25" t="str">
        <f>IF(FZ73="","",((VLOOKUP(Compositions!S138,'HHV-LHV-MW'!$A$3:$F$40,6,FALSE))*(FZ73/100)))</f>
        <v/>
      </c>
      <c r="GF73" s="25" t="str">
        <f>IF(Compositions!V138="","",(Compositions!V138*(VLOOKUP(Compositions!S138,'HHV-LHV-MW'!$A$3:$F$40,6,FALSE))))</f>
        <v/>
      </c>
      <c r="GG73" s="295" t="str">
        <f>IF(Compositions!V138="","",IF(OR(Compositions!$V$118="wt%",Compositions!$V$118=""),Compositions!V138,(IF(GF73="","",((GF73/$GF$78)*100)))))</f>
        <v/>
      </c>
      <c r="GH73" s="185" t="str">
        <f>IF(GG73="","",(IF(OR(Compositions!S138="Hydrogen",Compositions!S138="Helium",Compositions!S138="Water",Compositions!S138="Carbon Monoxide",Compositions!S138="Nitrogen",Compositions!S138="Oxygen",Compositions!S138="Hydrogen Sulfide",Compositions!S138="Argon",Compositions!S138="Carbon Dioxide",Compositions!S138="Carbon Disulfide"),0,GG73)))</f>
        <v/>
      </c>
      <c r="GI73" s="187" t="str">
        <f>IF(Compositions!V138="","",((FZ73/100)*((VLOOKUP(Compositions!S138,'HHV-LHV-MW'!$A$3:$G$40,7,FALSE)))))</f>
        <v/>
      </c>
      <c r="GJ73" s="187" t="str">
        <f>IF(FZ73="","",(IF(OR(Compositions!S138="Hydrogen",Compositions!S138="Carbon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Dioxide",Compositions!S138="Methane",Compositions!S138="Ethane"),0,(FZ73/100))))</f>
        <v/>
      </c>
      <c r="GK73" s="205" t="str">
        <f>IF(FZ73="","",(IF(OR($GJ$78=0,$GJ$78=""),0,       ((VLOOKUP(Compositions!S138,'HHV-LHV-MW'!$A$3:$F$40,6,FALSE))*(GJ73/$GJ$78)))))</f>
        <v/>
      </c>
      <c r="GL73" s="28" t="str">
        <f>IF(Compositions!W138="","",IF(Compositions!$W$118="mol%",Compositions!W138,GM73))</f>
        <v/>
      </c>
      <c r="GM73" s="28" t="str">
        <f t="shared" si="40"/>
        <v/>
      </c>
      <c r="GN73" s="28" t="str">
        <f>IF(Compositions!W138="","",(Compositions!W138/(VLOOKUP(Compositions!S138,'HHV-LHV-MW'!$A$3:$F$40,6,FALSE))))</f>
        <v/>
      </c>
      <c r="GO73" s="26" t="str">
        <f>IF(GL73="","",((VLOOKUP(Compositions!S138,'HHV-LHV-MW'!$A$3:$F$40,4,FALSE))*(GL73/100)))</f>
        <v/>
      </c>
      <c r="GP73" s="26" t="str">
        <f>IF(GL73="","",((VLOOKUP(Compositions!S138,'HHV-LHV-MW'!$A$3:$F$40,5,FALSE))*(GL73/100)))</f>
        <v/>
      </c>
      <c r="GQ73" s="26" t="str">
        <f>IF(GL73="","",((VLOOKUP(Compositions!S138,'HHV-LHV-MW'!$A$3:$F$40,6,FALSE))*(GL73/100)))</f>
        <v/>
      </c>
      <c r="GR73" s="26" t="str">
        <f>IF(Compositions!W138="","",(Compositions!W138*(VLOOKUP(Compositions!S138,'HHV-LHV-MW'!$A$3:$F$40,6,FALSE))))</f>
        <v/>
      </c>
      <c r="GS73" s="296" t="str">
        <f>IF(Compositions!W138="","",IF(OR(Compositions!$W$118="wt%",Compositions!$W$118=""),Compositions!W138,(IF(GR73="","",((GR73/$GR$78)*100)))))</f>
        <v/>
      </c>
      <c r="GT73" s="39" t="str">
        <f>IF(GS73="","",(IF(OR(Compositions!S138="Hydrogen",Compositions!S138="Helium",Compositions!S138="Water",Compositions!S138="Carbon Monoxide",Compositions!S138="Nitrogen",Compositions!S138="Oxygen",Compositions!S138="Hydrogen Sulfide",Compositions!S138="Argon",Compositions!S138="Carbon Dioxide",Compositions!S138="Carbon Disulfide"),0,GS73)))</f>
        <v/>
      </c>
      <c r="GU73" s="186" t="str">
        <f>IF(Compositions!W138="","",((GL73/100)*((VLOOKUP(Compositions!S138,'HHV-LHV-MW'!$A$3:$G$40,7,FALSE)))))</f>
        <v/>
      </c>
      <c r="GV73" s="186" t="str">
        <f>IF(GL73="","",(IF(OR(Compositions!S138="Hydrogen",Compositions!S138="Carbon Disulfide",Compositions!S138="Helium",Compositions!S138="Water",Compositions!S138="Carbon Monoxide",Compositions!S138="Nitrogen",Compositions!S138="Oxygen",Compositions!S138="Hydrogen Sulfide",Compositions!S138="Argon",Compositions!S138="Carbon Dioxide",Compositions!S138="Methane",Compositions!S138="Ethane"),0,(GL73/100))))</f>
        <v/>
      </c>
      <c r="GW73" s="39" t="str">
        <f>IF(GL73="","",(IF(OR($GV$78=0,$GV$78=""),0,       ((VLOOKUP(Compositions!S138,'HHV-LHV-MW'!$A$3:$F$40,6,FALSE))*(GV73/$GV$78)))))</f>
        <v/>
      </c>
      <c r="GY73" s="27" t="str">
        <f>IF(Compositions!Z138="","",IF(Compositions!$Z$118="mol%",Compositions!Z138,GZ73))</f>
        <v/>
      </c>
      <c r="GZ73" s="27" t="str">
        <f t="shared" si="41"/>
        <v/>
      </c>
      <c r="HA73" s="27" t="str">
        <f>IF(Compositions!Z138="","",(Compositions!Z138/(VLOOKUP(Compositions!Y138,'HHV-LHV-MW'!$A$3:$F$40,6,FALSE))))</f>
        <v/>
      </c>
      <c r="HB73" s="25" t="str">
        <f>IF(GY73="","",((VLOOKUP(Compositions!Y138,'HHV-LHV-MW'!$A$3:$F$40,4,FALSE))*(GY73/100)))</f>
        <v/>
      </c>
      <c r="HC73" s="25" t="str">
        <f>IF(GY73="","",((VLOOKUP(Compositions!Y138,'HHV-LHV-MW'!$A$3:$F$40,5,FALSE))*(GY73/100)))</f>
        <v/>
      </c>
      <c r="HD73" s="25" t="str">
        <f>IF(GY73="","",((VLOOKUP(Compositions!Y138,'HHV-LHV-MW'!$A$3:$F$40,6,FALSE))*(GY73/100)))</f>
        <v/>
      </c>
      <c r="HE73" s="25" t="str">
        <f>IF(Compositions!Z138="","",(Compositions!Z138*(VLOOKUP(Compositions!Y138,'HHV-LHV-MW'!$A$3:$F$40,6,FALSE))))</f>
        <v/>
      </c>
      <c r="HF73" s="295" t="str">
        <f>IF(Compositions!Z138="","",IF(OR(Compositions!$Z$118="wt%",Compositions!$Z$118=""),Compositions!Z138,(IF(HE73="","",((HE73/$HE$78)*100)))))</f>
        <v/>
      </c>
      <c r="HG73" s="185" t="str">
        <f>IF(HF73="","",(IF(OR(Compositions!Y138="Hydrogen",Compositions!Y138="Helium",Compositions!Y138="Water",Compositions!Y138="Carbon Monoxide",Compositions!Y138="Nitrogen",Compositions!Y138="Oxygen",Compositions!Y138="Hydrogen Sulfide",Compositions!Y138="Argon",Compositions!Y138="Carbon Dioxide",Compositions!Y138="Carbon Disulfide"),0,HF73)))</f>
        <v/>
      </c>
      <c r="HH73" s="187" t="str">
        <f>IF(Compositions!Z138="","",((GY73/100)*((VLOOKUP(Compositions!Y138,'HHV-LHV-MW'!$A$3:$G$40,7,FALSE)))))</f>
        <v/>
      </c>
      <c r="HI73" s="187" t="str">
        <f>IF(GY73="","",(IF(OR(Compositions!Y138="Hydrogen",Compositions!Y138="Carbon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Dioxide",Compositions!Y138="Methane",Compositions!Y138="Ethane"),0,(GY73/100))))</f>
        <v/>
      </c>
      <c r="HJ73" s="205" t="str">
        <f>IF(GY73="","",(IF(OR($HI$78=0,$HI$78=""),0,       ((VLOOKUP(Compositions!Y138,'HHV-LHV-MW'!$A$3:$F$40,6,FALSE))*(HI73/$HI$78)))))</f>
        <v/>
      </c>
      <c r="HK73" s="28" t="str">
        <f>IF(Compositions!AA138="","",IF(Compositions!$AA$118="mol%",Compositions!AA138,HL73))</f>
        <v/>
      </c>
      <c r="HL73" s="28" t="str">
        <f t="shared" si="42"/>
        <v/>
      </c>
      <c r="HM73" s="28" t="str">
        <f>IF(Compositions!AA138="","",(Compositions!AA138/(VLOOKUP(Compositions!Y138,'HHV-LHV-MW'!$A$3:$F$40,6,FALSE))))</f>
        <v/>
      </c>
      <c r="HN73" s="26" t="str">
        <f>IF(HK73="","",((VLOOKUP(Compositions!Y138,'HHV-LHV-MW'!$A$3:$F$40,4,FALSE))*(HK73/100)))</f>
        <v/>
      </c>
      <c r="HO73" s="26" t="str">
        <f>IF(HK73="","",((VLOOKUP(Compositions!Y138,'HHV-LHV-MW'!$A$3:$F$40,5,FALSE))*(HK73/100)))</f>
        <v/>
      </c>
      <c r="HP73" s="26" t="str">
        <f>IF(HK73="","",((VLOOKUP(Compositions!Y138,'HHV-LHV-MW'!$A$3:$F$40,6,FALSE))*(HK73/100)))</f>
        <v/>
      </c>
      <c r="HQ73" s="26" t="str">
        <f>IF(Compositions!AA138="","",(Compositions!AA138*(VLOOKUP(Compositions!Y138,'HHV-LHV-MW'!$A$3:$F$40,6,FALSE))))</f>
        <v/>
      </c>
      <c r="HR73" s="296" t="str">
        <f>IF(Compositions!AA138="","",IF(OR(Compositions!$AA$118="wt%",Compositions!$AA$118=""),Compositions!AA138,(IF(HQ73="","",((HQ73/$HQ$78)*100)))))</f>
        <v/>
      </c>
      <c r="HS73" s="39" t="str">
        <f>IF(HR73="","",(IF(OR(Compositions!Y138="Hydrogen",Compositions!Y138="Helium",Compositions!Y138="Water",Compositions!Y138="Carbon Monoxide",Compositions!Y138="Nitrogen",Compositions!Y138="Oxygen",Compositions!Y138="Hydrogen Sulfide",Compositions!Y138="Argon",Compositions!Y138="Carbon Dioxide",Compositions!Y138="Carbon Disulfide"),0,HR73)))</f>
        <v/>
      </c>
      <c r="HT73" s="186" t="str">
        <f>IF(Compositions!AA138="","",((HK73/100)*((VLOOKUP(Compositions!Y138,'HHV-LHV-MW'!$A$3:$G$40,7,FALSE)))))</f>
        <v/>
      </c>
      <c r="HU73" s="186" t="str">
        <f>IF(HK73="","",(IF(OR(Compositions!Y138="Hydrogen",Compositions!Y138="Carbon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Dioxide",Compositions!Y138="Methane",Compositions!Y138="Ethane"),0,(HK73/100))))</f>
        <v/>
      </c>
      <c r="HV73" s="39" t="str">
        <f>IF(HK73="","",(IF(OR($HU$78=0,$HU$78=""),0,       ((VLOOKUP(Compositions!Y138,'HHV-LHV-MW'!$A$3:$F$40,6,FALSE))*(HU73/$HU$78)))))</f>
        <v/>
      </c>
      <c r="HW73" s="27" t="str">
        <f>IF(Compositions!AB138="","",IF(Compositions!$AB$118="mol%",Compositions!AB138,HX73))</f>
        <v/>
      </c>
      <c r="HX73" s="27" t="str">
        <f t="shared" si="43"/>
        <v/>
      </c>
      <c r="HY73" s="27" t="str">
        <f>IF(Compositions!AB138="","",(Compositions!AB138/(VLOOKUP(Compositions!Y138,'HHV-LHV-MW'!$A$3:$F$40,6,FALSE))))</f>
        <v/>
      </c>
      <c r="HZ73" s="25" t="str">
        <f>IF(HW73="","",((VLOOKUP(Compositions!Y138,'HHV-LHV-MW'!$A$3:$F$40,4,FALSE))*(HW73/100)))</f>
        <v/>
      </c>
      <c r="IA73" s="25" t="str">
        <f>IF(HW73="","",((VLOOKUP(Compositions!Y138,'HHV-LHV-MW'!$A$3:$F$40,5,FALSE))*(HW73/100)))</f>
        <v/>
      </c>
      <c r="IB73" s="25" t="str">
        <f>IF(HW73="","",((VLOOKUP(Compositions!Y138,'HHV-LHV-MW'!$A$3:$F$40,6,FALSE))*(HW73/100)))</f>
        <v/>
      </c>
      <c r="IC73" s="25" t="str">
        <f>IF(Compositions!AB138="","",(Compositions!AB138*(VLOOKUP(Compositions!Y138,'HHV-LHV-MW'!$A$3:$F$40,6,FALSE))))</f>
        <v/>
      </c>
      <c r="ID73" s="295" t="str">
        <f>IF(Compositions!AB138="","",IF(OR(Compositions!$AB$118="wt%",Compositions!$AB$118=""),Compositions!AB138,(IF(IC73="","",((IC73/$IC$78)*100)))))</f>
        <v/>
      </c>
      <c r="IE73" s="185" t="str">
        <f>IF(ID73="","",(IF(OR(Compositions!Y138="Hydrogen",Compositions!Y138="Helium",Compositions!Y138="Water",Compositions!Y138="Carbon Monoxide",Compositions!Y138="Nitrogen",Compositions!Y138="Oxygen",Compositions!Y138="Hydrogen Sulfide",Compositions!Y138="Argon",Compositions!Y138="Carbon Dioxide",Compositions!Y138="Carbon Disulfide"),0,ID73)))</f>
        <v/>
      </c>
      <c r="IF73" s="187" t="str">
        <f>IF(Compositions!AB138="","",((HW73/100)*((VLOOKUP(Compositions!Y138,'HHV-LHV-MW'!$A$3:$G$40,7,FALSE)))))</f>
        <v/>
      </c>
      <c r="IG73" s="187" t="str">
        <f>IF(HW73="","",(IF(OR(Compositions!Y138="Hydrogen",Compositions!Y138="Carbon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Dioxide",Compositions!Y138="Methane",Compositions!Y138="Ethane"),0,(HW73/100))))</f>
        <v/>
      </c>
      <c r="IH73" s="205" t="str">
        <f>IF(HW73="","",(IF(OR($IG$78=0,$IG$78=""),0,       ((VLOOKUP(Compositions!Y138,'HHV-LHV-MW'!$A$3:$F$40,6,FALSE))*(IG73/$IG$78)))))</f>
        <v/>
      </c>
      <c r="II73" s="28" t="str">
        <f>IF(Compositions!AC138="","",IF(Compositions!$AC$118="mol%",Compositions!AC138,IJ73))</f>
        <v/>
      </c>
      <c r="IJ73" s="28" t="str">
        <f t="shared" si="44"/>
        <v/>
      </c>
      <c r="IK73" s="28" t="str">
        <f>IF(Compositions!AC138="","",(Compositions!AC138/(VLOOKUP(Compositions!Y138,'HHV-LHV-MW'!$A$3:$F$40,6,FALSE))))</f>
        <v/>
      </c>
      <c r="IL73" s="26" t="str">
        <f>IF(II73="","",((VLOOKUP(Compositions!Y138,'HHV-LHV-MW'!$A$3:$F$40,4,FALSE))*(II73/100)))</f>
        <v/>
      </c>
      <c r="IM73" s="26" t="str">
        <f>IF(II73="","",((VLOOKUP(Compositions!Y138,'HHV-LHV-MW'!$A$3:$F$40,5,FALSE))*(II73/100)))</f>
        <v/>
      </c>
      <c r="IN73" s="26" t="str">
        <f>IF(II73="","",((VLOOKUP(Compositions!Y138,'HHV-LHV-MW'!$A$3:$F$40,6,FALSE))*(II73/100)))</f>
        <v/>
      </c>
      <c r="IO73" s="26" t="str">
        <f>IF(Compositions!AC138="","",(Compositions!AC138*(VLOOKUP(Compositions!Y138,'HHV-LHV-MW'!$A$3:$F$40,6,FALSE))))</f>
        <v/>
      </c>
      <c r="IP73" s="296" t="str">
        <f>IF(Compositions!AC138="","",IF(OR(Compositions!$AC$118="wt%",Compositions!$AC$118=""),Compositions!AC138,(IF(IO73="","",((IO73/$IO$78)*100)))))</f>
        <v/>
      </c>
      <c r="IQ73" s="39" t="str">
        <f>IF(IP73="","",(IF(OR(Compositions!Y138="Hydrogen",Compositions!Y138="Helium",Compositions!Y138="Water",Compositions!Y138="Carbon Monoxide",Compositions!Y138="Nitrogen",Compositions!Y138="Oxygen",Compositions!Y138="Hydrogen Sulfide",Compositions!Y138="Argon",Compositions!Y138="Carbon Dioxide",Compositions!Y138="Carbon Disulfide"),0,IP73)))</f>
        <v/>
      </c>
      <c r="IR73" s="186" t="str">
        <f>IF(Compositions!AC138="","",((II73/100)*((VLOOKUP(Compositions!Y138,'HHV-LHV-MW'!$A$3:$G$40,7,FALSE)))))</f>
        <v/>
      </c>
      <c r="IS73" s="186" t="str">
        <f>IF(II73="","",(IF(OR(Compositions!Y138="Hydrogen",Compositions!Y138="Carbon Disulfide",Compositions!Y138="Helium",Compositions!Y138="Water",Compositions!Y138="Carbon Monoxide",Compositions!Y138="Nitrogen",Compositions!Y138="Oxygen",Compositions!Y138="Hydrogen Sulfide",Compositions!Y138="Argon",Compositions!Y138="Carbon Dioxide",Compositions!Y138="Methane",Compositions!Y138="Ethane"),0,(II73/100))))</f>
        <v/>
      </c>
      <c r="IT73" s="39" t="str">
        <f>IF(II73="","",(IF(OR($IS$78=0,$IS$78=""),0,      ((VLOOKUP(Compositions!Y138,'HHV-LHV-MW'!$A$3:$F$40,6,FALSE))*(IS73/$IS$78)))))</f>
        <v/>
      </c>
      <c r="IV73" s="27" t="str">
        <f>IF(Compositions!AF138="","",IF(Compositions!$AF$118="mol%",Compositions!AF138,IW73))</f>
        <v/>
      </c>
      <c r="IW73" s="27" t="str">
        <f t="shared" si="45"/>
        <v/>
      </c>
      <c r="IX73" s="27" t="str">
        <f>IF(Compositions!AF138="","",(Compositions!AF138/(VLOOKUP(Compositions!AE138,'HHV-LHV-MW'!$A$3:$F$40,6,FALSE))))</f>
        <v/>
      </c>
      <c r="IY73" s="25" t="str">
        <f>IF(IV73="","",((VLOOKUP(Compositions!AE138,'HHV-LHV-MW'!$A$3:$F$40,4,FALSE))*(IV73/100)))</f>
        <v/>
      </c>
      <c r="IZ73" s="25" t="str">
        <f>IF(IV73="","",((VLOOKUP(Compositions!AE138,'HHV-LHV-MW'!$A$3:$F$40,5,FALSE))*(IV73/100)))</f>
        <v/>
      </c>
      <c r="JA73" s="25" t="str">
        <f>IF(IV73="","",((VLOOKUP(Compositions!AE138,'HHV-LHV-MW'!$A$3:$F$40,6,FALSE))*(IV73/100)))</f>
        <v/>
      </c>
      <c r="JB73" s="25" t="str">
        <f>IF(Compositions!AF138="","",(Compositions!AF138*(VLOOKUP(Compositions!AE138,'HHV-LHV-MW'!$A$3:$F$40,6,FALSE))))</f>
        <v/>
      </c>
      <c r="JC73" s="298" t="str">
        <f>IF(Compositions!AF138="","",IF(OR(Compositions!$AF$118="wt%",Compositions!$AF$118=""),Compositions!AF138,(IF(JB73="","",((JB73/$JB$78)*100)))))</f>
        <v/>
      </c>
      <c r="JD73" s="185" t="str">
        <f>IF(JC73="","",(IF(OR(Compositions!AE138="Hydrogen",Compositions!AE138="Helium",Compositions!AE138="Water",Compositions!AE138="Carbon Monoxide",Compositions!AE138="Nitrogen",Compositions!AE138="Oxygen",Compositions!AE138="Hydrogen Sulfide",Compositions!AE138="Argon",Compositions!AE138="Carbon Dioxide",Compositions!AE138="Carbon Disulfide"),0,JC73)))</f>
        <v/>
      </c>
      <c r="JE73" s="187" t="str">
        <f>IF(Compositions!AF138="","",((IV73/100)*((VLOOKUP(Compositions!AE138,'HHV-LHV-MW'!$A$3:$G$40,7,FALSE)))))</f>
        <v/>
      </c>
      <c r="JF73" s="187" t="str">
        <f>IF(IV73="","",(IF(OR(Compositions!AE138="Hydrogen",Compositions!AE138="Carbon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Dioxide",Compositions!AE138="Methane",Compositions!AE138="Ethane"),0,(IV73/100))))</f>
        <v/>
      </c>
      <c r="JG73" s="205" t="str">
        <f>IF(IV73="","",(IF(OR($JF$78=0,$JF$78=""),0,      ((VLOOKUP(Compositions!AE138,'HHV-LHV-MW'!$A$3:$F$40,6,FALSE))*(JF73/$JF$78)))))</f>
        <v/>
      </c>
      <c r="JH73" s="28" t="str">
        <f>IF(Compositions!AG138="","",IF(Compositions!$AG$118="mol%",Compositions!AG138,JI73))</f>
        <v/>
      </c>
      <c r="JI73" s="28" t="str">
        <f t="shared" si="46"/>
        <v/>
      </c>
      <c r="JJ73" s="28" t="str">
        <f>IF(Compositions!AG138="","",(Compositions!AG138/(VLOOKUP(Compositions!AE138,'HHV-LHV-MW'!$A$3:$F$40,6,FALSE))))</f>
        <v/>
      </c>
      <c r="JK73" s="26" t="str">
        <f>IF(JH73="","",((VLOOKUP(Compositions!AE138,'HHV-LHV-MW'!$A$3:$F$40,4,FALSE))*(JH73/100)))</f>
        <v/>
      </c>
      <c r="JL73" s="26" t="str">
        <f>IF(JH73="","",((VLOOKUP(Compositions!AE138,'HHV-LHV-MW'!$A$3:$F$40,5,FALSE))*(JH73/100)))</f>
        <v/>
      </c>
      <c r="JM73" s="26" t="str">
        <f>IF(JH73="","",((VLOOKUP(Compositions!AE138,'HHV-LHV-MW'!$A$3:$F$40,6,FALSE))*(JH73/100)))</f>
        <v/>
      </c>
      <c r="JN73" s="26" t="str">
        <f>IF(Compositions!AG138="","",(Compositions!AG138*(VLOOKUP(Compositions!AE138,'HHV-LHV-MW'!$A$3:$F$40,6,FALSE))))</f>
        <v/>
      </c>
      <c r="JO73" s="297" t="str">
        <f>IF(Compositions!AG138="","",IF(OR(Compositions!$AG$118="wt%",Compositions!$AG$118=""),Compositions!AG138,(IF(JN73="","",((JN73/$JN$78)*100)))))</f>
        <v/>
      </c>
      <c r="JP73" s="39" t="str">
        <f>IF(JO73="","",(IF(OR(Compositions!AE138="Hydrogen",Compositions!AE138="Helium",Compositions!AE138="Water",Compositions!AE138="Carbon Monoxide",Compositions!AE138="Nitrogen",Compositions!AE138="Oxygen",Compositions!AE138="Hydrogen Sulfide",Compositions!AE138="Argon",Compositions!AE138="Carbon Dioxide",Compositions!AE138="Carbon Disulfide"),0,JO73)))</f>
        <v/>
      </c>
      <c r="JQ73" s="186" t="str">
        <f>IF(Compositions!AG138="","",((JH73/100)*((VLOOKUP(Compositions!AE138,'HHV-LHV-MW'!$A$3:$G$40,7,FALSE)))))</f>
        <v/>
      </c>
      <c r="JR73" s="186" t="str">
        <f>IF(JH73="","",(IF(OR(Compositions!AE138="Hydrogen",Compositions!AE138="Carbon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Dioxide",Compositions!AE138="Methane",Compositions!AE138="Ethane"),0,(JH73/100))))</f>
        <v/>
      </c>
      <c r="JS73" s="39" t="str">
        <f>IF(JH73="","",(IF(OR($JR$78=0,$JR$78=""),0,      ((VLOOKUP(Compositions!AE138,'HHV-LHV-MW'!$A$3:$F$40,6,FALSE))*(JR73/$JR$78)))))</f>
        <v/>
      </c>
      <c r="JT73" s="27" t="str">
        <f>IF(Compositions!AH138="","",IF(Compositions!$AH$118="mol%",Compositions!AH138,JU73))</f>
        <v/>
      </c>
      <c r="JU73" s="27" t="str">
        <f t="shared" si="47"/>
        <v/>
      </c>
      <c r="JV73" s="27" t="str">
        <f>IF(Compositions!AH138="","",(Compositions!AH138/(VLOOKUP(Compositions!AE138,'HHV-LHV-MW'!$A$3:$F$40,6,FALSE))))</f>
        <v/>
      </c>
      <c r="JW73" s="25" t="str">
        <f>IF(JT73="","",((VLOOKUP(Compositions!AE138,'HHV-LHV-MW'!$A$3:$F$40,4,FALSE))*(JT73/100)))</f>
        <v/>
      </c>
      <c r="JX73" s="25" t="str">
        <f>IF(JT73="","",((VLOOKUP(Compositions!AE138,'HHV-LHV-MW'!$A$3:$F$40,5,FALSE))*(JT73/100)))</f>
        <v/>
      </c>
      <c r="JY73" s="25" t="str">
        <f>IF(JT73="","",((VLOOKUP(Compositions!AE138,'HHV-LHV-MW'!$A$3:$F$40,6,FALSE))*(JT73/100)))</f>
        <v/>
      </c>
      <c r="JZ73" s="25" t="str">
        <f>IF(Compositions!AH138="","",(Compositions!AH138*(VLOOKUP(Compositions!AE138,'HHV-LHV-MW'!$A$3:$F$40,6,FALSE))))</f>
        <v/>
      </c>
      <c r="KA73" s="298" t="str">
        <f>IF(Compositions!AH138="","",IF(OR(Compositions!$AH$118="wt%",Compositions!$AH$118=""),Compositions!AH138,(IF(JZ73="","",((JZ73/$JZ$78)*100)))))</f>
        <v/>
      </c>
      <c r="KB73" s="185" t="str">
        <f>IF(KA73="","",(IF(OR(Compositions!AE138="Hydrogen",Compositions!AE138="Helium",Compositions!AE138="Water",Compositions!AE138="Carbon Monoxide",Compositions!AE138="Nitrogen",Compositions!AE138="Oxygen",Compositions!AE138="Hydrogen Sulfide",Compositions!AE138="Argon",Compositions!AE138="Carbon Dioxide",Compositions!AE138="Carbon Disulfide"),0,KA73)))</f>
        <v/>
      </c>
      <c r="KC73" s="187" t="str">
        <f>IF(Compositions!AH138="","",((JT73/100)*((VLOOKUP(Compositions!AE138,'HHV-LHV-MW'!$A$3:$G$40,7,FALSE)))))</f>
        <v/>
      </c>
      <c r="KD73" s="187" t="str">
        <f>IF(JT73="","",(IF(OR(Compositions!AE138="Hydrogen",Compositions!AE138="Carbon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Dioxide",Compositions!AE138="Methane",Compositions!AE138="Ethane"),0,(JT73/100))))</f>
        <v/>
      </c>
      <c r="KE73" s="205" t="str">
        <f>IF(JT73="","",(IF(OR($KD$78=0,$KD$78=""),0,      ((VLOOKUP(Compositions!AE138,'HHV-LHV-MW'!$A$3:$F$40,6,FALSE))*(KD73/$KD$78)))))</f>
        <v/>
      </c>
      <c r="KF73" s="28" t="str">
        <f>IF(Compositions!AI138="","",IF(Compositions!$AI$118="mol%",Compositions!AI138,KG73))</f>
        <v/>
      </c>
      <c r="KG73" s="28" t="str">
        <f t="shared" si="48"/>
        <v/>
      </c>
      <c r="KH73" s="28" t="str">
        <f>IF(Compositions!AI138="","",(Compositions!AI138/(VLOOKUP(Compositions!AE138,'HHV-LHV-MW'!$A$3:$F$40,6,FALSE))))</f>
        <v/>
      </c>
      <c r="KI73" s="26" t="str">
        <f>IF(KF73="","",((VLOOKUP(Compositions!AE138,'HHV-LHV-MW'!$A$3:$F$40,4,FALSE))*(KF73/100)))</f>
        <v/>
      </c>
      <c r="KJ73" s="26" t="str">
        <f>IF(KF73="","",((VLOOKUP(Compositions!AE138,'HHV-LHV-MW'!$A$3:$F$40,5,FALSE))*(KF73/100)))</f>
        <v/>
      </c>
      <c r="KK73" s="26" t="str">
        <f>IF(KF73="","",((VLOOKUP(Compositions!AE138,'HHV-LHV-MW'!$A$3:$F$40,6,FALSE))*(KF73/100)))</f>
        <v/>
      </c>
      <c r="KL73" s="26" t="str">
        <f>IF(Compositions!AI138="","",(Compositions!AI138*(VLOOKUP(Compositions!AE138,'HHV-LHV-MW'!$A$3:$F$40,6,FALSE))))</f>
        <v/>
      </c>
      <c r="KM73" s="297" t="str">
        <f>IF(Compositions!AI138="","",IF(OR(Compositions!$AI$118="wt%",Compositions!$AI$118=""),Compositions!AI138,(IF(KL73="","",((KL73/$KL$78)*100)))))</f>
        <v/>
      </c>
      <c r="KN73" s="39" t="str">
        <f>IF(KM73="","",(IF(OR(Compositions!AE138="Hydrogen",Compositions!AE138="Helium",Compositions!AE138="Water",Compositions!AE138="Carbon Monoxide",Compositions!AE138="Nitrogen",Compositions!AE138="Oxygen",Compositions!AE138="Hydrogen Sulfide",Compositions!AE138="Argon",Compositions!AE138="Carbon Dioxide",Compositions!AE138="Carbon Disulfide"),0,KM73)))</f>
        <v/>
      </c>
      <c r="KO73" s="186" t="str">
        <f>IF(Compositions!AI138="","",((KF73/100)*((VLOOKUP(Compositions!AE138,'HHV-LHV-MW'!$A$3:$G$40,7,FALSE)))))</f>
        <v/>
      </c>
      <c r="KP73" s="186" t="str">
        <f>IF(KF73="","",(IF(OR(Compositions!AE138="Hydrogen",Compositions!AE138="Carbon Disulfide",Compositions!AE138="Helium",Compositions!AE138="Water",Compositions!AE138="Carbon Monoxide",Compositions!AE138="Nitrogen",Compositions!AE138="Oxygen",Compositions!AE138="Hydrogen Sulfide",Compositions!AE138="Argon",Compositions!AE138="Carbon Dioxide",Compositions!AE138="Methane",Compositions!AE138="Ethane"),0,(KF73/100))))</f>
        <v/>
      </c>
      <c r="KQ73" s="39" t="str">
        <f>IF(KF73="","",(IF(OR($KP$78=0,$KP$78=""),0,      ((VLOOKUP(Compositions!AE138,'HHV-LHV-MW'!$A$3:$F$40,6,FALSE))*(KP73/$KP$78)))))</f>
        <v/>
      </c>
      <c r="KS73" s="27" t="str">
        <f>IF(Compositions!AL138="","",IF(Compositions!$AL$118="mol%",Compositions!AL138,KT73))</f>
        <v/>
      </c>
      <c r="KT73" s="27" t="str">
        <f t="shared" si="49"/>
        <v/>
      </c>
      <c r="KU73" s="27" t="str">
        <f>IF(Compositions!AL138="","",(Compositions!AL138/(VLOOKUP(Compositions!AK138,'HHV-LHV-MW'!$A$3:$F$40,6,FALSE))))</f>
        <v/>
      </c>
      <c r="KV73" s="185" t="str">
        <f>IF(KS73="","",((VLOOKUP(Compositions!AK138,'HHV-LHV-MW'!$A$3:$F$40,4,FALSE))*(KS73/100)))</f>
        <v/>
      </c>
      <c r="KW73" s="185" t="str">
        <f>IF(KS73="","",((VLOOKUP(Compositions!AK138,'HHV-LHV-MW'!$A$3:$F$40,5,FALSE))*(KS73/100)))</f>
        <v/>
      </c>
      <c r="KX73" s="185" t="str">
        <f>IF(KS73="","",((VLOOKUP(Compositions!AK138,'HHV-LHV-MW'!$A$3:$F$40,6,FALSE))*(KS73/100)))</f>
        <v/>
      </c>
      <c r="KY73" s="185" t="str">
        <f>IF(Compositions!AL138="","",(Compositions!AL138*(VLOOKUP(Compositions!AK138,'HHV-LHV-MW'!$A$3:$F$40,6,FALSE))))</f>
        <v/>
      </c>
      <c r="KZ73" s="298" t="str">
        <f>IF(Compositions!AL138="","",IF(OR(Compositions!$AL$118="wt%",Compositions!$AL$118=""),Compositions!AL138,(IF(KY73="","",((KY73/$KY$78)*100)))))</f>
        <v/>
      </c>
      <c r="LA73" s="185" t="str">
        <f>IF(KZ73="","",(IF(OR(Compositions!AK138="Hydrogen",Compositions!AK138="Helium",Compositions!AK138="Water",Compositions!AK138="Carbon Monoxide",Compositions!AK138="Nitrogen",Compositions!AK138="Oxygen",Compositions!AK138="Hydrogen Sulfide",Compositions!AK138="Argon",Compositions!AK138="Carbon Dioxide",Compositions!AK138="Carbon Disulfide"),0,KZ73)))</f>
        <v/>
      </c>
      <c r="LB73" s="187" t="str">
        <f>IF(Compositions!AL138="","",((KS73/100)*((VLOOKUP(Compositions!AK138,'HHV-LHV-MW'!$A$3:$G$40,7,FALSE)))))</f>
        <v/>
      </c>
      <c r="LC73" s="187" t="str">
        <f>IF(KS73="","",(IF(OR(Compositions!AK138="Hydrogen",Compositions!AK138="Carbon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Dioxide",Compositions!AK138="Methane",Compositions!AK138="Ethane"),0,(KS73/100))))</f>
        <v/>
      </c>
      <c r="LD73" s="205" t="str">
        <f>IF(KS73="","",(IF(OR($LC$78=0,$LC$78=""),0,      ((VLOOKUP(Compositions!AK138,'HHV-LHV-MW'!$A$3:$F$40,6,FALSE))*(LC73/$LC$78)))))</f>
        <v/>
      </c>
      <c r="LE73" s="28" t="str">
        <f>IF(Compositions!AM138="","",IF(Compositions!$AM$118="mol%",Compositions!AM138,LF73))</f>
        <v/>
      </c>
      <c r="LF73" s="28" t="str">
        <f t="shared" si="50"/>
        <v/>
      </c>
      <c r="LG73" s="28" t="str">
        <f>IF(Compositions!AM138="","",(Compositions!AM138/(VLOOKUP(Compositions!AK138,'HHV-LHV-MW'!$A$3:$F$40,6,FALSE))))</f>
        <v/>
      </c>
      <c r="LH73" s="184" t="str">
        <f>IF(LE73="","",((VLOOKUP(Compositions!AK138,'HHV-LHV-MW'!$A$3:$F$40,4,FALSE))*(LE73/100)))</f>
        <v/>
      </c>
      <c r="LI73" s="184" t="str">
        <f>IF(LE73="","",((VLOOKUP(Compositions!AK138,'HHV-LHV-MW'!$A$3:$F$40,5,FALSE))*(LE73/100)))</f>
        <v/>
      </c>
      <c r="LJ73" s="184" t="str">
        <f>IF(LE73="","",((VLOOKUP(Compositions!AK138,'HHV-LHV-MW'!$A$3:$F$40,6,FALSE))*(LE73/100)))</f>
        <v/>
      </c>
      <c r="LK73" s="184" t="str">
        <f>IF(Compositions!AM138="","",(Compositions!AM138*(VLOOKUP(Compositions!AK138,'HHV-LHV-MW'!$A$3:$F$40,6,FALSE))))</f>
        <v/>
      </c>
      <c r="LL73" s="297" t="str">
        <f>IF(Compositions!AM138="","",IF(OR(Compositions!$AM$118="wt%",Compositions!$AM$118=""),Compositions!AM138,(IF(LK73="","",((LK73/$LK$78)*100)))))</f>
        <v/>
      </c>
      <c r="LM73" s="39" t="str">
        <f>IF(LL73="","",(IF(OR(Compositions!AK138="Hydrogen",Compositions!AK138="Helium",Compositions!AK138="Water",Compositions!AK138="Carbon Monoxide",Compositions!AK138="Nitrogen",Compositions!AK138="Oxygen",Compositions!AK138="Hydrogen Sulfide",Compositions!AK138="Argon",Compositions!AK138="Carbon Dioxide",Compositions!AK138="Carbon Disulfide"),0,LL73)))</f>
        <v/>
      </c>
      <c r="LN73" s="186" t="str">
        <f>IF(Compositions!AM138="","",((LE73/100)*((VLOOKUP(Compositions!AK138,'HHV-LHV-MW'!$A$3:$G$40,7,FALSE)))))</f>
        <v/>
      </c>
      <c r="LO73" s="186" t="str">
        <f>IF(LE73="","",(IF(OR(Compositions!AK138="Hydrogen",Compositions!AK138="Carbon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Dioxide",Compositions!AK138="Methane",Compositions!AK138="Ethane"),0,(LE73/100))))</f>
        <v/>
      </c>
      <c r="LP73" s="39" t="str">
        <f>IF(LE73="","",(IF(OR($LO$78=0,$LO$78=""),0,     ((VLOOKUP(Compositions!AK138,'HHV-LHV-MW'!$A$3:$F$40,6,FALSE))*(LO73/$LO$78)))))</f>
        <v/>
      </c>
      <c r="LQ73" s="27" t="str">
        <f>IF(Compositions!AN138="","",IF(Compositions!$AN$118="mol%",Compositions!AN138,LR73))</f>
        <v/>
      </c>
      <c r="LR73" s="27" t="str">
        <f t="shared" si="51"/>
        <v/>
      </c>
      <c r="LS73" s="27" t="str">
        <f>IF(Compositions!AN138="","",(Compositions!AN138/(VLOOKUP(Compositions!AK138,'HHV-LHV-MW'!$A$3:$F$40,6,FALSE))))</f>
        <v/>
      </c>
      <c r="LT73" s="185" t="str">
        <f>IF(LQ73="","",((VLOOKUP(Compositions!AK138,'HHV-LHV-MW'!$A$3:$F$40,4,FALSE))*(LQ73/100)))</f>
        <v/>
      </c>
      <c r="LU73" s="185" t="str">
        <f>IF(LQ73="","",((VLOOKUP(Compositions!AK138,'HHV-LHV-MW'!$A$3:$F$40,5,FALSE))*(LQ73/100)))</f>
        <v/>
      </c>
      <c r="LV73" s="185" t="str">
        <f>IF(LQ73="","",((VLOOKUP(Compositions!AK138,'HHV-LHV-MW'!$A$3:$F$40,6,FALSE))*(LQ73/100)))</f>
        <v/>
      </c>
      <c r="LW73" s="185" t="str">
        <f>IF(Compositions!AN138="","",(Compositions!AN138*(VLOOKUP(Compositions!AK138,'HHV-LHV-MW'!$A$3:$F$40,6,FALSE))))</f>
        <v/>
      </c>
      <c r="LX73" s="298" t="str">
        <f>IF(Compositions!AN138="","",IF(OR(Compositions!$AN$118="wt%",Compositions!$AN$118=""),Compositions!AN138,(IF(LW73="","",((LW73/$LW$78)*100)))))</f>
        <v/>
      </c>
      <c r="LY73" s="185" t="str">
        <f>IF(LX73="","",(IF(OR(Compositions!AK138="Hydrogen",Compositions!AK138="Helium",Compositions!AK138="Water",Compositions!AK138="Carbon Monoxide",Compositions!AK138="Nitrogen",Compositions!AK138="Oxygen",Compositions!AK138="Hydrogen Sulfide",Compositions!AK138="Argon",Compositions!AK138="Carbon Dioxide",Compositions!AK138="Carbon Disulfide"),0,LX73)))</f>
        <v/>
      </c>
      <c r="LZ73" s="187" t="str">
        <f>IF(Compositions!AN138="","",((LQ73/100)*((VLOOKUP(Compositions!AK138,'HHV-LHV-MW'!$A$3:$G$40,7,FALSE)))))</f>
        <v/>
      </c>
      <c r="MA73" s="187" t="str">
        <f>IF(LQ73="","",(IF(OR(Compositions!AK138="Hydrogen",Compositions!AK138="Carbon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Dioxide",Compositions!AK138="Methane",Compositions!AK138="Ethane"),0,(LQ73/100))))</f>
        <v/>
      </c>
      <c r="MB73" s="205" t="str">
        <f>IF(LQ73="","",(IF(OR($MA$78=0,$MA$78=""),0,     ((VLOOKUP(Compositions!AK138,'HHV-LHV-MW'!$A$3:$F$40,6,FALSE))*(MA73/$MA$78)))))</f>
        <v/>
      </c>
      <c r="MC73" s="28" t="str">
        <f>IF(Compositions!AO138="","",IF(Compositions!$AO$118="mol%",Compositions!AO138,MD73))</f>
        <v/>
      </c>
      <c r="MD73" s="28" t="str">
        <f t="shared" si="52"/>
        <v/>
      </c>
      <c r="ME73" s="28" t="str">
        <f>IF(Compositions!AO138="","",(Compositions!AO138/(VLOOKUP(Compositions!AK138,'HHV-LHV-MW'!$A$3:$F$40,6,FALSE))))</f>
        <v/>
      </c>
      <c r="MF73" s="184" t="str">
        <f>IF(MC73="","",((VLOOKUP(Compositions!AK138,'HHV-LHV-MW'!$A$3:$F$40,4,FALSE))*(MC73/100)))</f>
        <v/>
      </c>
      <c r="MG73" s="184" t="str">
        <f>IF(MC73="","",((VLOOKUP(Compositions!AK138,'HHV-LHV-MW'!$A$3:$F$40,5,FALSE))*(MC73/100)))</f>
        <v/>
      </c>
      <c r="MH73" s="184" t="str">
        <f>IF(MC73="","",((VLOOKUP(Compositions!AK138,'HHV-LHV-MW'!$A$3:$F$40,6,FALSE))*(MC73/100)))</f>
        <v/>
      </c>
      <c r="MI73" s="184" t="str">
        <f>IF(Compositions!AO138="","",(Compositions!AO138*(VLOOKUP(Compositions!AK138,'HHV-LHV-MW'!$A$3:$F$40,6,FALSE))))</f>
        <v/>
      </c>
      <c r="MJ73" s="297" t="str">
        <f>IF(Compositions!AO138="","",IF(OR(Compositions!$AO$118="wt%",Compositions!$AO$118=""),Compositions!AO138,(IF(MI73="","",((MI73/$MI$78)*100)))))</f>
        <v/>
      </c>
      <c r="MK73" s="39" t="str">
        <f>IF(MJ73="","",(IF(OR(Compositions!AK138="Hydrogen",Compositions!AK138="Helium",Compositions!AK138="Water",Compositions!AK138="Carbon Monoxide",Compositions!AK138="Nitrogen",Compositions!AK138="Oxygen",Compositions!AK138="Hydrogen Sulfide",Compositions!AK138="Argon",Compositions!AK138="Carbon Dioxide",Compositions!AK138="Carbon Disulfide"),0,MJ73)))</f>
        <v/>
      </c>
      <c r="ML73" s="186" t="str">
        <f>IF(Compositions!AO138="","",((MC73/100)*((VLOOKUP(Compositions!AK138,'HHV-LHV-MW'!$A$3:$G$40,7,FALSE)))))</f>
        <v/>
      </c>
      <c r="MM73" s="186" t="str">
        <f>IF(MC73="","",(IF(OR(Compositions!AK138="Hydrogen",Compositions!AK138="Carbon Disulfide",Compositions!AK138="Helium",Compositions!AK138="Water",Compositions!AK138="Carbon Monoxide",Compositions!AK138="Nitrogen",Compositions!AK138="Oxygen",Compositions!AK138="Hydrogen Sulfide",Compositions!AK138="Argon",Compositions!AK138="Carbon Dioxide",Compositions!AK138="Methane",Compositions!AK138="Ethane"),0,(MC73/100))))</f>
        <v/>
      </c>
      <c r="MN73" s="39" t="str">
        <f>IF(MC73="","",(IF(OR($MM$78=0,$MM$78=""),0,     ((VLOOKUP(Compositions!AK138,'HHV-LHV-MW'!$A$3:$F$40,6,FALSE))*(MM73/$MM$78)))))</f>
        <v/>
      </c>
      <c r="MP73" s="27" t="str">
        <f>IF(Compositions!AR138="","",IF(Compositions!$AR$118="mol%",Compositions!AR138,MQ73))</f>
        <v/>
      </c>
      <c r="MQ73" s="27" t="str">
        <f t="shared" si="53"/>
        <v/>
      </c>
      <c r="MR73" s="27" t="str">
        <f>IF(Compositions!AR138="","",(Compositions!AR138/(VLOOKUP(Compositions!AQ138,'HHV-LHV-MW'!$A$3:$F$40,6,FALSE))))</f>
        <v/>
      </c>
      <c r="MS73" s="185" t="str">
        <f>IF(MP73="","",((VLOOKUP(Compositions!AQ138,'HHV-LHV-MW'!$A$3:$F$40,4,FALSE))*(MP73/100)))</f>
        <v/>
      </c>
      <c r="MT73" s="185" t="str">
        <f>IF(MP73="","",((VLOOKUP(Compositions!AQ138,'HHV-LHV-MW'!$A$3:$F$40,5,FALSE))*(MP73/100)))</f>
        <v/>
      </c>
      <c r="MU73" s="185" t="str">
        <f>IF(MP73="","",((VLOOKUP(Compositions!AQ138,'HHV-LHV-MW'!$A$3:$F$40,6,FALSE))*(MP73/100)))</f>
        <v/>
      </c>
      <c r="MV73" s="185" t="str">
        <f>IF(Compositions!AR138="","",(Compositions!AR138*(VLOOKUP(Compositions!AQ138,'HHV-LHV-MW'!$A$3:$F$40,6,FALSE))))</f>
        <v/>
      </c>
      <c r="MW73" s="298" t="str">
        <f>IF(Compositions!AR138="","",IF(OR(Compositions!$AR$118="wt%",Compositions!$AR$118=""),Compositions!AR138,(IF(MV73="","",((MV73/$MV$78)*100)))))</f>
        <v/>
      </c>
      <c r="MX73" s="185" t="str">
        <f>IF(MW73="","",(IF(OR(Compositions!AQ138="Hydrogen",Compositions!AQ138="Helium",Compositions!AQ138="Water",Compositions!AQ138="Carbon Monoxide",Compositions!AQ138="Nitrogen",Compositions!AQ138="Oxygen",Compositions!AQ138="Hydrogen Sulfide",Compositions!AQ138="Argon",Compositions!AQ138="Carbon Dioxide",Compositions!AQ138="Carbon Disulfide"),0,MW73)))</f>
        <v/>
      </c>
      <c r="MY73" s="187" t="str">
        <f>IF(Compositions!AR138="","",((MP73/100)*((VLOOKUP(Compositions!AQ138,'HHV-LHV-MW'!$A$3:$G$40,7,FALSE)))))</f>
        <v/>
      </c>
      <c r="MZ73" s="187" t="str">
        <f>IF(MP73="","",(IF(OR(Compositions!AQ138="Hydrogen",Compositions!AQ138="Carbon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Dioxide",Compositions!AQ138="Methane",Compositions!AQ138="Ethane"),0,(MP73/100))))</f>
        <v/>
      </c>
      <c r="NA73" s="205" t="str">
        <f>IF(MP73="","",(IF(OR($MZ$78=0,$MZ$78=""),0,     ((VLOOKUP(Compositions!AQ138,'HHV-LHV-MW'!$A$3:$F$40,6,FALSE))*(MZ73/$MZ$78)))))</f>
        <v/>
      </c>
      <c r="NB73" s="28" t="str">
        <f>IF(Compositions!AS138="","",IF(Compositions!$AS$118="mol%",Compositions!AS138,NC73))</f>
        <v/>
      </c>
      <c r="NC73" s="28" t="str">
        <f t="shared" si="54"/>
        <v/>
      </c>
      <c r="ND73" s="28" t="str">
        <f>IF(Compositions!AS138="","",(Compositions!AS138/(VLOOKUP(Compositions!AQ138,'HHV-LHV-MW'!$A$3:$F$40,6,FALSE))))</f>
        <v/>
      </c>
      <c r="NE73" s="184" t="str">
        <f>IF(NB73="","",((VLOOKUP(Compositions!AQ138,'HHV-LHV-MW'!$A$3:$F$40,4,FALSE))*(NB73/100)))</f>
        <v/>
      </c>
      <c r="NF73" s="184" t="str">
        <f>IF(NB73="","",((VLOOKUP(Compositions!AQ138,'HHV-LHV-MW'!$A$3:$F$40,5,FALSE))*(NB73/100)))</f>
        <v/>
      </c>
      <c r="NG73" s="184" t="str">
        <f>IF(NB73="","",((VLOOKUP(Compositions!AQ138,'HHV-LHV-MW'!$A$3:$F$40,6,FALSE))*(NB73/100)))</f>
        <v/>
      </c>
      <c r="NH73" s="184" t="str">
        <f>IF(Compositions!AS138="","",(Compositions!AS138*(VLOOKUP(Compositions!AQ138,'HHV-LHV-MW'!$A$3:$F$40,6,FALSE))))</f>
        <v/>
      </c>
      <c r="NI73" s="297" t="str">
        <f>IF(Compositions!AS138="","",IF(OR(Compositions!$AS$118="wt%",Compositions!$AS$118=""),Compositions!AS138,(IF(NH73="","",((NH73/$NH$78)*100)))))</f>
        <v/>
      </c>
      <c r="NJ73" s="39" t="str">
        <f>IF(NI73="","",(IF(OR(Compositions!AQ138="Hydrogen",Compositions!AQ138="Helium",Compositions!AQ138="Water",Compositions!AQ138="Carbon Monoxide",Compositions!AQ138="Nitrogen",Compositions!AQ138="Oxygen",Compositions!AQ138="Hydrogen Sulfide",Compositions!AQ138="Argon",Compositions!AQ138="Carbon Dioxide",Compositions!AQ138="Carbon Disulfide"),0,NI73)))</f>
        <v/>
      </c>
      <c r="NK73" s="186" t="str">
        <f>IF(Compositions!AS138="","",((NB73/100)*((VLOOKUP(Compositions!AQ138,'HHV-LHV-MW'!$A$3:$G$40,7,FALSE)))))</f>
        <v/>
      </c>
      <c r="NL73" s="186" t="str">
        <f>IF(NB73="","",(IF(OR(Compositions!AQ138="Hydrogen",Compositions!AQ138="Carbon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Dioxide",Compositions!AQ138="Methane",Compositions!AQ138="Ethane"),0,(NB73/100))))</f>
        <v/>
      </c>
      <c r="NM73" s="39" t="str">
        <f>IF(NB73="","",(IF(OR($NL$78=0,$NL$78=""),0,     ((VLOOKUP(Compositions!AQ138,'HHV-LHV-MW'!$A$3:$F$40,6,FALSE))*(NL73/$NL$78)))))</f>
        <v/>
      </c>
      <c r="NN73" s="27" t="str">
        <f>IF(Compositions!AT138="","",IF(Compositions!$AT$118="mol%",Compositions!AT138,NO73))</f>
        <v/>
      </c>
      <c r="NO73" s="27" t="str">
        <f t="shared" si="55"/>
        <v/>
      </c>
      <c r="NP73" s="27" t="str">
        <f>IF(Compositions!AT138="","",(Compositions!AT138/(VLOOKUP(Compositions!AQ138,'HHV-LHV-MW'!$A$3:$F$40,6,FALSE))))</f>
        <v/>
      </c>
      <c r="NQ73" s="185" t="str">
        <f>IF(NN73="","",((VLOOKUP(Compositions!AQ138,'HHV-LHV-MW'!$A$3:$F$40,4,FALSE))*(NN73/100)))</f>
        <v/>
      </c>
      <c r="NR73" s="185" t="str">
        <f>IF(NN73="","",((VLOOKUP(Compositions!AQ138,'HHV-LHV-MW'!$A$3:$F$40,5,FALSE))*(NN73/100)))</f>
        <v/>
      </c>
      <c r="NS73" s="185" t="str">
        <f>IF(NN73="","",((VLOOKUP(Compositions!AQ138,'HHV-LHV-MW'!$A$3:$F$40,6,FALSE))*(NN73/100)))</f>
        <v/>
      </c>
      <c r="NT73" s="185" t="str">
        <f>IF(Compositions!AT138="","",(Compositions!AT138*(VLOOKUP(Compositions!AQ138,'HHV-LHV-MW'!$A$3:$F$40,6,FALSE))))</f>
        <v/>
      </c>
      <c r="NU73" s="298" t="str">
        <f>IF(Compositions!AT138="","",IF(OR(Compositions!$AT$118="wt%",Compositions!$AT$118=""),Compositions!AT138,(IF(NT73="","",((NT73/$NT$78)*100)))))</f>
        <v/>
      </c>
      <c r="NV73" s="185" t="str">
        <f>IF(NU73="","",(IF(OR(Compositions!AQ138="Hydrogen",Compositions!AQ138="Helium",Compositions!AQ138="Water",Compositions!AQ138="Carbon Monoxide",Compositions!AQ138="Nitrogen",Compositions!AQ138="Oxygen",Compositions!AQ138="Hydrogen Sulfide",Compositions!AQ138="Argon",Compositions!AQ138="Carbon Dioxide",Compositions!AQ138="Carbon Disulfide"),0,NU73)))</f>
        <v/>
      </c>
      <c r="NW73" s="187" t="str">
        <f>IF(Compositions!AT138="","",((NN73/100)*((VLOOKUP(Compositions!AQ138,'HHV-LHV-MW'!$A$3:$G$40,7,FALSE)))))</f>
        <v/>
      </c>
      <c r="NX73" s="187" t="str">
        <f>IF(NN73="","",(IF(OR(Compositions!AQ138="Hydrogen",Compositions!AQ138="Carbon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Dioxide",Compositions!AQ138="Methane",Compositions!AQ138="Ethane"),0,(NN73/100))))</f>
        <v/>
      </c>
      <c r="NY73" s="205" t="str">
        <f>IF(NN73="","",(IF(OR($NX$78=0,$NX$78=""),0,     ((VLOOKUP(Compositions!AQ138,'HHV-LHV-MW'!$A$3:$F$40,6,FALSE))*(NX73/$NX$78)))))</f>
        <v/>
      </c>
      <c r="NZ73" s="28" t="str">
        <f>IF(Compositions!AU138="","",IF(Compositions!$AU$118="mol%",Compositions!AU138,OA73))</f>
        <v/>
      </c>
      <c r="OA73" s="28" t="str">
        <f t="shared" si="56"/>
        <v/>
      </c>
      <c r="OB73" s="28" t="str">
        <f>IF(Compositions!AU138="","",(Compositions!AU138/(VLOOKUP(Compositions!AQ138,'HHV-LHV-MW'!$A$3:$F$40,6,FALSE))))</f>
        <v/>
      </c>
      <c r="OC73" s="184" t="str">
        <f>IF(NZ73="","",((VLOOKUP(Compositions!AQ138,'HHV-LHV-MW'!$A$3:$F$40,4,FALSE))*(NZ73/100)))</f>
        <v/>
      </c>
      <c r="OD73" s="184" t="str">
        <f>IF(NZ73="","",((VLOOKUP(Compositions!AQ138,'HHV-LHV-MW'!$A$3:$F$40,5,FALSE))*(NZ73/100)))</f>
        <v/>
      </c>
      <c r="OE73" s="184" t="str">
        <f>IF(NZ73="","",((VLOOKUP(Compositions!AQ138,'HHV-LHV-MW'!$A$3:$F$40,6,FALSE))*(NZ73/100)))</f>
        <v/>
      </c>
      <c r="OF73" s="184" t="str">
        <f>IF(Compositions!AU138="","",(Compositions!AU138*(VLOOKUP(Compositions!AQ138,'HHV-LHV-MW'!$A$3:$F$40,6,FALSE))))</f>
        <v/>
      </c>
      <c r="OG73" s="297" t="str">
        <f>IF(Compositions!AU138="","",IF(OR(Compositions!$AU$118="wt%",Compositions!$AU$118=""),Compositions!AU138,(IF(OF73="","",((OF73/$OF$78)*100)))))</f>
        <v/>
      </c>
      <c r="OH73" s="39" t="str">
        <f>IF(OG73="","",(IF(OR(Compositions!AQ138="Hydrogen",Compositions!AQ138="Helium",Compositions!AQ138="Water",Compositions!AQ138="Carbon Monoxide",Compositions!AQ138="Nitrogen",Compositions!AQ138="Oxygen",Compositions!AQ138="Hydrogen Sulfide",Compositions!AQ138="Argon",Compositions!AQ138="Carbon Dioxide",Compositions!AQ138="Carbon Disulfide"),0,OG73)))</f>
        <v/>
      </c>
      <c r="OI73" s="186" t="str">
        <f>IF(Compositions!AU138="","",((NZ73/100)*((VLOOKUP(Compositions!AQ138,'HHV-LHV-MW'!$A$3:$G$40,7,FALSE)))))</f>
        <v/>
      </c>
      <c r="OJ73" s="186" t="str">
        <f>IF(NZ73="","",(IF(OR(Compositions!AQ138="Hydrogen",Compositions!AQ138="Carbon Disulfide",Compositions!AQ138="Helium",Compositions!AQ138="Water",Compositions!AQ138="Carbon Monoxide",Compositions!AQ138="Nitrogen",Compositions!AQ138="Oxygen",Compositions!AQ138="Hydrogen Sulfide",Compositions!AQ138="Argon",Compositions!AQ138="Carbon Dioxide",Compositions!AQ138="Methane",Compositions!AQ138="Ethane"),0,(NZ73/100))))</f>
        <v/>
      </c>
      <c r="OK73" s="39" t="str">
        <f>IF(NZ73="","",(IF(OR($OJ$78=0,$OJ$78=""),0,     ((VLOOKUP(Compositions!AQ138,'HHV-LHV-MW'!$A$3:$F$40,6,FALSE))*(OJ73/$OJ$78)))))</f>
        <v/>
      </c>
      <c r="ON73" s="27" t="str">
        <f>IF(Compositions!AX138="","",IF(Compositions!$AX$118="mol%",Compositions!AX138,OO73))</f>
        <v/>
      </c>
      <c r="OO73" s="27" t="str">
        <f t="shared" si="57"/>
        <v/>
      </c>
      <c r="OP73" s="27" t="str">
        <f>IF(Compositions!AX138="","",(Compositions!AX138/(VLOOKUP(Compositions!AW138,'HHV-LHV-MW'!$A$3:$F$40,6,FALSE))))</f>
        <v/>
      </c>
      <c r="OQ73" s="185" t="str">
        <f>IF(ON73="","",((VLOOKUP(Compositions!AW138,'HHV-LHV-MW'!$A$3:$F$40,4,FALSE))*(ON73/100)))</f>
        <v/>
      </c>
      <c r="OR73" s="185" t="str">
        <f>IF(ON73="","",((VLOOKUP(Compositions!AW138,'HHV-LHV-MW'!$A$3:$F$40,5,FALSE))*(ON73/100)))</f>
        <v/>
      </c>
      <c r="OS73" s="185" t="str">
        <f>IF(ON73="","",((VLOOKUP(Compositions!AW138,'HHV-LHV-MW'!$A$3:$F$40,6,FALSE))*(ON73/100)))</f>
        <v/>
      </c>
      <c r="OT73" s="185" t="str">
        <f>IF(Compositions!AX138="","",(Compositions!AX138*(VLOOKUP(Compositions!AW138,'HHV-LHV-MW'!$A$3:$F$40,6,FALSE))))</f>
        <v/>
      </c>
      <c r="OU73" s="298" t="str">
        <f>IF(Compositions!AX138="","",IF(OR(Compositions!$AX$118="wt%",Compositions!$AX$118=""),Compositions!AX138,(IF(OT73="","",((OT73/$OT$78)*100)))))</f>
        <v/>
      </c>
      <c r="OV73" s="185" t="str">
        <f>IF(OU73="","",(IF(OR(Compositions!AW138="Hydrogen",Compositions!AW138="Helium",Compositions!AW138="Water",Compositions!AW138="Carbon Monoxide",Compositions!AW138="Nitrogen",Compositions!AW138="Oxygen",Compositions!AW138="Hydrogen Sulfide",Compositions!AW138="Argon",Compositions!AW138="Carbon Dioxide",Compositions!AW138="Carbon Disulfide"),0,OU73)))</f>
        <v/>
      </c>
      <c r="OW73" s="187" t="str">
        <f>IF(Compositions!AX138="","",((ON73/100)*((VLOOKUP(Compositions!AW138,'HHV-LHV-MW'!$A$3:$G$40,7,FALSE)))))</f>
        <v/>
      </c>
      <c r="OX73" s="187" t="str">
        <f>IF(ON73="","",(IF(OR(Compositions!AW138="Hydrogen",Compositions!AW138="Carbon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Dioxide",Compositions!AW138="Methane",Compositions!AW138="Ethane"),0,(ON73/100))))</f>
        <v/>
      </c>
      <c r="OY73" s="205" t="str">
        <f>IF(ON73="","",(IF(OR($OX$78=0,$OX$78=""),0,     ((VLOOKUP(Compositions!AW138,'HHV-LHV-MW'!$A$3:$F$40,6,FALSE))*(OX73/$OX$78)))))</f>
        <v/>
      </c>
      <c r="OZ73" s="28" t="str">
        <f>IF(Compositions!AY138="","",IF(Compositions!$AY$118="mol%",Compositions!AY138,PA73))</f>
        <v/>
      </c>
      <c r="PA73" s="28" t="str">
        <f t="shared" si="64"/>
        <v/>
      </c>
      <c r="PB73" s="28" t="str">
        <f>IF(Compositions!AY138="","",(Compositions!AY138/(VLOOKUP(Compositions!AW138,'HHV-LHV-MW'!$A$3:$F$40,6,FALSE))))</f>
        <v/>
      </c>
      <c r="PC73" s="184" t="str">
        <f>IF(OZ73="","",((VLOOKUP(Compositions!AW138,'HHV-LHV-MW'!$A$3:$F$40,4,FALSE))*(OZ73/100)))</f>
        <v/>
      </c>
      <c r="PD73" s="184" t="str">
        <f>IF(OZ73="","",((VLOOKUP(Compositions!AW138,'HHV-LHV-MW'!$A$3:$F$40,5,FALSE))*(OZ73/100)))</f>
        <v/>
      </c>
      <c r="PE73" s="184" t="str">
        <f>IF(OZ73="","",((VLOOKUP(Compositions!AW138,'HHV-LHV-MW'!$A$3:$F$40,6,FALSE))*(OZ73/100)))</f>
        <v/>
      </c>
      <c r="PF73" s="184" t="str">
        <f>IF(Compositions!AY138="","",(Compositions!AY138*(VLOOKUP(Compositions!AW138,'HHV-LHV-MW'!$A$3:$F$40,6,FALSE))))</f>
        <v/>
      </c>
      <c r="PG73" s="297" t="str">
        <f>IF(Compositions!AY138="","",IF(OR(Compositions!$AY$118="wt%",Compositions!$AY$118=""),Compositions!AY138,(IF(PF73="","",((PF73/$PF$78)*100)))))</f>
        <v/>
      </c>
      <c r="PH73" s="39" t="str">
        <f>IF(PG73="","",(IF(OR(Compositions!AW138="Hydrogen",Compositions!AW138="Helium",Compositions!AW138="Water",Compositions!AW138="Carbon Monoxide",Compositions!AW138="Nitrogen",Compositions!AW138="Oxygen",Compositions!AW138="Hydrogen Sulfide",Compositions!AW138="Argon",Compositions!AW138="Carbon Dioxide",Compositions!AW138="Carbon Disulfide"),0,PG73)))</f>
        <v/>
      </c>
      <c r="PI73" s="186" t="str">
        <f>IF(Compositions!AY138="","",((OZ73/100)*((VLOOKUP(Compositions!AW138,'HHV-LHV-MW'!$A$3:$G$40,7,FALSE)))))</f>
        <v/>
      </c>
      <c r="PJ73" s="186" t="str">
        <f>IF(OZ73="","",(IF(OR(Compositions!AW138="Hydrogen",Compositions!AW138="Carbon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Dioxide",Compositions!AW138="Methane",Compositions!AW138="Ethane"),0,(OZ73/100))))</f>
        <v/>
      </c>
      <c r="PK73" s="39" t="str">
        <f>IF(OZ73="","",(IF(OR($PJ$78=0,$PJ$78=""),0,     ((VLOOKUP(Compositions!AW138,'HHV-LHV-MW'!$A$3:$F$40,6,FALSE))*(PJ73/$PJ$78)))))</f>
        <v/>
      </c>
      <c r="PL73" s="27" t="str">
        <f>IF(Compositions!AZ138="","",IF(Compositions!$AZ$118="mol%",Compositions!AZ138,PM73))</f>
        <v/>
      </c>
      <c r="PM73" s="27" t="str">
        <f t="shared" si="58"/>
        <v/>
      </c>
      <c r="PN73" s="27" t="str">
        <f>IF(Compositions!AZ138="","",(Compositions!AZ138/(VLOOKUP(Compositions!AW138,'HHV-LHV-MW'!$A$3:$F$40,6,FALSE))))</f>
        <v/>
      </c>
      <c r="PO73" s="185" t="str">
        <f>IF(PL73="","",((VLOOKUP(Compositions!AW138,'HHV-LHV-MW'!$A$3:$F$40,4,FALSE))*(PL73/100)))</f>
        <v/>
      </c>
      <c r="PP73" s="185" t="str">
        <f>IF(PL73="","",((VLOOKUP(Compositions!AW138,'HHV-LHV-MW'!$A$3:$F$40,5,FALSE))*(PL73/100)))</f>
        <v/>
      </c>
      <c r="PQ73" s="185" t="str">
        <f>IF(PL73="","",((VLOOKUP(Compositions!AW138,'HHV-LHV-MW'!$A$3:$F$40,6,FALSE))*(PL73/100)))</f>
        <v/>
      </c>
      <c r="PR73" s="185" t="str">
        <f>IF(Compositions!AZ138="","",(Compositions!AZ138*(VLOOKUP(Compositions!AW138,'HHV-LHV-MW'!$A$3:$F$40,6,FALSE))))</f>
        <v/>
      </c>
      <c r="PS73" s="298" t="str">
        <f>IF(Compositions!AZ138="","",IF(OR(Compositions!$AZ$118="wt%",Compositions!$AZ$118=""),Compositions!AZ138,(IF(PR73="","",((PR73/$PR$78)*100)))))</f>
        <v/>
      </c>
      <c r="PT73" s="185" t="str">
        <f>IF(PS73="","",(IF(OR(Compositions!AW138="Hydrogen",Compositions!AW138="Helium",Compositions!AW138="Water",Compositions!AW138="Carbon Monoxide",Compositions!AW138="Nitrogen",Compositions!AW138="Oxygen",Compositions!AW138="Hydrogen Sulfide",Compositions!AW138="Argon",Compositions!AW138="Carbon Dioxide",Compositions!AW138="Carbon Disulfide"),0,PS73)))</f>
        <v/>
      </c>
      <c r="PU73" s="187" t="str">
        <f>IF(Compositions!AZ138="","",((PL73/100)*((VLOOKUP(Compositions!AW138,'HHV-LHV-MW'!$A$3:$G$40,7,FALSE)))))</f>
        <v/>
      </c>
      <c r="PV73" s="187" t="str">
        <f>IF(PL73="","",(IF(OR(Compositions!AW138="Hydrogen",Compositions!AW138="Carbon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Dioxide",Compositions!AW138="Methane",Compositions!AW138="Ethane"),0,(PL73/100))))</f>
        <v/>
      </c>
      <c r="PW73" s="205" t="str">
        <f>IF(PL73="","",(IF(OR($PV$78=0,$PV$78=""),0,     ((VLOOKUP(Compositions!AW138,'HHV-LHV-MW'!$A$3:$F$40,6,FALSE))*(PV73/$PV$78)))))</f>
        <v/>
      </c>
      <c r="PX73" s="28" t="str">
        <f>IF(Compositions!BA138="","",IF(Compositions!$BA$118="mol%",Compositions!BA138,PY73))</f>
        <v/>
      </c>
      <c r="PY73" s="28" t="str">
        <f t="shared" si="59"/>
        <v/>
      </c>
      <c r="PZ73" s="28" t="str">
        <f>IF(Compositions!BA138="","",(Compositions!BA138/(VLOOKUP(Compositions!AW138,'HHV-LHV-MW'!$A$3:$F$40,6,FALSE))))</f>
        <v/>
      </c>
      <c r="QA73" s="184" t="str">
        <f>IF(PX73="","",((VLOOKUP(Compositions!AW138,'HHV-LHV-MW'!$A$3:$F$40,4,FALSE))*(PX73/100)))</f>
        <v/>
      </c>
      <c r="QB73" s="184" t="str">
        <f>IF(PX73="","",((VLOOKUP(Compositions!AW138,'HHV-LHV-MW'!$A$3:$F$40,5,FALSE))*(PX73/100)))</f>
        <v/>
      </c>
      <c r="QC73" s="184" t="str">
        <f>IF(PX73="","",((VLOOKUP(Compositions!AW138,'HHV-LHV-MW'!$A$3:$F$40,6,FALSE))*(PX73/100)))</f>
        <v/>
      </c>
      <c r="QD73" s="184" t="str">
        <f>IF(Compositions!BA138="","",(Compositions!BA138*(VLOOKUP(Compositions!AW138,'HHV-LHV-MW'!$A$3:$F$40,6,FALSE))))</f>
        <v/>
      </c>
      <c r="QE73" s="297" t="str">
        <f>IF(Compositions!BA138="","",IF(OR(Compositions!$BA$118="wt%",Compositions!$BA$118=""),Compositions!BA138,(IF(QD73="","",((QD73/$QD$78)*100)))))</f>
        <v/>
      </c>
      <c r="QF73" s="39" t="str">
        <f>IF(QE73="","",(IF(OR(Compositions!AW138="Hydrogen",Compositions!AW138="Helium",Compositions!AW138="Water",Compositions!AW138="Carbon Monoxide",Compositions!AW138="Nitrogen",Compositions!AW138="Oxygen",Compositions!AW138="Hydrogen Sulfide",Compositions!AW138="Argon",Compositions!AW138="Carbon Dioxide",Compositions!AW138="Carbon Disulfide"),0,QE73)))</f>
        <v/>
      </c>
      <c r="QG73" s="186" t="str">
        <f>IF(Compositions!BA138="","",((PX73/100)*((VLOOKUP(Compositions!AW138,'HHV-LHV-MW'!$A$3:$G$40,7,FALSE)))))</f>
        <v/>
      </c>
      <c r="QH73" s="186" t="str">
        <f>IF(PX73="","",(IF(OR(Compositions!AW138="Hydrogen",Compositions!AW138="Carbon Disulfide",Compositions!AW138="Helium",Compositions!AW138="Water",Compositions!AW138="Carbon Monoxide",Compositions!AW138="Nitrogen",Compositions!AW138="Oxygen",Compositions!AW138="Hydrogen Sulfide",Compositions!AW138="Argon",Compositions!AW138="Carbon Dioxide",Compositions!AW138="Methane",Compositions!AW138="Ethane"),0,(PX73/100))))</f>
        <v/>
      </c>
      <c r="QI73" s="39" t="str">
        <f>IF(PX73="","",(IF(OR($QH$78=0,$QH$78=""),0,     ((VLOOKUP(Compositions!AW138,'HHV-LHV-MW'!$A$3:$F$40,6,FALSE))*(QH73/$QH$78)))))</f>
        <v/>
      </c>
      <c r="QK73" s="27" t="str">
        <f>IF(Compositions!BD138="","",IF(Compositions!$BD$118="mol%",Compositions!BD138,QL73))</f>
        <v/>
      </c>
      <c r="QL73" s="27" t="str">
        <f t="shared" si="60"/>
        <v/>
      </c>
      <c r="QM73" s="27" t="str">
        <f>IF(Compositions!BD138="","",(Compositions!BD138/(VLOOKUP(Compositions!BC138,'HHV-LHV-MW'!$A$3:$F$40,6,FALSE))))</f>
        <v/>
      </c>
      <c r="QN73" s="185" t="str">
        <f>IF(QK73="","",((VLOOKUP(Compositions!BC138,'HHV-LHV-MW'!$A$3:$F$40,4,FALSE))*(QK73/100)))</f>
        <v/>
      </c>
      <c r="QO73" s="185" t="str">
        <f>IF(QK73="","",((VLOOKUP(Compositions!BC138,'HHV-LHV-MW'!$A$3:$F$40,5,FALSE))*(QK73/100)))</f>
        <v/>
      </c>
      <c r="QP73" s="185" t="str">
        <f>IF(QK73="","",((VLOOKUP(Compositions!BC138,'HHV-LHV-MW'!$A$3:$F$40,6,FALSE))*(QK73/100)))</f>
        <v/>
      </c>
      <c r="QQ73" s="185" t="str">
        <f>IF(Compositions!BD138="","",(Compositions!BD138*(VLOOKUP(Compositions!BC138,'HHV-LHV-MW'!$A$3:$F$40,6,FALSE))))</f>
        <v/>
      </c>
      <c r="QR73" s="298" t="str">
        <f>IF(Compositions!BD138="","",IF(OR(Compositions!$BD$118="wt%",Compositions!$BD$118=""),Compositions!BD138,(IF(QQ73="","",((QQ73/$QQ$78)*100)))))</f>
        <v/>
      </c>
      <c r="QS73" s="185" t="str">
        <f>IF(QR73="","",(IF(OR(Compositions!BC138="Hydrogen",Compositions!BC138="Helium",Compositions!BC138="Water",Compositions!BC138="Carbon Monoxide",Compositions!BC138="Nitrogen",Compositions!BC138="Oxygen",Compositions!BC138="Hydrogen Sulfide",Compositions!BC138="Argon",Compositions!BC138="Carbon Dioxide",Compositions!BC138="Carbon Disulfide"),0,QR73)))</f>
        <v/>
      </c>
      <c r="QT73" s="187" t="str">
        <f>IF(Compositions!BD138="","",((QK73/100)*((VLOOKUP(Compositions!BC138,'HHV-LHV-MW'!$A$3:$G$40,7,FALSE)))))</f>
        <v/>
      </c>
      <c r="QU73" s="187" t="str">
        <f>IF(QK73="","",(IF(OR(Compositions!BC138="Hydrogen",Compositions!BC138="Carbon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Dioxide",Compositions!BC138="Methane",Compositions!BC138="Ethane"),0,(QK73/100))))</f>
        <v/>
      </c>
      <c r="QV73" s="205" t="str">
        <f>IF(QK73="","",(IF(OR($QU$78=0,$QU$78=""),0,     ((VLOOKUP(Compositions!BC138,'HHV-LHV-MW'!$A$3:$F$40,6,FALSE))*(QU73/$QU$78)))))</f>
        <v/>
      </c>
      <c r="QW73" s="28" t="str">
        <f>IF(Compositions!BE138="","",IF(Compositions!$BE$118="mol%",Compositions!BE138,QX73))</f>
        <v/>
      </c>
      <c r="QX73" s="28" t="str">
        <f t="shared" si="61"/>
        <v/>
      </c>
      <c r="QY73" s="28" t="str">
        <f>IF(Compositions!BE138="","",(Compositions!BE138/(VLOOKUP(Compositions!BC138,'HHV-LHV-MW'!$A$3:$F$40,6,FALSE))))</f>
        <v/>
      </c>
      <c r="QZ73" s="184" t="str">
        <f>IF(QW73="","",((VLOOKUP(Compositions!BC138,'HHV-LHV-MW'!$A$3:$F$40,4,FALSE))*(QW73/100)))</f>
        <v/>
      </c>
      <c r="RA73" s="184" t="str">
        <f>IF(QW73="","",((VLOOKUP(Compositions!BC138,'HHV-LHV-MW'!$A$3:$F$40,5,FALSE))*(QW73/100)))</f>
        <v/>
      </c>
      <c r="RB73" s="184" t="str">
        <f>IF(QW73="","",((VLOOKUP(Compositions!BC138,'HHV-LHV-MW'!$A$3:$F$40,6,FALSE))*(QW73/100)))</f>
        <v/>
      </c>
      <c r="RC73" s="184" t="str">
        <f>IF(Compositions!BE138="","",(Compositions!BE138*(VLOOKUP(Compositions!BC138,'HHV-LHV-MW'!$A$3:$F$40,6,FALSE))))</f>
        <v/>
      </c>
      <c r="RD73" s="297" t="str">
        <f>IF(Compositions!BE138="","",IF(OR(Compositions!$BE$118="wt%",Compositions!$BE$118=""),Compositions!BE138,(IF(RC73="","",((RC73/$RC$78)*100)))))</f>
        <v/>
      </c>
      <c r="RE73" s="39" t="str">
        <f>IF(RD73="","",(IF(OR(Compositions!BC138="Hydrogen",Compositions!BC138="Helium",Compositions!BC138="Water",Compositions!BC138="Carbon Monoxide",Compositions!BC138="Nitrogen",Compositions!BC138="Oxygen",Compositions!BC138="Hydrogen Sulfide",Compositions!BC138="Argon",Compositions!BC138="Carbon Dioxide",Compositions!BC138="Carbon Disulfide"),0,RD73)))</f>
        <v/>
      </c>
      <c r="RF73" s="186" t="str">
        <f>IF(Compositions!BE138="","",((QW73/100)*((VLOOKUP(Compositions!BC138,'HHV-LHV-MW'!$A$3:$G$40,7,FALSE)))))</f>
        <v/>
      </c>
      <c r="RG73" s="186" t="str">
        <f>IF(QW73="","",(IF(OR(Compositions!BC138="Hydrogen",Compositions!BC138="Carbon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Dioxide",Compositions!BC138="Methane",Compositions!BC138="Ethane"),0,(QW73/100))))</f>
        <v/>
      </c>
      <c r="RH73" s="39" t="str">
        <f>IF(QW73="","",(IF(OR($RG$78=0,$RG$78=""),0,     ((VLOOKUP(Compositions!BC138,'HHV-LHV-MW'!$A$3:$F$40,6,FALSE))*(RG73/$RG$78)))))</f>
        <v/>
      </c>
      <c r="RI73" s="27" t="str">
        <f>IF(Compositions!BF138="","",IF(Compositions!$BF$118="mol%",Compositions!BF138,RJ73))</f>
        <v/>
      </c>
      <c r="RJ73" s="27" t="str">
        <f t="shared" si="62"/>
        <v/>
      </c>
      <c r="RK73" s="27" t="str">
        <f>IF(Compositions!BF138="","",(Compositions!BF138/(VLOOKUP(Compositions!BC138,'HHV-LHV-MW'!$A$3:$F$40,6,FALSE))))</f>
        <v/>
      </c>
      <c r="RL73" s="185" t="str">
        <f>IF(RI73="","",((VLOOKUP(Compositions!BC138,'HHV-LHV-MW'!$A$3:$F$40,4,FALSE))*(RI73/100)))</f>
        <v/>
      </c>
      <c r="RM73" s="185" t="str">
        <f>IF(RI73="","",((VLOOKUP(Compositions!BC138,'HHV-LHV-MW'!$A$3:$F$40,5,FALSE))*(RI73/100)))</f>
        <v/>
      </c>
      <c r="RN73" s="185" t="str">
        <f>IF(RI73="","",((VLOOKUP(Compositions!BC138,'HHV-LHV-MW'!$A$3:$F$40,6,FALSE))*(RI73/100)))</f>
        <v/>
      </c>
      <c r="RO73" s="185" t="str">
        <f>IF(Compositions!BF138="","",(Compositions!BF138*(VLOOKUP(Compositions!BC138,'HHV-LHV-MW'!$A$3:$F$40,6,FALSE))))</f>
        <v/>
      </c>
      <c r="RP73" s="298" t="str">
        <f>IF(Compositions!BF138="","",IF(OR(Compositions!$BF$118="wt%",Compositions!$BF$118=""),Compositions!BF138,(IF(RO73="","",((RO73/$RO$78)*100)))))</f>
        <v/>
      </c>
      <c r="RQ73" s="185" t="str">
        <f>IF(RP73="","",(IF(OR(Compositions!BC138="Hydrogen",Compositions!BC138="Helium",Compositions!BC138="Water",Compositions!BC138="Carbon Monoxide",Compositions!BC138="Nitrogen",Compositions!BC138="Oxygen",Compositions!BC138="Hydrogen Sulfide",Compositions!BC138="Argon",Compositions!BC138="Carbon Dioxide",Compositions!BC138="Carbon Disulfide"),0,RP73)))</f>
        <v/>
      </c>
      <c r="RR73" s="187" t="str">
        <f>IF(Compositions!BF138="","",((RI73/100)*((VLOOKUP(Compositions!BC138,'HHV-LHV-MW'!$A$3:$G$40,7,FALSE)))))</f>
        <v/>
      </c>
      <c r="RS73" s="187" t="str">
        <f>IF(RI73="","",(IF(OR(Compositions!BC138="Hydrogen",Compositions!BC138="Carbon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Dioxide",Compositions!BC138="Methane",Compositions!BC138="Ethane"),0,(RI73/100))))</f>
        <v/>
      </c>
      <c r="RT73" s="205" t="str">
        <f>IF(RI73="","",(IF(OR($RS$78=0,$RS$78=""),0,     ((VLOOKUP(Compositions!BC138,'HHV-LHV-MW'!$A$3:$F$40,6,FALSE))*(RS73/$RS$78)))))</f>
        <v/>
      </c>
      <c r="RU73" s="28" t="str">
        <f>IF(Compositions!BG138="","",IF(Compositions!$BG$118="mol%",Compositions!BG138,RV73))</f>
        <v/>
      </c>
      <c r="RV73" s="28" t="str">
        <f t="shared" si="63"/>
        <v/>
      </c>
      <c r="RW73" s="28" t="str">
        <f>IF(Compositions!BG138="","",(Compositions!BG138/(VLOOKUP(Compositions!BC138,'HHV-LHV-MW'!$A$3:$F$40,6,FALSE))))</f>
        <v/>
      </c>
      <c r="RX73" s="184" t="str">
        <f>IF(RU73="","",((VLOOKUP(Compositions!BC138,'HHV-LHV-MW'!$A$3:$F$40,4,FALSE))*(RU73/100)))</f>
        <v/>
      </c>
      <c r="RY73" s="184" t="str">
        <f>IF(RU73="","",((VLOOKUP(Compositions!BC138,'HHV-LHV-MW'!$A$3:$F$40,5,FALSE))*(RU73/100)))</f>
        <v/>
      </c>
      <c r="RZ73" s="184" t="str">
        <f>IF(RU73="","",((VLOOKUP(Compositions!BC138,'HHV-LHV-MW'!$A$3:$F$40,6,FALSE))*(RU73/100)))</f>
        <v/>
      </c>
      <c r="SA73" s="184" t="str">
        <f>IF(Compositions!BG138="","",(Compositions!BG138*(VLOOKUP(Compositions!BC138,'HHV-LHV-MW'!$A$3:$F$40,6,FALSE))))</f>
        <v/>
      </c>
      <c r="SB73" s="297" t="str">
        <f>IF(Compositions!BG138="","",IF(OR(Compositions!$BG$118="wt%",Compositions!$BG$118=""),Compositions!BG138,(IF(SA73="","",((SA73/$SA$78)*100)))))</f>
        <v/>
      </c>
      <c r="SC73" s="39" t="str">
        <f>IF(SB73="","",(IF(OR(Compositions!BC138="Hydrogen",Compositions!BC138="Helium",Compositions!BC138="Water",Compositions!BC138="Carbon Monoxide",Compositions!BC138="Nitrogen",Compositions!BC138="Oxygen",Compositions!BC138="Hydrogen Sulfide",Compositions!BC138="Argon",Compositions!BC138="Carbon Dioxide",Compositions!BC138="Carbon Disulfide"),0,SB73)))</f>
        <v/>
      </c>
      <c r="SD73" s="186" t="str">
        <f>IF(Compositions!BG138="","",((RU73/100)*((VLOOKUP(Compositions!BC138,'HHV-LHV-MW'!$A$3:$G$40,7,FALSE)))))</f>
        <v/>
      </c>
      <c r="SE73" s="186" t="str">
        <f>IF(RU73="","",(IF(OR(Compositions!BC138="Hydrogen",Compositions!BC138="Carbon Disulfide",Compositions!BC138="Helium",Compositions!BC138="Water",Compositions!BC138="Carbon Monoxide",Compositions!BC138="Nitrogen",Compositions!BC138="Oxygen",Compositions!BC138="Hydrogen Sulfide",Compositions!BC138="Argon",Compositions!BC138="Carbon Dioxide",Compositions!BC138="Methane",Compositions!BC138="Ethane"),0,(RU73/100))))</f>
        <v/>
      </c>
      <c r="SF73" s="39" t="str">
        <f>IF(RU73="","",(IF(OR($SE$78=0,$SE$78=""),0,     ((VLOOKUP(Compositions!BC138,'HHV-LHV-MW'!$A$3:$F$40,6,FALSE))*(SE73/$SE$78)))))</f>
        <v/>
      </c>
    </row>
    <row r="74" spans="1:500" ht="15.6">
      <c r="A74" s="173" t="s">
        <v>208</v>
      </c>
      <c r="B74" s="19" t="s">
        <v>207</v>
      </c>
      <c r="C74" s="20">
        <v>3</v>
      </c>
      <c r="D74" s="20">
        <v>1.9596</v>
      </c>
      <c r="E74" s="20">
        <v>1.9596</v>
      </c>
      <c r="F74" s="20">
        <v>42.080640000000002</v>
      </c>
      <c r="G74" s="20">
        <v>0</v>
      </c>
      <c r="H74" s="170"/>
      <c r="I74" s="170"/>
      <c r="K74" s="27" t="str">
        <f>IF(Compositions!B139="","",IF(Compositions!$B$118="mol%",Compositions!B139,L74))</f>
        <v/>
      </c>
      <c r="L74" s="27" t="str">
        <f t="shared" si="25"/>
        <v/>
      </c>
      <c r="M74" s="27" t="str">
        <f>IF(Compositions!B139="","",(Compositions!B139/(VLOOKUP(Compositions!A139,'HHV-LHV-MW'!$A$3:$F$40,6,FALSE))))</f>
        <v/>
      </c>
      <c r="N74" s="25" t="str">
        <f>IF(K74="","",((VLOOKUP(Compositions!A139,'HHV-LHV-MW'!$A$3:$F$40,4,FALSE))*(K74/100)))</f>
        <v/>
      </c>
      <c r="O74" s="25" t="str">
        <f>IF(K74="","",((VLOOKUP(Compositions!A139,'HHV-LHV-MW'!$A$3:$F$40,5,FALSE))*(K74/100)))</f>
        <v/>
      </c>
      <c r="P74" s="25" t="str">
        <f>IF(K74="","",((VLOOKUP(Compositions!A139,'HHV-LHV-MW'!$A$3:$F$40,6,FALSE))*(K74/100)))</f>
        <v/>
      </c>
      <c r="Q74" s="25" t="str">
        <f>IF(Compositions!B139="","",(Compositions!B139*(VLOOKUP(Compositions!A139,'HHV-LHV-MW'!$A$3:$F$40,6,FALSE))))</f>
        <v/>
      </c>
      <c r="R74" s="188" t="str">
        <f>IF(Compositions!B139="","",IF(OR(Compositions!$B$118="wt%",Compositions!$B$118=""),Compositions!B139,(IF(Q74="","",((Q74/$Q$78)*100)))))</f>
        <v/>
      </c>
      <c r="S74" s="185" t="str">
        <f>IF(R74="","",(IF(OR(Compositions!A139="Hydrogen",Compositions!A139="Helium",Compositions!A139="Water",Compositions!A139="Carbon Monoxide",Compositions!A139="Nitrogen",Compositions!A139="Oxygen",Compositions!A139="Hydrogen Sulfide",Compositions!A139="Argon",Compositions!A139="Carbon Dioxide",Compositions!A139="Carbon Disulfide"),0,R74)))</f>
        <v/>
      </c>
      <c r="T74" s="169" t="str">
        <f>IF(Compositions!B139="","",((K74/100)*((VLOOKUP(Compositions!A139,'HHV-LHV-MW'!$A$3:$G$40,7,FALSE)))))</f>
        <v/>
      </c>
      <c r="U74" s="187" t="str">
        <f>IF(K74="","",(IF(OR(Compositions!A139="Hydrogen",Compositions!A139="Carbon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Dioxide",Compositions!A139="Methane",Compositions!A139="Ethane"),0,(K74/100))))</f>
        <v/>
      </c>
      <c r="V74" s="188" t="str">
        <f>IF(K74="","", (IF(OR($U$78=0,$U$78=""),0,((VLOOKUP(Compositions!A139,'HHV-LHV-MW'!$A$3:$F$40,6,FALSE))*(U74/$U$78))   ))   )</f>
        <v/>
      </c>
      <c r="W74" s="28" t="str">
        <f>IF(Compositions!C139="","",IF(Compositions!$C$118="mol%",Compositions!C139,X74))</f>
        <v/>
      </c>
      <c r="X74" s="28" t="str">
        <f t="shared" si="26"/>
        <v/>
      </c>
      <c r="Y74" s="28" t="str">
        <f>IF(Compositions!C139="","",(Compositions!C139/(VLOOKUP(Compositions!A139,'HHV-LHV-MW'!$A$3:$F$40,6,FALSE))))</f>
        <v/>
      </c>
      <c r="Z74" s="26" t="str">
        <f>IF(W74="","",((VLOOKUP(Compositions!A139,'HHV-LHV-MW'!$A$3:$F$40,4,FALSE))*(W74/100)))</f>
        <v/>
      </c>
      <c r="AA74" s="26" t="str">
        <f>IF(W74="","",((VLOOKUP(Compositions!A139,'HHV-LHV-MW'!$A$3:$F$40,5,FALSE))*(W74/100)))</f>
        <v/>
      </c>
      <c r="AB74" s="26" t="str">
        <f>IF(W74="","",((VLOOKUP(Compositions!A139,'HHV-LHV-MW'!$A$3:$F$40,6,FALSE))*(W74/100)))</f>
        <v/>
      </c>
      <c r="AC74" s="26" t="str">
        <f>IF(Compositions!C139="","",(Compositions!C139*(VLOOKUP(Compositions!A139,'HHV-LHV-MW'!$A$3:$F$40,6,FALSE))))</f>
        <v/>
      </c>
      <c r="AD74" s="296" t="str">
        <f>IF(Compositions!C139="","",IF(OR(Compositions!$C$118="wt%",Compositions!$C$118=""),Compositions!C139,(IF(AC74="","",((AC74/$AC$78)*100)))))</f>
        <v/>
      </c>
      <c r="AE74" s="39" t="str">
        <f>IF(AD74="","",(IF(OR(Compositions!A139="Hydrogen",Compositions!A139="Helium",Compositions!A139="Water",Compositions!A139="Carbon Monoxide",Compositions!A139="Nitrogen",Compositions!A139="Oxygen",Compositions!A139="Hydrogen Sulfide",Compositions!A139="Argon",Compositions!A139="Carbon Dioxide",Compositions!A139="Carbon Disulfide"),0,AD74)))</f>
        <v/>
      </c>
      <c r="AF74" s="186" t="str">
        <f>IF(Compositions!C139="","",((W74/100)*((VLOOKUP(Compositions!A139,'HHV-LHV-MW'!$A$3:$G$40,7,FALSE)))))</f>
        <v/>
      </c>
      <c r="AG74" s="186" t="str">
        <f>IF(W74="","",(IF(OR(Compositions!A139="Hydrogen",Compositions!A139="Carbon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Dioxide",Compositions!A139="Methane",Compositions!A139="Ethane"),0,(W74/100))))</f>
        <v/>
      </c>
      <c r="AH74" s="39" t="str">
        <f>IF(W74="","", (IF(OR($AG$78=0,$AG$78=""),0,   ((VLOOKUP(Compositions!A139,'HHV-LHV-MW'!$A$3:$F$40,6,FALSE))*(AG74/$AG$78)))))</f>
        <v/>
      </c>
      <c r="AI74" s="27" t="str">
        <f>IF(Compositions!D139="","",IF(Compositions!$D$118="mol%",Compositions!D139,AJ74))</f>
        <v/>
      </c>
      <c r="AJ74" s="27" t="str">
        <f t="shared" si="27"/>
        <v/>
      </c>
      <c r="AK74" s="27" t="str">
        <f>IF(Compositions!D139="","",(Compositions!D139/(VLOOKUP(Compositions!A139,'HHV-LHV-MW'!$A$3:$F$40,6,FALSE))))</f>
        <v/>
      </c>
      <c r="AL74" s="25" t="str">
        <f>IF(AI74="","",((VLOOKUP(Compositions!A139,'HHV-LHV-MW'!$A$3:$F$40,4,FALSE))*(AI74/100)))</f>
        <v/>
      </c>
      <c r="AM74" s="25" t="str">
        <f>IF(AI74="","",((VLOOKUP(Compositions!A139,'HHV-LHV-MW'!$A$3:$F$40,5,FALSE))*(AI74/100)))</f>
        <v/>
      </c>
      <c r="AN74" s="25" t="str">
        <f>IF(AI74="","",((VLOOKUP(Compositions!A139,'HHV-LHV-MW'!$A$3:$F$40,6,FALSE))*(AI74/100)))</f>
        <v/>
      </c>
      <c r="AO74" s="25" t="str">
        <f>IF(Compositions!D139="","",(Compositions!D139*(VLOOKUP(Compositions!A139,'HHV-LHV-MW'!$A$3:$F$40,6,FALSE))))</f>
        <v/>
      </c>
      <c r="AP74" s="295" t="str">
        <f>IF(Compositions!D139="","",IF(OR(Compositions!$D$118="wt%",Compositions!$D$118=""),Compositions!D139,(IF(AO74="","",((AO74/$AO$78)*100)))))</f>
        <v/>
      </c>
      <c r="AQ74" s="185" t="str">
        <f>IF(AP74="","",(IF(OR(Compositions!A139="Hydrogen",Compositions!A139="Helium",Compositions!A139="Water",Compositions!A139="Carbon Monoxide",Compositions!A139="Nitrogen",Compositions!A139="Oxygen",Compositions!A139="Hydrogen Sulfide",Compositions!A139="Argon",Compositions!A139="Carbon Dioxide",Compositions!A139="Carbon Disulfide"),0,AP74)))</f>
        <v/>
      </c>
      <c r="AR74" s="187" t="str">
        <f>IF(Compositions!D139="","",((AI74/100)*((VLOOKUP(Compositions!A139,'HHV-LHV-MW'!$A$3:$G$40,7,FALSE)))))</f>
        <v/>
      </c>
      <c r="AS74" s="187" t="str">
        <f>IF(AI74="","",(IF(OR(Compositions!A139="Hydrogen",Compositions!A139="Carbon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Dioxide",Compositions!A139="Methane",Compositions!A139="Ethane"),0,(AI74/100))))</f>
        <v/>
      </c>
      <c r="AT74" s="205" t="str">
        <f>IF(AI74="","",(IF(OR($AS$78=0,$AS$78=""),0,      ((VLOOKUP(Compositions!A139,'HHV-LHV-MW'!$A$3:$F$40,6,FALSE))*(AS74/$AS$78)))))</f>
        <v/>
      </c>
      <c r="AU74" s="28" t="str">
        <f>IF(Compositions!E139="","",IF(Compositions!$E$118="mol%",Compositions!E139,AV74))</f>
        <v/>
      </c>
      <c r="AV74" s="28" t="str">
        <f t="shared" si="28"/>
        <v/>
      </c>
      <c r="AW74" s="28" t="str">
        <f>IF(Compositions!E139="","",(Compositions!E139/(VLOOKUP(Compositions!A139,'HHV-LHV-MW'!$A$3:$F$40,6,FALSE))))</f>
        <v/>
      </c>
      <c r="AX74" s="26" t="str">
        <f>IF(AU74="","",((VLOOKUP(Compositions!A139,'HHV-LHV-MW'!$A$3:$F$40,4,FALSE))*(AU74/100)))</f>
        <v/>
      </c>
      <c r="AY74" s="26" t="str">
        <f>IF(AU74="","",((VLOOKUP(Compositions!A139,'HHV-LHV-MW'!$A$3:$F$40,5,FALSE))*(AU74/100)))</f>
        <v/>
      </c>
      <c r="AZ74" s="26" t="str">
        <f>IF(AU74="","",((VLOOKUP(Compositions!A139,'HHV-LHV-MW'!$A$3:$F$40,6,FALSE))*(AU74/100)))</f>
        <v/>
      </c>
      <c r="BA74" s="26" t="str">
        <f>IF(Compositions!E139="","",(Compositions!E139*(VLOOKUP(Compositions!A139,'HHV-LHV-MW'!$A$3:$F$40,6,FALSE))))</f>
        <v/>
      </c>
      <c r="BB74" s="296" t="str">
        <f>IF(Compositions!E139="","",IF(OR(Compositions!$E$118="wt%",Compositions!$E$118=""),Compositions!E139,(IF(BA74="","",((BA74/$BA$78)*100)))))</f>
        <v/>
      </c>
      <c r="BC74" s="39" t="str">
        <f>IF(BB74="","",(IF(OR(Compositions!A139="Hydrogen",Compositions!A139="Helium",Compositions!A139="Water",Compositions!A139="Carbon Monoxide",Compositions!A139="Nitrogen",Compositions!A139="Oxygen",Compositions!A139="Hydrogen Sulfide",Compositions!A139="Argon",Compositions!A139="Carbon Dioxide",Compositions!A139="Carbon Disulfide"),0,BB74)))</f>
        <v/>
      </c>
      <c r="BD74" s="186" t="str">
        <f>IF(Compositions!E139="","",((AU74/100)*((VLOOKUP(Compositions!A139,'HHV-LHV-MW'!$A$3:$G$40,7,FALSE)))))</f>
        <v/>
      </c>
      <c r="BE74" s="186" t="str">
        <f>IF(AU74="","",(IF(OR(Compositions!A139="Hydrogen",Compositions!A139="Carbon Disulfide",Compositions!A139="Helium",Compositions!A139="Water",Compositions!A139="Carbon Monoxide",Compositions!A139="Nitrogen",Compositions!A139="Oxygen",Compositions!A139="Hydrogen Sulfide",Compositions!A139="Argon",Compositions!A139="Carbon Dioxide",Compositions!A139="Methane",Compositions!A139="Ethane"),0,(AU74/100))))</f>
        <v/>
      </c>
      <c r="BF74" s="39" t="str">
        <f>IF(AU74="","",(IF(OR($BE$78=0,$BE$78=""),0,     ((VLOOKUP(Compositions!A139,'HHV-LHV-MW'!$A$3:$F$40,6,FALSE))*(BE74/$BE$78)))))</f>
        <v/>
      </c>
      <c r="BH74" s="27" t="str">
        <f>IF(Compositions!H139="","",IF(Compositions!$H$118="mol%",Compositions!H139,BI74))</f>
        <v/>
      </c>
      <c r="BI74" s="27" t="str">
        <f t="shared" si="29"/>
        <v/>
      </c>
      <c r="BJ74" s="27" t="str">
        <f>IF(Compositions!H139="","",(Compositions!H139/(VLOOKUP(Compositions!G139,'HHV-LHV-MW'!$A$3:$F$40,6,FALSE))))</f>
        <v/>
      </c>
      <c r="BK74" s="25" t="str">
        <f>IF(BH74="","",((VLOOKUP(Compositions!G139,'HHV-LHV-MW'!$A$3:$F$40,4,FALSE))*(BH74/100)))</f>
        <v/>
      </c>
      <c r="BL74" s="25" t="str">
        <f>IF(BH74="","",((VLOOKUP(Compositions!G139,'HHV-LHV-MW'!$A$3:$F$40,5,FALSE))*(BH74/100)))</f>
        <v/>
      </c>
      <c r="BM74" s="25" t="str">
        <f>IF(BH74="","",((VLOOKUP(Compositions!G139,'HHV-LHV-MW'!$A$3:$F$40,6,FALSE))*(BH74/100)))</f>
        <v/>
      </c>
      <c r="BN74" s="25" t="str">
        <f>IF(Compositions!H139="","",(Compositions!H139*(VLOOKUP(Compositions!G139,'HHV-LHV-MW'!$A$3:$F$40,6,FALSE))))</f>
        <v/>
      </c>
      <c r="BO74" s="295" t="str">
        <f>IF(Compositions!H139="","",IF(OR(Compositions!$H$118="wt%",Compositions!$H$118=""),Compositions!H139,(IF(BN74="","",((BN74/$BN$78)*100)))))</f>
        <v/>
      </c>
      <c r="BP74" s="185" t="str">
        <f>IF(BO74="","",(IF(OR(Compositions!G139="Hydrogen",Compositions!G139="Helium",Compositions!G139="Water",Compositions!G139="Carbon Monoxide",Compositions!G139="Nitrogen",Compositions!G139="Oxygen",Compositions!G139="Hydrogen Sulfide",Compositions!G139="Argon",Compositions!G139="Carbon Dioxide",Compositions!G139="Carbon Disulfide"),0,BO74)))</f>
        <v/>
      </c>
      <c r="BQ74" s="187" t="str">
        <f>IF(Compositions!H139="","",((BH74/100)*((VLOOKUP(Compositions!G139,'HHV-LHV-MW'!$A$3:$G$40,7,FALSE)))))</f>
        <v/>
      </c>
      <c r="BR74" s="187" t="str">
        <f>IF(BH74="","",(IF(OR(Compositions!G139="Hydrogen",Compositions!G139="Carbon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Dioxide",Compositions!G139="Methane",Compositions!G139="Ethane"),0,(BH74/100))))</f>
        <v/>
      </c>
      <c r="BS74" s="205" t="str">
        <f>IF(BH74="","",(IF(OR($BR$78=0,$BR$78=""),0,    ((VLOOKUP(Compositions!G139,'HHV-LHV-MW'!$A$3:$F$40,6,FALSE))*(BR74/$BR$78)))))</f>
        <v/>
      </c>
      <c r="BT74" s="28" t="str">
        <f>IF(Compositions!I139="","",IF(Compositions!$I$118="mol%",Compositions!I139,BU74))</f>
        <v/>
      </c>
      <c r="BU74" s="28" t="str">
        <f t="shared" si="30"/>
        <v/>
      </c>
      <c r="BV74" s="28" t="str">
        <f>IF(Compositions!I139="","",(Compositions!I139/(VLOOKUP(Compositions!G139,'HHV-LHV-MW'!$A$3:$F$40,6,FALSE))))</f>
        <v/>
      </c>
      <c r="BW74" s="26" t="str">
        <f>IF(BT74="","",((VLOOKUP(Compositions!G139,'HHV-LHV-MW'!$A$3:$F$40,4,FALSE))*(BT74/100)))</f>
        <v/>
      </c>
      <c r="BX74" s="26" t="str">
        <f>IF(BT74="","",((VLOOKUP(Compositions!G139,'HHV-LHV-MW'!$A$3:$F$40,5,FALSE))*(BT74/100)))</f>
        <v/>
      </c>
      <c r="BY74" s="26" t="str">
        <f>IF(BT74="","",((VLOOKUP(Compositions!G139,'HHV-LHV-MW'!$A$3:$F$40,6,FALSE))*(BT74/100)))</f>
        <v/>
      </c>
      <c r="BZ74" s="26" t="str">
        <f>IF(Compositions!I139="","",(Compositions!I139*(VLOOKUP(Compositions!G139,'HHV-LHV-MW'!$A$3:$F$40,6,FALSE))))</f>
        <v/>
      </c>
      <c r="CA74" s="296" t="str">
        <f>IF(Compositions!I139="","",IF(OR(Compositions!$I$118="wt%",Compositions!$I$118=""),Compositions!I139,(IF(BZ74="","",((BZ74/$BZ$78)*100)))))</f>
        <v/>
      </c>
      <c r="CB74" s="39" t="str">
        <f>IF(CA74="","",(IF(OR(Compositions!G139="Hydrogen",Compositions!G139="Helium",Compositions!G139="Water",Compositions!G139="Carbon Monoxide",Compositions!G139="Nitrogen",Compositions!G139="Oxygen",Compositions!G139="Hydrogen Sulfide",Compositions!G139="Argon",Compositions!G139="Carbon Dioxide",Compositions!G139="Carbon Disulfide"),0,CA74)))</f>
        <v/>
      </c>
      <c r="CC74" s="186" t="str">
        <f>IF(Compositions!I139="","",((BT74/100)*((VLOOKUP(Compositions!G139,'HHV-LHV-MW'!$A$3:$G$40,7,FALSE)))))</f>
        <v/>
      </c>
      <c r="CD74" s="186" t="str">
        <f>IF(BT74="","",(IF(OR(Compositions!G139="Hydrogen",Compositions!G139="Carbon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Dioxide",Compositions!G139="Methane",Compositions!G139="Ethane"),0,(BT74/100))))</f>
        <v/>
      </c>
      <c r="CE74" s="39" t="str">
        <f>IF(BT74="","",(IF(OR($CD$78=0,$CD$78=""),0,       ((VLOOKUP(Compositions!G139,'HHV-LHV-MW'!$A$3:$F$40,6,FALSE))*(CD74/$CD$78)))))</f>
        <v/>
      </c>
      <c r="CF74" s="27" t="str">
        <f>IF(Compositions!J139="","",IF(Compositions!$J$118="mol%",Compositions!J139,CG74))</f>
        <v/>
      </c>
      <c r="CG74" s="27" t="str">
        <f t="shared" si="31"/>
        <v/>
      </c>
      <c r="CH74" s="27" t="str">
        <f>IF(Compositions!J139="","",(Compositions!J139/(VLOOKUP(Compositions!G139,'HHV-LHV-MW'!$A$3:$F$40,6,FALSE))))</f>
        <v/>
      </c>
      <c r="CI74" s="25" t="str">
        <f>IF(CF74="","",((VLOOKUP(Compositions!G139,'HHV-LHV-MW'!$A$3:$F$40,4,FALSE))*(CF74/100)))</f>
        <v/>
      </c>
      <c r="CJ74" s="25" t="str">
        <f>IF(CF74="","",((VLOOKUP(Compositions!G139,'HHV-LHV-MW'!$A$3:$F$40,5,FALSE))*(CF74/100)))</f>
        <v/>
      </c>
      <c r="CK74" s="25" t="str">
        <f>IF(CF74="","",((VLOOKUP(Compositions!G139,'HHV-LHV-MW'!$A$3:$F$40,6,FALSE))*(CF74/100)))</f>
        <v/>
      </c>
      <c r="CL74" s="25" t="str">
        <f>IF(Compositions!J139="","",(Compositions!J139*(VLOOKUP(Compositions!G139,'HHV-LHV-MW'!$A$3:$F$40,6,FALSE))))</f>
        <v/>
      </c>
      <c r="CM74" s="295" t="str">
        <f>IF(Compositions!J139="","",IF(OR(Compositions!$J$118="wt%",Compositions!$J$118=""),Compositions!J139,(IF(CL74="","",((CL74/$CL$78)*100)))))</f>
        <v/>
      </c>
      <c r="CN74" s="185" t="str">
        <f>IF(CM74="","",(IF(OR(Compositions!G139="Hydrogen",Compositions!G139="Helium",Compositions!G139="Water",Compositions!G139="Carbon Monoxide",Compositions!G139="Nitrogen",Compositions!G139="Oxygen",Compositions!G139="Hydrogen Sulfide",Compositions!G139="Argon",Compositions!G139="Carbon Dioxide",Compositions!G139="Carbon Disulfide"),0,CM74)))</f>
        <v/>
      </c>
      <c r="CO74" s="187" t="str">
        <f>IF(Compositions!J139="","",((CF74/100)*((VLOOKUP(Compositions!G139,'HHV-LHV-MW'!$A$3:$G$40,7,FALSE)))))</f>
        <v/>
      </c>
      <c r="CP74" s="187" t="str">
        <f>IF(CF74="","",(IF(OR(Compositions!G139="Hydrogen",Compositions!G139="Carbon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Dioxide",Compositions!G139="Methane",Compositions!G139="Ethane"),0,(CF74/100))))</f>
        <v/>
      </c>
      <c r="CQ74" s="205" t="str">
        <f>IF(CF74="","",(IF(OR($CP$78=0,$CP$78=""),0,       ((VLOOKUP(Compositions!G139,'HHV-LHV-MW'!$A$3:$F$40,6,FALSE))*(CP74/$CP$78)))))</f>
        <v/>
      </c>
      <c r="CR74" s="28" t="str">
        <f>IF(Compositions!K139="","",IF(Compositions!$K$118="mol%",Compositions!K139,CS74))</f>
        <v/>
      </c>
      <c r="CS74" s="28" t="str">
        <f t="shared" si="32"/>
        <v/>
      </c>
      <c r="CT74" s="28" t="str">
        <f>IF(Compositions!K139="","",(Compositions!K139/(VLOOKUP(Compositions!G139,'HHV-LHV-MW'!$A$3:$F$40,6,FALSE))))</f>
        <v/>
      </c>
      <c r="CU74" s="26" t="str">
        <f>IF(CR74="","",((VLOOKUP(Compositions!G139,'HHV-LHV-MW'!$A$3:$F$40,4,FALSE))*(CR74/100)))</f>
        <v/>
      </c>
      <c r="CV74" s="26" t="str">
        <f>IF(CR74="","",((VLOOKUP(Compositions!G139,'HHV-LHV-MW'!$A$3:$F$40,5,FALSE))*(CR74/100)))</f>
        <v/>
      </c>
      <c r="CW74" s="26" t="str">
        <f>IF(CR74="","",((VLOOKUP(Compositions!G139,'HHV-LHV-MW'!$A$3:$F$40,6,FALSE))*(CR74/100)))</f>
        <v/>
      </c>
      <c r="CX74" s="26" t="str">
        <f>IF(Compositions!K139="","",(Compositions!K139*(VLOOKUP(Compositions!G139,'HHV-LHV-MW'!$A$3:$F$40,6,FALSE))))</f>
        <v/>
      </c>
      <c r="CY74" s="296" t="str">
        <f>IF(Compositions!K139="","",IF(OR(Compositions!$K$118="wt%",Compositions!$K$118=""),Compositions!K139,(IF(CX74="","",((CX74/$CX$78)*100)))))</f>
        <v/>
      </c>
      <c r="CZ74" s="39" t="str">
        <f>IF(CY74="","",(IF(OR(Compositions!G139="Hydrogen",Compositions!G139="Helium",Compositions!G139="Water",Compositions!G139="Carbon Monoxide",Compositions!G139="Nitrogen",Compositions!G139="Oxygen",Compositions!G139="Hydrogen Sulfide",Compositions!G139="Argon",Compositions!G139="Carbon Dioxide",Compositions!G139="Carbon Disulfide"),0,CY74)))</f>
        <v/>
      </c>
      <c r="DA74" s="186" t="str">
        <f>IF(Compositions!K139="","",((CR74/100)*((VLOOKUP(Compositions!G139,'HHV-LHV-MW'!$A$3:$G$40,7,FALSE)))))</f>
        <v/>
      </c>
      <c r="DB74" s="186" t="str">
        <f>IF(CR74="","",(IF(OR(Compositions!G139="Hydrogen",Compositions!G139="Carbon Disulfide",Compositions!G139="Helium",Compositions!G139="Water",Compositions!G139="Carbon Monoxide",Compositions!G139="Nitrogen",Compositions!G139="Oxygen",Compositions!G139="Hydrogen Sulfide",Compositions!G139="Argon",Compositions!G139="Carbon Dioxide",Compositions!G139="Methane",Compositions!G139="Ethane"),0,(CR74/100))))</f>
        <v/>
      </c>
      <c r="DC74" s="39" t="str">
        <f>IF(CR74="","",(IF(OR($DB$78=0,$DB$78=""),0,       ((VLOOKUP(Compositions!G139,'HHV-LHV-MW'!$A$3:$F$40,6,FALSE))*(DB74/$DB$78)))))</f>
        <v/>
      </c>
      <c r="DE74" s="27" t="str">
        <f>IF(Compositions!N139="","",IF(Compositions!$N$118="mol%",Compositions!N139,DF74))</f>
        <v/>
      </c>
      <c r="DF74" s="27" t="str">
        <f t="shared" si="33"/>
        <v/>
      </c>
      <c r="DG74" s="27" t="str">
        <f>IF(Compositions!N139="","",(Compositions!N139/(VLOOKUP(Compositions!M139,'HHV-LHV-MW'!$A$3:$F$40,6,FALSE))))</f>
        <v/>
      </c>
      <c r="DH74" s="25" t="str">
        <f>IF(DE74="","",((VLOOKUP(Compositions!M139,'HHV-LHV-MW'!$A$3:$F$40,4,FALSE))*(DE74/100)))</f>
        <v/>
      </c>
      <c r="DI74" s="25" t="str">
        <f>IF(DE74="","",((VLOOKUP(Compositions!M139,'HHV-LHV-MW'!$A$3:$F$40,5,FALSE))*(DE74/100)))</f>
        <v/>
      </c>
      <c r="DJ74" s="25" t="str">
        <f>IF(DE74="","",((VLOOKUP(Compositions!M139,'HHV-LHV-MW'!$A$3:$F$40,6,FALSE))*(DE74/100)))</f>
        <v/>
      </c>
      <c r="DK74" s="25" t="str">
        <f>IF(Compositions!N139="","",(Compositions!N139*(VLOOKUP(Compositions!M139,'HHV-LHV-MW'!$A$3:$F$40,6,FALSE))))</f>
        <v/>
      </c>
      <c r="DL74" s="295" t="str">
        <f>IF(Compositions!N139="","",IF(OR(Compositions!$N$118="wt%",Compositions!$N$118=""),Compositions!N139,(IF(DK74="","",((DK74/$DK$78)*100)))))</f>
        <v/>
      </c>
      <c r="DM74" s="185" t="str">
        <f>IF(DL74="","",(IF(OR(Compositions!M139="Hydrogen",Compositions!M139="Helium",Compositions!M139="Water",Compositions!M139="Carbon Monoxide",Compositions!M139="Nitrogen",Compositions!M139="Oxygen",Compositions!M139="Hydrogen Sulfide",Compositions!M139="Argon",Compositions!M139="Carbon Dioxide",Compositions!M139="Carbon Disulfide"),0,DL74)))</f>
        <v/>
      </c>
      <c r="DN74" s="187" t="str">
        <f>IF(Compositions!N139="","",((DE74/100)*((VLOOKUP(Compositions!M139,'HHV-LHV-MW'!$A$3:$G$40,7,FALSE)))))</f>
        <v/>
      </c>
      <c r="DO74" s="187" t="str">
        <f>IF(DE74="","",(IF(OR(Compositions!M139="Hydrogen",Compositions!M139="Carbon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Dioxide",Compositions!M139="Methane",Compositions!M139="Ethane"),0,(DE74/100))))</f>
        <v/>
      </c>
      <c r="DP74" s="205" t="str">
        <f>IF(DE74="","",(IF(OR($DO$78=0,$DO$78=""),0,       ((VLOOKUP(Compositions!M139,'HHV-LHV-MW'!$A$3:$F$40,6,FALSE))*(DO74/$DO$78)))))</f>
        <v/>
      </c>
      <c r="DQ74" s="28" t="str">
        <f>IF(Compositions!O139="","",IF(Compositions!$O$118="mol%",Compositions!O139,DR74))</f>
        <v/>
      </c>
      <c r="DR74" s="28" t="str">
        <f t="shared" si="34"/>
        <v/>
      </c>
      <c r="DS74" s="28" t="str">
        <f>IF(Compositions!O139="","",(Compositions!O139/(VLOOKUP(Compositions!M139,'HHV-LHV-MW'!$A$3:$F$40,6,FALSE))))</f>
        <v/>
      </c>
      <c r="DT74" s="26" t="str">
        <f>IF(DQ74="","",((VLOOKUP(Compositions!M139,'HHV-LHV-MW'!$A$3:$F$40,4,FALSE))*(DQ74/100)))</f>
        <v/>
      </c>
      <c r="DU74" s="26" t="str">
        <f>IF(DQ74="","",((VLOOKUP(Compositions!M139,'HHV-LHV-MW'!$A$3:$F$40,5,FALSE))*(DQ74/100)))</f>
        <v/>
      </c>
      <c r="DV74" s="26" t="str">
        <f>IF(DQ74="","",((VLOOKUP(Compositions!M139,'HHV-LHV-MW'!$A$3:$F$40,6,FALSE))*(DQ74/100)))</f>
        <v/>
      </c>
      <c r="DW74" s="26" t="str">
        <f>IF(Compositions!O139="","",(Compositions!O139*(VLOOKUP(Compositions!M139,'HHV-LHV-MW'!$A$3:$F$40,6,FALSE))))</f>
        <v/>
      </c>
      <c r="DX74" s="296" t="str">
        <f>IF(Compositions!O139="","",IF(OR(Compositions!$O$118="wt%",Compositions!$O$118=""),Compositions!O139,(IF(DW74="","",((DW74/$DW$78)*100)))))</f>
        <v/>
      </c>
      <c r="DY74" s="39" t="str">
        <f>IF(DX74="","",(IF(OR(Compositions!M139="Hydrogen",Compositions!M139="Helium",Compositions!M139="Water",Compositions!M139="Carbon Monoxide",Compositions!M139="Nitrogen",Compositions!M139="Oxygen",Compositions!M139="Hydrogen Sulfide",Compositions!M139="Argon",Compositions!M139="Carbon Dioxide",Compositions!M139="Carbon Disulfide"),0,DX74)))</f>
        <v/>
      </c>
      <c r="DZ74" s="186" t="str">
        <f>IF(Compositions!O139="","",((DQ74/100)*((VLOOKUP(Compositions!M139,'HHV-LHV-MW'!$A$3:$G$40,7,FALSE)))))</f>
        <v/>
      </c>
      <c r="EA74" s="186" t="str">
        <f>IF(DQ74="","",(IF(OR(Compositions!M139="Hydrogen",Compositions!M139="Carbon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Dioxide",Compositions!M139="Methane",Compositions!M139="Ethane"),0,(DQ74/100))))</f>
        <v/>
      </c>
      <c r="EB74" s="39" t="str">
        <f>IF(DQ74="","",(IF(OR($EA$78=0,$EA$78=""),0,       ((VLOOKUP(Compositions!M139,'HHV-LHV-MW'!$A$3:$F$40,6,FALSE))*(EA74/$EA$78)))))</f>
        <v/>
      </c>
      <c r="EC74" s="27" t="str">
        <f>IF(Compositions!P139="","",IF(Compositions!$P$118="mol%",Compositions!P139,ED74))</f>
        <v/>
      </c>
      <c r="ED74" s="27" t="str">
        <f t="shared" si="35"/>
        <v/>
      </c>
      <c r="EE74" s="27" t="str">
        <f>IF(Compositions!P139="","",(Compositions!P139/(VLOOKUP(Compositions!M139,'HHV-LHV-MW'!$A$3:$F$40,6,FALSE))))</f>
        <v/>
      </c>
      <c r="EF74" s="25" t="str">
        <f>IF(EC74="","",((VLOOKUP(Compositions!M139,'HHV-LHV-MW'!$A$3:$F$40,4,FALSE))*(EC74/100)))</f>
        <v/>
      </c>
      <c r="EG74" s="25" t="str">
        <f>IF(EC74="","",((VLOOKUP(Compositions!M139,'HHV-LHV-MW'!$A$3:$F$40,5,FALSE))*(EC74/100)))</f>
        <v/>
      </c>
      <c r="EH74" s="25" t="str">
        <f>IF(EC74="","",((VLOOKUP(Compositions!M139,'HHV-LHV-MW'!$A$3:$F$40,6,FALSE))*(EC74/100)))</f>
        <v/>
      </c>
      <c r="EI74" s="25" t="str">
        <f>IF(Compositions!P139="","",(Compositions!P139*(VLOOKUP(Compositions!M139,'HHV-LHV-MW'!$A$3:$F$40,6,FALSE))))</f>
        <v/>
      </c>
      <c r="EJ74" s="295" t="str">
        <f>IF(Compositions!P139="","",IF(OR(Compositions!$P$118="wt%",Compositions!$P$118=""),Compositions!P139,(IF(EI74="","",((EI74/$EI$78)*100)))))</f>
        <v/>
      </c>
      <c r="EK74" s="185" t="str">
        <f>IF(EJ74="","",(IF(OR(Compositions!M139="Hydrogen",Compositions!M139="Helium",Compositions!M139="Water",Compositions!M139="Carbon Monoxide",Compositions!M139="Nitrogen",Compositions!M139="Oxygen",Compositions!M139="Hydrogen Sulfide",Compositions!M139="Argon",Compositions!M139="Carbon Dioxide",Compositions!M139="Carbon Disulfide"),0,EJ74)))</f>
        <v/>
      </c>
      <c r="EL74" s="187" t="str">
        <f>IF(Compositions!P139="","",((EC74/100)*((VLOOKUP(Compositions!M139,'HHV-LHV-MW'!$A$3:$G$40,7,FALSE)))))</f>
        <v/>
      </c>
      <c r="EM74" s="187" t="str">
        <f>IF(EC74="","",(IF(OR(Compositions!M139="Hydrogen",Compositions!M139="Carbon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Dioxide",Compositions!M139="Methane",Compositions!M139="Ethane"),0,(EC74/100))))</f>
        <v/>
      </c>
      <c r="EN74" s="205" t="str">
        <f>IF(EC74="","",(IF(OR($EM$78=0,$EM$78=""),0,       ((VLOOKUP(Compositions!M139,'HHV-LHV-MW'!$A$3:$F$40,6,FALSE))*(EM74/$EM$78)))))</f>
        <v/>
      </c>
      <c r="EO74" s="28" t="str">
        <f>IF(Compositions!Q139="","",IF(Compositions!$Q$118="mol%",Compositions!Q139,EP74))</f>
        <v/>
      </c>
      <c r="EP74" s="28" t="str">
        <f t="shared" si="36"/>
        <v/>
      </c>
      <c r="EQ74" s="28" t="str">
        <f>IF(Compositions!Q139="","",(Compositions!Q139/(VLOOKUP(Compositions!M139,'HHV-LHV-MW'!$A$3:$F$40,6,FALSE))))</f>
        <v/>
      </c>
      <c r="ER74" s="26" t="str">
        <f>IF(EO74="","",((VLOOKUP(Compositions!M139,'HHV-LHV-MW'!$A$3:$F$40,4,FALSE))*(EO74/100)))</f>
        <v/>
      </c>
      <c r="ES74" s="26" t="str">
        <f>IF(EO74="","",((VLOOKUP(Compositions!M139,'HHV-LHV-MW'!$A$3:$F$40,5,FALSE))*(EO74/100)))</f>
        <v/>
      </c>
      <c r="ET74" s="26" t="str">
        <f>IF(EO74="","",((VLOOKUP(Compositions!M139,'HHV-LHV-MW'!$A$3:$F$40,6,FALSE))*(EO74/100)))</f>
        <v/>
      </c>
      <c r="EU74" s="26" t="str">
        <f>IF(Compositions!Q139="","",(Compositions!Q139*(VLOOKUP(Compositions!M139,'HHV-LHV-MW'!$A$3:$F$40,6,FALSE))))</f>
        <v/>
      </c>
      <c r="EV74" s="296" t="str">
        <f>IF(Compositions!Q139="","",IF(OR(Compositions!$Q$118="wt%",Compositions!$Q$118=""),Compositions!Q139,(IF(EU74="","",((EU74/$EU$78)*100)))))</f>
        <v/>
      </c>
      <c r="EW74" s="39" t="str">
        <f>IF(EV74="","",(IF(OR(Compositions!M139="Hydrogen",Compositions!M139="Helium",Compositions!M139="Water",Compositions!M139="Carbon Monoxide",Compositions!M139="Nitrogen",Compositions!M139="Oxygen",Compositions!M139="Hydrogen Sulfide",Compositions!M139="Argon",Compositions!M139="Carbon Dioxide",Compositions!M139="Carbon Disulfide"),0,EV74)))</f>
        <v/>
      </c>
      <c r="EX74" s="186" t="str">
        <f>IF(Compositions!Q139="","",((EO74/100)*((VLOOKUP(Compositions!M139,'HHV-LHV-MW'!$A$3:$G$40,7,FALSE)))))</f>
        <v/>
      </c>
      <c r="EY74" s="186" t="str">
        <f>IF(EO74="","",(IF(OR(Compositions!M139="Hydrogen",Compositions!M139="Carbon Disulfide",Compositions!M139="Helium",Compositions!M139="Water",Compositions!M139="Carbon Monoxide",Compositions!M139="Nitrogen",Compositions!M139="Oxygen",Compositions!M139="Hydrogen Sulfide",Compositions!M139="Argon",Compositions!M139="Carbon Dioxide",Compositions!M139="Methane",Compositions!M139="Ethane"),0,(EO74/100))))</f>
        <v/>
      </c>
      <c r="EZ74" s="39" t="str">
        <f>IF(EO74="","",(IF(OR($EY$78=0,$EY$78=""),0,       ((VLOOKUP(Compositions!M139,'HHV-LHV-MW'!$A$3:$F$40,6,FALSE))*(EY74/$EY$78)))))</f>
        <v/>
      </c>
      <c r="FB74" s="27" t="str">
        <f>IF(Compositions!T139="","",IF(Compositions!$T$118="mol%",Compositions!T139,FC74))</f>
        <v/>
      </c>
      <c r="FC74" s="27" t="str">
        <f t="shared" si="37"/>
        <v/>
      </c>
      <c r="FD74" s="27" t="str">
        <f>IF(Compositions!T139="","",(Compositions!T139/(VLOOKUP(Compositions!S139,'HHV-LHV-MW'!$A$3:$F$40,6,FALSE))))</f>
        <v/>
      </c>
      <c r="FE74" s="25" t="str">
        <f>IF(FB74="","",((VLOOKUP(Compositions!S139,'HHV-LHV-MW'!$A$3:$F$40,4,FALSE))*(FB74/100)))</f>
        <v/>
      </c>
      <c r="FF74" s="25" t="str">
        <f>IF(FB74="","",((VLOOKUP(Compositions!S139,'HHV-LHV-MW'!$A$3:$F$40,5,FALSE))*(FB74/100)))</f>
        <v/>
      </c>
      <c r="FG74" s="25" t="str">
        <f>IF(FB74="","",((VLOOKUP(Compositions!S139,'HHV-LHV-MW'!$A$3:$F$40,6,FALSE))*(FB74/100)))</f>
        <v/>
      </c>
      <c r="FH74" s="25" t="str">
        <f>IF(Compositions!T139="","",(Compositions!T139*(VLOOKUP(Compositions!S139,'HHV-LHV-MW'!$A$3:$F$40,6,FALSE))))</f>
        <v/>
      </c>
      <c r="FI74" s="295" t="str">
        <f>IF(Compositions!T139="","",IF(OR(Compositions!$T$118="wt%",Compositions!$T$118=""),Compositions!T139,(IF(FH74="","",((FH74/$FH$78)*100)))))</f>
        <v/>
      </c>
      <c r="FJ74" s="185" t="str">
        <f>IF(FI74="","",(IF(OR(Compositions!S139="Hydrogen",Compositions!S139="Helium",Compositions!S139="Water",Compositions!S139="Carbon Monoxide",Compositions!S139="Nitrogen",Compositions!S139="Oxygen",Compositions!S139="Hydrogen Sulfide",Compositions!S139="Argon",Compositions!S139="Carbon Dioxide",Compositions!S139="Carbon Disulfide"),0,FI74)))</f>
        <v/>
      </c>
      <c r="FK74" s="187" t="str">
        <f>IF(Compositions!T139="","",((FB74/100)*((VLOOKUP(Compositions!S139,'HHV-LHV-MW'!$A$3:$G$40,7,FALSE)))))</f>
        <v/>
      </c>
      <c r="FL74" s="187" t="str">
        <f>IF(FB74="","",(IF(OR(Compositions!S139="Hydrogen",Compositions!S139="Carbon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Dioxide",Compositions!S139="Methane",Compositions!S139="Ethane"),0,(FB74/100))))</f>
        <v/>
      </c>
      <c r="FM74" s="205" t="str">
        <f>IF(FB74="","",(IF(OR($FL$78=0,$FL$78=""),0,       ((VLOOKUP(Compositions!S139,'HHV-LHV-MW'!$A$3:$F$40,6,FALSE))*(FL74/$FL$78)))))</f>
        <v/>
      </c>
      <c r="FN74" s="28" t="str">
        <f>IF(Compositions!U139="","",IF(Compositions!$U$118="mol%",Compositions!U139,FO74))</f>
        <v/>
      </c>
      <c r="FO74" s="28" t="str">
        <f t="shared" si="38"/>
        <v/>
      </c>
      <c r="FP74" s="28" t="str">
        <f>IF(Compositions!U139="","",(Compositions!U139/(VLOOKUP(Compositions!S139,'HHV-LHV-MW'!$A$3:$F$40,6,FALSE))))</f>
        <v/>
      </c>
      <c r="FQ74" s="26" t="str">
        <f>IF(FN74="","",((VLOOKUP(Compositions!S139,'HHV-LHV-MW'!$A$3:$F$40,4,FALSE))*(FN74/100)))</f>
        <v/>
      </c>
      <c r="FR74" s="26" t="str">
        <f>IF(FN74="","",((VLOOKUP(Compositions!S139,'HHV-LHV-MW'!$A$3:$F$40,5,FALSE))*(FN74/100)))</f>
        <v/>
      </c>
      <c r="FS74" s="26" t="str">
        <f>IF(FN74="","",((VLOOKUP(Compositions!S139,'HHV-LHV-MW'!$A$3:$F$40,6,FALSE))*(FN74/100)))</f>
        <v/>
      </c>
      <c r="FT74" s="26" t="str">
        <f>IF(Compositions!U139="","",(Compositions!U139*(VLOOKUP(Compositions!S139,'HHV-LHV-MW'!$A$3:$F$40,6,FALSE))))</f>
        <v/>
      </c>
      <c r="FU74" s="296" t="str">
        <f>IF(Compositions!U139="","",IF(OR(Compositions!$U$118="wt%",Compositions!$U$118=""),Compositions!U139,(IF(FT74="","",((FT74/$FT$78)*100)))))</f>
        <v/>
      </c>
      <c r="FV74" s="39" t="str">
        <f>IF(FU74="","",(IF(OR(Compositions!S139="Hydrogen",Compositions!S139="Helium",Compositions!S139="Water",Compositions!S139="Carbon Monoxide",Compositions!S139="Nitrogen",Compositions!S139="Oxygen",Compositions!S139="Hydrogen Sulfide",Compositions!S139="Argon",Compositions!S139="Carbon Dioxide",Compositions!S139="Carbon Disulfide"),0,FU74)))</f>
        <v/>
      </c>
      <c r="FW74" s="186" t="str">
        <f>IF(Compositions!U139="","",((FN74/100)*((VLOOKUP(Compositions!S139,'HHV-LHV-MW'!$A$3:$G$40,7,FALSE)))))</f>
        <v/>
      </c>
      <c r="FX74" s="186" t="str">
        <f>IF(FN74="","",(IF(OR(Compositions!S139="Hydrogen",Compositions!S139="Carbon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Dioxide",Compositions!S139="Methane",Compositions!S139="Ethane"),0,(FN74/100))))</f>
        <v/>
      </c>
      <c r="FY74" s="39" t="str">
        <f>IF(FN74="","",(IF(OR($FX$78=0,$FX$78=""),0,       ((VLOOKUP(Compositions!S139,'HHV-LHV-MW'!$A$3:$F$40,6,FALSE))*(FX74/$FX$78)))))</f>
        <v/>
      </c>
      <c r="FZ74" s="27" t="str">
        <f>IF(Compositions!V139="","",IF(Compositions!$V$118="mol%",Compositions!V139,GA74))</f>
        <v/>
      </c>
      <c r="GA74" s="27" t="str">
        <f t="shared" si="39"/>
        <v/>
      </c>
      <c r="GB74" s="27" t="str">
        <f>IF(Compositions!V139="","",(Compositions!V139/(VLOOKUP(Compositions!S139,'HHV-LHV-MW'!$A$3:$F$40,6,FALSE))))</f>
        <v/>
      </c>
      <c r="GC74" s="25" t="str">
        <f>IF(FZ74="","",((VLOOKUP(Compositions!S139,'HHV-LHV-MW'!$A$3:$F$40,4,FALSE))*(FZ74/100)))</f>
        <v/>
      </c>
      <c r="GD74" s="25" t="str">
        <f>IF(FZ74="","",((VLOOKUP(Compositions!S139,'HHV-LHV-MW'!$A$3:$F$40,5,FALSE))*(FZ74/100)))</f>
        <v/>
      </c>
      <c r="GE74" s="25" t="str">
        <f>IF(FZ74="","",((VLOOKUP(Compositions!S139,'HHV-LHV-MW'!$A$3:$F$40,6,FALSE))*(FZ74/100)))</f>
        <v/>
      </c>
      <c r="GF74" s="25" t="str">
        <f>IF(Compositions!V139="","",(Compositions!V139*(VLOOKUP(Compositions!S139,'HHV-LHV-MW'!$A$3:$F$40,6,FALSE))))</f>
        <v/>
      </c>
      <c r="GG74" s="295" t="str">
        <f>IF(Compositions!V139="","",IF(OR(Compositions!$V$118="wt%",Compositions!$V$118=""),Compositions!V139,(IF(GF74="","",((GF74/$GF$78)*100)))))</f>
        <v/>
      </c>
      <c r="GH74" s="185" t="str">
        <f>IF(GG74="","",(IF(OR(Compositions!S139="Hydrogen",Compositions!S139="Helium",Compositions!S139="Water",Compositions!S139="Carbon Monoxide",Compositions!S139="Nitrogen",Compositions!S139="Oxygen",Compositions!S139="Hydrogen Sulfide",Compositions!S139="Argon",Compositions!S139="Carbon Dioxide",Compositions!S139="Carbon Disulfide"),0,GG74)))</f>
        <v/>
      </c>
      <c r="GI74" s="187" t="str">
        <f>IF(Compositions!V139="","",((FZ74/100)*((VLOOKUP(Compositions!S139,'HHV-LHV-MW'!$A$3:$G$40,7,FALSE)))))</f>
        <v/>
      </c>
      <c r="GJ74" s="187" t="str">
        <f>IF(FZ74="","",(IF(OR(Compositions!S139="Hydrogen",Compositions!S139="Carbon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Dioxide",Compositions!S139="Methane",Compositions!S139="Ethane"),0,(FZ74/100))))</f>
        <v/>
      </c>
      <c r="GK74" s="205" t="str">
        <f>IF(FZ74="","",(IF(OR($GJ$78=0,$GJ$78=""),0,       ((VLOOKUP(Compositions!S139,'HHV-LHV-MW'!$A$3:$F$40,6,FALSE))*(GJ74/$GJ$78)))))</f>
        <v/>
      </c>
      <c r="GL74" s="28" t="str">
        <f>IF(Compositions!W139="","",IF(Compositions!$W$118="mol%",Compositions!W139,GM74))</f>
        <v/>
      </c>
      <c r="GM74" s="28" t="str">
        <f t="shared" si="40"/>
        <v/>
      </c>
      <c r="GN74" s="28" t="str">
        <f>IF(Compositions!W139="","",(Compositions!W139/(VLOOKUP(Compositions!S139,'HHV-LHV-MW'!$A$3:$F$40,6,FALSE))))</f>
        <v/>
      </c>
      <c r="GO74" s="26" t="str">
        <f>IF(GL74="","",((VLOOKUP(Compositions!S139,'HHV-LHV-MW'!$A$3:$F$40,4,FALSE))*(GL74/100)))</f>
        <v/>
      </c>
      <c r="GP74" s="26" t="str">
        <f>IF(GL74="","",((VLOOKUP(Compositions!S139,'HHV-LHV-MW'!$A$3:$F$40,5,FALSE))*(GL74/100)))</f>
        <v/>
      </c>
      <c r="GQ74" s="26" t="str">
        <f>IF(GL74="","",((VLOOKUP(Compositions!S139,'HHV-LHV-MW'!$A$3:$F$40,6,FALSE))*(GL74/100)))</f>
        <v/>
      </c>
      <c r="GR74" s="26" t="str">
        <f>IF(Compositions!W139="","",(Compositions!W139*(VLOOKUP(Compositions!S139,'HHV-LHV-MW'!$A$3:$F$40,6,FALSE))))</f>
        <v/>
      </c>
      <c r="GS74" s="296" t="str">
        <f>IF(Compositions!W139="","",IF(OR(Compositions!$W$118="wt%",Compositions!$W$118=""),Compositions!W139,(IF(GR74="","",((GR74/$GR$78)*100)))))</f>
        <v/>
      </c>
      <c r="GT74" s="39" t="str">
        <f>IF(GS74="","",(IF(OR(Compositions!S139="Hydrogen",Compositions!S139="Helium",Compositions!S139="Water",Compositions!S139="Carbon Monoxide",Compositions!S139="Nitrogen",Compositions!S139="Oxygen",Compositions!S139="Hydrogen Sulfide",Compositions!S139="Argon",Compositions!S139="Carbon Dioxide",Compositions!S139="Carbon Disulfide"),0,GS74)))</f>
        <v/>
      </c>
      <c r="GU74" s="186" t="str">
        <f>IF(Compositions!W139="","",((GL74/100)*((VLOOKUP(Compositions!S139,'HHV-LHV-MW'!$A$3:$G$40,7,FALSE)))))</f>
        <v/>
      </c>
      <c r="GV74" s="186" t="str">
        <f>IF(GL74="","",(IF(OR(Compositions!S139="Hydrogen",Compositions!S139="Carbon Disulfide",Compositions!S139="Helium",Compositions!S139="Water",Compositions!S139="Carbon Monoxide",Compositions!S139="Nitrogen",Compositions!S139="Oxygen",Compositions!S139="Hydrogen Sulfide",Compositions!S139="Argon",Compositions!S139="Carbon Dioxide",Compositions!S139="Methane",Compositions!S139="Ethane"),0,(GL74/100))))</f>
        <v/>
      </c>
      <c r="GW74" s="39" t="str">
        <f>IF(GL74="","",(IF(OR($GV$78=0,$GV$78=""),0,       ((VLOOKUP(Compositions!S139,'HHV-LHV-MW'!$A$3:$F$40,6,FALSE))*(GV74/$GV$78)))))</f>
        <v/>
      </c>
      <c r="GY74" s="27" t="str">
        <f>IF(Compositions!Z139="","",IF(Compositions!$Z$118="mol%",Compositions!Z139,GZ74))</f>
        <v/>
      </c>
      <c r="GZ74" s="27" t="str">
        <f t="shared" si="41"/>
        <v/>
      </c>
      <c r="HA74" s="27" t="str">
        <f>IF(Compositions!Z139="","",(Compositions!Z139/(VLOOKUP(Compositions!Y139,'HHV-LHV-MW'!$A$3:$F$40,6,FALSE))))</f>
        <v/>
      </c>
      <c r="HB74" s="25" t="str">
        <f>IF(GY74="","",((VLOOKUP(Compositions!Y139,'HHV-LHV-MW'!$A$3:$F$40,4,FALSE))*(GY74/100)))</f>
        <v/>
      </c>
      <c r="HC74" s="25" t="str">
        <f>IF(GY74="","",((VLOOKUP(Compositions!Y139,'HHV-LHV-MW'!$A$3:$F$40,5,FALSE))*(GY74/100)))</f>
        <v/>
      </c>
      <c r="HD74" s="25" t="str">
        <f>IF(GY74="","",((VLOOKUP(Compositions!Y139,'HHV-LHV-MW'!$A$3:$F$40,6,FALSE))*(GY74/100)))</f>
        <v/>
      </c>
      <c r="HE74" s="25" t="str">
        <f>IF(Compositions!Z139="","",(Compositions!Z139*(VLOOKUP(Compositions!Y139,'HHV-LHV-MW'!$A$3:$F$40,6,FALSE))))</f>
        <v/>
      </c>
      <c r="HF74" s="295" t="str">
        <f>IF(Compositions!Z139="","",IF(OR(Compositions!$Z$118="wt%",Compositions!$Z$118=""),Compositions!Z139,(IF(HE74="","",((HE74/$HE$78)*100)))))</f>
        <v/>
      </c>
      <c r="HG74" s="185" t="str">
        <f>IF(HF74="","",(IF(OR(Compositions!Y139="Hydrogen",Compositions!Y139="Helium",Compositions!Y139="Water",Compositions!Y139="Carbon Monoxide",Compositions!Y139="Nitrogen",Compositions!Y139="Oxygen",Compositions!Y139="Hydrogen Sulfide",Compositions!Y139="Argon",Compositions!Y139="Carbon Dioxide",Compositions!Y139="Carbon Disulfide"),0,HF74)))</f>
        <v/>
      </c>
      <c r="HH74" s="187" t="str">
        <f>IF(Compositions!Z139="","",((GY74/100)*((VLOOKUP(Compositions!Y139,'HHV-LHV-MW'!$A$3:$G$40,7,FALSE)))))</f>
        <v/>
      </c>
      <c r="HI74" s="187" t="str">
        <f>IF(GY74="","",(IF(OR(Compositions!Y139="Hydrogen",Compositions!Y139="Carbon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Dioxide",Compositions!Y139="Methane",Compositions!Y139="Ethane"),0,(GY74/100))))</f>
        <v/>
      </c>
      <c r="HJ74" s="205" t="str">
        <f>IF(GY74="","",(IF(OR($HI$78=0,$HI$78=""),0,       ((VLOOKUP(Compositions!Y139,'HHV-LHV-MW'!$A$3:$F$40,6,FALSE))*(HI74/$HI$78)))))</f>
        <v/>
      </c>
      <c r="HK74" s="28" t="str">
        <f>IF(Compositions!AA139="","",IF(Compositions!$AA$118="mol%",Compositions!AA139,HL74))</f>
        <v/>
      </c>
      <c r="HL74" s="28" t="str">
        <f t="shared" si="42"/>
        <v/>
      </c>
      <c r="HM74" s="28" t="str">
        <f>IF(Compositions!AA139="","",(Compositions!AA139/(VLOOKUP(Compositions!Y139,'HHV-LHV-MW'!$A$3:$F$40,6,FALSE))))</f>
        <v/>
      </c>
      <c r="HN74" s="26" t="str">
        <f>IF(HK74="","",((VLOOKUP(Compositions!Y139,'HHV-LHV-MW'!$A$3:$F$40,4,FALSE))*(HK74/100)))</f>
        <v/>
      </c>
      <c r="HO74" s="26" t="str">
        <f>IF(HK74="","",((VLOOKUP(Compositions!Y139,'HHV-LHV-MW'!$A$3:$F$40,5,FALSE))*(HK74/100)))</f>
        <v/>
      </c>
      <c r="HP74" s="26" t="str">
        <f>IF(HK74="","",((VLOOKUP(Compositions!Y139,'HHV-LHV-MW'!$A$3:$F$40,6,FALSE))*(HK74/100)))</f>
        <v/>
      </c>
      <c r="HQ74" s="26" t="str">
        <f>IF(Compositions!AA139="","",(Compositions!AA139*(VLOOKUP(Compositions!Y139,'HHV-LHV-MW'!$A$3:$F$40,6,FALSE))))</f>
        <v/>
      </c>
      <c r="HR74" s="296" t="str">
        <f>IF(Compositions!AA139="","",IF(OR(Compositions!$AA$118="wt%",Compositions!$AA$118=""),Compositions!AA139,(IF(HQ74="","",((HQ74/$HQ$78)*100)))))</f>
        <v/>
      </c>
      <c r="HS74" s="39" t="str">
        <f>IF(HR74="","",(IF(OR(Compositions!Y139="Hydrogen",Compositions!Y139="Helium",Compositions!Y139="Water",Compositions!Y139="Carbon Monoxide",Compositions!Y139="Nitrogen",Compositions!Y139="Oxygen",Compositions!Y139="Hydrogen Sulfide",Compositions!Y139="Argon",Compositions!Y139="Carbon Dioxide",Compositions!Y139="Carbon Disulfide"),0,HR74)))</f>
        <v/>
      </c>
      <c r="HT74" s="186" t="str">
        <f>IF(Compositions!AA139="","",((HK74/100)*((VLOOKUP(Compositions!Y139,'HHV-LHV-MW'!$A$3:$G$40,7,FALSE)))))</f>
        <v/>
      </c>
      <c r="HU74" s="186" t="str">
        <f>IF(HK74="","",(IF(OR(Compositions!Y139="Hydrogen",Compositions!Y139="Carbon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Dioxide",Compositions!Y139="Methane",Compositions!Y139="Ethane"),0,(HK74/100))))</f>
        <v/>
      </c>
      <c r="HV74" s="39" t="str">
        <f>IF(HK74="","",(IF(OR($HU$78=0,$HU$78=""),0,       ((VLOOKUP(Compositions!Y139,'HHV-LHV-MW'!$A$3:$F$40,6,FALSE))*(HU74/$HU$78)))))</f>
        <v/>
      </c>
      <c r="HW74" s="27" t="str">
        <f>IF(Compositions!AB139="","",IF(Compositions!$AB$118="mol%",Compositions!AB139,HX74))</f>
        <v/>
      </c>
      <c r="HX74" s="27" t="str">
        <f t="shared" si="43"/>
        <v/>
      </c>
      <c r="HY74" s="27" t="str">
        <f>IF(Compositions!AB139="","",(Compositions!AB139/(VLOOKUP(Compositions!Y139,'HHV-LHV-MW'!$A$3:$F$40,6,FALSE))))</f>
        <v/>
      </c>
      <c r="HZ74" s="25" t="str">
        <f>IF(HW74="","",((VLOOKUP(Compositions!Y139,'HHV-LHV-MW'!$A$3:$F$40,4,FALSE))*(HW74/100)))</f>
        <v/>
      </c>
      <c r="IA74" s="25" t="str">
        <f>IF(HW74="","",((VLOOKUP(Compositions!Y139,'HHV-LHV-MW'!$A$3:$F$40,5,FALSE))*(HW74/100)))</f>
        <v/>
      </c>
      <c r="IB74" s="25" t="str">
        <f>IF(HW74="","",((VLOOKUP(Compositions!Y139,'HHV-LHV-MW'!$A$3:$F$40,6,FALSE))*(HW74/100)))</f>
        <v/>
      </c>
      <c r="IC74" s="25" t="str">
        <f>IF(Compositions!AB139="","",(Compositions!AB139*(VLOOKUP(Compositions!Y139,'HHV-LHV-MW'!$A$3:$F$40,6,FALSE))))</f>
        <v/>
      </c>
      <c r="ID74" s="295" t="str">
        <f>IF(Compositions!AB139="","",IF(OR(Compositions!$AB$118="wt%",Compositions!$AB$118=""),Compositions!AB139,(IF(IC74="","",((IC74/$IC$78)*100)))))</f>
        <v/>
      </c>
      <c r="IE74" s="185" t="str">
        <f>IF(ID74="","",(IF(OR(Compositions!Y139="Hydrogen",Compositions!Y139="Helium",Compositions!Y139="Water",Compositions!Y139="Carbon Monoxide",Compositions!Y139="Nitrogen",Compositions!Y139="Oxygen",Compositions!Y139="Hydrogen Sulfide",Compositions!Y139="Argon",Compositions!Y139="Carbon Dioxide",Compositions!Y139="Carbon Disulfide"),0,ID74)))</f>
        <v/>
      </c>
      <c r="IF74" s="187" t="str">
        <f>IF(Compositions!AB139="","",((HW74/100)*((VLOOKUP(Compositions!Y139,'HHV-LHV-MW'!$A$3:$G$40,7,FALSE)))))</f>
        <v/>
      </c>
      <c r="IG74" s="187" t="str">
        <f>IF(HW74="","",(IF(OR(Compositions!Y139="Hydrogen",Compositions!Y139="Carbon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Dioxide",Compositions!Y139="Methane",Compositions!Y139="Ethane"),0,(HW74/100))))</f>
        <v/>
      </c>
      <c r="IH74" s="205" t="str">
        <f>IF(HW74="","",(IF(OR($IG$78=0,$IG$78=""),0,       ((VLOOKUP(Compositions!Y139,'HHV-LHV-MW'!$A$3:$F$40,6,FALSE))*(IG74/$IG$78)))))</f>
        <v/>
      </c>
      <c r="II74" s="28" t="str">
        <f>IF(Compositions!AC139="","",IF(Compositions!$AC$118="mol%",Compositions!AC139,IJ74))</f>
        <v/>
      </c>
      <c r="IJ74" s="28" t="str">
        <f t="shared" si="44"/>
        <v/>
      </c>
      <c r="IK74" s="28" t="str">
        <f>IF(Compositions!AC139="","",(Compositions!AC139/(VLOOKUP(Compositions!Y139,'HHV-LHV-MW'!$A$3:$F$40,6,FALSE))))</f>
        <v/>
      </c>
      <c r="IL74" s="26" t="str">
        <f>IF(II74="","",((VLOOKUP(Compositions!Y139,'HHV-LHV-MW'!$A$3:$F$40,4,FALSE))*(II74/100)))</f>
        <v/>
      </c>
      <c r="IM74" s="26" t="str">
        <f>IF(II74="","",((VLOOKUP(Compositions!Y139,'HHV-LHV-MW'!$A$3:$F$40,5,FALSE))*(II74/100)))</f>
        <v/>
      </c>
      <c r="IN74" s="26" t="str">
        <f>IF(II74="","",((VLOOKUP(Compositions!Y139,'HHV-LHV-MW'!$A$3:$F$40,6,FALSE))*(II74/100)))</f>
        <v/>
      </c>
      <c r="IO74" s="26" t="str">
        <f>IF(Compositions!AC139="","",(Compositions!AC139*(VLOOKUP(Compositions!Y139,'HHV-LHV-MW'!$A$3:$F$40,6,FALSE))))</f>
        <v/>
      </c>
      <c r="IP74" s="296" t="str">
        <f>IF(Compositions!AC139="","",IF(OR(Compositions!$AC$118="wt%",Compositions!$AC$118=""),Compositions!AC139,(IF(IO74="","",((IO74/$IO$78)*100)))))</f>
        <v/>
      </c>
      <c r="IQ74" s="39" t="str">
        <f>IF(IP74="","",(IF(OR(Compositions!Y139="Hydrogen",Compositions!Y139="Helium",Compositions!Y139="Water",Compositions!Y139="Carbon Monoxide",Compositions!Y139="Nitrogen",Compositions!Y139="Oxygen",Compositions!Y139="Hydrogen Sulfide",Compositions!Y139="Argon",Compositions!Y139="Carbon Dioxide",Compositions!Y139="Carbon Disulfide"),0,IP74)))</f>
        <v/>
      </c>
      <c r="IR74" s="186" t="str">
        <f>IF(Compositions!AC139="","",((II74/100)*((VLOOKUP(Compositions!Y139,'HHV-LHV-MW'!$A$3:$G$40,7,FALSE)))))</f>
        <v/>
      </c>
      <c r="IS74" s="186" t="str">
        <f>IF(II74="","",(IF(OR(Compositions!Y139="Hydrogen",Compositions!Y139="Carbon Disulfide",Compositions!Y139="Helium",Compositions!Y139="Water",Compositions!Y139="Carbon Monoxide",Compositions!Y139="Nitrogen",Compositions!Y139="Oxygen",Compositions!Y139="Hydrogen Sulfide",Compositions!Y139="Argon",Compositions!Y139="Carbon Dioxide",Compositions!Y139="Methane",Compositions!Y139="Ethane"),0,(II74/100))))</f>
        <v/>
      </c>
      <c r="IT74" s="39" t="str">
        <f>IF(II74="","",(IF(OR($IS$78=0,$IS$78=""),0,      ((VLOOKUP(Compositions!Y139,'HHV-LHV-MW'!$A$3:$F$40,6,FALSE))*(IS74/$IS$78)))))</f>
        <v/>
      </c>
      <c r="IV74" s="27" t="str">
        <f>IF(Compositions!AF139="","",IF(Compositions!$AF$118="mol%",Compositions!AF139,IW74))</f>
        <v/>
      </c>
      <c r="IW74" s="27" t="str">
        <f t="shared" si="45"/>
        <v/>
      </c>
      <c r="IX74" s="27" t="str">
        <f>IF(Compositions!AF139="","",(Compositions!AF139/(VLOOKUP(Compositions!AE139,'HHV-LHV-MW'!$A$3:$F$40,6,FALSE))))</f>
        <v/>
      </c>
      <c r="IY74" s="25" t="str">
        <f>IF(IV74="","",((VLOOKUP(Compositions!AE139,'HHV-LHV-MW'!$A$3:$F$40,4,FALSE))*(IV74/100)))</f>
        <v/>
      </c>
      <c r="IZ74" s="25" t="str">
        <f>IF(IV74="","",((VLOOKUP(Compositions!AE139,'HHV-LHV-MW'!$A$3:$F$40,5,FALSE))*(IV74/100)))</f>
        <v/>
      </c>
      <c r="JA74" s="25" t="str">
        <f>IF(IV74="","",((VLOOKUP(Compositions!AE139,'HHV-LHV-MW'!$A$3:$F$40,6,FALSE))*(IV74/100)))</f>
        <v/>
      </c>
      <c r="JB74" s="25" t="str">
        <f>IF(Compositions!AF139="","",(Compositions!AF139*(VLOOKUP(Compositions!AE139,'HHV-LHV-MW'!$A$3:$F$40,6,FALSE))))</f>
        <v/>
      </c>
      <c r="JC74" s="298" t="str">
        <f>IF(Compositions!AF139="","",IF(OR(Compositions!$AF$118="wt%",Compositions!$AF$118=""),Compositions!AF139,(IF(JB74="","",((JB74/$JB$78)*100)))))</f>
        <v/>
      </c>
      <c r="JD74" s="185" t="str">
        <f>IF(JC74="","",(IF(OR(Compositions!AE139="Hydrogen",Compositions!AE139="Helium",Compositions!AE139="Water",Compositions!AE139="Carbon Monoxide",Compositions!AE139="Nitrogen",Compositions!AE139="Oxygen",Compositions!AE139="Hydrogen Sulfide",Compositions!AE139="Argon",Compositions!AE139="Carbon Dioxide",Compositions!AE139="Carbon Disulfide"),0,JC74)))</f>
        <v/>
      </c>
      <c r="JE74" s="187" t="str">
        <f>IF(Compositions!AF139="","",((IV74/100)*((VLOOKUP(Compositions!AE139,'HHV-LHV-MW'!$A$3:$G$40,7,FALSE)))))</f>
        <v/>
      </c>
      <c r="JF74" s="187" t="str">
        <f>IF(IV74="","",(IF(OR(Compositions!AE139="Hydrogen",Compositions!AE139="Carbon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Dioxide",Compositions!AE139="Methane",Compositions!AE139="Ethane"),0,(IV74/100))))</f>
        <v/>
      </c>
      <c r="JG74" s="205" t="str">
        <f>IF(IV74="","",(IF(OR($JF$78=0,$JF$78=""),0,      ((VLOOKUP(Compositions!AE139,'HHV-LHV-MW'!$A$3:$F$40,6,FALSE))*(JF74/$JF$78)))))</f>
        <v/>
      </c>
      <c r="JH74" s="28" t="str">
        <f>IF(Compositions!AG139="","",IF(Compositions!$AG$118="mol%",Compositions!AG139,JI74))</f>
        <v/>
      </c>
      <c r="JI74" s="28" t="str">
        <f t="shared" si="46"/>
        <v/>
      </c>
      <c r="JJ74" s="28" t="str">
        <f>IF(Compositions!AG139="","",(Compositions!AG139/(VLOOKUP(Compositions!AE139,'HHV-LHV-MW'!$A$3:$F$40,6,FALSE))))</f>
        <v/>
      </c>
      <c r="JK74" s="26" t="str">
        <f>IF(JH74="","",((VLOOKUP(Compositions!AE139,'HHV-LHV-MW'!$A$3:$F$40,4,FALSE))*(JH74/100)))</f>
        <v/>
      </c>
      <c r="JL74" s="26" t="str">
        <f>IF(JH74="","",((VLOOKUP(Compositions!AE139,'HHV-LHV-MW'!$A$3:$F$40,5,FALSE))*(JH74/100)))</f>
        <v/>
      </c>
      <c r="JM74" s="26" t="str">
        <f>IF(JH74="","",((VLOOKUP(Compositions!AE139,'HHV-LHV-MW'!$A$3:$F$40,6,FALSE))*(JH74/100)))</f>
        <v/>
      </c>
      <c r="JN74" s="26" t="str">
        <f>IF(Compositions!AG139="","",(Compositions!AG139*(VLOOKUP(Compositions!AE139,'HHV-LHV-MW'!$A$3:$F$40,6,FALSE))))</f>
        <v/>
      </c>
      <c r="JO74" s="297" t="str">
        <f>IF(Compositions!AG139="","",IF(OR(Compositions!$AG$118="wt%",Compositions!$AG$118=""),Compositions!AG139,(IF(JN74="","",((JN74/$JN$78)*100)))))</f>
        <v/>
      </c>
      <c r="JP74" s="39" t="str">
        <f>IF(JO74="","",(IF(OR(Compositions!AE139="Hydrogen",Compositions!AE139="Helium",Compositions!AE139="Water",Compositions!AE139="Carbon Monoxide",Compositions!AE139="Nitrogen",Compositions!AE139="Oxygen",Compositions!AE139="Hydrogen Sulfide",Compositions!AE139="Argon",Compositions!AE139="Carbon Dioxide",Compositions!AE139="Carbon Disulfide"),0,JO74)))</f>
        <v/>
      </c>
      <c r="JQ74" s="186" t="str">
        <f>IF(Compositions!AG139="","",((JH74/100)*((VLOOKUP(Compositions!AE139,'HHV-LHV-MW'!$A$3:$G$40,7,FALSE)))))</f>
        <v/>
      </c>
      <c r="JR74" s="186" t="str">
        <f>IF(JH74="","",(IF(OR(Compositions!AE139="Hydrogen",Compositions!AE139="Carbon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Dioxide",Compositions!AE139="Methane",Compositions!AE139="Ethane"),0,(JH74/100))))</f>
        <v/>
      </c>
      <c r="JS74" s="39" t="str">
        <f>IF(JH74="","",(IF(OR($JR$78=0,$JR$78=""),0,      ((VLOOKUP(Compositions!AE139,'HHV-LHV-MW'!$A$3:$F$40,6,FALSE))*(JR74/$JR$78)))))</f>
        <v/>
      </c>
      <c r="JT74" s="27" t="str">
        <f>IF(Compositions!AH139="","",IF(Compositions!$AH$118="mol%",Compositions!AH139,JU74))</f>
        <v/>
      </c>
      <c r="JU74" s="27" t="str">
        <f t="shared" si="47"/>
        <v/>
      </c>
      <c r="JV74" s="27" t="str">
        <f>IF(Compositions!AH139="","",(Compositions!AH139/(VLOOKUP(Compositions!AE139,'HHV-LHV-MW'!$A$3:$F$40,6,FALSE))))</f>
        <v/>
      </c>
      <c r="JW74" s="25" t="str">
        <f>IF(JT74="","",((VLOOKUP(Compositions!AE139,'HHV-LHV-MW'!$A$3:$F$40,4,FALSE))*(JT74/100)))</f>
        <v/>
      </c>
      <c r="JX74" s="25" t="str">
        <f>IF(JT74="","",((VLOOKUP(Compositions!AE139,'HHV-LHV-MW'!$A$3:$F$40,5,FALSE))*(JT74/100)))</f>
        <v/>
      </c>
      <c r="JY74" s="25" t="str">
        <f>IF(JT74="","",((VLOOKUP(Compositions!AE139,'HHV-LHV-MW'!$A$3:$F$40,6,FALSE))*(JT74/100)))</f>
        <v/>
      </c>
      <c r="JZ74" s="25" t="str">
        <f>IF(Compositions!AH139="","",(Compositions!AH139*(VLOOKUP(Compositions!AE139,'HHV-LHV-MW'!$A$3:$F$40,6,FALSE))))</f>
        <v/>
      </c>
      <c r="KA74" s="298" t="str">
        <f>IF(Compositions!AH139="","",IF(OR(Compositions!$AH$118="wt%",Compositions!$AH$118=""),Compositions!AH139,(IF(JZ74="","",((JZ74/$JZ$78)*100)))))</f>
        <v/>
      </c>
      <c r="KB74" s="185" t="str">
        <f>IF(KA74="","",(IF(OR(Compositions!AE139="Hydrogen",Compositions!AE139="Helium",Compositions!AE139="Water",Compositions!AE139="Carbon Monoxide",Compositions!AE139="Nitrogen",Compositions!AE139="Oxygen",Compositions!AE139="Hydrogen Sulfide",Compositions!AE139="Argon",Compositions!AE139="Carbon Dioxide",Compositions!AE139="Carbon Disulfide"),0,KA74)))</f>
        <v/>
      </c>
      <c r="KC74" s="187" t="str">
        <f>IF(Compositions!AH139="","",((JT74/100)*((VLOOKUP(Compositions!AE139,'HHV-LHV-MW'!$A$3:$G$40,7,FALSE)))))</f>
        <v/>
      </c>
      <c r="KD74" s="187" t="str">
        <f>IF(JT74="","",(IF(OR(Compositions!AE139="Hydrogen",Compositions!AE139="Carbon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Dioxide",Compositions!AE139="Methane",Compositions!AE139="Ethane"),0,(JT74/100))))</f>
        <v/>
      </c>
      <c r="KE74" s="205" t="str">
        <f>IF(JT74="","",(IF(OR($KD$78=0,$KD$78=""),0,      ((VLOOKUP(Compositions!AE139,'HHV-LHV-MW'!$A$3:$F$40,6,FALSE))*(KD74/$KD$78)))))</f>
        <v/>
      </c>
      <c r="KF74" s="28" t="str">
        <f>IF(Compositions!AI139="","",IF(Compositions!$AI$118="mol%",Compositions!AI139,KG74))</f>
        <v/>
      </c>
      <c r="KG74" s="28" t="str">
        <f t="shared" si="48"/>
        <v/>
      </c>
      <c r="KH74" s="28" t="str">
        <f>IF(Compositions!AI139="","",(Compositions!AI139/(VLOOKUP(Compositions!AE139,'HHV-LHV-MW'!$A$3:$F$40,6,FALSE))))</f>
        <v/>
      </c>
      <c r="KI74" s="26" t="str">
        <f>IF(KF74="","",((VLOOKUP(Compositions!AE139,'HHV-LHV-MW'!$A$3:$F$40,4,FALSE))*(KF74/100)))</f>
        <v/>
      </c>
      <c r="KJ74" s="26" t="str">
        <f>IF(KF74="","",((VLOOKUP(Compositions!AE139,'HHV-LHV-MW'!$A$3:$F$40,5,FALSE))*(KF74/100)))</f>
        <v/>
      </c>
      <c r="KK74" s="26" t="str">
        <f>IF(KF74="","",((VLOOKUP(Compositions!AE139,'HHV-LHV-MW'!$A$3:$F$40,6,FALSE))*(KF74/100)))</f>
        <v/>
      </c>
      <c r="KL74" s="26" t="str">
        <f>IF(Compositions!AI139="","",(Compositions!AI139*(VLOOKUP(Compositions!AE139,'HHV-LHV-MW'!$A$3:$F$40,6,FALSE))))</f>
        <v/>
      </c>
      <c r="KM74" s="297" t="str">
        <f>IF(Compositions!AI139="","",IF(OR(Compositions!$AI$118="wt%",Compositions!$AI$118=""),Compositions!AI139,(IF(KL74="","",((KL74/$KL$78)*100)))))</f>
        <v/>
      </c>
      <c r="KN74" s="39" t="str">
        <f>IF(KM74="","",(IF(OR(Compositions!AE139="Hydrogen",Compositions!AE139="Helium",Compositions!AE139="Water",Compositions!AE139="Carbon Monoxide",Compositions!AE139="Nitrogen",Compositions!AE139="Oxygen",Compositions!AE139="Hydrogen Sulfide",Compositions!AE139="Argon",Compositions!AE139="Carbon Dioxide",Compositions!AE139="Carbon Disulfide"),0,KM74)))</f>
        <v/>
      </c>
      <c r="KO74" s="186" t="str">
        <f>IF(Compositions!AI139="","",((KF74/100)*((VLOOKUP(Compositions!AE139,'HHV-LHV-MW'!$A$3:$G$40,7,FALSE)))))</f>
        <v/>
      </c>
      <c r="KP74" s="186" t="str">
        <f>IF(KF74="","",(IF(OR(Compositions!AE139="Hydrogen",Compositions!AE139="Carbon Disulfide",Compositions!AE139="Helium",Compositions!AE139="Water",Compositions!AE139="Carbon Monoxide",Compositions!AE139="Nitrogen",Compositions!AE139="Oxygen",Compositions!AE139="Hydrogen Sulfide",Compositions!AE139="Argon",Compositions!AE139="Carbon Dioxide",Compositions!AE139="Methane",Compositions!AE139="Ethane"),0,(KF74/100))))</f>
        <v/>
      </c>
      <c r="KQ74" s="39" t="str">
        <f>IF(KF74="","",(IF(OR($KP$78=0,$KP$78=""),0,      ((VLOOKUP(Compositions!AE139,'HHV-LHV-MW'!$A$3:$F$40,6,FALSE))*(KP74/$KP$78)))))</f>
        <v/>
      </c>
      <c r="KS74" s="27" t="str">
        <f>IF(Compositions!AL139="","",IF(Compositions!$AL$118="mol%",Compositions!AL139,KT74))</f>
        <v/>
      </c>
      <c r="KT74" s="27" t="str">
        <f t="shared" si="49"/>
        <v/>
      </c>
      <c r="KU74" s="27" t="str">
        <f>IF(Compositions!AL139="","",(Compositions!AL139/(VLOOKUP(Compositions!AK139,'HHV-LHV-MW'!$A$3:$F$40,6,FALSE))))</f>
        <v/>
      </c>
      <c r="KV74" s="185" t="str">
        <f>IF(KS74="","",((VLOOKUP(Compositions!AK139,'HHV-LHV-MW'!$A$3:$F$40,4,FALSE))*(KS74/100)))</f>
        <v/>
      </c>
      <c r="KW74" s="185" t="str">
        <f>IF(KS74="","",((VLOOKUP(Compositions!AK139,'HHV-LHV-MW'!$A$3:$F$40,5,FALSE))*(KS74/100)))</f>
        <v/>
      </c>
      <c r="KX74" s="185" t="str">
        <f>IF(KS74="","",((VLOOKUP(Compositions!AK139,'HHV-LHV-MW'!$A$3:$F$40,6,FALSE))*(KS74/100)))</f>
        <v/>
      </c>
      <c r="KY74" s="185" t="str">
        <f>IF(Compositions!AL139="","",(Compositions!AL139*(VLOOKUP(Compositions!AK139,'HHV-LHV-MW'!$A$3:$F$40,6,FALSE))))</f>
        <v/>
      </c>
      <c r="KZ74" s="298" t="str">
        <f>IF(Compositions!AL139="","",IF(OR(Compositions!$AL$118="wt%",Compositions!$AL$118=""),Compositions!AL139,(IF(KY74="","",((KY74/$KY$78)*100)))))</f>
        <v/>
      </c>
      <c r="LA74" s="185" t="str">
        <f>IF(KZ74="","",(IF(OR(Compositions!AK139="Hydrogen",Compositions!AK139="Helium",Compositions!AK139="Water",Compositions!AK139="Carbon Monoxide",Compositions!AK139="Nitrogen",Compositions!AK139="Oxygen",Compositions!AK139="Hydrogen Sulfide",Compositions!AK139="Argon",Compositions!AK139="Carbon Dioxide",Compositions!AK139="Carbon Disulfide"),0,KZ74)))</f>
        <v/>
      </c>
      <c r="LB74" s="187" t="str">
        <f>IF(Compositions!AL139="","",((KS74/100)*((VLOOKUP(Compositions!AK139,'HHV-LHV-MW'!$A$3:$G$40,7,FALSE)))))</f>
        <v/>
      </c>
      <c r="LC74" s="187" t="str">
        <f>IF(KS74="","",(IF(OR(Compositions!AK139="Hydrogen",Compositions!AK139="Carbon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Dioxide",Compositions!AK139="Methane",Compositions!AK139="Ethane"),0,(KS74/100))))</f>
        <v/>
      </c>
      <c r="LD74" s="205" t="str">
        <f>IF(KS74="","",(IF(OR($LC$78=0,$LC$78=""),0,      ((VLOOKUP(Compositions!AK139,'HHV-LHV-MW'!$A$3:$F$40,6,FALSE))*(LC74/$LC$78)))))</f>
        <v/>
      </c>
      <c r="LE74" s="28" t="str">
        <f>IF(Compositions!AM139="","",IF(Compositions!$AM$118="mol%",Compositions!AM139,LF74))</f>
        <v/>
      </c>
      <c r="LF74" s="28" t="str">
        <f t="shared" si="50"/>
        <v/>
      </c>
      <c r="LG74" s="28" t="str">
        <f>IF(Compositions!AM139="","",(Compositions!AM139/(VLOOKUP(Compositions!AK139,'HHV-LHV-MW'!$A$3:$F$40,6,FALSE))))</f>
        <v/>
      </c>
      <c r="LH74" s="184" t="str">
        <f>IF(LE74="","",((VLOOKUP(Compositions!AK139,'HHV-LHV-MW'!$A$3:$F$40,4,FALSE))*(LE74/100)))</f>
        <v/>
      </c>
      <c r="LI74" s="184" t="str">
        <f>IF(LE74="","",((VLOOKUP(Compositions!AK139,'HHV-LHV-MW'!$A$3:$F$40,5,FALSE))*(LE74/100)))</f>
        <v/>
      </c>
      <c r="LJ74" s="184" t="str">
        <f>IF(LE74="","",((VLOOKUP(Compositions!AK139,'HHV-LHV-MW'!$A$3:$F$40,6,FALSE))*(LE74/100)))</f>
        <v/>
      </c>
      <c r="LK74" s="184" t="str">
        <f>IF(Compositions!AM139="","",(Compositions!AM139*(VLOOKUP(Compositions!AK139,'HHV-LHV-MW'!$A$3:$F$40,6,FALSE))))</f>
        <v/>
      </c>
      <c r="LL74" s="297" t="str">
        <f>IF(Compositions!AM139="","",IF(OR(Compositions!$AM$118="wt%",Compositions!$AM$118=""),Compositions!AM139,(IF(LK74="","",((LK74/$LK$78)*100)))))</f>
        <v/>
      </c>
      <c r="LM74" s="39" t="str">
        <f>IF(LL74="","",(IF(OR(Compositions!AK139="Hydrogen",Compositions!AK139="Helium",Compositions!AK139="Water",Compositions!AK139="Carbon Monoxide",Compositions!AK139="Nitrogen",Compositions!AK139="Oxygen",Compositions!AK139="Hydrogen Sulfide",Compositions!AK139="Argon",Compositions!AK139="Carbon Dioxide",Compositions!AK139="Carbon Disulfide"),0,LL74)))</f>
        <v/>
      </c>
      <c r="LN74" s="186" t="str">
        <f>IF(Compositions!AM139="","",((LE74/100)*((VLOOKUP(Compositions!AK139,'HHV-LHV-MW'!$A$3:$G$40,7,FALSE)))))</f>
        <v/>
      </c>
      <c r="LO74" s="186" t="str">
        <f>IF(LE74="","",(IF(OR(Compositions!AK139="Hydrogen",Compositions!AK139="Carbon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Dioxide",Compositions!AK139="Methane",Compositions!AK139="Ethane"),0,(LE74/100))))</f>
        <v/>
      </c>
      <c r="LP74" s="39" t="str">
        <f>IF(LE74="","",(IF(OR($LO$78=0,$LO$78=""),0,     ((VLOOKUP(Compositions!AK139,'HHV-LHV-MW'!$A$3:$F$40,6,FALSE))*(LO74/$LO$78)))))</f>
        <v/>
      </c>
      <c r="LQ74" s="27" t="str">
        <f>IF(Compositions!AN139="","",IF(Compositions!$AN$118="mol%",Compositions!AN139,LR74))</f>
        <v/>
      </c>
      <c r="LR74" s="27" t="str">
        <f t="shared" si="51"/>
        <v/>
      </c>
      <c r="LS74" s="27" t="str">
        <f>IF(Compositions!AN139="","",(Compositions!AN139/(VLOOKUP(Compositions!AK139,'HHV-LHV-MW'!$A$3:$F$40,6,FALSE))))</f>
        <v/>
      </c>
      <c r="LT74" s="185" t="str">
        <f>IF(LQ74="","",((VLOOKUP(Compositions!AK139,'HHV-LHV-MW'!$A$3:$F$40,4,FALSE))*(LQ74/100)))</f>
        <v/>
      </c>
      <c r="LU74" s="185" t="str">
        <f>IF(LQ74="","",((VLOOKUP(Compositions!AK139,'HHV-LHV-MW'!$A$3:$F$40,5,FALSE))*(LQ74/100)))</f>
        <v/>
      </c>
      <c r="LV74" s="185" t="str">
        <f>IF(LQ74="","",((VLOOKUP(Compositions!AK139,'HHV-LHV-MW'!$A$3:$F$40,6,FALSE))*(LQ74/100)))</f>
        <v/>
      </c>
      <c r="LW74" s="185" t="str">
        <f>IF(Compositions!AN139="","",(Compositions!AN139*(VLOOKUP(Compositions!AK139,'HHV-LHV-MW'!$A$3:$F$40,6,FALSE))))</f>
        <v/>
      </c>
      <c r="LX74" s="298" t="str">
        <f>IF(Compositions!AN139="","",IF(OR(Compositions!$AN$118="wt%",Compositions!$AN$118=""),Compositions!AN139,(IF(LW74="","",((LW74/$LW$78)*100)))))</f>
        <v/>
      </c>
      <c r="LY74" s="185" t="str">
        <f>IF(LX74="","",(IF(OR(Compositions!AK139="Hydrogen",Compositions!AK139="Helium",Compositions!AK139="Water",Compositions!AK139="Carbon Monoxide",Compositions!AK139="Nitrogen",Compositions!AK139="Oxygen",Compositions!AK139="Hydrogen Sulfide",Compositions!AK139="Argon",Compositions!AK139="Carbon Dioxide",Compositions!AK139="Carbon Disulfide"),0,LX74)))</f>
        <v/>
      </c>
      <c r="LZ74" s="187" t="str">
        <f>IF(Compositions!AN139="","",((LQ74/100)*((VLOOKUP(Compositions!AK139,'HHV-LHV-MW'!$A$3:$G$40,7,FALSE)))))</f>
        <v/>
      </c>
      <c r="MA74" s="187" t="str">
        <f>IF(LQ74="","",(IF(OR(Compositions!AK139="Hydrogen",Compositions!AK139="Carbon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Dioxide",Compositions!AK139="Methane",Compositions!AK139="Ethane"),0,(LQ74/100))))</f>
        <v/>
      </c>
      <c r="MB74" s="205" t="str">
        <f>IF(LQ74="","",(IF(OR($MA$78=0,$MA$78=""),0,     ((VLOOKUP(Compositions!AK139,'HHV-LHV-MW'!$A$3:$F$40,6,FALSE))*(MA74/$MA$78)))))</f>
        <v/>
      </c>
      <c r="MC74" s="28" t="str">
        <f>IF(Compositions!AO139="","",IF(Compositions!$AO$118="mol%",Compositions!AO139,MD74))</f>
        <v/>
      </c>
      <c r="MD74" s="28" t="str">
        <f t="shared" si="52"/>
        <v/>
      </c>
      <c r="ME74" s="28" t="str">
        <f>IF(Compositions!AO139="","",(Compositions!AO139/(VLOOKUP(Compositions!AK139,'HHV-LHV-MW'!$A$3:$F$40,6,FALSE))))</f>
        <v/>
      </c>
      <c r="MF74" s="184" t="str">
        <f>IF(MC74="","",((VLOOKUP(Compositions!AK139,'HHV-LHV-MW'!$A$3:$F$40,4,FALSE))*(MC74/100)))</f>
        <v/>
      </c>
      <c r="MG74" s="184" t="str">
        <f>IF(MC74="","",((VLOOKUP(Compositions!AK139,'HHV-LHV-MW'!$A$3:$F$40,5,FALSE))*(MC74/100)))</f>
        <v/>
      </c>
      <c r="MH74" s="184" t="str">
        <f>IF(MC74="","",((VLOOKUP(Compositions!AK139,'HHV-LHV-MW'!$A$3:$F$40,6,FALSE))*(MC74/100)))</f>
        <v/>
      </c>
      <c r="MI74" s="184" t="str">
        <f>IF(Compositions!AO139="","",(Compositions!AO139*(VLOOKUP(Compositions!AK139,'HHV-LHV-MW'!$A$3:$F$40,6,FALSE))))</f>
        <v/>
      </c>
      <c r="MJ74" s="297" t="str">
        <f>IF(Compositions!AO139="","",IF(OR(Compositions!$AO$118="wt%",Compositions!$AO$118=""),Compositions!AO139,(IF(MI74="","",((MI74/$MI$78)*100)))))</f>
        <v/>
      </c>
      <c r="MK74" s="39" t="str">
        <f>IF(MJ74="","",(IF(OR(Compositions!AK139="Hydrogen",Compositions!AK139="Helium",Compositions!AK139="Water",Compositions!AK139="Carbon Monoxide",Compositions!AK139="Nitrogen",Compositions!AK139="Oxygen",Compositions!AK139="Hydrogen Sulfide",Compositions!AK139="Argon",Compositions!AK139="Carbon Dioxide",Compositions!AK139="Carbon Disulfide"),0,MJ74)))</f>
        <v/>
      </c>
      <c r="ML74" s="186" t="str">
        <f>IF(Compositions!AO139="","",((MC74/100)*((VLOOKUP(Compositions!AK139,'HHV-LHV-MW'!$A$3:$G$40,7,FALSE)))))</f>
        <v/>
      </c>
      <c r="MM74" s="186" t="str">
        <f>IF(MC74="","",(IF(OR(Compositions!AK139="Hydrogen",Compositions!AK139="Carbon Disulfide",Compositions!AK139="Helium",Compositions!AK139="Water",Compositions!AK139="Carbon Monoxide",Compositions!AK139="Nitrogen",Compositions!AK139="Oxygen",Compositions!AK139="Hydrogen Sulfide",Compositions!AK139="Argon",Compositions!AK139="Carbon Dioxide",Compositions!AK139="Methane",Compositions!AK139="Ethane"),0,(MC74/100))))</f>
        <v/>
      </c>
      <c r="MN74" s="39" t="str">
        <f>IF(MC74="","",(IF(OR($MM$78=0,$MM$78=""),0,     ((VLOOKUP(Compositions!AK139,'HHV-LHV-MW'!$A$3:$F$40,6,FALSE))*(MM74/$MM$78)))))</f>
        <v/>
      </c>
      <c r="MP74" s="27" t="str">
        <f>IF(Compositions!AR139="","",IF(Compositions!$AR$118="mol%",Compositions!AR139,MQ74))</f>
        <v/>
      </c>
      <c r="MQ74" s="27" t="str">
        <f t="shared" si="53"/>
        <v/>
      </c>
      <c r="MR74" s="27" t="str">
        <f>IF(Compositions!AR139="","",(Compositions!AR139/(VLOOKUP(Compositions!AQ139,'HHV-LHV-MW'!$A$3:$F$40,6,FALSE))))</f>
        <v/>
      </c>
      <c r="MS74" s="185" t="str">
        <f>IF(MP74="","",((VLOOKUP(Compositions!AQ139,'HHV-LHV-MW'!$A$3:$F$40,4,FALSE))*(MP74/100)))</f>
        <v/>
      </c>
      <c r="MT74" s="185" t="str">
        <f>IF(MP74="","",((VLOOKUP(Compositions!AQ139,'HHV-LHV-MW'!$A$3:$F$40,5,FALSE))*(MP74/100)))</f>
        <v/>
      </c>
      <c r="MU74" s="185" t="str">
        <f>IF(MP74="","",((VLOOKUP(Compositions!AQ139,'HHV-LHV-MW'!$A$3:$F$40,6,FALSE))*(MP74/100)))</f>
        <v/>
      </c>
      <c r="MV74" s="185" t="str">
        <f>IF(Compositions!AR139="","",(Compositions!AR139*(VLOOKUP(Compositions!AQ139,'HHV-LHV-MW'!$A$3:$F$40,6,FALSE))))</f>
        <v/>
      </c>
      <c r="MW74" s="298" t="str">
        <f>IF(Compositions!AR139="","",IF(OR(Compositions!$AR$118="wt%",Compositions!$AR$118=""),Compositions!AR139,(IF(MV74="","",((MV74/$MV$78)*100)))))</f>
        <v/>
      </c>
      <c r="MX74" s="185" t="str">
        <f>IF(MW74="","",(IF(OR(Compositions!AQ139="Hydrogen",Compositions!AQ139="Helium",Compositions!AQ139="Water",Compositions!AQ139="Carbon Monoxide",Compositions!AQ139="Nitrogen",Compositions!AQ139="Oxygen",Compositions!AQ139="Hydrogen Sulfide",Compositions!AQ139="Argon",Compositions!AQ139="Carbon Dioxide",Compositions!AQ139="Carbon Disulfide"),0,MW74)))</f>
        <v/>
      </c>
      <c r="MY74" s="187" t="str">
        <f>IF(Compositions!AR139="","",((MP74/100)*((VLOOKUP(Compositions!AQ139,'HHV-LHV-MW'!$A$3:$G$40,7,FALSE)))))</f>
        <v/>
      </c>
      <c r="MZ74" s="187" t="str">
        <f>IF(MP74="","",(IF(OR(Compositions!AQ139="Hydrogen",Compositions!AQ139="Carbon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Dioxide",Compositions!AQ139="Methane",Compositions!AQ139="Ethane"),0,(MP74/100))))</f>
        <v/>
      </c>
      <c r="NA74" s="205" t="str">
        <f>IF(MP74="","",(IF(OR($MZ$78=0,$MZ$78=""),0,     ((VLOOKUP(Compositions!AQ139,'HHV-LHV-MW'!$A$3:$F$40,6,FALSE))*(MZ74/$MZ$78)))))</f>
        <v/>
      </c>
      <c r="NB74" s="28" t="str">
        <f>IF(Compositions!AS139="","",IF(Compositions!$AS$118="mol%",Compositions!AS139,NC74))</f>
        <v/>
      </c>
      <c r="NC74" s="28" t="str">
        <f t="shared" si="54"/>
        <v/>
      </c>
      <c r="ND74" s="28" t="str">
        <f>IF(Compositions!AS139="","",(Compositions!AS139/(VLOOKUP(Compositions!AQ139,'HHV-LHV-MW'!$A$3:$F$40,6,FALSE))))</f>
        <v/>
      </c>
      <c r="NE74" s="184" t="str">
        <f>IF(NB74="","",((VLOOKUP(Compositions!AQ139,'HHV-LHV-MW'!$A$3:$F$40,4,FALSE))*(NB74/100)))</f>
        <v/>
      </c>
      <c r="NF74" s="184" t="str">
        <f>IF(NB74="","",((VLOOKUP(Compositions!AQ139,'HHV-LHV-MW'!$A$3:$F$40,5,FALSE))*(NB74/100)))</f>
        <v/>
      </c>
      <c r="NG74" s="184" t="str">
        <f>IF(NB74="","",((VLOOKUP(Compositions!AQ139,'HHV-LHV-MW'!$A$3:$F$40,6,FALSE))*(NB74/100)))</f>
        <v/>
      </c>
      <c r="NH74" s="184" t="str">
        <f>IF(Compositions!AS139="","",(Compositions!AS139*(VLOOKUP(Compositions!AQ139,'HHV-LHV-MW'!$A$3:$F$40,6,FALSE))))</f>
        <v/>
      </c>
      <c r="NI74" s="297" t="str">
        <f>IF(Compositions!AS139="","",IF(OR(Compositions!$AS$118="wt%",Compositions!$AS$118=""),Compositions!AS139,(IF(NH74="","",((NH74/$NH$78)*100)))))</f>
        <v/>
      </c>
      <c r="NJ74" s="39" t="str">
        <f>IF(NI74="","",(IF(OR(Compositions!AQ139="Hydrogen",Compositions!AQ139="Helium",Compositions!AQ139="Water",Compositions!AQ139="Carbon Monoxide",Compositions!AQ139="Nitrogen",Compositions!AQ139="Oxygen",Compositions!AQ139="Hydrogen Sulfide",Compositions!AQ139="Argon",Compositions!AQ139="Carbon Dioxide",Compositions!AQ139="Carbon Disulfide"),0,NI74)))</f>
        <v/>
      </c>
      <c r="NK74" s="186" t="str">
        <f>IF(Compositions!AS139="","",((NB74/100)*((VLOOKUP(Compositions!AQ139,'HHV-LHV-MW'!$A$3:$G$40,7,FALSE)))))</f>
        <v/>
      </c>
      <c r="NL74" s="186" t="str">
        <f>IF(NB74="","",(IF(OR(Compositions!AQ139="Hydrogen",Compositions!AQ139="Carbon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Dioxide",Compositions!AQ139="Methane",Compositions!AQ139="Ethane"),0,(NB74/100))))</f>
        <v/>
      </c>
      <c r="NM74" s="39" t="str">
        <f>IF(NB74="","",(IF(OR($NL$78=0,$NL$78=""),0,     ((VLOOKUP(Compositions!AQ139,'HHV-LHV-MW'!$A$3:$F$40,6,FALSE))*(NL74/$NL$78)))))</f>
        <v/>
      </c>
      <c r="NN74" s="27" t="str">
        <f>IF(Compositions!AT139="","",IF(Compositions!$AT$118="mol%",Compositions!AT139,NO74))</f>
        <v/>
      </c>
      <c r="NO74" s="27" t="str">
        <f t="shared" si="55"/>
        <v/>
      </c>
      <c r="NP74" s="27" t="str">
        <f>IF(Compositions!AT139="","",(Compositions!AT139/(VLOOKUP(Compositions!AQ139,'HHV-LHV-MW'!$A$3:$F$40,6,FALSE))))</f>
        <v/>
      </c>
      <c r="NQ74" s="185" t="str">
        <f>IF(NN74="","",((VLOOKUP(Compositions!AQ139,'HHV-LHV-MW'!$A$3:$F$40,4,FALSE))*(NN74/100)))</f>
        <v/>
      </c>
      <c r="NR74" s="185" t="str">
        <f>IF(NN74="","",((VLOOKUP(Compositions!AQ139,'HHV-LHV-MW'!$A$3:$F$40,5,FALSE))*(NN74/100)))</f>
        <v/>
      </c>
      <c r="NS74" s="185" t="str">
        <f>IF(NN74="","",((VLOOKUP(Compositions!AQ139,'HHV-LHV-MW'!$A$3:$F$40,6,FALSE))*(NN74/100)))</f>
        <v/>
      </c>
      <c r="NT74" s="185" t="str">
        <f>IF(Compositions!AT139="","",(Compositions!AT139*(VLOOKUP(Compositions!AQ139,'HHV-LHV-MW'!$A$3:$F$40,6,FALSE))))</f>
        <v/>
      </c>
      <c r="NU74" s="298" t="str">
        <f>IF(Compositions!AT139="","",IF(OR(Compositions!$AT$118="wt%",Compositions!$AT$118=""),Compositions!AT139,(IF(NT74="","",((NT74/$NT$78)*100)))))</f>
        <v/>
      </c>
      <c r="NV74" s="185" t="str">
        <f>IF(NU74="","",(IF(OR(Compositions!AQ139="Hydrogen",Compositions!AQ139="Helium",Compositions!AQ139="Water",Compositions!AQ139="Carbon Monoxide",Compositions!AQ139="Nitrogen",Compositions!AQ139="Oxygen",Compositions!AQ139="Hydrogen Sulfide",Compositions!AQ139="Argon",Compositions!AQ139="Carbon Dioxide",Compositions!AQ139="Carbon Disulfide"),0,NU74)))</f>
        <v/>
      </c>
      <c r="NW74" s="187" t="str">
        <f>IF(Compositions!AT139="","",((NN74/100)*((VLOOKUP(Compositions!AQ139,'HHV-LHV-MW'!$A$3:$G$40,7,FALSE)))))</f>
        <v/>
      </c>
      <c r="NX74" s="187" t="str">
        <f>IF(NN74="","",(IF(OR(Compositions!AQ139="Hydrogen",Compositions!AQ139="Carbon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Dioxide",Compositions!AQ139="Methane",Compositions!AQ139="Ethane"),0,(NN74/100))))</f>
        <v/>
      </c>
      <c r="NY74" s="205" t="str">
        <f>IF(NN74="","",(IF(OR($NX$78=0,$NX$78=""),0,     ((VLOOKUP(Compositions!AQ139,'HHV-LHV-MW'!$A$3:$F$40,6,FALSE))*(NX74/$NX$78)))))</f>
        <v/>
      </c>
      <c r="NZ74" s="28" t="str">
        <f>IF(Compositions!AU139="","",IF(Compositions!$AU$118="mol%",Compositions!AU139,OA74))</f>
        <v/>
      </c>
      <c r="OA74" s="28" t="str">
        <f t="shared" si="56"/>
        <v/>
      </c>
      <c r="OB74" s="28" t="str">
        <f>IF(Compositions!AU139="","",(Compositions!AU139/(VLOOKUP(Compositions!AQ139,'HHV-LHV-MW'!$A$3:$F$40,6,FALSE))))</f>
        <v/>
      </c>
      <c r="OC74" s="184" t="str">
        <f>IF(NZ74="","",((VLOOKUP(Compositions!AQ139,'HHV-LHV-MW'!$A$3:$F$40,4,FALSE))*(NZ74/100)))</f>
        <v/>
      </c>
      <c r="OD74" s="184" t="str">
        <f>IF(NZ74="","",((VLOOKUP(Compositions!AQ139,'HHV-LHV-MW'!$A$3:$F$40,5,FALSE))*(NZ74/100)))</f>
        <v/>
      </c>
      <c r="OE74" s="184" t="str">
        <f>IF(NZ74="","",((VLOOKUP(Compositions!AQ139,'HHV-LHV-MW'!$A$3:$F$40,6,FALSE))*(NZ74/100)))</f>
        <v/>
      </c>
      <c r="OF74" s="184" t="str">
        <f>IF(Compositions!AU139="","",(Compositions!AU139*(VLOOKUP(Compositions!AQ139,'HHV-LHV-MW'!$A$3:$F$40,6,FALSE))))</f>
        <v/>
      </c>
      <c r="OG74" s="297" t="str">
        <f>IF(Compositions!AU139="","",IF(OR(Compositions!$AU$118="wt%",Compositions!$AU$118=""),Compositions!AU139,(IF(OF74="","",((OF74/$OF$78)*100)))))</f>
        <v/>
      </c>
      <c r="OH74" s="39" t="str">
        <f>IF(OG74="","",(IF(OR(Compositions!AQ139="Hydrogen",Compositions!AQ139="Helium",Compositions!AQ139="Water",Compositions!AQ139="Carbon Monoxide",Compositions!AQ139="Nitrogen",Compositions!AQ139="Oxygen",Compositions!AQ139="Hydrogen Sulfide",Compositions!AQ139="Argon",Compositions!AQ139="Carbon Dioxide",Compositions!AQ139="Carbon Disulfide"),0,OG74)))</f>
        <v/>
      </c>
      <c r="OI74" s="186" t="str">
        <f>IF(Compositions!AU139="","",((NZ74/100)*((VLOOKUP(Compositions!AQ139,'HHV-LHV-MW'!$A$3:$G$40,7,FALSE)))))</f>
        <v/>
      </c>
      <c r="OJ74" s="186" t="str">
        <f>IF(NZ74="","",(IF(OR(Compositions!AQ139="Hydrogen",Compositions!AQ139="Carbon Disulfide",Compositions!AQ139="Helium",Compositions!AQ139="Water",Compositions!AQ139="Carbon Monoxide",Compositions!AQ139="Nitrogen",Compositions!AQ139="Oxygen",Compositions!AQ139="Hydrogen Sulfide",Compositions!AQ139="Argon",Compositions!AQ139="Carbon Dioxide",Compositions!AQ139="Methane",Compositions!AQ139="Ethane"),0,(NZ74/100))))</f>
        <v/>
      </c>
      <c r="OK74" s="39" t="str">
        <f>IF(NZ74="","",(IF(OR($OJ$78=0,$OJ$78=""),0,     ((VLOOKUP(Compositions!AQ139,'HHV-LHV-MW'!$A$3:$F$40,6,FALSE))*(OJ74/$OJ$78)))))</f>
        <v/>
      </c>
      <c r="ON74" s="27" t="str">
        <f>IF(Compositions!AX139="","",IF(Compositions!$AX$118="mol%",Compositions!AX139,OO74))</f>
        <v/>
      </c>
      <c r="OO74" s="27" t="str">
        <f t="shared" si="57"/>
        <v/>
      </c>
      <c r="OP74" s="27" t="str">
        <f>IF(Compositions!AX139="","",(Compositions!AX139/(VLOOKUP(Compositions!AW139,'HHV-LHV-MW'!$A$3:$F$40,6,FALSE))))</f>
        <v/>
      </c>
      <c r="OQ74" s="185" t="str">
        <f>IF(ON74="","",((VLOOKUP(Compositions!AW139,'HHV-LHV-MW'!$A$3:$F$40,4,FALSE))*(ON74/100)))</f>
        <v/>
      </c>
      <c r="OR74" s="185" t="str">
        <f>IF(ON74="","",((VLOOKUP(Compositions!AW139,'HHV-LHV-MW'!$A$3:$F$40,5,FALSE))*(ON74/100)))</f>
        <v/>
      </c>
      <c r="OS74" s="185" t="str">
        <f>IF(ON74="","",((VLOOKUP(Compositions!AW139,'HHV-LHV-MW'!$A$3:$F$40,6,FALSE))*(ON74/100)))</f>
        <v/>
      </c>
      <c r="OT74" s="185" t="str">
        <f>IF(Compositions!AX139="","",(Compositions!AX139*(VLOOKUP(Compositions!AW139,'HHV-LHV-MW'!$A$3:$F$40,6,FALSE))))</f>
        <v/>
      </c>
      <c r="OU74" s="298" t="str">
        <f>IF(Compositions!AX139="","",IF(OR(Compositions!$AX$118="wt%",Compositions!$AX$118=""),Compositions!AX139,(IF(OT74="","",((OT74/$OT$78)*100)))))</f>
        <v/>
      </c>
      <c r="OV74" s="185" t="str">
        <f>IF(OU74="","",(IF(OR(Compositions!AW139="Hydrogen",Compositions!AW139="Helium",Compositions!AW139="Water",Compositions!AW139="Carbon Monoxide",Compositions!AW139="Nitrogen",Compositions!AW139="Oxygen",Compositions!AW139="Hydrogen Sulfide",Compositions!AW139="Argon",Compositions!AW139="Carbon Dioxide",Compositions!AW139="Carbon Disulfide"),0,OU74)))</f>
        <v/>
      </c>
      <c r="OW74" s="187" t="str">
        <f>IF(Compositions!AX139="","",((ON74/100)*((VLOOKUP(Compositions!AW139,'HHV-LHV-MW'!$A$3:$G$40,7,FALSE)))))</f>
        <v/>
      </c>
      <c r="OX74" s="187" t="str">
        <f>IF(ON74="","",(IF(OR(Compositions!AW139="Hydrogen",Compositions!AW139="Carbon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Dioxide",Compositions!AW139="Methane",Compositions!AW139="Ethane"),0,(ON74/100))))</f>
        <v/>
      </c>
      <c r="OY74" s="205" t="str">
        <f>IF(ON74="","",(IF(OR($OX$78=0,$OX$78=""),0,     ((VLOOKUP(Compositions!AW139,'HHV-LHV-MW'!$A$3:$F$40,6,FALSE))*(OX74/$OX$78)))))</f>
        <v/>
      </c>
      <c r="OZ74" s="28" t="str">
        <f>IF(Compositions!AY139="","",IF(Compositions!$AY$118="mol%",Compositions!AY139,PA74))</f>
        <v/>
      </c>
      <c r="PA74" s="28" t="str">
        <f t="shared" si="64"/>
        <v/>
      </c>
      <c r="PB74" s="28" t="str">
        <f>IF(Compositions!AY139="","",(Compositions!AY139/(VLOOKUP(Compositions!AW139,'HHV-LHV-MW'!$A$3:$F$40,6,FALSE))))</f>
        <v/>
      </c>
      <c r="PC74" s="184" t="str">
        <f>IF(OZ74="","",((VLOOKUP(Compositions!AW139,'HHV-LHV-MW'!$A$3:$F$40,4,FALSE))*(OZ74/100)))</f>
        <v/>
      </c>
      <c r="PD74" s="184" t="str">
        <f>IF(OZ74="","",((VLOOKUP(Compositions!AW139,'HHV-LHV-MW'!$A$3:$F$40,5,FALSE))*(OZ74/100)))</f>
        <v/>
      </c>
      <c r="PE74" s="184" t="str">
        <f>IF(OZ74="","",((VLOOKUP(Compositions!AW139,'HHV-LHV-MW'!$A$3:$F$40,6,FALSE))*(OZ74/100)))</f>
        <v/>
      </c>
      <c r="PF74" s="184" t="str">
        <f>IF(Compositions!AY139="","",(Compositions!AY139*(VLOOKUP(Compositions!AW139,'HHV-LHV-MW'!$A$3:$F$40,6,FALSE))))</f>
        <v/>
      </c>
      <c r="PG74" s="297" t="str">
        <f>IF(Compositions!AY139="","",IF(OR(Compositions!$AY$118="wt%",Compositions!$AY$118=""),Compositions!AY139,(IF(PF74="","",((PF74/$PF$78)*100)))))</f>
        <v/>
      </c>
      <c r="PH74" s="39" t="str">
        <f>IF(PG74="","",(IF(OR(Compositions!AW139="Hydrogen",Compositions!AW139="Helium",Compositions!AW139="Water",Compositions!AW139="Carbon Monoxide",Compositions!AW139="Nitrogen",Compositions!AW139="Oxygen",Compositions!AW139="Hydrogen Sulfide",Compositions!AW139="Argon",Compositions!AW139="Carbon Dioxide",Compositions!AW139="Carbon Disulfide"),0,PG74)))</f>
        <v/>
      </c>
      <c r="PI74" s="186" t="str">
        <f>IF(Compositions!AY139="","",((OZ74/100)*((VLOOKUP(Compositions!AW139,'HHV-LHV-MW'!$A$3:$G$40,7,FALSE)))))</f>
        <v/>
      </c>
      <c r="PJ74" s="186" t="str">
        <f>IF(OZ74="","",(IF(OR(Compositions!AW139="Hydrogen",Compositions!AW139="Carbon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Dioxide",Compositions!AW139="Methane",Compositions!AW139="Ethane"),0,(OZ74/100))))</f>
        <v/>
      </c>
      <c r="PK74" s="39" t="str">
        <f>IF(OZ74="","",(IF(OR($PJ$78=0,$PJ$78=""),0,     ((VLOOKUP(Compositions!AW139,'HHV-LHV-MW'!$A$3:$F$40,6,FALSE))*(PJ74/$PJ$78)))))</f>
        <v/>
      </c>
      <c r="PL74" s="27" t="str">
        <f>IF(Compositions!AZ139="","",IF(Compositions!$AZ$118="mol%",Compositions!AZ139,PM74))</f>
        <v/>
      </c>
      <c r="PM74" s="27" t="str">
        <f t="shared" si="58"/>
        <v/>
      </c>
      <c r="PN74" s="27" t="str">
        <f>IF(Compositions!AZ139="","",(Compositions!AZ139/(VLOOKUP(Compositions!AW139,'HHV-LHV-MW'!$A$3:$F$40,6,FALSE))))</f>
        <v/>
      </c>
      <c r="PO74" s="185" t="str">
        <f>IF(PL74="","",((VLOOKUP(Compositions!AW139,'HHV-LHV-MW'!$A$3:$F$40,4,FALSE))*(PL74/100)))</f>
        <v/>
      </c>
      <c r="PP74" s="185" t="str">
        <f>IF(PL74="","",((VLOOKUP(Compositions!AW139,'HHV-LHV-MW'!$A$3:$F$40,5,FALSE))*(PL74/100)))</f>
        <v/>
      </c>
      <c r="PQ74" s="185" t="str">
        <f>IF(PL74="","",((VLOOKUP(Compositions!AW139,'HHV-LHV-MW'!$A$3:$F$40,6,FALSE))*(PL74/100)))</f>
        <v/>
      </c>
      <c r="PR74" s="185" t="str">
        <f>IF(Compositions!AZ139="","",(Compositions!AZ139*(VLOOKUP(Compositions!AW139,'HHV-LHV-MW'!$A$3:$F$40,6,FALSE))))</f>
        <v/>
      </c>
      <c r="PS74" s="298" t="str">
        <f>IF(Compositions!AZ139="","",IF(OR(Compositions!$AZ$118="wt%",Compositions!$AZ$118=""),Compositions!AZ139,(IF(PR74="","",((PR74/$PR$78)*100)))))</f>
        <v/>
      </c>
      <c r="PT74" s="185" t="str">
        <f>IF(PS74="","",(IF(OR(Compositions!AW139="Hydrogen",Compositions!AW139="Helium",Compositions!AW139="Water",Compositions!AW139="Carbon Monoxide",Compositions!AW139="Nitrogen",Compositions!AW139="Oxygen",Compositions!AW139="Hydrogen Sulfide",Compositions!AW139="Argon",Compositions!AW139="Carbon Dioxide",Compositions!AW139="Carbon Disulfide"),0,PS74)))</f>
        <v/>
      </c>
      <c r="PU74" s="187" t="str">
        <f>IF(Compositions!AZ139="","",((PL74/100)*((VLOOKUP(Compositions!AW139,'HHV-LHV-MW'!$A$3:$G$40,7,FALSE)))))</f>
        <v/>
      </c>
      <c r="PV74" s="187" t="str">
        <f>IF(PL74="","",(IF(OR(Compositions!AW139="Hydrogen",Compositions!AW139="Carbon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Dioxide",Compositions!AW139="Methane",Compositions!AW139="Ethane"),0,(PL74/100))))</f>
        <v/>
      </c>
      <c r="PW74" s="205" t="str">
        <f>IF(PL74="","",(IF(OR($PV$78=0,$PV$78=""),0,     ((VLOOKUP(Compositions!AW139,'HHV-LHV-MW'!$A$3:$F$40,6,FALSE))*(PV74/$PV$78)))))</f>
        <v/>
      </c>
      <c r="PX74" s="28" t="str">
        <f>IF(Compositions!BA139="","",IF(Compositions!$BA$118="mol%",Compositions!BA139,PY74))</f>
        <v/>
      </c>
      <c r="PY74" s="28" t="str">
        <f t="shared" si="59"/>
        <v/>
      </c>
      <c r="PZ74" s="28" t="str">
        <f>IF(Compositions!BA139="","",(Compositions!BA139/(VLOOKUP(Compositions!AW139,'HHV-LHV-MW'!$A$3:$F$40,6,FALSE))))</f>
        <v/>
      </c>
      <c r="QA74" s="184" t="str">
        <f>IF(PX74="","",((VLOOKUP(Compositions!AW139,'HHV-LHV-MW'!$A$3:$F$40,4,FALSE))*(PX74/100)))</f>
        <v/>
      </c>
      <c r="QB74" s="184" t="str">
        <f>IF(PX74="","",((VLOOKUP(Compositions!AW139,'HHV-LHV-MW'!$A$3:$F$40,5,FALSE))*(PX74/100)))</f>
        <v/>
      </c>
      <c r="QC74" s="184" t="str">
        <f>IF(PX74="","",((VLOOKUP(Compositions!AW139,'HHV-LHV-MW'!$A$3:$F$40,6,FALSE))*(PX74/100)))</f>
        <v/>
      </c>
      <c r="QD74" s="184" t="str">
        <f>IF(Compositions!BA139="","",(Compositions!BA139*(VLOOKUP(Compositions!AW139,'HHV-LHV-MW'!$A$3:$F$40,6,FALSE))))</f>
        <v/>
      </c>
      <c r="QE74" s="297" t="str">
        <f>IF(Compositions!BA139="","",IF(OR(Compositions!$BA$118="wt%",Compositions!$BA$118=""),Compositions!BA139,(IF(QD74="","",((QD74/$QD$78)*100)))))</f>
        <v/>
      </c>
      <c r="QF74" s="39" t="str">
        <f>IF(QE74="","",(IF(OR(Compositions!AW139="Hydrogen",Compositions!AW139="Helium",Compositions!AW139="Water",Compositions!AW139="Carbon Monoxide",Compositions!AW139="Nitrogen",Compositions!AW139="Oxygen",Compositions!AW139="Hydrogen Sulfide",Compositions!AW139="Argon",Compositions!AW139="Carbon Dioxide",Compositions!AW139="Carbon Disulfide"),0,QE74)))</f>
        <v/>
      </c>
      <c r="QG74" s="186" t="str">
        <f>IF(Compositions!BA139="","",((PX74/100)*((VLOOKUP(Compositions!AW139,'HHV-LHV-MW'!$A$3:$G$40,7,FALSE)))))</f>
        <v/>
      </c>
      <c r="QH74" s="186" t="str">
        <f>IF(PX74="","",(IF(OR(Compositions!AW139="Hydrogen",Compositions!AW139="Carbon Disulfide",Compositions!AW139="Helium",Compositions!AW139="Water",Compositions!AW139="Carbon Monoxide",Compositions!AW139="Nitrogen",Compositions!AW139="Oxygen",Compositions!AW139="Hydrogen Sulfide",Compositions!AW139="Argon",Compositions!AW139="Carbon Dioxide",Compositions!AW139="Methane",Compositions!AW139="Ethane"),0,(PX74/100))))</f>
        <v/>
      </c>
      <c r="QI74" s="39" t="str">
        <f>IF(PX74="","",(IF(OR($QH$78=0,$QH$78=""),0,     ((VLOOKUP(Compositions!AW139,'HHV-LHV-MW'!$A$3:$F$40,6,FALSE))*(QH74/$QH$78)))))</f>
        <v/>
      </c>
      <c r="QK74" s="27" t="str">
        <f>IF(Compositions!BD139="","",IF(Compositions!$BD$118="mol%",Compositions!BD139,QL74))</f>
        <v/>
      </c>
      <c r="QL74" s="27" t="str">
        <f t="shared" si="60"/>
        <v/>
      </c>
      <c r="QM74" s="27" t="str">
        <f>IF(Compositions!BD139="","",(Compositions!BD139/(VLOOKUP(Compositions!BC139,'HHV-LHV-MW'!$A$3:$F$40,6,FALSE))))</f>
        <v/>
      </c>
      <c r="QN74" s="185" t="str">
        <f>IF(QK74="","",((VLOOKUP(Compositions!BC139,'HHV-LHV-MW'!$A$3:$F$40,4,FALSE))*(QK74/100)))</f>
        <v/>
      </c>
      <c r="QO74" s="185" t="str">
        <f>IF(QK74="","",((VLOOKUP(Compositions!BC139,'HHV-LHV-MW'!$A$3:$F$40,5,FALSE))*(QK74/100)))</f>
        <v/>
      </c>
      <c r="QP74" s="185" t="str">
        <f>IF(QK74="","",((VLOOKUP(Compositions!BC139,'HHV-LHV-MW'!$A$3:$F$40,6,FALSE))*(QK74/100)))</f>
        <v/>
      </c>
      <c r="QQ74" s="185" t="str">
        <f>IF(Compositions!BD139="","",(Compositions!BD139*(VLOOKUP(Compositions!BC139,'HHV-LHV-MW'!$A$3:$F$40,6,FALSE))))</f>
        <v/>
      </c>
      <c r="QR74" s="298" t="str">
        <f>IF(Compositions!BD139="","",IF(OR(Compositions!$BD$118="wt%",Compositions!$BD$118=""),Compositions!BD139,(IF(QQ74="","",((QQ74/$QQ$78)*100)))))</f>
        <v/>
      </c>
      <c r="QS74" s="185" t="str">
        <f>IF(QR74="","",(IF(OR(Compositions!BC139="Hydrogen",Compositions!BC139="Helium",Compositions!BC139="Water",Compositions!BC139="Carbon Monoxide",Compositions!BC139="Nitrogen",Compositions!BC139="Oxygen",Compositions!BC139="Hydrogen Sulfide",Compositions!BC139="Argon",Compositions!BC139="Carbon Dioxide",Compositions!BC139="Carbon Disulfide"),0,QR74)))</f>
        <v/>
      </c>
      <c r="QT74" s="187" t="str">
        <f>IF(Compositions!BD139="","",((QK74/100)*((VLOOKUP(Compositions!BC139,'HHV-LHV-MW'!$A$3:$G$40,7,FALSE)))))</f>
        <v/>
      </c>
      <c r="QU74" s="187" t="str">
        <f>IF(QK74="","",(IF(OR(Compositions!BC139="Hydrogen",Compositions!BC139="Carbon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Dioxide",Compositions!BC139="Methane",Compositions!BC139="Ethane"),0,(QK74/100))))</f>
        <v/>
      </c>
      <c r="QV74" s="205" t="str">
        <f>IF(QK74="","",(IF(OR($QU$78=0,$QU$78=""),0,     ((VLOOKUP(Compositions!BC139,'HHV-LHV-MW'!$A$3:$F$40,6,FALSE))*(QU74/$QU$78)))))</f>
        <v/>
      </c>
      <c r="QW74" s="28" t="str">
        <f>IF(Compositions!BE139="","",IF(Compositions!$BE$118="mol%",Compositions!BE139,QX74))</f>
        <v/>
      </c>
      <c r="QX74" s="28" t="str">
        <f t="shared" si="61"/>
        <v/>
      </c>
      <c r="QY74" s="28" t="str">
        <f>IF(Compositions!BE139="","",(Compositions!BE139/(VLOOKUP(Compositions!BC139,'HHV-LHV-MW'!$A$3:$F$40,6,FALSE))))</f>
        <v/>
      </c>
      <c r="QZ74" s="184" t="str">
        <f>IF(QW74="","",((VLOOKUP(Compositions!BC139,'HHV-LHV-MW'!$A$3:$F$40,4,FALSE))*(QW74/100)))</f>
        <v/>
      </c>
      <c r="RA74" s="184" t="str">
        <f>IF(QW74="","",((VLOOKUP(Compositions!BC139,'HHV-LHV-MW'!$A$3:$F$40,5,FALSE))*(QW74/100)))</f>
        <v/>
      </c>
      <c r="RB74" s="184" t="str">
        <f>IF(QW74="","",((VLOOKUP(Compositions!BC139,'HHV-LHV-MW'!$A$3:$F$40,6,FALSE))*(QW74/100)))</f>
        <v/>
      </c>
      <c r="RC74" s="184" t="str">
        <f>IF(Compositions!BE139="","",(Compositions!BE139*(VLOOKUP(Compositions!BC139,'HHV-LHV-MW'!$A$3:$F$40,6,FALSE))))</f>
        <v/>
      </c>
      <c r="RD74" s="297" t="str">
        <f>IF(Compositions!BE139="","",IF(OR(Compositions!$BE$118="wt%",Compositions!$BE$118=""),Compositions!BE139,(IF(RC74="","",((RC74/$RC$78)*100)))))</f>
        <v/>
      </c>
      <c r="RE74" s="39" t="str">
        <f>IF(RD74="","",(IF(OR(Compositions!BC139="Hydrogen",Compositions!BC139="Helium",Compositions!BC139="Water",Compositions!BC139="Carbon Monoxide",Compositions!BC139="Nitrogen",Compositions!BC139="Oxygen",Compositions!BC139="Hydrogen Sulfide",Compositions!BC139="Argon",Compositions!BC139="Carbon Dioxide",Compositions!BC139="Carbon Disulfide"),0,RD74)))</f>
        <v/>
      </c>
      <c r="RF74" s="186" t="str">
        <f>IF(Compositions!BE139="","",((QW74/100)*((VLOOKUP(Compositions!BC139,'HHV-LHV-MW'!$A$3:$G$40,7,FALSE)))))</f>
        <v/>
      </c>
      <c r="RG74" s="186" t="str">
        <f>IF(QW74="","",(IF(OR(Compositions!BC139="Hydrogen",Compositions!BC139="Carbon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Dioxide",Compositions!BC139="Methane",Compositions!BC139="Ethane"),0,(QW74/100))))</f>
        <v/>
      </c>
      <c r="RH74" s="39" t="str">
        <f>IF(QW74="","",(IF(OR($RG$78=0,$RG$78=""),0,     ((VLOOKUP(Compositions!BC139,'HHV-LHV-MW'!$A$3:$F$40,6,FALSE))*(RG74/$RG$78)))))</f>
        <v/>
      </c>
      <c r="RI74" s="27" t="str">
        <f>IF(Compositions!BF139="","",IF(Compositions!$BF$118="mol%",Compositions!BF139,RJ74))</f>
        <v/>
      </c>
      <c r="RJ74" s="27" t="str">
        <f t="shared" si="62"/>
        <v/>
      </c>
      <c r="RK74" s="27" t="str">
        <f>IF(Compositions!BF139="","",(Compositions!BF139/(VLOOKUP(Compositions!BC139,'HHV-LHV-MW'!$A$3:$F$40,6,FALSE))))</f>
        <v/>
      </c>
      <c r="RL74" s="185" t="str">
        <f>IF(RI74="","",((VLOOKUP(Compositions!BC139,'HHV-LHV-MW'!$A$3:$F$40,4,FALSE))*(RI74/100)))</f>
        <v/>
      </c>
      <c r="RM74" s="185" t="str">
        <f>IF(RI74="","",((VLOOKUP(Compositions!BC139,'HHV-LHV-MW'!$A$3:$F$40,5,FALSE))*(RI74/100)))</f>
        <v/>
      </c>
      <c r="RN74" s="185" t="str">
        <f>IF(RI74="","",((VLOOKUP(Compositions!BC139,'HHV-LHV-MW'!$A$3:$F$40,6,FALSE))*(RI74/100)))</f>
        <v/>
      </c>
      <c r="RO74" s="185" t="str">
        <f>IF(Compositions!BF139="","",(Compositions!BF139*(VLOOKUP(Compositions!BC139,'HHV-LHV-MW'!$A$3:$F$40,6,FALSE))))</f>
        <v/>
      </c>
      <c r="RP74" s="298" t="str">
        <f>IF(Compositions!BF139="","",IF(OR(Compositions!$BF$118="wt%",Compositions!$BF$118=""),Compositions!BF139,(IF(RO74="","",((RO74/$RO$78)*100)))))</f>
        <v/>
      </c>
      <c r="RQ74" s="185" t="str">
        <f>IF(RP74="","",(IF(OR(Compositions!BC139="Hydrogen",Compositions!BC139="Helium",Compositions!BC139="Water",Compositions!BC139="Carbon Monoxide",Compositions!BC139="Nitrogen",Compositions!BC139="Oxygen",Compositions!BC139="Hydrogen Sulfide",Compositions!BC139="Argon",Compositions!BC139="Carbon Dioxide",Compositions!BC139="Carbon Disulfide"),0,RP74)))</f>
        <v/>
      </c>
      <c r="RR74" s="187" t="str">
        <f>IF(Compositions!BF139="","",((RI74/100)*((VLOOKUP(Compositions!BC139,'HHV-LHV-MW'!$A$3:$G$40,7,FALSE)))))</f>
        <v/>
      </c>
      <c r="RS74" s="187" t="str">
        <f>IF(RI74="","",(IF(OR(Compositions!BC139="Hydrogen",Compositions!BC139="Carbon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Dioxide",Compositions!BC139="Methane",Compositions!BC139="Ethane"),0,(RI74/100))))</f>
        <v/>
      </c>
      <c r="RT74" s="205" t="str">
        <f>IF(RI74="","",(IF(OR($RS$78=0,$RS$78=""),0,     ((VLOOKUP(Compositions!BC139,'HHV-LHV-MW'!$A$3:$F$40,6,FALSE))*(RS74/$RS$78)))))</f>
        <v/>
      </c>
      <c r="RU74" s="28" t="str">
        <f>IF(Compositions!BG139="","",IF(Compositions!$BG$118="mol%",Compositions!BG139,RV74))</f>
        <v/>
      </c>
      <c r="RV74" s="28" t="str">
        <f t="shared" si="63"/>
        <v/>
      </c>
      <c r="RW74" s="28" t="str">
        <f>IF(Compositions!BG139="","",(Compositions!BG139/(VLOOKUP(Compositions!BC139,'HHV-LHV-MW'!$A$3:$F$40,6,FALSE))))</f>
        <v/>
      </c>
      <c r="RX74" s="184" t="str">
        <f>IF(RU74="","",((VLOOKUP(Compositions!BC139,'HHV-LHV-MW'!$A$3:$F$40,4,FALSE))*(RU74/100)))</f>
        <v/>
      </c>
      <c r="RY74" s="184" t="str">
        <f>IF(RU74="","",((VLOOKUP(Compositions!BC139,'HHV-LHV-MW'!$A$3:$F$40,5,FALSE))*(RU74/100)))</f>
        <v/>
      </c>
      <c r="RZ74" s="184" t="str">
        <f>IF(RU74="","",((VLOOKUP(Compositions!BC139,'HHV-LHV-MW'!$A$3:$F$40,6,FALSE))*(RU74/100)))</f>
        <v/>
      </c>
      <c r="SA74" s="184" t="str">
        <f>IF(Compositions!BG139="","",(Compositions!BG139*(VLOOKUP(Compositions!BC139,'HHV-LHV-MW'!$A$3:$F$40,6,FALSE))))</f>
        <v/>
      </c>
      <c r="SB74" s="297" t="str">
        <f>IF(Compositions!BG139="","",IF(OR(Compositions!$BG$118="wt%",Compositions!$BG$118=""),Compositions!BG139,(IF(SA74="","",((SA74/$SA$78)*100)))))</f>
        <v/>
      </c>
      <c r="SC74" s="39" t="str">
        <f>IF(SB74="","",(IF(OR(Compositions!BC139="Hydrogen",Compositions!BC139="Helium",Compositions!BC139="Water",Compositions!BC139="Carbon Monoxide",Compositions!BC139="Nitrogen",Compositions!BC139="Oxygen",Compositions!BC139="Hydrogen Sulfide",Compositions!BC139="Argon",Compositions!BC139="Carbon Dioxide",Compositions!BC139="Carbon Disulfide"),0,SB74)))</f>
        <v/>
      </c>
      <c r="SD74" s="186" t="str">
        <f>IF(Compositions!BG139="","",((RU74/100)*((VLOOKUP(Compositions!BC139,'HHV-LHV-MW'!$A$3:$G$40,7,FALSE)))))</f>
        <v/>
      </c>
      <c r="SE74" s="186" t="str">
        <f>IF(RU74="","",(IF(OR(Compositions!BC139="Hydrogen",Compositions!BC139="Carbon Disulfide",Compositions!BC139="Helium",Compositions!BC139="Water",Compositions!BC139="Carbon Monoxide",Compositions!BC139="Nitrogen",Compositions!BC139="Oxygen",Compositions!BC139="Hydrogen Sulfide",Compositions!BC139="Argon",Compositions!BC139="Carbon Dioxide",Compositions!BC139="Methane",Compositions!BC139="Ethane"),0,(RU74/100))))</f>
        <v/>
      </c>
      <c r="SF74" s="39" t="str">
        <f>IF(RU74="","",(IF(OR($SE$78=0,$SE$78=""),0,     ((VLOOKUP(Compositions!BC139,'HHV-LHV-MW'!$A$3:$F$40,6,FALSE))*(SE74/$SE$78)))))</f>
        <v/>
      </c>
    </row>
    <row r="75" spans="1:500" ht="15.6">
      <c r="A75" s="173" t="s">
        <v>210</v>
      </c>
      <c r="B75" s="19" t="s">
        <v>209</v>
      </c>
      <c r="C75" s="20">
        <v>4</v>
      </c>
      <c r="D75" s="20">
        <v>2.7469999999999999</v>
      </c>
      <c r="E75" s="20">
        <v>2.5693999999999999</v>
      </c>
      <c r="F75" s="20">
        <v>56.107520000000001</v>
      </c>
      <c r="G75" s="20">
        <v>0</v>
      </c>
      <c r="H75" s="170"/>
      <c r="I75" s="170"/>
      <c r="K75" s="27" t="str">
        <f>IF(Compositions!B140="","",IF(Compositions!$B$118="mol%",Compositions!B140,L75))</f>
        <v/>
      </c>
      <c r="L75" s="27" t="str">
        <f t="shared" si="25"/>
        <v/>
      </c>
      <c r="M75" s="27" t="str">
        <f>IF(Compositions!B140="","",(Compositions!B140/(VLOOKUP(Compositions!A140,'HHV-LHV-MW'!$A$3:$F$40,6,FALSE))))</f>
        <v/>
      </c>
      <c r="N75" s="25" t="str">
        <f>IF(K75="","",((VLOOKUP(Compositions!A140,'HHV-LHV-MW'!$A$3:$F$40,4,FALSE))*(K75/100)))</f>
        <v/>
      </c>
      <c r="O75" s="25" t="str">
        <f>IF(K75="","",((VLOOKUP(Compositions!A140,'HHV-LHV-MW'!$A$3:$F$40,5,FALSE))*(K75/100)))</f>
        <v/>
      </c>
      <c r="P75" s="25" t="str">
        <f>IF(K75="","",((VLOOKUP(Compositions!A140,'HHV-LHV-MW'!$A$3:$F$40,6,FALSE))*(K75/100)))</f>
        <v/>
      </c>
      <c r="Q75" s="25" t="str">
        <f>IF(Compositions!B140="","",(Compositions!B140*(VLOOKUP(Compositions!A140,'HHV-LHV-MW'!$A$3:$F$40,6,FALSE))))</f>
        <v/>
      </c>
      <c r="R75" s="188" t="str">
        <f>IF(Compositions!B140="","",IF(OR(Compositions!$B$118="wt%",Compositions!$B$118=""),Compositions!B140,(IF(Q75="","",((Q75/$Q$78)*100)))))</f>
        <v/>
      </c>
      <c r="S75" s="185" t="str">
        <f>IF(R75="","",(IF(OR(Compositions!A140="Hydrogen",Compositions!A140="Helium",Compositions!A140="Water",Compositions!A140="Carbon Monoxide",Compositions!A140="Nitrogen",Compositions!A140="Oxygen",Compositions!A140="Hydrogen Sulfide",Compositions!A140="Argon",Compositions!A140="Carbon Dioxide",Compositions!A140="Carbon Disulfide"),0,R75)))</f>
        <v/>
      </c>
      <c r="T75" s="169" t="str">
        <f>IF(Compositions!B140="","",((K75/100)*((VLOOKUP(Compositions!A140,'HHV-LHV-MW'!$A$3:$G$40,7,FALSE)))))</f>
        <v/>
      </c>
      <c r="U75" s="187" t="str">
        <f>IF(K75="","",(IF(OR(Compositions!A140="Hydrogen",Compositions!A140="Carbon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Dioxide",Compositions!A140="Methane",Compositions!A140="Ethane"),0,(K75/100))))</f>
        <v/>
      </c>
      <c r="V75" s="188" t="str">
        <f>IF(K75="","", (IF(OR($U$78=0,$U$78=""),0,((VLOOKUP(Compositions!A140,'HHV-LHV-MW'!$A$3:$F$40,6,FALSE))*(U75/$U$78))   ))   )</f>
        <v/>
      </c>
      <c r="W75" s="28" t="str">
        <f>IF(Compositions!C140="","",IF(Compositions!$C$118="mol%",Compositions!C140,X75))</f>
        <v/>
      </c>
      <c r="X75" s="28" t="str">
        <f t="shared" si="26"/>
        <v/>
      </c>
      <c r="Y75" s="28" t="str">
        <f>IF(Compositions!C140="","",(Compositions!C140/(VLOOKUP(Compositions!A140,'HHV-LHV-MW'!$A$3:$F$40,6,FALSE))))</f>
        <v/>
      </c>
      <c r="Z75" s="26" t="str">
        <f>IF(W75="","",((VLOOKUP(Compositions!A140,'HHV-LHV-MW'!$A$3:$F$40,4,FALSE))*(W75/100)))</f>
        <v/>
      </c>
      <c r="AA75" s="26" t="str">
        <f>IF(W75="","",((VLOOKUP(Compositions!A140,'HHV-LHV-MW'!$A$3:$F$40,5,FALSE))*(W75/100)))</f>
        <v/>
      </c>
      <c r="AB75" s="26" t="str">
        <f>IF(W75="","",((VLOOKUP(Compositions!A140,'HHV-LHV-MW'!$A$3:$F$40,6,FALSE))*(W75/100)))</f>
        <v/>
      </c>
      <c r="AC75" s="26" t="str">
        <f>IF(Compositions!C140="","",(Compositions!C140*(VLOOKUP(Compositions!A140,'HHV-LHV-MW'!$A$3:$F$40,6,FALSE))))</f>
        <v/>
      </c>
      <c r="AD75" s="296" t="str">
        <f>IF(Compositions!C140="","",IF(OR(Compositions!$C$118="wt%",Compositions!$C$118=""),Compositions!C140,(IF(AC75="","",((AC75/$AC$78)*100)))))</f>
        <v/>
      </c>
      <c r="AE75" s="39" t="str">
        <f>IF(AD75="","",(IF(OR(Compositions!A140="Hydrogen",Compositions!A140="Helium",Compositions!A140="Water",Compositions!A140="Carbon Monoxide",Compositions!A140="Nitrogen",Compositions!A140="Oxygen",Compositions!A140="Hydrogen Sulfide",Compositions!A140="Argon",Compositions!A140="Carbon Dioxide",Compositions!A140="Carbon Disulfide"),0,AD75)))</f>
        <v/>
      </c>
      <c r="AF75" s="186" t="str">
        <f>IF(Compositions!C140="","",((W75/100)*((VLOOKUP(Compositions!A140,'HHV-LHV-MW'!$A$3:$G$40,7,FALSE)))))</f>
        <v/>
      </c>
      <c r="AG75" s="186" t="str">
        <f>IF(W75="","",(IF(OR(Compositions!A140="Hydrogen",Compositions!A140="Carbon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Dioxide",Compositions!A140="Methane",Compositions!A140="Ethane"),0,(W75/100))))</f>
        <v/>
      </c>
      <c r="AH75" s="39" t="str">
        <f>IF(W75="","", (IF(OR($AG$78=0,$AG$78=""),0,   ((VLOOKUP(Compositions!A140,'HHV-LHV-MW'!$A$3:$F$40,6,FALSE))*(AG75/$AG$78)))))</f>
        <v/>
      </c>
      <c r="AI75" s="27" t="str">
        <f>IF(Compositions!D140="","",IF(Compositions!$D$118="mol%",Compositions!D140,AJ75))</f>
        <v/>
      </c>
      <c r="AJ75" s="27" t="str">
        <f t="shared" si="27"/>
        <v/>
      </c>
      <c r="AK75" s="27" t="str">
        <f>IF(Compositions!D140="","",(Compositions!D140/(VLOOKUP(Compositions!A140,'HHV-LHV-MW'!$A$3:$F$40,6,FALSE))))</f>
        <v/>
      </c>
      <c r="AL75" s="25" t="str">
        <f>IF(AI75="","",((VLOOKUP(Compositions!A140,'HHV-LHV-MW'!$A$3:$F$40,4,FALSE))*(AI75/100)))</f>
        <v/>
      </c>
      <c r="AM75" s="25" t="str">
        <f>IF(AI75="","",((VLOOKUP(Compositions!A140,'HHV-LHV-MW'!$A$3:$F$40,5,FALSE))*(AI75/100)))</f>
        <v/>
      </c>
      <c r="AN75" s="25" t="str">
        <f>IF(AI75="","",((VLOOKUP(Compositions!A140,'HHV-LHV-MW'!$A$3:$F$40,6,FALSE))*(AI75/100)))</f>
        <v/>
      </c>
      <c r="AO75" s="25" t="str">
        <f>IF(Compositions!D140="","",(Compositions!D140*(VLOOKUP(Compositions!A140,'HHV-LHV-MW'!$A$3:$F$40,6,FALSE))))</f>
        <v/>
      </c>
      <c r="AP75" s="295" t="str">
        <f>IF(Compositions!D140="","",IF(OR(Compositions!$D$118="wt%",Compositions!$D$118=""),Compositions!D140,(IF(AO75="","",((AO75/$AO$78)*100)))))</f>
        <v/>
      </c>
      <c r="AQ75" s="185" t="str">
        <f>IF(AP75="","",(IF(OR(Compositions!A140="Hydrogen",Compositions!A140="Helium",Compositions!A140="Water",Compositions!A140="Carbon Monoxide",Compositions!A140="Nitrogen",Compositions!A140="Oxygen",Compositions!A140="Hydrogen Sulfide",Compositions!A140="Argon",Compositions!A140="Carbon Dioxide",Compositions!A140="Carbon Disulfide"),0,AP75)))</f>
        <v/>
      </c>
      <c r="AR75" s="187" t="str">
        <f>IF(Compositions!D140="","",((AI75/100)*((VLOOKUP(Compositions!A140,'HHV-LHV-MW'!$A$3:$G$40,7,FALSE)))))</f>
        <v/>
      </c>
      <c r="AS75" s="187" t="str">
        <f>IF(AI75="","",(IF(OR(Compositions!A140="Hydrogen",Compositions!A140="Carbon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Dioxide",Compositions!A140="Methane",Compositions!A140="Ethane"),0,(AI75/100))))</f>
        <v/>
      </c>
      <c r="AT75" s="205" t="str">
        <f>IF(AI75="","",(IF(OR($AS$78=0,$AS$78=""),0,      ((VLOOKUP(Compositions!A140,'HHV-LHV-MW'!$A$3:$F$40,6,FALSE))*(AS75/$AS$78)))))</f>
        <v/>
      </c>
      <c r="AU75" s="28" t="str">
        <f>IF(Compositions!E140="","",IF(Compositions!$E$118="mol%",Compositions!E140,AV75))</f>
        <v/>
      </c>
      <c r="AV75" s="28" t="str">
        <f t="shared" si="28"/>
        <v/>
      </c>
      <c r="AW75" s="28" t="str">
        <f>IF(Compositions!E140="","",(Compositions!E140/(VLOOKUP(Compositions!A140,'HHV-LHV-MW'!$A$3:$F$40,6,FALSE))))</f>
        <v/>
      </c>
      <c r="AX75" s="26" t="str">
        <f>IF(AU75="","",((VLOOKUP(Compositions!A140,'HHV-LHV-MW'!$A$3:$F$40,4,FALSE))*(AU75/100)))</f>
        <v/>
      </c>
      <c r="AY75" s="26" t="str">
        <f>IF(AU75="","",((VLOOKUP(Compositions!A140,'HHV-LHV-MW'!$A$3:$F$40,5,FALSE))*(AU75/100)))</f>
        <v/>
      </c>
      <c r="AZ75" s="26" t="str">
        <f>IF(AU75="","",((VLOOKUP(Compositions!A140,'HHV-LHV-MW'!$A$3:$F$40,6,FALSE))*(AU75/100)))</f>
        <v/>
      </c>
      <c r="BA75" s="26" t="str">
        <f>IF(Compositions!E140="","",(Compositions!E140*(VLOOKUP(Compositions!A140,'HHV-LHV-MW'!$A$3:$F$40,6,FALSE))))</f>
        <v/>
      </c>
      <c r="BB75" s="296" t="str">
        <f>IF(Compositions!E140="","",IF(OR(Compositions!$E$118="wt%",Compositions!$E$118=""),Compositions!E140,(IF(BA75="","",((BA75/$BA$78)*100)))))</f>
        <v/>
      </c>
      <c r="BC75" s="39" t="str">
        <f>IF(BB75="","",(IF(OR(Compositions!A140="Hydrogen",Compositions!A140="Helium",Compositions!A140="Water",Compositions!A140="Carbon Monoxide",Compositions!A140="Nitrogen",Compositions!A140="Oxygen",Compositions!A140="Hydrogen Sulfide",Compositions!A140="Argon",Compositions!A140="Carbon Dioxide",Compositions!A140="Carbon Disulfide"),0,BB75)))</f>
        <v/>
      </c>
      <c r="BD75" s="186" t="str">
        <f>IF(Compositions!E140="","",((AU75/100)*((VLOOKUP(Compositions!A140,'HHV-LHV-MW'!$A$3:$G$40,7,FALSE)))))</f>
        <v/>
      </c>
      <c r="BE75" s="186" t="str">
        <f>IF(AU75="","",(IF(OR(Compositions!A140="Hydrogen",Compositions!A140="Carbon Disulfide",Compositions!A140="Helium",Compositions!A140="Water",Compositions!A140="Carbon Monoxide",Compositions!A140="Nitrogen",Compositions!A140="Oxygen",Compositions!A140="Hydrogen Sulfide",Compositions!A140="Argon",Compositions!A140="Carbon Dioxide",Compositions!A140="Methane",Compositions!A140="Ethane"),0,(AU75/100))))</f>
        <v/>
      </c>
      <c r="BF75" s="39" t="str">
        <f>IF(AU75="","",(IF(OR($BE$78=0,$BE$78=""),0,     ((VLOOKUP(Compositions!A140,'HHV-LHV-MW'!$A$3:$F$40,6,FALSE))*(BE75/$BE$78)))))</f>
        <v/>
      </c>
      <c r="BH75" s="27" t="str">
        <f>IF(Compositions!H140="","",IF(Compositions!$H$118="mol%",Compositions!H140,BI75))</f>
        <v/>
      </c>
      <c r="BI75" s="27" t="str">
        <f t="shared" si="29"/>
        <v/>
      </c>
      <c r="BJ75" s="27" t="str">
        <f>IF(Compositions!H140="","",(Compositions!H140/(VLOOKUP(Compositions!G140,'HHV-LHV-MW'!$A$3:$F$40,6,FALSE))))</f>
        <v/>
      </c>
      <c r="BK75" s="25" t="str">
        <f>IF(BH75="","",((VLOOKUP(Compositions!G140,'HHV-LHV-MW'!$A$3:$F$40,4,FALSE))*(BH75/100)))</f>
        <v/>
      </c>
      <c r="BL75" s="25" t="str">
        <f>IF(BH75="","",((VLOOKUP(Compositions!G140,'HHV-LHV-MW'!$A$3:$F$40,5,FALSE))*(BH75/100)))</f>
        <v/>
      </c>
      <c r="BM75" s="25" t="str">
        <f>IF(BH75="","",((VLOOKUP(Compositions!G140,'HHV-LHV-MW'!$A$3:$F$40,6,FALSE))*(BH75/100)))</f>
        <v/>
      </c>
      <c r="BN75" s="25" t="str">
        <f>IF(Compositions!H140="","",(Compositions!H140*(VLOOKUP(Compositions!G140,'HHV-LHV-MW'!$A$3:$F$40,6,FALSE))))</f>
        <v/>
      </c>
      <c r="BO75" s="295" t="str">
        <f>IF(Compositions!H140="","",IF(OR(Compositions!$H$118="wt%",Compositions!$H$118=""),Compositions!H140,(IF(BN75="","",((BN75/$BN$78)*100)))))</f>
        <v/>
      </c>
      <c r="BP75" s="185" t="str">
        <f>IF(BO75="","",(IF(OR(Compositions!G140="Hydrogen",Compositions!G140="Helium",Compositions!G140="Water",Compositions!G140="Carbon Monoxide",Compositions!G140="Nitrogen",Compositions!G140="Oxygen",Compositions!G140="Hydrogen Sulfide",Compositions!G140="Argon",Compositions!G140="Carbon Dioxide",Compositions!G140="Carbon Disulfide"),0,BO75)))</f>
        <v/>
      </c>
      <c r="BQ75" s="187" t="str">
        <f>IF(Compositions!H140="","",((BH75/100)*((VLOOKUP(Compositions!G140,'HHV-LHV-MW'!$A$3:$G$40,7,FALSE)))))</f>
        <v/>
      </c>
      <c r="BR75" s="187" t="str">
        <f>IF(BH75="","",(IF(OR(Compositions!G140="Hydrogen",Compositions!G140="Carbon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Dioxide",Compositions!G140="Methane",Compositions!G140="Ethane"),0,(BH75/100))))</f>
        <v/>
      </c>
      <c r="BS75" s="205" t="str">
        <f>IF(BH75="","",(IF(OR($BR$78=0,$BR$78=""),0,    ((VLOOKUP(Compositions!G140,'HHV-LHV-MW'!$A$3:$F$40,6,FALSE))*(BR75/$BR$78)))))</f>
        <v/>
      </c>
      <c r="BT75" s="28" t="str">
        <f>IF(Compositions!I140="","",IF(Compositions!$I$118="mol%",Compositions!I140,BU75))</f>
        <v/>
      </c>
      <c r="BU75" s="28" t="str">
        <f t="shared" si="30"/>
        <v/>
      </c>
      <c r="BV75" s="28" t="str">
        <f>IF(Compositions!I140="","",(Compositions!I140/(VLOOKUP(Compositions!G140,'HHV-LHV-MW'!$A$3:$F$40,6,FALSE))))</f>
        <v/>
      </c>
      <c r="BW75" s="26" t="str">
        <f>IF(BT75="","",((VLOOKUP(Compositions!G140,'HHV-LHV-MW'!$A$3:$F$40,4,FALSE))*(BT75/100)))</f>
        <v/>
      </c>
      <c r="BX75" s="26" t="str">
        <f>IF(BT75="","",((VLOOKUP(Compositions!G140,'HHV-LHV-MW'!$A$3:$F$40,5,FALSE))*(BT75/100)))</f>
        <v/>
      </c>
      <c r="BY75" s="26" t="str">
        <f>IF(BT75="","",((VLOOKUP(Compositions!G140,'HHV-LHV-MW'!$A$3:$F$40,6,FALSE))*(BT75/100)))</f>
        <v/>
      </c>
      <c r="BZ75" s="26" t="str">
        <f>IF(Compositions!I140="","",(Compositions!I140*(VLOOKUP(Compositions!G140,'HHV-LHV-MW'!$A$3:$F$40,6,FALSE))))</f>
        <v/>
      </c>
      <c r="CA75" s="296" t="str">
        <f>IF(Compositions!I140="","",IF(OR(Compositions!$I$118="wt%",Compositions!$I$118=""),Compositions!I140,(IF(BZ75="","",((BZ75/$BZ$78)*100)))))</f>
        <v/>
      </c>
      <c r="CB75" s="39" t="str">
        <f>IF(CA75="","",(IF(OR(Compositions!G140="Hydrogen",Compositions!G140="Helium",Compositions!G140="Water",Compositions!G140="Carbon Monoxide",Compositions!G140="Nitrogen",Compositions!G140="Oxygen",Compositions!G140="Hydrogen Sulfide",Compositions!G140="Argon",Compositions!G140="Carbon Dioxide",Compositions!G140="Carbon Disulfide"),0,CA75)))</f>
        <v/>
      </c>
      <c r="CC75" s="186" t="str">
        <f>IF(Compositions!I140="","",((BT75/100)*((VLOOKUP(Compositions!G140,'HHV-LHV-MW'!$A$3:$G$40,7,FALSE)))))</f>
        <v/>
      </c>
      <c r="CD75" s="186" t="str">
        <f>IF(BT75="","",(IF(OR(Compositions!G140="Hydrogen",Compositions!G140="Carbon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Dioxide",Compositions!G140="Methane",Compositions!G140="Ethane"),0,(BT75/100))))</f>
        <v/>
      </c>
      <c r="CE75" s="39" t="str">
        <f>IF(BT75="","",(IF(OR($CD$78=0,$CD$78=""),0,       ((VLOOKUP(Compositions!G140,'HHV-LHV-MW'!$A$3:$F$40,6,FALSE))*(CD75/$CD$78)))))</f>
        <v/>
      </c>
      <c r="CF75" s="27" t="str">
        <f>IF(Compositions!J140="","",IF(Compositions!$J$118="mol%",Compositions!J140,CG75))</f>
        <v/>
      </c>
      <c r="CG75" s="27" t="str">
        <f t="shared" si="31"/>
        <v/>
      </c>
      <c r="CH75" s="27" t="str">
        <f>IF(Compositions!J140="","",(Compositions!J140/(VLOOKUP(Compositions!G140,'HHV-LHV-MW'!$A$3:$F$40,6,FALSE))))</f>
        <v/>
      </c>
      <c r="CI75" s="25" t="str">
        <f>IF(CF75="","",((VLOOKUP(Compositions!G140,'HHV-LHV-MW'!$A$3:$F$40,4,FALSE))*(CF75/100)))</f>
        <v/>
      </c>
      <c r="CJ75" s="25" t="str">
        <f>IF(CF75="","",((VLOOKUP(Compositions!G140,'HHV-LHV-MW'!$A$3:$F$40,5,FALSE))*(CF75/100)))</f>
        <v/>
      </c>
      <c r="CK75" s="25" t="str">
        <f>IF(CF75="","",((VLOOKUP(Compositions!G140,'HHV-LHV-MW'!$A$3:$F$40,6,FALSE))*(CF75/100)))</f>
        <v/>
      </c>
      <c r="CL75" s="25" t="str">
        <f>IF(Compositions!J140="","",(Compositions!J140*(VLOOKUP(Compositions!G140,'HHV-LHV-MW'!$A$3:$F$40,6,FALSE))))</f>
        <v/>
      </c>
      <c r="CM75" s="295" t="str">
        <f>IF(Compositions!J140="","",IF(OR(Compositions!$J$118="wt%",Compositions!$J$118=""),Compositions!J140,(IF(CL75="","",((CL75/$CL$78)*100)))))</f>
        <v/>
      </c>
      <c r="CN75" s="185" t="str">
        <f>IF(CM75="","",(IF(OR(Compositions!G140="Hydrogen",Compositions!G140="Helium",Compositions!G140="Water",Compositions!G140="Carbon Monoxide",Compositions!G140="Nitrogen",Compositions!G140="Oxygen",Compositions!G140="Hydrogen Sulfide",Compositions!G140="Argon",Compositions!G140="Carbon Dioxide",Compositions!G140="Carbon Disulfide"),0,CM75)))</f>
        <v/>
      </c>
      <c r="CO75" s="187" t="str">
        <f>IF(Compositions!J140="","",((CF75/100)*((VLOOKUP(Compositions!G140,'HHV-LHV-MW'!$A$3:$G$40,7,FALSE)))))</f>
        <v/>
      </c>
      <c r="CP75" s="187" t="str">
        <f>IF(CF75="","",(IF(OR(Compositions!G140="Hydrogen",Compositions!G140="Carbon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Dioxide",Compositions!G140="Methane",Compositions!G140="Ethane"),0,(CF75/100))))</f>
        <v/>
      </c>
      <c r="CQ75" s="205" t="str">
        <f>IF(CF75="","",(IF(OR($CP$78=0,$CP$78=""),0,       ((VLOOKUP(Compositions!G140,'HHV-LHV-MW'!$A$3:$F$40,6,FALSE))*(CP75/$CP$78)))))</f>
        <v/>
      </c>
      <c r="CR75" s="28" t="str">
        <f>IF(Compositions!K140="","",IF(Compositions!$K$118="mol%",Compositions!K140,CS75))</f>
        <v/>
      </c>
      <c r="CS75" s="28" t="str">
        <f t="shared" si="32"/>
        <v/>
      </c>
      <c r="CT75" s="28" t="str">
        <f>IF(Compositions!K140="","",(Compositions!K140/(VLOOKUP(Compositions!G140,'HHV-LHV-MW'!$A$3:$F$40,6,FALSE))))</f>
        <v/>
      </c>
      <c r="CU75" s="26" t="str">
        <f>IF(CR75="","",((VLOOKUP(Compositions!G140,'HHV-LHV-MW'!$A$3:$F$40,4,FALSE))*(CR75/100)))</f>
        <v/>
      </c>
      <c r="CV75" s="26" t="str">
        <f>IF(CR75="","",((VLOOKUP(Compositions!G140,'HHV-LHV-MW'!$A$3:$F$40,5,FALSE))*(CR75/100)))</f>
        <v/>
      </c>
      <c r="CW75" s="26" t="str">
        <f>IF(CR75="","",((VLOOKUP(Compositions!G140,'HHV-LHV-MW'!$A$3:$F$40,6,FALSE))*(CR75/100)))</f>
        <v/>
      </c>
      <c r="CX75" s="26" t="str">
        <f>IF(Compositions!K140="","",(Compositions!K140*(VLOOKUP(Compositions!G140,'HHV-LHV-MW'!$A$3:$F$40,6,FALSE))))</f>
        <v/>
      </c>
      <c r="CY75" s="296" t="str">
        <f>IF(Compositions!K140="","",IF(OR(Compositions!$K$118="wt%",Compositions!$K$118=""),Compositions!K140,(IF(CX75="","",((CX75/$CX$78)*100)))))</f>
        <v/>
      </c>
      <c r="CZ75" s="39" t="str">
        <f>IF(CY75="","",(IF(OR(Compositions!G140="Hydrogen",Compositions!G140="Helium",Compositions!G140="Water",Compositions!G140="Carbon Monoxide",Compositions!G140="Nitrogen",Compositions!G140="Oxygen",Compositions!G140="Hydrogen Sulfide",Compositions!G140="Argon",Compositions!G140="Carbon Dioxide",Compositions!G140="Carbon Disulfide"),0,CY75)))</f>
        <v/>
      </c>
      <c r="DA75" s="186" t="str">
        <f>IF(Compositions!K140="","",((CR75/100)*((VLOOKUP(Compositions!G140,'HHV-LHV-MW'!$A$3:$G$40,7,FALSE)))))</f>
        <v/>
      </c>
      <c r="DB75" s="186" t="str">
        <f>IF(CR75="","",(IF(OR(Compositions!G140="Hydrogen",Compositions!G140="Carbon Disulfide",Compositions!G140="Helium",Compositions!G140="Water",Compositions!G140="Carbon Monoxide",Compositions!G140="Nitrogen",Compositions!G140="Oxygen",Compositions!G140="Hydrogen Sulfide",Compositions!G140="Argon",Compositions!G140="Carbon Dioxide",Compositions!G140="Methane",Compositions!G140="Ethane"),0,(CR75/100))))</f>
        <v/>
      </c>
      <c r="DC75" s="39" t="str">
        <f>IF(CR75="","",(IF(OR($DB$78=0,$DB$78=""),0,       ((VLOOKUP(Compositions!G140,'HHV-LHV-MW'!$A$3:$F$40,6,FALSE))*(DB75/$DB$78)))))</f>
        <v/>
      </c>
      <c r="DE75" s="27" t="str">
        <f>IF(Compositions!N140="","",IF(Compositions!$N$118="mol%",Compositions!N140,DF75))</f>
        <v/>
      </c>
      <c r="DF75" s="27" t="str">
        <f t="shared" si="33"/>
        <v/>
      </c>
      <c r="DG75" s="27" t="str">
        <f>IF(Compositions!N140="","",(Compositions!N140/(VLOOKUP(Compositions!M140,'HHV-LHV-MW'!$A$3:$F$40,6,FALSE))))</f>
        <v/>
      </c>
      <c r="DH75" s="25" t="str">
        <f>IF(DE75="","",((VLOOKUP(Compositions!M140,'HHV-LHV-MW'!$A$3:$F$40,4,FALSE))*(DE75/100)))</f>
        <v/>
      </c>
      <c r="DI75" s="25" t="str">
        <f>IF(DE75="","",((VLOOKUP(Compositions!M140,'HHV-LHV-MW'!$A$3:$F$40,5,FALSE))*(DE75/100)))</f>
        <v/>
      </c>
      <c r="DJ75" s="25" t="str">
        <f>IF(DE75="","",((VLOOKUP(Compositions!M140,'HHV-LHV-MW'!$A$3:$F$40,6,FALSE))*(DE75/100)))</f>
        <v/>
      </c>
      <c r="DK75" s="25" t="str">
        <f>IF(Compositions!N140="","",(Compositions!N140*(VLOOKUP(Compositions!M140,'HHV-LHV-MW'!$A$3:$F$40,6,FALSE))))</f>
        <v/>
      </c>
      <c r="DL75" s="295" t="str">
        <f>IF(Compositions!N140="","",IF(OR(Compositions!$N$118="wt%",Compositions!$N$118=""),Compositions!N140,(IF(DK75="","",((DK75/$DK$78)*100)))))</f>
        <v/>
      </c>
      <c r="DM75" s="185" t="str">
        <f>IF(DL75="","",(IF(OR(Compositions!M140="Hydrogen",Compositions!M140="Helium",Compositions!M140="Water",Compositions!M140="Carbon Monoxide",Compositions!M140="Nitrogen",Compositions!M140="Oxygen",Compositions!M140="Hydrogen Sulfide",Compositions!M140="Argon",Compositions!M140="Carbon Dioxide",Compositions!M140="Carbon Disulfide"),0,DL75)))</f>
        <v/>
      </c>
      <c r="DN75" s="187" t="str">
        <f>IF(Compositions!N140="","",((DE75/100)*((VLOOKUP(Compositions!M140,'HHV-LHV-MW'!$A$3:$G$40,7,FALSE)))))</f>
        <v/>
      </c>
      <c r="DO75" s="187" t="str">
        <f>IF(DE75="","",(IF(OR(Compositions!M140="Hydrogen",Compositions!M140="Carbon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Dioxide",Compositions!M140="Methane",Compositions!M140="Ethane"),0,(DE75/100))))</f>
        <v/>
      </c>
      <c r="DP75" s="205" t="str">
        <f>IF(DE75="","",(IF(OR($DO$78=0,$DO$78=""),0,       ((VLOOKUP(Compositions!M140,'HHV-LHV-MW'!$A$3:$F$40,6,FALSE))*(DO75/$DO$78)))))</f>
        <v/>
      </c>
      <c r="DQ75" s="28" t="str">
        <f>IF(Compositions!O140="","",IF(Compositions!$O$118="mol%",Compositions!O140,DR75))</f>
        <v/>
      </c>
      <c r="DR75" s="28" t="str">
        <f t="shared" si="34"/>
        <v/>
      </c>
      <c r="DS75" s="28" t="str">
        <f>IF(Compositions!O140="","",(Compositions!O140/(VLOOKUP(Compositions!M140,'HHV-LHV-MW'!$A$3:$F$40,6,FALSE))))</f>
        <v/>
      </c>
      <c r="DT75" s="26" t="str">
        <f>IF(DQ75="","",((VLOOKUP(Compositions!M140,'HHV-LHV-MW'!$A$3:$F$40,4,FALSE))*(DQ75/100)))</f>
        <v/>
      </c>
      <c r="DU75" s="26" t="str">
        <f>IF(DQ75="","",((VLOOKUP(Compositions!M140,'HHV-LHV-MW'!$A$3:$F$40,5,FALSE))*(DQ75/100)))</f>
        <v/>
      </c>
      <c r="DV75" s="26" t="str">
        <f>IF(DQ75="","",((VLOOKUP(Compositions!M140,'HHV-LHV-MW'!$A$3:$F$40,6,FALSE))*(DQ75/100)))</f>
        <v/>
      </c>
      <c r="DW75" s="26" t="str">
        <f>IF(Compositions!O140="","",(Compositions!O140*(VLOOKUP(Compositions!M140,'HHV-LHV-MW'!$A$3:$F$40,6,FALSE))))</f>
        <v/>
      </c>
      <c r="DX75" s="296" t="str">
        <f>IF(Compositions!O140="","",IF(OR(Compositions!$O$118="wt%",Compositions!$O$118=""),Compositions!O140,(IF(DW75="","",((DW75/$DW$78)*100)))))</f>
        <v/>
      </c>
      <c r="DY75" s="39" t="str">
        <f>IF(DX75="","",(IF(OR(Compositions!M140="Hydrogen",Compositions!M140="Helium",Compositions!M140="Water",Compositions!M140="Carbon Monoxide",Compositions!M140="Nitrogen",Compositions!M140="Oxygen",Compositions!M140="Hydrogen Sulfide",Compositions!M140="Argon",Compositions!M140="Carbon Dioxide",Compositions!M140="Carbon Disulfide"),0,DX75)))</f>
        <v/>
      </c>
      <c r="DZ75" s="186" t="str">
        <f>IF(Compositions!O140="","",((DQ75/100)*((VLOOKUP(Compositions!M140,'HHV-LHV-MW'!$A$3:$G$40,7,FALSE)))))</f>
        <v/>
      </c>
      <c r="EA75" s="186" t="str">
        <f>IF(DQ75="","",(IF(OR(Compositions!M140="Hydrogen",Compositions!M140="Carbon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Dioxide",Compositions!M140="Methane",Compositions!M140="Ethane"),0,(DQ75/100))))</f>
        <v/>
      </c>
      <c r="EB75" s="39" t="str">
        <f>IF(DQ75="","",(IF(OR($EA$78=0,$EA$78=""),0,       ((VLOOKUP(Compositions!M140,'HHV-LHV-MW'!$A$3:$F$40,6,FALSE))*(EA75/$EA$78)))))</f>
        <v/>
      </c>
      <c r="EC75" s="27" t="str">
        <f>IF(Compositions!P140="","",IF(Compositions!$P$118="mol%",Compositions!P140,ED75))</f>
        <v/>
      </c>
      <c r="ED75" s="27" t="str">
        <f t="shared" si="35"/>
        <v/>
      </c>
      <c r="EE75" s="27" t="str">
        <f>IF(Compositions!P140="","",(Compositions!P140/(VLOOKUP(Compositions!M140,'HHV-LHV-MW'!$A$3:$F$40,6,FALSE))))</f>
        <v/>
      </c>
      <c r="EF75" s="25" t="str">
        <f>IF(EC75="","",((VLOOKUP(Compositions!M140,'HHV-LHV-MW'!$A$3:$F$40,4,FALSE))*(EC75/100)))</f>
        <v/>
      </c>
      <c r="EG75" s="25" t="str">
        <f>IF(EC75="","",((VLOOKUP(Compositions!M140,'HHV-LHV-MW'!$A$3:$F$40,5,FALSE))*(EC75/100)))</f>
        <v/>
      </c>
      <c r="EH75" s="25" t="str">
        <f>IF(EC75="","",((VLOOKUP(Compositions!M140,'HHV-LHV-MW'!$A$3:$F$40,6,FALSE))*(EC75/100)))</f>
        <v/>
      </c>
      <c r="EI75" s="25" t="str">
        <f>IF(Compositions!P140="","",(Compositions!P140*(VLOOKUP(Compositions!M140,'HHV-LHV-MW'!$A$3:$F$40,6,FALSE))))</f>
        <v/>
      </c>
      <c r="EJ75" s="295" t="str">
        <f>IF(Compositions!P140="","",IF(OR(Compositions!$P$118="wt%",Compositions!$P$118=""),Compositions!P140,(IF(EI75="","",((EI75/$EI$78)*100)))))</f>
        <v/>
      </c>
      <c r="EK75" s="185" t="str">
        <f>IF(EJ75="","",(IF(OR(Compositions!M140="Hydrogen",Compositions!M140="Helium",Compositions!M140="Water",Compositions!M140="Carbon Monoxide",Compositions!M140="Nitrogen",Compositions!M140="Oxygen",Compositions!M140="Hydrogen Sulfide",Compositions!M140="Argon",Compositions!M140="Carbon Dioxide",Compositions!M140="Carbon Disulfide"),0,EJ75)))</f>
        <v/>
      </c>
      <c r="EL75" s="187" t="str">
        <f>IF(Compositions!P140="","",((EC75/100)*((VLOOKUP(Compositions!M140,'HHV-LHV-MW'!$A$3:$G$40,7,FALSE)))))</f>
        <v/>
      </c>
      <c r="EM75" s="187" t="str">
        <f>IF(EC75="","",(IF(OR(Compositions!M140="Hydrogen",Compositions!M140="Carbon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Dioxide",Compositions!M140="Methane",Compositions!M140="Ethane"),0,(EC75/100))))</f>
        <v/>
      </c>
      <c r="EN75" s="205" t="str">
        <f>IF(EC75="","",(IF(OR($EM$78=0,$EM$78=""),0,       ((VLOOKUP(Compositions!M140,'HHV-LHV-MW'!$A$3:$F$40,6,FALSE))*(EM75/$EM$78)))))</f>
        <v/>
      </c>
      <c r="EO75" s="28" t="str">
        <f>IF(Compositions!Q140="","",IF(Compositions!$Q$118="mol%",Compositions!Q140,EP75))</f>
        <v/>
      </c>
      <c r="EP75" s="28" t="str">
        <f t="shared" si="36"/>
        <v/>
      </c>
      <c r="EQ75" s="28" t="str">
        <f>IF(Compositions!Q140="","",(Compositions!Q140/(VLOOKUP(Compositions!M140,'HHV-LHV-MW'!$A$3:$F$40,6,FALSE))))</f>
        <v/>
      </c>
      <c r="ER75" s="26" t="str">
        <f>IF(EO75="","",((VLOOKUP(Compositions!M140,'HHV-LHV-MW'!$A$3:$F$40,4,FALSE))*(EO75/100)))</f>
        <v/>
      </c>
      <c r="ES75" s="26" t="str">
        <f>IF(EO75="","",((VLOOKUP(Compositions!M140,'HHV-LHV-MW'!$A$3:$F$40,5,FALSE))*(EO75/100)))</f>
        <v/>
      </c>
      <c r="ET75" s="26" t="str">
        <f>IF(EO75="","",((VLOOKUP(Compositions!M140,'HHV-LHV-MW'!$A$3:$F$40,6,FALSE))*(EO75/100)))</f>
        <v/>
      </c>
      <c r="EU75" s="26" t="str">
        <f>IF(Compositions!Q140="","",(Compositions!Q140*(VLOOKUP(Compositions!M140,'HHV-LHV-MW'!$A$3:$F$40,6,FALSE))))</f>
        <v/>
      </c>
      <c r="EV75" s="296" t="str">
        <f>IF(Compositions!Q140="","",IF(OR(Compositions!$Q$118="wt%",Compositions!$Q$118=""),Compositions!Q140,(IF(EU75="","",((EU75/$EU$78)*100)))))</f>
        <v/>
      </c>
      <c r="EW75" s="39" t="str">
        <f>IF(EV75="","",(IF(OR(Compositions!M140="Hydrogen",Compositions!M140="Helium",Compositions!M140="Water",Compositions!M140="Carbon Monoxide",Compositions!M140="Nitrogen",Compositions!M140="Oxygen",Compositions!M140="Hydrogen Sulfide",Compositions!M140="Argon",Compositions!M140="Carbon Dioxide",Compositions!M140="Carbon Disulfide"),0,EV75)))</f>
        <v/>
      </c>
      <c r="EX75" s="186" t="str">
        <f>IF(Compositions!Q140="","",((EO75/100)*((VLOOKUP(Compositions!M140,'HHV-LHV-MW'!$A$3:$G$40,7,FALSE)))))</f>
        <v/>
      </c>
      <c r="EY75" s="186" t="str">
        <f>IF(EO75="","",(IF(OR(Compositions!M140="Hydrogen",Compositions!M140="Carbon Disulfide",Compositions!M140="Helium",Compositions!M140="Water",Compositions!M140="Carbon Monoxide",Compositions!M140="Nitrogen",Compositions!M140="Oxygen",Compositions!M140="Hydrogen Sulfide",Compositions!M140="Argon",Compositions!M140="Carbon Dioxide",Compositions!M140="Methane",Compositions!M140="Ethane"),0,(EO75/100))))</f>
        <v/>
      </c>
      <c r="EZ75" s="39" t="str">
        <f>IF(EO75="","",(IF(OR($EY$78=0,$EY$78=""),0,       ((VLOOKUP(Compositions!M140,'HHV-LHV-MW'!$A$3:$F$40,6,FALSE))*(EY75/$EY$78)))))</f>
        <v/>
      </c>
      <c r="FB75" s="27" t="str">
        <f>IF(Compositions!T140="","",IF(Compositions!$T$118="mol%",Compositions!T140,FC75))</f>
        <v/>
      </c>
      <c r="FC75" s="27" t="str">
        <f t="shared" si="37"/>
        <v/>
      </c>
      <c r="FD75" s="27" t="str">
        <f>IF(Compositions!T140="","",(Compositions!T140/(VLOOKUP(Compositions!S140,'HHV-LHV-MW'!$A$3:$F$40,6,FALSE))))</f>
        <v/>
      </c>
      <c r="FE75" s="25" t="str">
        <f>IF(FB75="","",((VLOOKUP(Compositions!S140,'HHV-LHV-MW'!$A$3:$F$40,4,FALSE))*(FB75/100)))</f>
        <v/>
      </c>
      <c r="FF75" s="25" t="str">
        <f>IF(FB75="","",((VLOOKUP(Compositions!S140,'HHV-LHV-MW'!$A$3:$F$40,5,FALSE))*(FB75/100)))</f>
        <v/>
      </c>
      <c r="FG75" s="25" t="str">
        <f>IF(FB75="","",((VLOOKUP(Compositions!S140,'HHV-LHV-MW'!$A$3:$F$40,6,FALSE))*(FB75/100)))</f>
        <v/>
      </c>
      <c r="FH75" s="25" t="str">
        <f>IF(Compositions!T140="","",(Compositions!T140*(VLOOKUP(Compositions!S140,'HHV-LHV-MW'!$A$3:$F$40,6,FALSE))))</f>
        <v/>
      </c>
      <c r="FI75" s="295" t="str">
        <f>IF(Compositions!T140="","",IF(OR(Compositions!$T$118="wt%",Compositions!$T$118=""),Compositions!T140,(IF(FH75="","",((FH75/$FH$78)*100)))))</f>
        <v/>
      </c>
      <c r="FJ75" s="185" t="str">
        <f>IF(FI75="","",(IF(OR(Compositions!S140="Hydrogen",Compositions!S140="Helium",Compositions!S140="Water",Compositions!S140="Carbon Monoxide",Compositions!S140="Nitrogen",Compositions!S140="Oxygen",Compositions!S140="Hydrogen Sulfide",Compositions!S140="Argon",Compositions!S140="Carbon Dioxide",Compositions!S140="Carbon Disulfide"),0,FI75)))</f>
        <v/>
      </c>
      <c r="FK75" s="187" t="str">
        <f>IF(Compositions!T140="","",((FB75/100)*((VLOOKUP(Compositions!S140,'HHV-LHV-MW'!$A$3:$G$40,7,FALSE)))))</f>
        <v/>
      </c>
      <c r="FL75" s="187" t="str">
        <f>IF(FB75="","",(IF(OR(Compositions!S140="Hydrogen",Compositions!S140="Carbon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Dioxide",Compositions!S140="Methane",Compositions!S140="Ethane"),0,(FB75/100))))</f>
        <v/>
      </c>
      <c r="FM75" s="205" t="str">
        <f>IF(FB75="","",(IF(OR($FL$78=0,$FL$78=""),0,       ((VLOOKUP(Compositions!S140,'HHV-LHV-MW'!$A$3:$F$40,6,FALSE))*(FL75/$FL$78)))))</f>
        <v/>
      </c>
      <c r="FN75" s="28" t="str">
        <f>IF(Compositions!U140="","",IF(Compositions!$U$118="mol%",Compositions!U140,FO75))</f>
        <v/>
      </c>
      <c r="FO75" s="28" t="str">
        <f t="shared" si="38"/>
        <v/>
      </c>
      <c r="FP75" s="28" t="str">
        <f>IF(Compositions!U140="","",(Compositions!U140/(VLOOKUP(Compositions!S140,'HHV-LHV-MW'!$A$3:$F$40,6,FALSE))))</f>
        <v/>
      </c>
      <c r="FQ75" s="26" t="str">
        <f>IF(FN75="","",((VLOOKUP(Compositions!S140,'HHV-LHV-MW'!$A$3:$F$40,4,FALSE))*(FN75/100)))</f>
        <v/>
      </c>
      <c r="FR75" s="26" t="str">
        <f>IF(FN75="","",((VLOOKUP(Compositions!S140,'HHV-LHV-MW'!$A$3:$F$40,5,FALSE))*(FN75/100)))</f>
        <v/>
      </c>
      <c r="FS75" s="26" t="str">
        <f>IF(FN75="","",((VLOOKUP(Compositions!S140,'HHV-LHV-MW'!$A$3:$F$40,6,FALSE))*(FN75/100)))</f>
        <v/>
      </c>
      <c r="FT75" s="26" t="str">
        <f>IF(Compositions!U140="","",(Compositions!U140*(VLOOKUP(Compositions!S140,'HHV-LHV-MW'!$A$3:$F$40,6,FALSE))))</f>
        <v/>
      </c>
      <c r="FU75" s="296" t="str">
        <f>IF(Compositions!U140="","",IF(OR(Compositions!$U$118="wt%",Compositions!$U$118=""),Compositions!U140,(IF(FT75="","",((FT75/$FT$78)*100)))))</f>
        <v/>
      </c>
      <c r="FV75" s="39" t="str">
        <f>IF(FU75="","",(IF(OR(Compositions!S140="Hydrogen",Compositions!S140="Helium",Compositions!S140="Water",Compositions!S140="Carbon Monoxide",Compositions!S140="Nitrogen",Compositions!S140="Oxygen",Compositions!S140="Hydrogen Sulfide",Compositions!S140="Argon",Compositions!S140="Carbon Dioxide",Compositions!S140="Carbon Disulfide"),0,FU75)))</f>
        <v/>
      </c>
      <c r="FW75" s="186" t="str">
        <f>IF(Compositions!U140="","",((FN75/100)*((VLOOKUP(Compositions!S140,'HHV-LHV-MW'!$A$3:$G$40,7,FALSE)))))</f>
        <v/>
      </c>
      <c r="FX75" s="186" t="str">
        <f>IF(FN75="","",(IF(OR(Compositions!S140="Hydrogen",Compositions!S140="Carbon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Dioxide",Compositions!S140="Methane",Compositions!S140="Ethane"),0,(FN75/100))))</f>
        <v/>
      </c>
      <c r="FY75" s="39" t="str">
        <f>IF(FN75="","",(IF(OR($FX$78=0,$FX$78=""),0,       ((VLOOKUP(Compositions!S140,'HHV-LHV-MW'!$A$3:$F$40,6,FALSE))*(FX75/$FX$78)))))</f>
        <v/>
      </c>
      <c r="FZ75" s="27" t="str">
        <f>IF(Compositions!V140="","",IF(Compositions!$V$118="mol%",Compositions!V140,GA75))</f>
        <v/>
      </c>
      <c r="GA75" s="27" t="str">
        <f t="shared" si="39"/>
        <v/>
      </c>
      <c r="GB75" s="27" t="str">
        <f>IF(Compositions!V140="","",(Compositions!V140/(VLOOKUP(Compositions!S140,'HHV-LHV-MW'!$A$3:$F$40,6,FALSE))))</f>
        <v/>
      </c>
      <c r="GC75" s="25" t="str">
        <f>IF(FZ75="","",((VLOOKUP(Compositions!S140,'HHV-LHV-MW'!$A$3:$F$40,4,FALSE))*(FZ75/100)))</f>
        <v/>
      </c>
      <c r="GD75" s="25" t="str">
        <f>IF(FZ75="","",((VLOOKUP(Compositions!S140,'HHV-LHV-MW'!$A$3:$F$40,5,FALSE))*(FZ75/100)))</f>
        <v/>
      </c>
      <c r="GE75" s="25" t="str">
        <f>IF(FZ75="","",((VLOOKUP(Compositions!S140,'HHV-LHV-MW'!$A$3:$F$40,6,FALSE))*(FZ75/100)))</f>
        <v/>
      </c>
      <c r="GF75" s="25" t="str">
        <f>IF(Compositions!V140="","",(Compositions!V140*(VLOOKUP(Compositions!S140,'HHV-LHV-MW'!$A$3:$F$40,6,FALSE))))</f>
        <v/>
      </c>
      <c r="GG75" s="295" t="str">
        <f>IF(Compositions!V140="","",IF(OR(Compositions!$V$118="wt%",Compositions!$V$118=""),Compositions!V140,(IF(GF75="","",((GF75/$GF$78)*100)))))</f>
        <v/>
      </c>
      <c r="GH75" s="185" t="str">
        <f>IF(GG75="","",(IF(OR(Compositions!S140="Hydrogen",Compositions!S140="Helium",Compositions!S140="Water",Compositions!S140="Carbon Monoxide",Compositions!S140="Nitrogen",Compositions!S140="Oxygen",Compositions!S140="Hydrogen Sulfide",Compositions!S140="Argon",Compositions!S140="Carbon Dioxide",Compositions!S140="Carbon Disulfide"),0,GG75)))</f>
        <v/>
      </c>
      <c r="GI75" s="187" t="str">
        <f>IF(Compositions!V140="","",((FZ75/100)*((VLOOKUP(Compositions!S140,'HHV-LHV-MW'!$A$3:$G$40,7,FALSE)))))</f>
        <v/>
      </c>
      <c r="GJ75" s="187" t="str">
        <f>IF(FZ75="","",(IF(OR(Compositions!S140="Hydrogen",Compositions!S140="Carbon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Dioxide",Compositions!S140="Methane",Compositions!S140="Ethane"),0,(FZ75/100))))</f>
        <v/>
      </c>
      <c r="GK75" s="205" t="str">
        <f>IF(FZ75="","",(IF(OR($GJ$78=0,$GJ$78=""),0,       ((VLOOKUP(Compositions!S140,'HHV-LHV-MW'!$A$3:$F$40,6,FALSE))*(GJ75/$GJ$78)))))</f>
        <v/>
      </c>
      <c r="GL75" s="28" t="str">
        <f>IF(Compositions!W140="","",IF(Compositions!$W$118="mol%",Compositions!W140,GM75))</f>
        <v/>
      </c>
      <c r="GM75" s="28" t="str">
        <f t="shared" si="40"/>
        <v/>
      </c>
      <c r="GN75" s="28" t="str">
        <f>IF(Compositions!W140="","",(Compositions!W140/(VLOOKUP(Compositions!S140,'HHV-LHV-MW'!$A$3:$F$40,6,FALSE))))</f>
        <v/>
      </c>
      <c r="GO75" s="26" t="str">
        <f>IF(GL75="","",((VLOOKUP(Compositions!S140,'HHV-LHV-MW'!$A$3:$F$40,4,FALSE))*(GL75/100)))</f>
        <v/>
      </c>
      <c r="GP75" s="26" t="str">
        <f>IF(GL75="","",((VLOOKUP(Compositions!S140,'HHV-LHV-MW'!$A$3:$F$40,5,FALSE))*(GL75/100)))</f>
        <v/>
      </c>
      <c r="GQ75" s="26" t="str">
        <f>IF(GL75="","",((VLOOKUP(Compositions!S140,'HHV-LHV-MW'!$A$3:$F$40,6,FALSE))*(GL75/100)))</f>
        <v/>
      </c>
      <c r="GR75" s="26" t="str">
        <f>IF(Compositions!W140="","",(Compositions!W140*(VLOOKUP(Compositions!S140,'HHV-LHV-MW'!$A$3:$F$40,6,FALSE))))</f>
        <v/>
      </c>
      <c r="GS75" s="296" t="str">
        <f>IF(Compositions!W140="","",IF(OR(Compositions!$W$118="wt%",Compositions!$W$118=""),Compositions!W140,(IF(GR75="","",((GR75/$GR$78)*100)))))</f>
        <v/>
      </c>
      <c r="GT75" s="39" t="str">
        <f>IF(GS75="","",(IF(OR(Compositions!S140="Hydrogen",Compositions!S140="Helium",Compositions!S140="Water",Compositions!S140="Carbon Monoxide",Compositions!S140="Nitrogen",Compositions!S140="Oxygen",Compositions!S140="Hydrogen Sulfide",Compositions!S140="Argon",Compositions!S140="Carbon Dioxide",Compositions!S140="Carbon Disulfide"),0,GS75)))</f>
        <v/>
      </c>
      <c r="GU75" s="186" t="str">
        <f>IF(Compositions!W140="","",((GL75/100)*((VLOOKUP(Compositions!S140,'HHV-LHV-MW'!$A$3:$G$40,7,FALSE)))))</f>
        <v/>
      </c>
      <c r="GV75" s="186" t="str">
        <f>IF(GL75="","",(IF(OR(Compositions!S140="Hydrogen",Compositions!S140="Carbon Disulfide",Compositions!S140="Helium",Compositions!S140="Water",Compositions!S140="Carbon Monoxide",Compositions!S140="Nitrogen",Compositions!S140="Oxygen",Compositions!S140="Hydrogen Sulfide",Compositions!S140="Argon",Compositions!S140="Carbon Dioxide",Compositions!S140="Methane",Compositions!S140="Ethane"),0,(GL75/100))))</f>
        <v/>
      </c>
      <c r="GW75" s="39" t="str">
        <f>IF(GL75="","",(IF(OR($GV$78=0,$GV$78=""),0,       ((VLOOKUP(Compositions!S140,'HHV-LHV-MW'!$A$3:$F$40,6,FALSE))*(GV75/$GV$78)))))</f>
        <v/>
      </c>
      <c r="GY75" s="27" t="str">
        <f>IF(Compositions!Z140="","",IF(Compositions!$Z$118="mol%",Compositions!Z140,GZ75))</f>
        <v/>
      </c>
      <c r="GZ75" s="27" t="str">
        <f t="shared" si="41"/>
        <v/>
      </c>
      <c r="HA75" s="27" t="str">
        <f>IF(Compositions!Z140="","",(Compositions!Z140/(VLOOKUP(Compositions!Y140,'HHV-LHV-MW'!$A$3:$F$40,6,FALSE))))</f>
        <v/>
      </c>
      <c r="HB75" s="25" t="str">
        <f>IF(GY75="","",((VLOOKUP(Compositions!Y140,'HHV-LHV-MW'!$A$3:$F$40,4,FALSE))*(GY75/100)))</f>
        <v/>
      </c>
      <c r="HC75" s="25" t="str">
        <f>IF(GY75="","",((VLOOKUP(Compositions!Y140,'HHV-LHV-MW'!$A$3:$F$40,5,FALSE))*(GY75/100)))</f>
        <v/>
      </c>
      <c r="HD75" s="25" t="str">
        <f>IF(GY75="","",((VLOOKUP(Compositions!Y140,'HHV-LHV-MW'!$A$3:$F$40,6,FALSE))*(GY75/100)))</f>
        <v/>
      </c>
      <c r="HE75" s="25" t="str">
        <f>IF(Compositions!Z140="","",(Compositions!Z140*(VLOOKUP(Compositions!Y140,'HHV-LHV-MW'!$A$3:$F$40,6,FALSE))))</f>
        <v/>
      </c>
      <c r="HF75" s="295" t="str">
        <f>IF(Compositions!Z140="","",IF(OR(Compositions!$Z$118="wt%",Compositions!$Z$118=""),Compositions!Z140,(IF(HE75="","",((HE75/$HE$78)*100)))))</f>
        <v/>
      </c>
      <c r="HG75" s="185" t="str">
        <f>IF(HF75="","",(IF(OR(Compositions!Y140="Hydrogen",Compositions!Y140="Helium",Compositions!Y140="Water",Compositions!Y140="Carbon Monoxide",Compositions!Y140="Nitrogen",Compositions!Y140="Oxygen",Compositions!Y140="Hydrogen Sulfide",Compositions!Y140="Argon",Compositions!Y140="Carbon Dioxide",Compositions!Y140="Carbon Disulfide"),0,HF75)))</f>
        <v/>
      </c>
      <c r="HH75" s="187" t="str">
        <f>IF(Compositions!Z140="","",((GY75/100)*((VLOOKUP(Compositions!Y140,'HHV-LHV-MW'!$A$3:$G$40,7,FALSE)))))</f>
        <v/>
      </c>
      <c r="HI75" s="187" t="str">
        <f>IF(GY75="","",(IF(OR(Compositions!Y140="Hydrogen",Compositions!Y140="Carbon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Dioxide",Compositions!Y140="Methane",Compositions!Y140="Ethane"),0,(GY75/100))))</f>
        <v/>
      </c>
      <c r="HJ75" s="205" t="str">
        <f>IF(GY75="","",(IF(OR($HI$78=0,$HI$78=""),0,       ((VLOOKUP(Compositions!Y140,'HHV-LHV-MW'!$A$3:$F$40,6,FALSE))*(HI75/$HI$78)))))</f>
        <v/>
      </c>
      <c r="HK75" s="28" t="str">
        <f>IF(Compositions!AA140="","",IF(Compositions!$AA$118="mol%",Compositions!AA140,HL75))</f>
        <v/>
      </c>
      <c r="HL75" s="28" t="str">
        <f t="shared" si="42"/>
        <v/>
      </c>
      <c r="HM75" s="28" t="str">
        <f>IF(Compositions!AA140="","",(Compositions!AA140/(VLOOKUP(Compositions!Y140,'HHV-LHV-MW'!$A$3:$F$40,6,FALSE))))</f>
        <v/>
      </c>
      <c r="HN75" s="26" t="str">
        <f>IF(HK75="","",((VLOOKUP(Compositions!Y140,'HHV-LHV-MW'!$A$3:$F$40,4,FALSE))*(HK75/100)))</f>
        <v/>
      </c>
      <c r="HO75" s="26" t="str">
        <f>IF(HK75="","",((VLOOKUP(Compositions!Y140,'HHV-LHV-MW'!$A$3:$F$40,5,FALSE))*(HK75/100)))</f>
        <v/>
      </c>
      <c r="HP75" s="26" t="str">
        <f>IF(HK75="","",((VLOOKUP(Compositions!Y140,'HHV-LHV-MW'!$A$3:$F$40,6,FALSE))*(HK75/100)))</f>
        <v/>
      </c>
      <c r="HQ75" s="26" t="str">
        <f>IF(Compositions!AA140="","",(Compositions!AA140*(VLOOKUP(Compositions!Y140,'HHV-LHV-MW'!$A$3:$F$40,6,FALSE))))</f>
        <v/>
      </c>
      <c r="HR75" s="296" t="str">
        <f>IF(Compositions!AA140="","",IF(OR(Compositions!$AA$118="wt%",Compositions!$AA$118=""),Compositions!AA140,(IF(HQ75="","",((HQ75/$HQ$78)*100)))))</f>
        <v/>
      </c>
      <c r="HS75" s="39" t="str">
        <f>IF(HR75="","",(IF(OR(Compositions!Y140="Hydrogen",Compositions!Y140="Helium",Compositions!Y140="Water",Compositions!Y140="Carbon Monoxide",Compositions!Y140="Nitrogen",Compositions!Y140="Oxygen",Compositions!Y140="Hydrogen Sulfide",Compositions!Y140="Argon",Compositions!Y140="Carbon Dioxide",Compositions!Y140="Carbon Disulfide"),0,HR75)))</f>
        <v/>
      </c>
      <c r="HT75" s="186" t="str">
        <f>IF(Compositions!AA140="","",((HK75/100)*((VLOOKUP(Compositions!Y140,'HHV-LHV-MW'!$A$3:$G$40,7,FALSE)))))</f>
        <v/>
      </c>
      <c r="HU75" s="186" t="str">
        <f>IF(HK75="","",(IF(OR(Compositions!Y140="Hydrogen",Compositions!Y140="Carbon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Dioxide",Compositions!Y140="Methane",Compositions!Y140="Ethane"),0,(HK75/100))))</f>
        <v/>
      </c>
      <c r="HV75" s="39" t="str">
        <f>IF(HK75="","",(IF(OR($HU$78=0,$HU$78=""),0,       ((VLOOKUP(Compositions!Y140,'HHV-LHV-MW'!$A$3:$F$40,6,FALSE))*(HU75/$HU$78)))))</f>
        <v/>
      </c>
      <c r="HW75" s="27" t="str">
        <f>IF(Compositions!AB140="","",IF(Compositions!$AB$118="mol%",Compositions!AB140,HX75))</f>
        <v/>
      </c>
      <c r="HX75" s="27" t="str">
        <f t="shared" si="43"/>
        <v/>
      </c>
      <c r="HY75" s="27" t="str">
        <f>IF(Compositions!AB140="","",(Compositions!AB140/(VLOOKUP(Compositions!Y140,'HHV-LHV-MW'!$A$3:$F$40,6,FALSE))))</f>
        <v/>
      </c>
      <c r="HZ75" s="25" t="str">
        <f>IF(HW75="","",((VLOOKUP(Compositions!Y140,'HHV-LHV-MW'!$A$3:$F$40,4,FALSE))*(HW75/100)))</f>
        <v/>
      </c>
      <c r="IA75" s="25" t="str">
        <f>IF(HW75="","",((VLOOKUP(Compositions!Y140,'HHV-LHV-MW'!$A$3:$F$40,5,FALSE))*(HW75/100)))</f>
        <v/>
      </c>
      <c r="IB75" s="25" t="str">
        <f>IF(HW75="","",((VLOOKUP(Compositions!Y140,'HHV-LHV-MW'!$A$3:$F$40,6,FALSE))*(HW75/100)))</f>
        <v/>
      </c>
      <c r="IC75" s="25" t="str">
        <f>IF(Compositions!AB140="","",(Compositions!AB140*(VLOOKUP(Compositions!Y140,'HHV-LHV-MW'!$A$3:$F$40,6,FALSE))))</f>
        <v/>
      </c>
      <c r="ID75" s="295" t="str">
        <f>IF(Compositions!AB140="","",IF(OR(Compositions!$AB$118="wt%",Compositions!$AB$118=""),Compositions!AB140,(IF(IC75="","",((IC75/$IC$78)*100)))))</f>
        <v/>
      </c>
      <c r="IE75" s="185" t="str">
        <f>IF(ID75="","",(IF(OR(Compositions!Y140="Hydrogen",Compositions!Y140="Helium",Compositions!Y140="Water",Compositions!Y140="Carbon Monoxide",Compositions!Y140="Nitrogen",Compositions!Y140="Oxygen",Compositions!Y140="Hydrogen Sulfide",Compositions!Y140="Argon",Compositions!Y140="Carbon Dioxide",Compositions!Y140="Carbon Disulfide"),0,ID75)))</f>
        <v/>
      </c>
      <c r="IF75" s="187" t="str">
        <f>IF(Compositions!AB140="","",((HW75/100)*((VLOOKUP(Compositions!Y140,'HHV-LHV-MW'!$A$3:$G$40,7,FALSE)))))</f>
        <v/>
      </c>
      <c r="IG75" s="187" t="str">
        <f>IF(HW75="","",(IF(OR(Compositions!Y140="Hydrogen",Compositions!Y140="Carbon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Dioxide",Compositions!Y140="Methane",Compositions!Y140="Ethane"),0,(HW75/100))))</f>
        <v/>
      </c>
      <c r="IH75" s="205" t="str">
        <f>IF(HW75="","",(IF(OR($IG$78=0,$IG$78=""),0,       ((VLOOKUP(Compositions!Y140,'HHV-LHV-MW'!$A$3:$F$40,6,FALSE))*(IG75/$IG$78)))))</f>
        <v/>
      </c>
      <c r="II75" s="28" t="str">
        <f>IF(Compositions!AC140="","",IF(Compositions!$AC$118="mol%",Compositions!AC140,IJ75))</f>
        <v/>
      </c>
      <c r="IJ75" s="28" t="str">
        <f t="shared" si="44"/>
        <v/>
      </c>
      <c r="IK75" s="28" t="str">
        <f>IF(Compositions!AC140="","",(Compositions!AC140/(VLOOKUP(Compositions!Y140,'HHV-LHV-MW'!$A$3:$F$40,6,FALSE))))</f>
        <v/>
      </c>
      <c r="IL75" s="26" t="str">
        <f>IF(II75="","",((VLOOKUP(Compositions!Y140,'HHV-LHV-MW'!$A$3:$F$40,4,FALSE))*(II75/100)))</f>
        <v/>
      </c>
      <c r="IM75" s="26" t="str">
        <f>IF(II75="","",((VLOOKUP(Compositions!Y140,'HHV-LHV-MW'!$A$3:$F$40,5,FALSE))*(II75/100)))</f>
        <v/>
      </c>
      <c r="IN75" s="26" t="str">
        <f>IF(II75="","",((VLOOKUP(Compositions!Y140,'HHV-LHV-MW'!$A$3:$F$40,6,FALSE))*(II75/100)))</f>
        <v/>
      </c>
      <c r="IO75" s="26" t="str">
        <f>IF(Compositions!AC140="","",(Compositions!AC140*(VLOOKUP(Compositions!Y140,'HHV-LHV-MW'!$A$3:$F$40,6,FALSE))))</f>
        <v/>
      </c>
      <c r="IP75" s="296" t="str">
        <f>IF(Compositions!AC140="","",IF(OR(Compositions!$AC$118="wt%",Compositions!$AC$118=""),Compositions!AC140,(IF(IO75="","",((IO75/$IO$78)*100)))))</f>
        <v/>
      </c>
      <c r="IQ75" s="39" t="str">
        <f>IF(IP75="","",(IF(OR(Compositions!Y140="Hydrogen",Compositions!Y140="Helium",Compositions!Y140="Water",Compositions!Y140="Carbon Monoxide",Compositions!Y140="Nitrogen",Compositions!Y140="Oxygen",Compositions!Y140="Hydrogen Sulfide",Compositions!Y140="Argon",Compositions!Y140="Carbon Dioxide",Compositions!Y140="Carbon Disulfide"),0,IP75)))</f>
        <v/>
      </c>
      <c r="IR75" s="186" t="str">
        <f>IF(Compositions!AC140="","",((II75/100)*((VLOOKUP(Compositions!Y140,'HHV-LHV-MW'!$A$3:$G$40,7,FALSE)))))</f>
        <v/>
      </c>
      <c r="IS75" s="186" t="str">
        <f>IF(II75="","",(IF(OR(Compositions!Y140="Hydrogen",Compositions!Y140="Carbon Disulfide",Compositions!Y140="Helium",Compositions!Y140="Water",Compositions!Y140="Carbon Monoxide",Compositions!Y140="Nitrogen",Compositions!Y140="Oxygen",Compositions!Y140="Hydrogen Sulfide",Compositions!Y140="Argon",Compositions!Y140="Carbon Dioxide",Compositions!Y140="Methane",Compositions!Y140="Ethane"),0,(II75/100))))</f>
        <v/>
      </c>
      <c r="IT75" s="39" t="str">
        <f>IF(II75="","",(IF(OR($IS$78=0,$IS$78=""),0,      ((VLOOKUP(Compositions!Y140,'HHV-LHV-MW'!$A$3:$F$40,6,FALSE))*(IS75/$IS$78)))))</f>
        <v/>
      </c>
      <c r="IV75" s="27" t="str">
        <f>IF(Compositions!AF140="","",IF(Compositions!$AF$118="mol%",Compositions!AF140,IW75))</f>
        <v/>
      </c>
      <c r="IW75" s="27" t="str">
        <f t="shared" si="45"/>
        <v/>
      </c>
      <c r="IX75" s="27" t="str">
        <f>IF(Compositions!AF140="","",(Compositions!AF140/(VLOOKUP(Compositions!AE140,'HHV-LHV-MW'!$A$3:$F$40,6,FALSE))))</f>
        <v/>
      </c>
      <c r="IY75" s="25" t="str">
        <f>IF(IV75="","",((VLOOKUP(Compositions!AE140,'HHV-LHV-MW'!$A$3:$F$40,4,FALSE))*(IV75/100)))</f>
        <v/>
      </c>
      <c r="IZ75" s="25" t="str">
        <f>IF(IV75="","",((VLOOKUP(Compositions!AE140,'HHV-LHV-MW'!$A$3:$F$40,5,FALSE))*(IV75/100)))</f>
        <v/>
      </c>
      <c r="JA75" s="25" t="str">
        <f>IF(IV75="","",((VLOOKUP(Compositions!AE140,'HHV-LHV-MW'!$A$3:$F$40,6,FALSE))*(IV75/100)))</f>
        <v/>
      </c>
      <c r="JB75" s="25" t="str">
        <f>IF(Compositions!AF140="","",(Compositions!AF140*(VLOOKUP(Compositions!AE140,'HHV-LHV-MW'!$A$3:$F$40,6,FALSE))))</f>
        <v/>
      </c>
      <c r="JC75" s="298" t="str">
        <f>IF(Compositions!AF140="","",IF(OR(Compositions!$AF$118="wt%",Compositions!$AF$118=""),Compositions!AF140,(IF(JB75="","",((JB75/$JB$78)*100)))))</f>
        <v/>
      </c>
      <c r="JD75" s="185" t="str">
        <f>IF(JC75="","",(IF(OR(Compositions!AE140="Hydrogen",Compositions!AE140="Helium",Compositions!AE140="Water",Compositions!AE140="Carbon Monoxide",Compositions!AE140="Nitrogen",Compositions!AE140="Oxygen",Compositions!AE140="Hydrogen Sulfide",Compositions!AE140="Argon",Compositions!AE140="Carbon Dioxide",Compositions!AE140="Carbon Disulfide"),0,JC75)))</f>
        <v/>
      </c>
      <c r="JE75" s="187" t="str">
        <f>IF(Compositions!AF140="","",((IV75/100)*((VLOOKUP(Compositions!AE140,'HHV-LHV-MW'!$A$3:$G$40,7,FALSE)))))</f>
        <v/>
      </c>
      <c r="JF75" s="187" t="str">
        <f>IF(IV75="","",(IF(OR(Compositions!AE140="Hydrogen",Compositions!AE140="Carbon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Dioxide",Compositions!AE140="Methane",Compositions!AE140="Ethane"),0,(IV75/100))))</f>
        <v/>
      </c>
      <c r="JG75" s="205" t="str">
        <f>IF(IV75="","",(IF(OR($JF$78=0,$JF$78=""),0,      ((VLOOKUP(Compositions!AE140,'HHV-LHV-MW'!$A$3:$F$40,6,FALSE))*(JF75/$JF$78)))))</f>
        <v/>
      </c>
      <c r="JH75" s="28" t="str">
        <f>IF(Compositions!AG140="","",IF(Compositions!$AG$118="mol%",Compositions!AG140,JI75))</f>
        <v/>
      </c>
      <c r="JI75" s="28" t="str">
        <f t="shared" si="46"/>
        <v/>
      </c>
      <c r="JJ75" s="28" t="str">
        <f>IF(Compositions!AG140="","",(Compositions!AG140/(VLOOKUP(Compositions!AE140,'HHV-LHV-MW'!$A$3:$F$40,6,FALSE))))</f>
        <v/>
      </c>
      <c r="JK75" s="26" t="str">
        <f>IF(JH75="","",((VLOOKUP(Compositions!AE140,'HHV-LHV-MW'!$A$3:$F$40,4,FALSE))*(JH75/100)))</f>
        <v/>
      </c>
      <c r="JL75" s="26" t="str">
        <f>IF(JH75="","",((VLOOKUP(Compositions!AE140,'HHV-LHV-MW'!$A$3:$F$40,5,FALSE))*(JH75/100)))</f>
        <v/>
      </c>
      <c r="JM75" s="26" t="str">
        <f>IF(JH75="","",((VLOOKUP(Compositions!AE140,'HHV-LHV-MW'!$A$3:$F$40,6,FALSE))*(JH75/100)))</f>
        <v/>
      </c>
      <c r="JN75" s="26" t="str">
        <f>IF(Compositions!AG140="","",(Compositions!AG140*(VLOOKUP(Compositions!AE140,'HHV-LHV-MW'!$A$3:$F$40,6,FALSE))))</f>
        <v/>
      </c>
      <c r="JO75" s="297" t="str">
        <f>IF(Compositions!AG140="","",IF(OR(Compositions!$AG$118="wt%",Compositions!$AG$118=""),Compositions!AG140,(IF(JN75="","",((JN75/$JN$78)*100)))))</f>
        <v/>
      </c>
      <c r="JP75" s="39" t="str">
        <f>IF(JO75="","",(IF(OR(Compositions!AE140="Hydrogen",Compositions!AE140="Helium",Compositions!AE140="Water",Compositions!AE140="Carbon Monoxide",Compositions!AE140="Nitrogen",Compositions!AE140="Oxygen",Compositions!AE140="Hydrogen Sulfide",Compositions!AE140="Argon",Compositions!AE140="Carbon Dioxide",Compositions!AE140="Carbon Disulfide"),0,JO75)))</f>
        <v/>
      </c>
      <c r="JQ75" s="186" t="str">
        <f>IF(Compositions!AG140="","",((JH75/100)*((VLOOKUP(Compositions!AE140,'HHV-LHV-MW'!$A$3:$G$40,7,FALSE)))))</f>
        <v/>
      </c>
      <c r="JR75" s="186" t="str">
        <f>IF(JH75="","",(IF(OR(Compositions!AE140="Hydrogen",Compositions!AE140="Carbon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Dioxide",Compositions!AE140="Methane",Compositions!AE140="Ethane"),0,(JH75/100))))</f>
        <v/>
      </c>
      <c r="JS75" s="39" t="str">
        <f>IF(JH75="","",(IF(OR($JR$78=0,$JR$78=""),0,      ((VLOOKUP(Compositions!AE140,'HHV-LHV-MW'!$A$3:$F$40,6,FALSE))*(JR75/$JR$78)))))</f>
        <v/>
      </c>
      <c r="JT75" s="27" t="str">
        <f>IF(Compositions!AH140="","",IF(Compositions!$AH$118="mol%",Compositions!AH140,JU75))</f>
        <v/>
      </c>
      <c r="JU75" s="27" t="str">
        <f t="shared" si="47"/>
        <v/>
      </c>
      <c r="JV75" s="27" t="str">
        <f>IF(Compositions!AH140="","",(Compositions!AH140/(VLOOKUP(Compositions!AE140,'HHV-LHV-MW'!$A$3:$F$40,6,FALSE))))</f>
        <v/>
      </c>
      <c r="JW75" s="25" t="str">
        <f>IF(JT75="","",((VLOOKUP(Compositions!AE140,'HHV-LHV-MW'!$A$3:$F$40,4,FALSE))*(JT75/100)))</f>
        <v/>
      </c>
      <c r="JX75" s="25" t="str">
        <f>IF(JT75="","",((VLOOKUP(Compositions!AE140,'HHV-LHV-MW'!$A$3:$F$40,5,FALSE))*(JT75/100)))</f>
        <v/>
      </c>
      <c r="JY75" s="25" t="str">
        <f>IF(JT75="","",((VLOOKUP(Compositions!AE140,'HHV-LHV-MW'!$A$3:$F$40,6,FALSE))*(JT75/100)))</f>
        <v/>
      </c>
      <c r="JZ75" s="25" t="str">
        <f>IF(Compositions!AH140="","",(Compositions!AH140*(VLOOKUP(Compositions!AE140,'HHV-LHV-MW'!$A$3:$F$40,6,FALSE))))</f>
        <v/>
      </c>
      <c r="KA75" s="298" t="str">
        <f>IF(Compositions!AH140="","",IF(OR(Compositions!$AH$118="wt%",Compositions!$AH$118=""),Compositions!AH140,(IF(JZ75="","",((JZ75/$JZ$78)*100)))))</f>
        <v/>
      </c>
      <c r="KB75" s="185" t="str">
        <f>IF(KA75="","",(IF(OR(Compositions!AE140="Hydrogen",Compositions!AE140="Helium",Compositions!AE140="Water",Compositions!AE140="Carbon Monoxide",Compositions!AE140="Nitrogen",Compositions!AE140="Oxygen",Compositions!AE140="Hydrogen Sulfide",Compositions!AE140="Argon",Compositions!AE140="Carbon Dioxide",Compositions!AE140="Carbon Disulfide"),0,KA75)))</f>
        <v/>
      </c>
      <c r="KC75" s="187" t="str">
        <f>IF(Compositions!AH140="","",((JT75/100)*((VLOOKUP(Compositions!AE140,'HHV-LHV-MW'!$A$3:$G$40,7,FALSE)))))</f>
        <v/>
      </c>
      <c r="KD75" s="187" t="str">
        <f>IF(JT75="","",(IF(OR(Compositions!AE140="Hydrogen",Compositions!AE140="Carbon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Dioxide",Compositions!AE140="Methane",Compositions!AE140="Ethane"),0,(JT75/100))))</f>
        <v/>
      </c>
      <c r="KE75" s="205" t="str">
        <f>IF(JT75="","",(IF(OR($KD$78=0,$KD$78=""),0,      ((VLOOKUP(Compositions!AE140,'HHV-LHV-MW'!$A$3:$F$40,6,FALSE))*(KD75/$KD$78)))))</f>
        <v/>
      </c>
      <c r="KF75" s="28" t="str">
        <f>IF(Compositions!AI140="","",IF(Compositions!$AI$118="mol%",Compositions!AI140,KG75))</f>
        <v/>
      </c>
      <c r="KG75" s="28" t="str">
        <f t="shared" si="48"/>
        <v/>
      </c>
      <c r="KH75" s="28" t="str">
        <f>IF(Compositions!AI140="","",(Compositions!AI140/(VLOOKUP(Compositions!AE140,'HHV-LHV-MW'!$A$3:$F$40,6,FALSE))))</f>
        <v/>
      </c>
      <c r="KI75" s="26" t="str">
        <f>IF(KF75="","",((VLOOKUP(Compositions!AE140,'HHV-LHV-MW'!$A$3:$F$40,4,FALSE))*(KF75/100)))</f>
        <v/>
      </c>
      <c r="KJ75" s="26" t="str">
        <f>IF(KF75="","",((VLOOKUP(Compositions!AE140,'HHV-LHV-MW'!$A$3:$F$40,5,FALSE))*(KF75/100)))</f>
        <v/>
      </c>
      <c r="KK75" s="26" t="str">
        <f>IF(KF75="","",((VLOOKUP(Compositions!AE140,'HHV-LHV-MW'!$A$3:$F$40,6,FALSE))*(KF75/100)))</f>
        <v/>
      </c>
      <c r="KL75" s="26" t="str">
        <f>IF(Compositions!AI140="","",(Compositions!AI140*(VLOOKUP(Compositions!AE140,'HHV-LHV-MW'!$A$3:$F$40,6,FALSE))))</f>
        <v/>
      </c>
      <c r="KM75" s="297" t="str">
        <f>IF(Compositions!AI140="","",IF(OR(Compositions!$AI$118="wt%",Compositions!$AI$118=""),Compositions!AI140,(IF(KL75="","",((KL75/$KL$78)*100)))))</f>
        <v/>
      </c>
      <c r="KN75" s="39" t="str">
        <f>IF(KM75="","",(IF(OR(Compositions!AE140="Hydrogen",Compositions!AE140="Helium",Compositions!AE140="Water",Compositions!AE140="Carbon Monoxide",Compositions!AE140="Nitrogen",Compositions!AE140="Oxygen",Compositions!AE140="Hydrogen Sulfide",Compositions!AE140="Argon",Compositions!AE140="Carbon Dioxide",Compositions!AE140="Carbon Disulfide"),0,KM75)))</f>
        <v/>
      </c>
      <c r="KO75" s="186" t="str">
        <f>IF(Compositions!AI140="","",((KF75/100)*((VLOOKUP(Compositions!AE140,'HHV-LHV-MW'!$A$3:$G$40,7,FALSE)))))</f>
        <v/>
      </c>
      <c r="KP75" s="186" t="str">
        <f>IF(KF75="","",(IF(OR(Compositions!AE140="Hydrogen",Compositions!AE140="Carbon Disulfide",Compositions!AE140="Helium",Compositions!AE140="Water",Compositions!AE140="Carbon Monoxide",Compositions!AE140="Nitrogen",Compositions!AE140="Oxygen",Compositions!AE140="Hydrogen Sulfide",Compositions!AE140="Argon",Compositions!AE140="Carbon Dioxide",Compositions!AE140="Methane",Compositions!AE140="Ethane"),0,(KF75/100))))</f>
        <v/>
      </c>
      <c r="KQ75" s="39" t="str">
        <f>IF(KF75="","",(IF(OR($KP$78=0,$KP$78=""),0,      ((VLOOKUP(Compositions!AE140,'HHV-LHV-MW'!$A$3:$F$40,6,FALSE))*(KP75/$KP$78)))))</f>
        <v/>
      </c>
      <c r="KS75" s="27" t="str">
        <f>IF(Compositions!AL140="","",IF(Compositions!$AL$118="mol%",Compositions!AL140,KT75))</f>
        <v/>
      </c>
      <c r="KT75" s="27" t="str">
        <f t="shared" si="49"/>
        <v/>
      </c>
      <c r="KU75" s="27" t="str">
        <f>IF(Compositions!AL140="","",(Compositions!AL140/(VLOOKUP(Compositions!AK140,'HHV-LHV-MW'!$A$3:$F$40,6,FALSE))))</f>
        <v/>
      </c>
      <c r="KV75" s="185" t="str">
        <f>IF(KS75="","",((VLOOKUP(Compositions!AK140,'HHV-LHV-MW'!$A$3:$F$40,4,FALSE))*(KS75/100)))</f>
        <v/>
      </c>
      <c r="KW75" s="185" t="str">
        <f>IF(KS75="","",((VLOOKUP(Compositions!AK140,'HHV-LHV-MW'!$A$3:$F$40,5,FALSE))*(KS75/100)))</f>
        <v/>
      </c>
      <c r="KX75" s="185" t="str">
        <f>IF(KS75="","",((VLOOKUP(Compositions!AK140,'HHV-LHV-MW'!$A$3:$F$40,6,FALSE))*(KS75/100)))</f>
        <v/>
      </c>
      <c r="KY75" s="185" t="str">
        <f>IF(Compositions!AL140="","",(Compositions!AL140*(VLOOKUP(Compositions!AK140,'HHV-LHV-MW'!$A$3:$F$40,6,FALSE))))</f>
        <v/>
      </c>
      <c r="KZ75" s="298" t="str">
        <f>IF(Compositions!AL140="","",IF(OR(Compositions!$AL$118="wt%",Compositions!$AL$118=""),Compositions!AL140,(IF(KY75="","",((KY75/$KY$78)*100)))))</f>
        <v/>
      </c>
      <c r="LA75" s="185" t="str">
        <f>IF(KZ75="","",(IF(OR(Compositions!AK140="Hydrogen",Compositions!AK140="Helium",Compositions!AK140="Water",Compositions!AK140="Carbon Monoxide",Compositions!AK140="Nitrogen",Compositions!AK140="Oxygen",Compositions!AK140="Hydrogen Sulfide",Compositions!AK140="Argon",Compositions!AK140="Carbon Dioxide",Compositions!AK140="Carbon Disulfide"),0,KZ75)))</f>
        <v/>
      </c>
      <c r="LB75" s="187" t="str">
        <f>IF(Compositions!AL140="","",((KS75/100)*((VLOOKUP(Compositions!AK140,'HHV-LHV-MW'!$A$3:$G$40,7,FALSE)))))</f>
        <v/>
      </c>
      <c r="LC75" s="187" t="str">
        <f>IF(KS75="","",(IF(OR(Compositions!AK140="Hydrogen",Compositions!AK140="Carbon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Dioxide",Compositions!AK140="Methane",Compositions!AK140="Ethane"),0,(KS75/100))))</f>
        <v/>
      </c>
      <c r="LD75" s="205" t="str">
        <f>IF(KS75="","",(IF(OR($LC$78=0,$LC$78=""),0,      ((VLOOKUP(Compositions!AK140,'HHV-LHV-MW'!$A$3:$F$40,6,FALSE))*(LC75/$LC$78)))))</f>
        <v/>
      </c>
      <c r="LE75" s="28" t="str">
        <f>IF(Compositions!AM140="","",IF(Compositions!$AM$118="mol%",Compositions!AM140,LF75))</f>
        <v/>
      </c>
      <c r="LF75" s="28" t="str">
        <f t="shared" si="50"/>
        <v/>
      </c>
      <c r="LG75" s="28" t="str">
        <f>IF(Compositions!AM140="","",(Compositions!AM140/(VLOOKUP(Compositions!AK140,'HHV-LHV-MW'!$A$3:$F$40,6,FALSE))))</f>
        <v/>
      </c>
      <c r="LH75" s="184" t="str">
        <f>IF(LE75="","",((VLOOKUP(Compositions!AK140,'HHV-LHV-MW'!$A$3:$F$40,4,FALSE))*(LE75/100)))</f>
        <v/>
      </c>
      <c r="LI75" s="184" t="str">
        <f>IF(LE75="","",((VLOOKUP(Compositions!AK140,'HHV-LHV-MW'!$A$3:$F$40,5,FALSE))*(LE75/100)))</f>
        <v/>
      </c>
      <c r="LJ75" s="184" t="str">
        <f>IF(LE75="","",((VLOOKUP(Compositions!AK140,'HHV-LHV-MW'!$A$3:$F$40,6,FALSE))*(LE75/100)))</f>
        <v/>
      </c>
      <c r="LK75" s="184" t="str">
        <f>IF(Compositions!AM140="","",(Compositions!AM140*(VLOOKUP(Compositions!AK140,'HHV-LHV-MW'!$A$3:$F$40,6,FALSE))))</f>
        <v/>
      </c>
      <c r="LL75" s="297" t="str">
        <f>IF(Compositions!AM140="","",IF(OR(Compositions!$AM$118="wt%",Compositions!$AM$118=""),Compositions!AM140,(IF(LK75="","",((LK75/$LK$78)*100)))))</f>
        <v/>
      </c>
      <c r="LM75" s="39" t="str">
        <f>IF(LL75="","",(IF(OR(Compositions!AK140="Hydrogen",Compositions!AK140="Helium",Compositions!AK140="Water",Compositions!AK140="Carbon Monoxide",Compositions!AK140="Nitrogen",Compositions!AK140="Oxygen",Compositions!AK140="Hydrogen Sulfide",Compositions!AK140="Argon",Compositions!AK140="Carbon Dioxide",Compositions!AK140="Carbon Disulfide"),0,LL75)))</f>
        <v/>
      </c>
      <c r="LN75" s="186" t="str">
        <f>IF(Compositions!AM140="","",((LE75/100)*((VLOOKUP(Compositions!AK140,'HHV-LHV-MW'!$A$3:$G$40,7,FALSE)))))</f>
        <v/>
      </c>
      <c r="LO75" s="186" t="str">
        <f>IF(LE75="","",(IF(OR(Compositions!AK140="Hydrogen",Compositions!AK140="Carbon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Dioxide",Compositions!AK140="Methane",Compositions!AK140="Ethane"),0,(LE75/100))))</f>
        <v/>
      </c>
      <c r="LP75" s="39" t="str">
        <f>IF(LE75="","",(IF(OR($LO$78=0,$LO$78=""),0,     ((VLOOKUP(Compositions!AK140,'HHV-LHV-MW'!$A$3:$F$40,6,FALSE))*(LO75/$LO$78)))))</f>
        <v/>
      </c>
      <c r="LQ75" s="27" t="str">
        <f>IF(Compositions!AN140="","",IF(Compositions!$AN$118="mol%",Compositions!AN140,LR75))</f>
        <v/>
      </c>
      <c r="LR75" s="27" t="str">
        <f t="shared" si="51"/>
        <v/>
      </c>
      <c r="LS75" s="27" t="str">
        <f>IF(Compositions!AN140="","",(Compositions!AN140/(VLOOKUP(Compositions!AK140,'HHV-LHV-MW'!$A$3:$F$40,6,FALSE))))</f>
        <v/>
      </c>
      <c r="LT75" s="185" t="str">
        <f>IF(LQ75="","",((VLOOKUP(Compositions!AK140,'HHV-LHV-MW'!$A$3:$F$40,4,FALSE))*(LQ75/100)))</f>
        <v/>
      </c>
      <c r="LU75" s="185" t="str">
        <f>IF(LQ75="","",((VLOOKUP(Compositions!AK140,'HHV-LHV-MW'!$A$3:$F$40,5,FALSE))*(LQ75/100)))</f>
        <v/>
      </c>
      <c r="LV75" s="185" t="str">
        <f>IF(LQ75="","",((VLOOKUP(Compositions!AK140,'HHV-LHV-MW'!$A$3:$F$40,6,FALSE))*(LQ75/100)))</f>
        <v/>
      </c>
      <c r="LW75" s="185" t="str">
        <f>IF(Compositions!AN140="","",(Compositions!AN140*(VLOOKUP(Compositions!AK140,'HHV-LHV-MW'!$A$3:$F$40,6,FALSE))))</f>
        <v/>
      </c>
      <c r="LX75" s="298" t="str">
        <f>IF(Compositions!AN140="","",IF(OR(Compositions!$AN$118="wt%",Compositions!$AN$118=""),Compositions!AN140,(IF(LW75="","",((LW75/$LW$78)*100)))))</f>
        <v/>
      </c>
      <c r="LY75" s="185" t="str">
        <f>IF(LX75="","",(IF(OR(Compositions!AK140="Hydrogen",Compositions!AK140="Helium",Compositions!AK140="Water",Compositions!AK140="Carbon Monoxide",Compositions!AK140="Nitrogen",Compositions!AK140="Oxygen",Compositions!AK140="Hydrogen Sulfide",Compositions!AK140="Argon",Compositions!AK140="Carbon Dioxide",Compositions!AK140="Carbon Disulfide"),0,LX75)))</f>
        <v/>
      </c>
      <c r="LZ75" s="187" t="str">
        <f>IF(Compositions!AN140="","",((LQ75/100)*((VLOOKUP(Compositions!AK140,'HHV-LHV-MW'!$A$3:$G$40,7,FALSE)))))</f>
        <v/>
      </c>
      <c r="MA75" s="187" t="str">
        <f>IF(LQ75="","",(IF(OR(Compositions!AK140="Hydrogen",Compositions!AK140="Carbon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Dioxide",Compositions!AK140="Methane",Compositions!AK140="Ethane"),0,(LQ75/100))))</f>
        <v/>
      </c>
      <c r="MB75" s="205" t="str">
        <f>IF(LQ75="","",(IF(OR($MA$78=0,$MA$78=""),0,     ((VLOOKUP(Compositions!AK140,'HHV-LHV-MW'!$A$3:$F$40,6,FALSE))*(MA75/$MA$78)))))</f>
        <v/>
      </c>
      <c r="MC75" s="28" t="str">
        <f>IF(Compositions!AO140="","",IF(Compositions!$AO$118="mol%",Compositions!AO140,MD75))</f>
        <v/>
      </c>
      <c r="MD75" s="28" t="str">
        <f t="shared" si="52"/>
        <v/>
      </c>
      <c r="ME75" s="28" t="str">
        <f>IF(Compositions!AO140="","",(Compositions!AO140/(VLOOKUP(Compositions!AK140,'HHV-LHV-MW'!$A$3:$F$40,6,FALSE))))</f>
        <v/>
      </c>
      <c r="MF75" s="184" t="str">
        <f>IF(MC75="","",((VLOOKUP(Compositions!AK140,'HHV-LHV-MW'!$A$3:$F$40,4,FALSE))*(MC75/100)))</f>
        <v/>
      </c>
      <c r="MG75" s="184" t="str">
        <f>IF(MC75="","",((VLOOKUP(Compositions!AK140,'HHV-LHV-MW'!$A$3:$F$40,5,FALSE))*(MC75/100)))</f>
        <v/>
      </c>
      <c r="MH75" s="184" t="str">
        <f>IF(MC75="","",((VLOOKUP(Compositions!AK140,'HHV-LHV-MW'!$A$3:$F$40,6,FALSE))*(MC75/100)))</f>
        <v/>
      </c>
      <c r="MI75" s="184" t="str">
        <f>IF(Compositions!AO140="","",(Compositions!AO140*(VLOOKUP(Compositions!AK140,'HHV-LHV-MW'!$A$3:$F$40,6,FALSE))))</f>
        <v/>
      </c>
      <c r="MJ75" s="297" t="str">
        <f>IF(Compositions!AO140="","",IF(OR(Compositions!$AO$118="wt%",Compositions!$AO$118=""),Compositions!AO140,(IF(MI75="","",((MI75/$MI$78)*100)))))</f>
        <v/>
      </c>
      <c r="MK75" s="39" t="str">
        <f>IF(MJ75="","",(IF(OR(Compositions!AK140="Hydrogen",Compositions!AK140="Helium",Compositions!AK140="Water",Compositions!AK140="Carbon Monoxide",Compositions!AK140="Nitrogen",Compositions!AK140="Oxygen",Compositions!AK140="Hydrogen Sulfide",Compositions!AK140="Argon",Compositions!AK140="Carbon Dioxide",Compositions!AK140="Carbon Disulfide"),0,MJ75)))</f>
        <v/>
      </c>
      <c r="ML75" s="186" t="str">
        <f>IF(Compositions!AO140="","",((MC75/100)*((VLOOKUP(Compositions!AK140,'HHV-LHV-MW'!$A$3:$G$40,7,FALSE)))))</f>
        <v/>
      </c>
      <c r="MM75" s="186" t="str">
        <f>IF(MC75="","",(IF(OR(Compositions!AK140="Hydrogen",Compositions!AK140="Carbon Disulfide",Compositions!AK140="Helium",Compositions!AK140="Water",Compositions!AK140="Carbon Monoxide",Compositions!AK140="Nitrogen",Compositions!AK140="Oxygen",Compositions!AK140="Hydrogen Sulfide",Compositions!AK140="Argon",Compositions!AK140="Carbon Dioxide",Compositions!AK140="Methane",Compositions!AK140="Ethane"),0,(MC75/100))))</f>
        <v/>
      </c>
      <c r="MN75" s="39" t="str">
        <f>IF(MC75="","",(IF(OR($MM$78=0,$MM$78=""),0,     ((VLOOKUP(Compositions!AK140,'HHV-LHV-MW'!$A$3:$F$40,6,FALSE))*(MM75/$MM$78)))))</f>
        <v/>
      </c>
      <c r="MP75" s="27" t="str">
        <f>IF(Compositions!AR140="","",IF(Compositions!$AR$118="mol%",Compositions!AR140,MQ75))</f>
        <v/>
      </c>
      <c r="MQ75" s="27" t="str">
        <f>IF(MR75="","",((MR75/$MR$78)*100))</f>
        <v/>
      </c>
      <c r="MR75" s="27" t="str">
        <f>IF(Compositions!AR140="","",(Compositions!AR140/(VLOOKUP(Compositions!AQ140,'HHV-LHV-MW'!$A$3:$F$40,6,FALSE))))</f>
        <v/>
      </c>
      <c r="MS75" s="185" t="str">
        <f>IF(MP75="","",((VLOOKUP(Compositions!AQ140,'HHV-LHV-MW'!$A$3:$F$40,4,FALSE))*(MP75/100)))</f>
        <v/>
      </c>
      <c r="MT75" s="185" t="str">
        <f>IF(MP75="","",((VLOOKUP(Compositions!AQ140,'HHV-LHV-MW'!$A$3:$F$40,5,FALSE))*(MP75/100)))</f>
        <v/>
      </c>
      <c r="MU75" s="185" t="str">
        <f>IF(MP75="","",((VLOOKUP(Compositions!AQ140,'HHV-LHV-MW'!$A$3:$F$40,6,FALSE))*(MP75/100)))</f>
        <v/>
      </c>
      <c r="MV75" s="185" t="str">
        <f>IF(Compositions!AR140="","",(Compositions!AR140*(VLOOKUP(Compositions!AQ140,'HHV-LHV-MW'!$A$3:$F$40,6,FALSE))))</f>
        <v/>
      </c>
      <c r="MW75" s="298" t="str">
        <f>IF(Compositions!AR140="","",IF(OR(Compositions!$AR$118="wt%",Compositions!$AR$118=""),Compositions!AR140,(IF(MV75="","",((MV75/$MV$78)*100)))))</f>
        <v/>
      </c>
      <c r="MX75" s="185" t="str">
        <f>IF(MW75="","",(IF(OR(Compositions!AQ140="Hydrogen",Compositions!AQ140="Helium",Compositions!AQ140="Water",Compositions!AQ140="Carbon Monoxide",Compositions!AQ140="Nitrogen",Compositions!AQ140="Oxygen",Compositions!AQ140="Hydrogen Sulfide",Compositions!AQ140="Argon",Compositions!AQ140="Carbon Dioxide",Compositions!AQ140="Carbon Disulfide"),0,MW75)))</f>
        <v/>
      </c>
      <c r="MY75" s="187" t="str">
        <f>IF(Compositions!AR140="","",((MP75/100)*((VLOOKUP(Compositions!AQ140,'HHV-LHV-MW'!$A$3:$G$40,7,FALSE)))))</f>
        <v/>
      </c>
      <c r="MZ75" s="187" t="str">
        <f>IF(MP75="","",(IF(OR(Compositions!AQ140="Hydrogen",Compositions!AQ140="Carbon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Dioxide",Compositions!AQ140="Methane",Compositions!AQ140="Ethane"),0,(MP75/100))))</f>
        <v/>
      </c>
      <c r="NA75" s="205" t="str">
        <f>IF(MP75="","",(IF(OR($MZ$78=0,$MZ$78=""),0,     ((VLOOKUP(Compositions!AQ140,'HHV-LHV-MW'!$A$3:$F$40,6,FALSE))*(MZ75/$MZ$78)))))</f>
        <v/>
      </c>
      <c r="NB75" s="28" t="str">
        <f>IF(Compositions!AS140="","",IF(Compositions!$AS$118="mol%",Compositions!AS140,NC75))</f>
        <v/>
      </c>
      <c r="NC75" s="28" t="str">
        <f t="shared" si="54"/>
        <v/>
      </c>
      <c r="ND75" s="28" t="str">
        <f>IF(Compositions!AS140="","",(Compositions!AS140/(VLOOKUP(Compositions!AQ140,'HHV-LHV-MW'!$A$3:$F$40,6,FALSE))))</f>
        <v/>
      </c>
      <c r="NE75" s="184" t="str">
        <f>IF(NB75="","",((VLOOKUP(Compositions!AQ140,'HHV-LHV-MW'!$A$3:$F$40,4,FALSE))*(NB75/100)))</f>
        <v/>
      </c>
      <c r="NF75" s="184" t="str">
        <f>IF(NB75="","",((VLOOKUP(Compositions!AQ140,'HHV-LHV-MW'!$A$3:$F$40,5,FALSE))*(NB75/100)))</f>
        <v/>
      </c>
      <c r="NG75" s="184" t="str">
        <f>IF(NB75="","",((VLOOKUP(Compositions!AQ140,'HHV-LHV-MW'!$A$3:$F$40,6,FALSE))*(NB75/100)))</f>
        <v/>
      </c>
      <c r="NH75" s="184" t="str">
        <f>IF(Compositions!AS140="","",(Compositions!AS140*(VLOOKUP(Compositions!AQ140,'HHV-LHV-MW'!$A$3:$F$40,6,FALSE))))</f>
        <v/>
      </c>
      <c r="NI75" s="297" t="str">
        <f>IF(Compositions!AS140="","",IF(OR(Compositions!$AS$118="wt%",Compositions!$AS$118=""),Compositions!AS140,(IF(NH75="","",((NH75/$NH$78)*100)))))</f>
        <v/>
      </c>
      <c r="NJ75" s="39" t="str">
        <f>IF(NI75="","",(IF(OR(Compositions!AQ140="Hydrogen",Compositions!AQ140="Helium",Compositions!AQ140="Water",Compositions!AQ140="Carbon Monoxide",Compositions!AQ140="Nitrogen",Compositions!AQ140="Oxygen",Compositions!AQ140="Hydrogen Sulfide",Compositions!AQ140="Argon",Compositions!AQ140="Carbon Dioxide",Compositions!AQ140="Carbon Disulfide"),0,NI75)))</f>
        <v/>
      </c>
      <c r="NK75" s="186" t="str">
        <f>IF(Compositions!AS140="","",((NB75/100)*((VLOOKUP(Compositions!AQ140,'HHV-LHV-MW'!$A$3:$G$40,7,FALSE)))))</f>
        <v/>
      </c>
      <c r="NL75" s="186" t="str">
        <f>IF(NB75="","",(IF(OR(Compositions!AQ140="Hydrogen",Compositions!AQ140="Carbon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Dioxide",Compositions!AQ140="Methane",Compositions!AQ140="Ethane"),0,(NB75/100))))</f>
        <v/>
      </c>
      <c r="NM75" s="39" t="str">
        <f>IF(NB75="","",(IF(OR($NL$78=0,$NL$78=""),0,     ((VLOOKUP(Compositions!AQ140,'HHV-LHV-MW'!$A$3:$F$40,6,FALSE))*(NL75/$NL$78)))))</f>
        <v/>
      </c>
      <c r="NN75" s="27" t="str">
        <f>IF(Compositions!AT140="","",IF(Compositions!$AT$118="mol%",Compositions!AT140,NO75))</f>
        <v/>
      </c>
      <c r="NO75" s="27" t="str">
        <f t="shared" si="55"/>
        <v/>
      </c>
      <c r="NP75" s="27" t="str">
        <f>IF(Compositions!AT140="","",(Compositions!AT140/(VLOOKUP(Compositions!AQ140,'HHV-LHV-MW'!$A$3:$F$40,6,FALSE))))</f>
        <v/>
      </c>
      <c r="NQ75" s="185" t="str">
        <f>IF(NN75="","",((VLOOKUP(Compositions!AQ140,'HHV-LHV-MW'!$A$3:$F$40,4,FALSE))*(NN75/100)))</f>
        <v/>
      </c>
      <c r="NR75" s="185" t="str">
        <f>IF(NN75="","",((VLOOKUP(Compositions!AQ140,'HHV-LHV-MW'!$A$3:$F$40,5,FALSE))*(NN75/100)))</f>
        <v/>
      </c>
      <c r="NS75" s="185" t="str">
        <f>IF(NN75="","",((VLOOKUP(Compositions!AQ140,'HHV-LHV-MW'!$A$3:$F$40,6,FALSE))*(NN75/100)))</f>
        <v/>
      </c>
      <c r="NT75" s="185" t="str">
        <f>IF(Compositions!AT140="","",(Compositions!AT140*(VLOOKUP(Compositions!AQ140,'HHV-LHV-MW'!$A$3:$F$40,6,FALSE))))</f>
        <v/>
      </c>
      <c r="NU75" s="298" t="str">
        <f>IF(Compositions!AT140="","",IF(OR(Compositions!$AT$118="wt%",Compositions!$AT$118=""),Compositions!AT140,(IF(NT75="","",((NT75/$NT$78)*100)))))</f>
        <v/>
      </c>
      <c r="NV75" s="185" t="str">
        <f>IF(NU75="","",(IF(OR(Compositions!AQ140="Hydrogen",Compositions!AQ140="Helium",Compositions!AQ140="Water",Compositions!AQ140="Carbon Monoxide",Compositions!AQ140="Nitrogen",Compositions!AQ140="Oxygen",Compositions!AQ140="Hydrogen Sulfide",Compositions!AQ140="Argon",Compositions!AQ140="Carbon Dioxide",Compositions!AQ140="Carbon Disulfide"),0,NU75)))</f>
        <v/>
      </c>
      <c r="NW75" s="187" t="str">
        <f>IF(Compositions!AT140="","",((NN75/100)*((VLOOKUP(Compositions!AQ140,'HHV-LHV-MW'!$A$3:$G$40,7,FALSE)))))</f>
        <v/>
      </c>
      <c r="NX75" s="187" t="str">
        <f>IF(NN75="","",(IF(OR(Compositions!AQ140="Hydrogen",Compositions!AQ140="Carbon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Dioxide",Compositions!AQ140="Methane",Compositions!AQ140="Ethane"),0,(NN75/100))))</f>
        <v/>
      </c>
      <c r="NY75" s="205" t="str">
        <f>IF(NN75="","",(IF(OR($NX$78=0,$NX$78=""),0,     ((VLOOKUP(Compositions!AQ140,'HHV-LHV-MW'!$A$3:$F$40,6,FALSE))*(NX75/$NX$78)))))</f>
        <v/>
      </c>
      <c r="NZ75" s="28" t="str">
        <f>IF(Compositions!AU140="","",IF(Compositions!$AU$118="mol%",Compositions!AU140,OA75))</f>
        <v/>
      </c>
      <c r="OA75" s="28" t="str">
        <f t="shared" si="56"/>
        <v/>
      </c>
      <c r="OB75" s="28" t="str">
        <f>IF(Compositions!AU140="","",(Compositions!AU140/(VLOOKUP(Compositions!AQ140,'HHV-LHV-MW'!$A$3:$F$40,6,FALSE))))</f>
        <v/>
      </c>
      <c r="OC75" s="184" t="str">
        <f>IF(NZ75="","",((VLOOKUP(Compositions!AQ140,'HHV-LHV-MW'!$A$3:$F$40,4,FALSE))*(NZ75/100)))</f>
        <v/>
      </c>
      <c r="OD75" s="184" t="str">
        <f>IF(NZ75="","",((VLOOKUP(Compositions!AQ140,'HHV-LHV-MW'!$A$3:$F$40,5,FALSE))*(NZ75/100)))</f>
        <v/>
      </c>
      <c r="OE75" s="184" t="str">
        <f>IF(NZ75="","",((VLOOKUP(Compositions!AQ140,'HHV-LHV-MW'!$A$3:$F$40,6,FALSE))*(NZ75/100)))</f>
        <v/>
      </c>
      <c r="OF75" s="184" t="str">
        <f>IF(Compositions!AU140="","",(Compositions!AU140*(VLOOKUP(Compositions!AQ140,'HHV-LHV-MW'!$A$3:$F$40,6,FALSE))))</f>
        <v/>
      </c>
      <c r="OG75" s="297" t="str">
        <f>IF(Compositions!AU140="","",IF(OR(Compositions!$AU$118="wt%",Compositions!$AU$118=""),Compositions!AU140,(IF(OF75="","",((OF75/$OF$78)*100)))))</f>
        <v/>
      </c>
      <c r="OH75" s="39" t="str">
        <f>IF(OG75="","",(IF(OR(Compositions!AQ140="Hydrogen",Compositions!AQ140="Helium",Compositions!AQ140="Water",Compositions!AQ140="Carbon Monoxide",Compositions!AQ140="Nitrogen",Compositions!AQ140="Oxygen",Compositions!AQ140="Hydrogen Sulfide",Compositions!AQ140="Argon",Compositions!AQ140="Carbon Dioxide",Compositions!AQ140="Carbon Disulfide"),0,OG75)))</f>
        <v/>
      </c>
      <c r="OI75" s="186" t="str">
        <f>IF(Compositions!AU140="","",((NZ75/100)*((VLOOKUP(Compositions!AQ140,'HHV-LHV-MW'!$A$3:$G$40,7,FALSE)))))</f>
        <v/>
      </c>
      <c r="OJ75" s="186" t="str">
        <f>IF(NZ75="","",(IF(OR(Compositions!AQ140="Hydrogen",Compositions!AQ140="Carbon Disulfide",Compositions!AQ140="Helium",Compositions!AQ140="Water",Compositions!AQ140="Carbon Monoxide",Compositions!AQ140="Nitrogen",Compositions!AQ140="Oxygen",Compositions!AQ140="Hydrogen Sulfide",Compositions!AQ140="Argon",Compositions!AQ140="Carbon Dioxide",Compositions!AQ140="Methane",Compositions!AQ140="Ethane"),0,(NZ75/100))))</f>
        <v/>
      </c>
      <c r="OK75" s="39" t="str">
        <f>IF(NZ75="","",(IF(OR($OJ$78=0,$OJ$78=""),0,     ((VLOOKUP(Compositions!AQ140,'HHV-LHV-MW'!$A$3:$F$40,6,FALSE))*(OJ75/$OJ$78)))))</f>
        <v/>
      </c>
      <c r="ON75" s="27" t="str">
        <f>IF(Compositions!AX140="","",IF(Compositions!$AX$118="mol%",Compositions!AX140,OO75))</f>
        <v/>
      </c>
      <c r="OO75" s="27" t="str">
        <f t="shared" si="57"/>
        <v/>
      </c>
      <c r="OP75" s="27" t="str">
        <f>IF(Compositions!AX140="","",(Compositions!AX140/(VLOOKUP(Compositions!AW140,'HHV-LHV-MW'!$A$3:$F$40,6,FALSE))))</f>
        <v/>
      </c>
      <c r="OQ75" s="185" t="str">
        <f>IF(ON75="","",((VLOOKUP(Compositions!AW140,'HHV-LHV-MW'!$A$3:$F$40,4,FALSE))*(ON75/100)))</f>
        <v/>
      </c>
      <c r="OR75" s="185" t="str">
        <f>IF(ON75="","",((VLOOKUP(Compositions!AW140,'HHV-LHV-MW'!$A$3:$F$40,5,FALSE))*(ON75/100)))</f>
        <v/>
      </c>
      <c r="OS75" s="185" t="str">
        <f>IF(ON75="","",((VLOOKUP(Compositions!AW140,'HHV-LHV-MW'!$A$3:$F$40,6,FALSE))*(ON75/100)))</f>
        <v/>
      </c>
      <c r="OT75" s="185" t="str">
        <f>IF(Compositions!AX140="","",(Compositions!AX140*(VLOOKUP(Compositions!AW140,'HHV-LHV-MW'!$A$3:$F$40,6,FALSE))))</f>
        <v/>
      </c>
      <c r="OU75" s="298" t="str">
        <f>IF(Compositions!AX140="","",IF(OR(Compositions!$AX$118="wt%",Compositions!$AX$118=""),Compositions!AX140,(IF(OT75="","",((OT75/$OT$78)*100)))))</f>
        <v/>
      </c>
      <c r="OV75" s="185" t="str">
        <f>IF(OU75="","",(IF(OR(Compositions!AW140="Hydrogen",Compositions!AW140="Helium",Compositions!AW140="Water",Compositions!AW140="Carbon Monoxide",Compositions!AW140="Nitrogen",Compositions!AW140="Oxygen",Compositions!AW140="Hydrogen Sulfide",Compositions!AW140="Argon",Compositions!AW140="Carbon Dioxide",Compositions!AW140="Carbon Disulfide"),0,OU75)))</f>
        <v/>
      </c>
      <c r="OW75" s="187" t="str">
        <f>IF(Compositions!AX140="","",((ON75/100)*((VLOOKUP(Compositions!AW140,'HHV-LHV-MW'!$A$3:$G$40,7,FALSE)))))</f>
        <v/>
      </c>
      <c r="OX75" s="187" t="str">
        <f>IF(ON75="","",(IF(OR(Compositions!AW140="Hydrogen",Compositions!AW140="Carbon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Dioxide",Compositions!AW140="Methane",Compositions!AW140="Ethane"),0,(ON75/100))))</f>
        <v/>
      </c>
      <c r="OY75" s="205" t="str">
        <f>IF(ON75="","",(IF(OR($OX$78=0,$OX$78=""),0,     ((VLOOKUP(Compositions!AW140,'HHV-LHV-MW'!$A$3:$F$40,6,FALSE))*(OX75/$OX$78)))))</f>
        <v/>
      </c>
      <c r="OZ75" s="28" t="str">
        <f>IF(Compositions!AY140="","",IF(Compositions!$AY$118="mol%",Compositions!AY140,PA75))</f>
        <v/>
      </c>
      <c r="PA75" s="28" t="str">
        <f t="shared" si="64"/>
        <v/>
      </c>
      <c r="PB75" s="28" t="str">
        <f>IF(Compositions!AY140="","",(Compositions!AY140/(VLOOKUP(Compositions!AW140,'HHV-LHV-MW'!$A$3:$F$40,6,FALSE))))</f>
        <v/>
      </c>
      <c r="PC75" s="184" t="str">
        <f>IF(OZ75="","",((VLOOKUP(Compositions!AW140,'HHV-LHV-MW'!$A$3:$F$40,4,FALSE))*(OZ75/100)))</f>
        <v/>
      </c>
      <c r="PD75" s="184" t="str">
        <f>IF(OZ75="","",((VLOOKUP(Compositions!AW140,'HHV-LHV-MW'!$A$3:$F$40,5,FALSE))*(OZ75/100)))</f>
        <v/>
      </c>
      <c r="PE75" s="184" t="str">
        <f>IF(OZ75="","",((VLOOKUP(Compositions!AW140,'HHV-LHV-MW'!$A$3:$F$40,6,FALSE))*(OZ75/100)))</f>
        <v/>
      </c>
      <c r="PF75" s="184" t="str">
        <f>IF(Compositions!AY140="","",(Compositions!AY140*(VLOOKUP(Compositions!AW140,'HHV-LHV-MW'!$A$3:$F$40,6,FALSE))))</f>
        <v/>
      </c>
      <c r="PG75" s="297" t="str">
        <f>IF(Compositions!AY140="","",IF(OR(Compositions!$AY$118="wt%",Compositions!$AY$118=""),Compositions!AY140,(IF(PF75="","",((PF75/$PF$78)*100)))))</f>
        <v/>
      </c>
      <c r="PH75" s="39" t="str">
        <f>IF(PG75="","",(IF(OR(Compositions!AW140="Hydrogen",Compositions!AW140="Helium",Compositions!AW140="Water",Compositions!AW140="Carbon Monoxide",Compositions!AW140="Nitrogen",Compositions!AW140="Oxygen",Compositions!AW140="Hydrogen Sulfide",Compositions!AW140="Argon",Compositions!AW140="Carbon Dioxide",Compositions!AW140="Carbon Disulfide"),0,PG75)))</f>
        <v/>
      </c>
      <c r="PI75" s="186" t="str">
        <f>IF(Compositions!AY140="","",((OZ75/100)*((VLOOKUP(Compositions!AW140,'HHV-LHV-MW'!$A$3:$G$40,7,FALSE)))))</f>
        <v/>
      </c>
      <c r="PJ75" s="186" t="str">
        <f>IF(OZ75="","",(IF(OR(Compositions!AW140="Hydrogen",Compositions!AW140="Carbon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Dioxide",Compositions!AW140="Methane",Compositions!AW140="Ethane"),0,(OZ75/100))))</f>
        <v/>
      </c>
      <c r="PK75" s="39" t="str">
        <f>IF(OZ75="","",(IF(OR($PJ$78=0,$PJ$78=""),0,     ((VLOOKUP(Compositions!AW140,'HHV-LHV-MW'!$A$3:$F$40,6,FALSE))*(PJ75/$PJ$78)))))</f>
        <v/>
      </c>
      <c r="PL75" s="27" t="str">
        <f>IF(Compositions!AZ140="","",IF(Compositions!$AZ$118="mol%",Compositions!AZ140,PM75))</f>
        <v/>
      </c>
      <c r="PM75" s="27" t="str">
        <f t="shared" si="58"/>
        <v/>
      </c>
      <c r="PN75" s="27" t="str">
        <f>IF(Compositions!AZ140="","",(Compositions!AZ140/(VLOOKUP(Compositions!AW140,'HHV-LHV-MW'!$A$3:$F$40,6,FALSE))))</f>
        <v/>
      </c>
      <c r="PO75" s="185" t="str">
        <f>IF(PL75="","",((VLOOKUP(Compositions!AW140,'HHV-LHV-MW'!$A$3:$F$40,4,FALSE))*(PL75/100)))</f>
        <v/>
      </c>
      <c r="PP75" s="185" t="str">
        <f>IF(PL75="","",((VLOOKUP(Compositions!AW140,'HHV-LHV-MW'!$A$3:$F$40,5,FALSE))*(PL75/100)))</f>
        <v/>
      </c>
      <c r="PQ75" s="185" t="str">
        <f>IF(PL75="","",((VLOOKUP(Compositions!AW140,'HHV-LHV-MW'!$A$3:$F$40,6,FALSE))*(PL75/100)))</f>
        <v/>
      </c>
      <c r="PR75" s="185" t="str">
        <f>IF(Compositions!AZ140="","",(Compositions!AZ140*(VLOOKUP(Compositions!AW140,'HHV-LHV-MW'!$A$3:$F$40,6,FALSE))))</f>
        <v/>
      </c>
      <c r="PS75" s="298" t="str">
        <f>IF(Compositions!AZ140="","",IF(OR(Compositions!$AZ$118="wt%",Compositions!$AZ$118=""),Compositions!AZ140,(IF(PR75="","",((PR75/$PR$78)*100)))))</f>
        <v/>
      </c>
      <c r="PT75" s="185" t="str">
        <f>IF(PS75="","",(IF(OR(Compositions!AW140="Hydrogen",Compositions!AW140="Helium",Compositions!AW140="Water",Compositions!AW140="Carbon Monoxide",Compositions!AW140="Nitrogen",Compositions!AW140="Oxygen",Compositions!AW140="Hydrogen Sulfide",Compositions!AW140="Argon",Compositions!AW140="Carbon Dioxide",Compositions!AW140="Carbon Disulfide"),0,PS75)))</f>
        <v/>
      </c>
      <c r="PU75" s="187" t="str">
        <f>IF(Compositions!AZ140="","",((PL75/100)*((VLOOKUP(Compositions!AW140,'HHV-LHV-MW'!$A$3:$G$40,7,FALSE)))))</f>
        <v/>
      </c>
      <c r="PV75" s="187" t="str">
        <f>IF(PL75="","",(IF(OR(Compositions!AW140="Hydrogen",Compositions!AW140="Carbon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Dioxide",Compositions!AW140="Methane",Compositions!AW140="Ethane"),0,(PL75/100))))</f>
        <v/>
      </c>
      <c r="PW75" s="205" t="str">
        <f>IF(PL75="","",(IF(OR($PV$78=0,$PV$78=""),0,     ((VLOOKUP(Compositions!AW140,'HHV-LHV-MW'!$A$3:$F$40,6,FALSE))*(PV75/$PV$78)))))</f>
        <v/>
      </c>
      <c r="PX75" s="28" t="str">
        <f>IF(Compositions!BA140="","",IF(Compositions!$BA$118="mol%",Compositions!BA140,PY75))</f>
        <v/>
      </c>
      <c r="PY75" s="28" t="str">
        <f>IF(PZ75="","",((PZ75/$PZ$78)*100))</f>
        <v/>
      </c>
      <c r="PZ75" s="28" t="str">
        <f>IF(Compositions!BA140="","",(Compositions!BA140/(VLOOKUP(Compositions!AW140,'HHV-LHV-MW'!$A$3:$F$40,6,FALSE))))</f>
        <v/>
      </c>
      <c r="QA75" s="184" t="str">
        <f>IF(PX75="","",((VLOOKUP(Compositions!AW140,'HHV-LHV-MW'!$A$3:$F$40,4,FALSE))*(PX75/100)))</f>
        <v/>
      </c>
      <c r="QB75" s="184" t="str">
        <f>IF(PX75="","",((VLOOKUP(Compositions!AW140,'HHV-LHV-MW'!$A$3:$F$40,5,FALSE))*(PX75/100)))</f>
        <v/>
      </c>
      <c r="QC75" s="184" t="str">
        <f>IF(PX75="","",((VLOOKUP(Compositions!AW140,'HHV-LHV-MW'!$A$3:$F$40,6,FALSE))*(PX75/100)))</f>
        <v/>
      </c>
      <c r="QD75" s="184" t="str">
        <f>IF(Compositions!BA140="","",(Compositions!BA140*(VLOOKUP(Compositions!AW140,'HHV-LHV-MW'!$A$3:$F$40,6,FALSE))))</f>
        <v/>
      </c>
      <c r="QE75" s="297" t="str">
        <f>IF(Compositions!BA140="","",IF(OR(Compositions!$BA$118="wt%",Compositions!$BA$118=""),Compositions!BA140,(IF(QD75="","",((QD75/$QD$78)*100)))))</f>
        <v/>
      </c>
      <c r="QF75" s="39" t="str">
        <f>IF(QE75="","",(IF(OR(Compositions!AW140="Hydrogen",Compositions!AW140="Helium",Compositions!AW140="Water",Compositions!AW140="Carbon Monoxide",Compositions!AW140="Nitrogen",Compositions!AW140="Oxygen",Compositions!AW140="Hydrogen Sulfide",Compositions!AW140="Argon",Compositions!AW140="Carbon Dioxide",Compositions!AW140="Carbon Disulfide"),0,QE75)))</f>
        <v/>
      </c>
      <c r="QG75" s="186" t="str">
        <f>IF(Compositions!BA140="","",((PX75/100)*((VLOOKUP(Compositions!AW140,'HHV-LHV-MW'!$A$3:$G$40,7,FALSE)))))</f>
        <v/>
      </c>
      <c r="QH75" s="186" t="str">
        <f>IF(PX75="","",(IF(OR(Compositions!AW140="Hydrogen",Compositions!AW140="Carbon Disulfide",Compositions!AW140="Helium",Compositions!AW140="Water",Compositions!AW140="Carbon Monoxide",Compositions!AW140="Nitrogen",Compositions!AW140="Oxygen",Compositions!AW140="Hydrogen Sulfide",Compositions!AW140="Argon",Compositions!AW140="Carbon Dioxide",Compositions!AW140="Methane",Compositions!AW140="Ethane"),0,(PX75/100))))</f>
        <v/>
      </c>
      <c r="QI75" s="39" t="str">
        <f>IF(PX75="","",(IF(OR($QH$78=0,$QH$78=""),0,     ((VLOOKUP(Compositions!AW140,'HHV-LHV-MW'!$A$3:$F$40,6,FALSE))*(QH75/$QH$78)))))</f>
        <v/>
      </c>
      <c r="QK75" s="27" t="str">
        <f>IF(Compositions!BD140="","",IF(Compositions!$BD$118="mol%",Compositions!BD140,QL75))</f>
        <v/>
      </c>
      <c r="QL75" s="27" t="str">
        <f t="shared" si="60"/>
        <v/>
      </c>
      <c r="QM75" s="27" t="str">
        <f>IF(Compositions!BD140="","",(Compositions!BD140/(VLOOKUP(Compositions!BC140,'HHV-LHV-MW'!$A$3:$F$40,6,FALSE))))</f>
        <v/>
      </c>
      <c r="QN75" s="185" t="str">
        <f>IF(QK75="","",((VLOOKUP(Compositions!BC140,'HHV-LHV-MW'!$A$3:$F$40,4,FALSE))*(QK75/100)))</f>
        <v/>
      </c>
      <c r="QO75" s="185" t="str">
        <f>IF(QK75="","",((VLOOKUP(Compositions!BC140,'HHV-LHV-MW'!$A$3:$F$40,5,FALSE))*(QK75/100)))</f>
        <v/>
      </c>
      <c r="QP75" s="185" t="str">
        <f>IF(QK75="","",((VLOOKUP(Compositions!BC140,'HHV-LHV-MW'!$A$3:$F$40,6,FALSE))*(QK75/100)))</f>
        <v/>
      </c>
      <c r="QQ75" s="185" t="str">
        <f>IF(Compositions!BD140="","",(Compositions!BD140*(VLOOKUP(Compositions!BC140,'HHV-LHV-MW'!$A$3:$F$40,6,FALSE))))</f>
        <v/>
      </c>
      <c r="QR75" s="298" t="str">
        <f>IF(Compositions!BD140="","",IF(OR(Compositions!$BD$118="wt%",Compositions!$BD$118=""),Compositions!BD140,(IF(QQ75="","",((QQ75/$QQ$78)*100)))))</f>
        <v/>
      </c>
      <c r="QS75" s="185" t="str">
        <f>IF(QR75="","",(IF(OR(Compositions!BC140="Hydrogen",Compositions!BC140="Helium",Compositions!BC140="Water",Compositions!BC140="Carbon Monoxide",Compositions!BC140="Nitrogen",Compositions!BC140="Oxygen",Compositions!BC140="Hydrogen Sulfide",Compositions!BC140="Argon",Compositions!BC140="Carbon Dioxide",Compositions!BC140="Carbon Disulfide"),0,QR75)))</f>
        <v/>
      </c>
      <c r="QT75" s="187" t="str">
        <f>IF(Compositions!BD140="","",((QK75/100)*((VLOOKUP(Compositions!BC140,'HHV-LHV-MW'!$A$3:$G$40,7,FALSE)))))</f>
        <v/>
      </c>
      <c r="QU75" s="187" t="str">
        <f>IF(QK75="","",(IF(OR(Compositions!BC140="Hydrogen",Compositions!BC140="Carbon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Dioxide",Compositions!BC140="Methane",Compositions!BC140="Ethane"),0,(QK75/100))))</f>
        <v/>
      </c>
      <c r="QV75" s="205" t="str">
        <f>IF(QK75="","",(IF(OR($QU$78=0,$QU$78=""),0,     ((VLOOKUP(Compositions!BC140,'HHV-LHV-MW'!$A$3:$F$40,6,FALSE))*(QU75/$QU$78)))))</f>
        <v/>
      </c>
      <c r="QW75" s="28" t="str">
        <f>IF(Compositions!BE140="","",IF(Compositions!$BE$118="mol%",Compositions!BE140,QX75))</f>
        <v/>
      </c>
      <c r="QX75" s="28" t="str">
        <f>IF(QY75="","",((QY75/$QY$78)*100))</f>
        <v/>
      </c>
      <c r="QY75" s="28" t="str">
        <f>IF(Compositions!BE140="","",(Compositions!BE140/(VLOOKUP(Compositions!BC140,'HHV-LHV-MW'!$A$3:$F$40,6,FALSE))))</f>
        <v/>
      </c>
      <c r="QZ75" s="184" t="str">
        <f>IF(QW75="","",((VLOOKUP(Compositions!BC140,'HHV-LHV-MW'!$A$3:$F$40,4,FALSE))*(QW75/100)))</f>
        <v/>
      </c>
      <c r="RA75" s="184" t="str">
        <f>IF(QW75="","",((VLOOKUP(Compositions!BC140,'HHV-LHV-MW'!$A$3:$F$40,5,FALSE))*(QW75/100)))</f>
        <v/>
      </c>
      <c r="RB75" s="184" t="str">
        <f>IF(QW75="","",((VLOOKUP(Compositions!BC140,'HHV-LHV-MW'!$A$3:$F$40,6,FALSE))*(QW75/100)))</f>
        <v/>
      </c>
      <c r="RC75" s="184" t="str">
        <f>IF(Compositions!BE140="","",(Compositions!BE140*(VLOOKUP(Compositions!BC140,'HHV-LHV-MW'!$A$3:$F$40,6,FALSE))))</f>
        <v/>
      </c>
      <c r="RD75" s="297" t="str">
        <f>IF(Compositions!BE140="","",IF(OR(Compositions!$BE$118="wt%",Compositions!$BE$118=""),Compositions!BE140,(IF(RC75="","",((RC75/$RC$78)*100)))))</f>
        <v/>
      </c>
      <c r="RE75" s="39" t="str">
        <f>IF(RD75="","",(IF(OR(Compositions!BC140="Hydrogen",Compositions!BC140="Helium",Compositions!BC140="Water",Compositions!BC140="Carbon Monoxide",Compositions!BC140="Nitrogen",Compositions!BC140="Oxygen",Compositions!BC140="Hydrogen Sulfide",Compositions!BC140="Argon",Compositions!BC140="Carbon Dioxide",Compositions!BC140="Carbon Disulfide"),0,RD75)))</f>
        <v/>
      </c>
      <c r="RF75" s="186" t="str">
        <f>IF(Compositions!BE140="","",((QW75/100)*((VLOOKUP(Compositions!BC140,'HHV-LHV-MW'!$A$3:$G$40,7,FALSE)))))</f>
        <v/>
      </c>
      <c r="RG75" s="186" t="str">
        <f>IF(QW75="","",(IF(OR(Compositions!BC140="Hydrogen",Compositions!BC140="Carbon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Dioxide",Compositions!BC140="Methane",Compositions!BC140="Ethane"),0,(QW75/100))))</f>
        <v/>
      </c>
      <c r="RH75" s="39" t="str">
        <f>IF(QW75="","",(IF(OR($RG$78=0,$RG$78=""),0,     ((VLOOKUP(Compositions!BC140,'HHV-LHV-MW'!$A$3:$F$40,6,FALSE))*(RG75/$RG$78)))))</f>
        <v/>
      </c>
      <c r="RI75" s="27" t="str">
        <f>IF(Compositions!BF140="","",IF(Compositions!$BF$118="mol%",Compositions!BF140,RJ75))</f>
        <v/>
      </c>
      <c r="RJ75" s="27" t="str">
        <f t="shared" si="62"/>
        <v/>
      </c>
      <c r="RK75" s="27" t="str">
        <f>IF(Compositions!BF140="","",(Compositions!BF140/(VLOOKUP(Compositions!BC140,'HHV-LHV-MW'!$A$3:$F$40,6,FALSE))))</f>
        <v/>
      </c>
      <c r="RL75" s="185" t="str">
        <f>IF(RI75="","",((VLOOKUP(Compositions!BC140,'HHV-LHV-MW'!$A$3:$F$40,4,FALSE))*(RI75/100)))</f>
        <v/>
      </c>
      <c r="RM75" s="185" t="str">
        <f>IF(RI75="","",((VLOOKUP(Compositions!BC140,'HHV-LHV-MW'!$A$3:$F$40,5,FALSE))*(RI75/100)))</f>
        <v/>
      </c>
      <c r="RN75" s="185" t="str">
        <f>IF(RI75="","",((VLOOKUP(Compositions!BC140,'HHV-LHV-MW'!$A$3:$F$40,6,FALSE))*(RI75/100)))</f>
        <v/>
      </c>
      <c r="RO75" s="185" t="str">
        <f>IF(Compositions!BF140="","",(Compositions!BF140*(VLOOKUP(Compositions!BC140,'HHV-LHV-MW'!$A$3:$F$40,6,FALSE))))</f>
        <v/>
      </c>
      <c r="RP75" s="298" t="str">
        <f>IF(Compositions!BF140="","",IF(OR(Compositions!$BF$118="wt%",Compositions!$BF$118=""),Compositions!BF140,(IF(RO75="","",((RO75/$RO$78)*100)))))</f>
        <v/>
      </c>
      <c r="RQ75" s="185" t="str">
        <f>IF(RP75="","",(IF(OR(Compositions!BC140="Hydrogen",Compositions!BC140="Helium",Compositions!BC140="Water",Compositions!BC140="Carbon Monoxide",Compositions!BC140="Nitrogen",Compositions!BC140="Oxygen",Compositions!BC140="Hydrogen Sulfide",Compositions!BC140="Argon",Compositions!BC140="Carbon Dioxide",Compositions!BC140="Carbon Disulfide"),0,RP75)))</f>
        <v/>
      </c>
      <c r="RR75" s="187" t="str">
        <f>IF(Compositions!BF140="","",((RI75/100)*((VLOOKUP(Compositions!BC140,'HHV-LHV-MW'!$A$3:$G$40,7,FALSE)))))</f>
        <v/>
      </c>
      <c r="RS75" s="187" t="str">
        <f>IF(RI75="","",(IF(OR(Compositions!BC140="Hydrogen",Compositions!BC140="Carbon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Dioxide",Compositions!BC140="Methane",Compositions!BC140="Ethane"),0,(RI75/100))))</f>
        <v/>
      </c>
      <c r="RT75" s="205" t="str">
        <f>IF(RI75="","",(IF(OR($RS$78=0,$RS$78=""),0,     ((VLOOKUP(Compositions!BC140,'HHV-LHV-MW'!$A$3:$F$40,6,FALSE))*(RS75/$RS$78)))))</f>
        <v/>
      </c>
      <c r="RU75" s="28" t="str">
        <f>IF(Compositions!BG140="","",IF(Compositions!$BG$118="mol%",Compositions!BG140,RV75))</f>
        <v/>
      </c>
      <c r="RV75" s="28" t="str">
        <f t="shared" si="63"/>
        <v/>
      </c>
      <c r="RW75" s="28" t="str">
        <f>IF(Compositions!BG140="","",(Compositions!BG140/(VLOOKUP(Compositions!BC140,'HHV-LHV-MW'!$A$3:$F$40,6,FALSE))))</f>
        <v/>
      </c>
      <c r="RX75" s="184" t="str">
        <f>IF(RU75="","",((VLOOKUP(Compositions!BC140,'HHV-LHV-MW'!$A$3:$F$40,4,FALSE))*(RU75/100)))</f>
        <v/>
      </c>
      <c r="RY75" s="184" t="str">
        <f>IF(RU75="","",((VLOOKUP(Compositions!BC140,'HHV-LHV-MW'!$A$3:$F$40,5,FALSE))*(RU75/100)))</f>
        <v/>
      </c>
      <c r="RZ75" s="184" t="str">
        <f>IF(RU75="","",((VLOOKUP(Compositions!BC140,'HHV-LHV-MW'!$A$3:$F$40,6,FALSE))*(RU75/100)))</f>
        <v/>
      </c>
      <c r="SA75" s="184" t="str">
        <f>IF(Compositions!BG140="","",(Compositions!BG140*(VLOOKUP(Compositions!BC140,'HHV-LHV-MW'!$A$3:$F$40,6,FALSE))))</f>
        <v/>
      </c>
      <c r="SB75" s="297" t="str">
        <f>IF(Compositions!BG140="","",IF(OR(Compositions!$BG$118="wt%",Compositions!$BG$118=""),Compositions!BG140,(IF(SA75="","",((SA75/$SA$78)*100)))))</f>
        <v/>
      </c>
      <c r="SC75" s="39" t="str">
        <f>IF(SB75="","",(IF(OR(Compositions!BC140="Hydrogen",Compositions!BC140="Helium",Compositions!BC140="Water",Compositions!BC140="Carbon Monoxide",Compositions!BC140="Nitrogen",Compositions!BC140="Oxygen",Compositions!BC140="Hydrogen Sulfide",Compositions!BC140="Argon",Compositions!BC140="Carbon Dioxide",Compositions!BC140="Carbon Disulfide"),0,SB75)))</f>
        <v/>
      </c>
      <c r="SD75" s="186" t="str">
        <f>IF(Compositions!BG140="","",((RU75/100)*((VLOOKUP(Compositions!BC140,'HHV-LHV-MW'!$A$3:$G$40,7,FALSE)))))</f>
        <v/>
      </c>
      <c r="SE75" s="186" t="str">
        <f>IF(RU75="","",(IF(OR(Compositions!BC140="Hydrogen",Compositions!BC140="Carbon Disulfide",Compositions!BC140="Helium",Compositions!BC140="Water",Compositions!BC140="Carbon Monoxide",Compositions!BC140="Nitrogen",Compositions!BC140="Oxygen",Compositions!BC140="Hydrogen Sulfide",Compositions!BC140="Argon",Compositions!BC140="Carbon Dioxide",Compositions!BC140="Methane",Compositions!BC140="Ethane"),0,(RU75/100))))</f>
        <v/>
      </c>
      <c r="SF75" s="39" t="str">
        <f>IF(RU75="","",(IF(OR($SE$78=0,$SE$78=""),0,     ((VLOOKUP(Compositions!BC140,'HHV-LHV-MW'!$A$3:$F$40,6,FALSE))*(SE75/$SE$78)))))</f>
        <v/>
      </c>
    </row>
    <row r="76" spans="1:500" ht="15.6">
      <c r="A76" s="173" t="s">
        <v>212</v>
      </c>
      <c r="B76" s="19" t="s">
        <v>211</v>
      </c>
      <c r="C76" s="20">
        <v>5</v>
      </c>
      <c r="D76" s="20">
        <v>3.3235000000000001</v>
      </c>
      <c r="E76" s="20">
        <v>3.1</v>
      </c>
      <c r="F76" s="20">
        <v>70.134399999999999</v>
      </c>
      <c r="G76" s="20">
        <v>0</v>
      </c>
      <c r="H76" s="170"/>
      <c r="I76" s="170"/>
      <c r="K76" s="27" t="str">
        <f>IF(Compositions!B141="","",IF(Compositions!$B$118="mol%",Compositions!B141,L76))</f>
        <v/>
      </c>
      <c r="L76" s="27" t="str">
        <f t="shared" si="25"/>
        <v/>
      </c>
      <c r="M76" s="27" t="str">
        <f>IF(Compositions!B141="","",(Compositions!B141/(VLOOKUP(Compositions!A141,'HHV-LHV-MW'!$A$3:$F$40,6,FALSE))))</f>
        <v/>
      </c>
      <c r="N76" s="25" t="str">
        <f>IF(K76="","",((VLOOKUP(Compositions!A141,'HHV-LHV-MW'!$A$3:$F$40,4,FALSE))*(K76/100)))</f>
        <v/>
      </c>
      <c r="O76" s="25" t="str">
        <f>IF(K76="","",((VLOOKUP(Compositions!A141,'HHV-LHV-MW'!$A$3:$F$40,5,FALSE))*(K76/100)))</f>
        <v/>
      </c>
      <c r="P76" s="25" t="str">
        <f>IF(K76="","",((VLOOKUP(Compositions!A141,'HHV-LHV-MW'!$A$3:$F$40,6,FALSE))*(K76/100)))</f>
        <v/>
      </c>
      <c r="Q76" s="25" t="str">
        <f>IF(Compositions!B141="","",(Compositions!B141*(VLOOKUP(Compositions!A141,'HHV-LHV-MW'!$A$3:$F$40,6,FALSE))))</f>
        <v/>
      </c>
      <c r="R76" s="188" t="str">
        <f>IF(Compositions!B141="","",IF(OR(Compositions!$B$118="wt%",Compositions!$B$118=""),Compositions!B141,(IF(Q76="","",((Q76/$Q$78)*100)))))</f>
        <v/>
      </c>
      <c r="S76" s="185" t="str">
        <f>IF(R76="","",(IF(OR(Compositions!A141="Hydrogen",Compositions!A141="Helium",Compositions!A141="Water",Compositions!A141="Carbon Monoxide",Compositions!A141="Nitrogen",Compositions!A141="Oxygen",Compositions!A141="Hydrogen Sulfide",Compositions!A141="Argon",Compositions!A141="Carbon Dioxide",Compositions!A141="Carbon Disulfide"),0,R76)))</f>
        <v/>
      </c>
      <c r="T76" s="169" t="str">
        <f>IF(Compositions!B141="","",((K76/100)*((VLOOKUP(Compositions!A141,'HHV-LHV-MW'!$A$3:$G$40,7,FALSE)))))</f>
        <v/>
      </c>
      <c r="U76" s="187" t="str">
        <f>IF(K76="","",(IF(OR(Compositions!A141="Hydrogen",Compositions!A141="Carbon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Dioxide",Compositions!A141="Methane",Compositions!A141="Ethane"),0,(K76/100))))</f>
        <v/>
      </c>
      <c r="V76" s="188" t="str">
        <f>IF(K76="","", (IF(OR($U$78=0,$U$78=""),0,((VLOOKUP(Compositions!A141,'HHV-LHV-MW'!$A$3:$F$40,6,FALSE))*(U76/$U$78))   ))   )</f>
        <v/>
      </c>
      <c r="W76" s="28" t="str">
        <f>IF(Compositions!C141="","",IF(Compositions!$C$118="mol%",Compositions!C141,X76))</f>
        <v/>
      </c>
      <c r="X76" s="28" t="str">
        <f t="shared" si="26"/>
        <v/>
      </c>
      <c r="Y76" s="28" t="str">
        <f>IF(Compositions!C141="","",(Compositions!C141/(VLOOKUP(Compositions!A141,'HHV-LHV-MW'!$A$3:$F$40,6,FALSE))))</f>
        <v/>
      </c>
      <c r="Z76" s="26" t="str">
        <f>IF(W76="","",((VLOOKUP(Compositions!A141,'HHV-LHV-MW'!$A$3:$F$40,4,FALSE))*(W76/100)))</f>
        <v/>
      </c>
      <c r="AA76" s="26" t="str">
        <f>IF(W76="","",((VLOOKUP(Compositions!A141,'HHV-LHV-MW'!$A$3:$F$40,5,FALSE))*(W76/100)))</f>
        <v/>
      </c>
      <c r="AB76" s="26" t="str">
        <f>IF(W76="","",((VLOOKUP(Compositions!A141,'HHV-LHV-MW'!$A$3:$F$40,6,FALSE))*(W76/100)))</f>
        <v/>
      </c>
      <c r="AC76" s="26" t="str">
        <f>IF(Compositions!C141="","",(Compositions!C141*(VLOOKUP(Compositions!A141,'HHV-LHV-MW'!$A$3:$F$40,6,FALSE))))</f>
        <v/>
      </c>
      <c r="AD76" s="296" t="str">
        <f>IF(Compositions!C141="","",IF(OR(Compositions!$C$118="wt%",Compositions!$C$118=""),Compositions!C141,(IF(AC76="","",((AC76/$AC$78)*100)))))</f>
        <v/>
      </c>
      <c r="AE76" s="39" t="str">
        <f>IF(AD76="","",(IF(OR(Compositions!A141="Hydrogen",Compositions!A141="Helium",Compositions!A141="Water",Compositions!A141="Carbon Monoxide",Compositions!A141="Nitrogen",Compositions!A141="Oxygen",Compositions!A141="Hydrogen Sulfide",Compositions!A141="Argon",Compositions!A141="Carbon Dioxide",Compositions!A141="Carbon Disulfide"),0,AD76)))</f>
        <v/>
      </c>
      <c r="AF76" s="186" t="str">
        <f>IF(Compositions!C141="","",((W76/100)*((VLOOKUP(Compositions!A141,'HHV-LHV-MW'!$A$3:$G$40,7,FALSE)))))</f>
        <v/>
      </c>
      <c r="AG76" s="186" t="str">
        <f>IF(W76="","",(IF(OR(Compositions!A141="Hydrogen",Compositions!A141="Carbon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Dioxide",Compositions!A141="Methane",Compositions!A141="Ethane"),0,(W76/100))))</f>
        <v/>
      </c>
      <c r="AH76" s="39" t="str">
        <f>IF(W76="","", (IF(OR($AG$78=0,$AG$78=""),0,   ((VLOOKUP(Compositions!A141,'HHV-LHV-MW'!$A$3:$F$40,6,FALSE))*(AG76/$AG$78)))))</f>
        <v/>
      </c>
      <c r="AI76" s="27" t="str">
        <f>IF(Compositions!D141="","",IF(Compositions!$D$118="mol%",Compositions!D141,AJ76))</f>
        <v/>
      </c>
      <c r="AJ76" s="27" t="str">
        <f t="shared" si="27"/>
        <v/>
      </c>
      <c r="AK76" s="27" t="str">
        <f>IF(Compositions!D141="","",(Compositions!D141/(VLOOKUP(Compositions!A141,'HHV-LHV-MW'!$A$3:$F$40,6,FALSE))))</f>
        <v/>
      </c>
      <c r="AL76" s="25" t="str">
        <f>IF(AI76="","",((VLOOKUP(Compositions!A141,'HHV-LHV-MW'!$A$3:$F$40,4,FALSE))*(AI76/100)))</f>
        <v/>
      </c>
      <c r="AM76" s="25" t="str">
        <f>IF(AI76="","",((VLOOKUP(Compositions!A141,'HHV-LHV-MW'!$A$3:$F$40,5,FALSE))*(AI76/100)))</f>
        <v/>
      </c>
      <c r="AN76" s="25" t="str">
        <f>IF(AI76="","",((VLOOKUP(Compositions!A141,'HHV-LHV-MW'!$A$3:$F$40,6,FALSE))*(AI76/100)))</f>
        <v/>
      </c>
      <c r="AO76" s="25" t="str">
        <f>IF(Compositions!D141="","",(Compositions!D141*(VLOOKUP(Compositions!A141,'HHV-LHV-MW'!$A$3:$F$40,6,FALSE))))</f>
        <v/>
      </c>
      <c r="AP76" s="295" t="str">
        <f>IF(Compositions!D141="","",IF(OR(Compositions!$D$118="wt%",Compositions!$D$118=""),Compositions!D141,(IF(AO76="","",((AO76/$AO$78)*100)))))</f>
        <v/>
      </c>
      <c r="AQ76" s="185" t="str">
        <f>IF(AP76="","",(IF(OR(Compositions!A141="Hydrogen",Compositions!A141="Helium",Compositions!A141="Water",Compositions!A141="Carbon Monoxide",Compositions!A141="Nitrogen",Compositions!A141="Oxygen",Compositions!A141="Hydrogen Sulfide",Compositions!A141="Argon",Compositions!A141="Carbon Dioxide",Compositions!A141="Carbon Disulfide"),0,AP76)))</f>
        <v/>
      </c>
      <c r="AR76" s="187" t="str">
        <f>IF(Compositions!D141="","",((AI76/100)*((VLOOKUP(Compositions!A141,'HHV-LHV-MW'!$A$3:$G$40,7,FALSE)))))</f>
        <v/>
      </c>
      <c r="AS76" s="187" t="str">
        <f>IF(AI76="","",(IF(OR(Compositions!A141="Hydrogen",Compositions!A141="Carbon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Dioxide",Compositions!A141="Methane",Compositions!A141="Ethane"),0,(AI76/100))))</f>
        <v/>
      </c>
      <c r="AT76" s="205" t="str">
        <f>IF(AI76="","",(IF(OR($AS$78=0,$AS$78=""),0,      ((VLOOKUP(Compositions!A141,'HHV-LHV-MW'!$A$3:$F$40,6,FALSE))*(AS76/$AS$78)))))</f>
        <v/>
      </c>
      <c r="AU76" s="28" t="str">
        <f>IF(Compositions!E141="","",IF(Compositions!$E$118="mol%",Compositions!E141,AV76))</f>
        <v/>
      </c>
      <c r="AV76" s="28" t="str">
        <f t="shared" si="28"/>
        <v/>
      </c>
      <c r="AW76" s="28" t="str">
        <f>IF(Compositions!E141="","",(Compositions!E141/(VLOOKUP(Compositions!A141,'HHV-LHV-MW'!$A$3:$F$40,6,FALSE))))</f>
        <v/>
      </c>
      <c r="AX76" s="26" t="str">
        <f>IF(AU76="","",((VLOOKUP(Compositions!A141,'HHV-LHV-MW'!$A$3:$F$40,4,FALSE))*(AU76/100)))</f>
        <v/>
      </c>
      <c r="AY76" s="26" t="str">
        <f>IF(AU76="","",((VLOOKUP(Compositions!A141,'HHV-LHV-MW'!$A$3:$F$40,5,FALSE))*(AU76/100)))</f>
        <v/>
      </c>
      <c r="AZ76" s="26" t="str">
        <f>IF(AU76="","",((VLOOKUP(Compositions!A141,'HHV-LHV-MW'!$A$3:$F$40,6,FALSE))*(AU76/100)))</f>
        <v/>
      </c>
      <c r="BA76" s="26" t="str">
        <f>IF(Compositions!E141="","",(Compositions!E141*(VLOOKUP(Compositions!A141,'HHV-LHV-MW'!$A$3:$F$40,6,FALSE))))</f>
        <v/>
      </c>
      <c r="BB76" s="296" t="str">
        <f>IF(Compositions!E141="","",IF(OR(Compositions!$E$118="wt%",Compositions!$E$118=""),Compositions!E141,(IF(BA76="","",((BA76/$BA$78)*100)))))</f>
        <v/>
      </c>
      <c r="BC76" s="39" t="str">
        <f>IF(BB76="","",(IF(OR(Compositions!A141="Hydrogen",Compositions!A141="Helium",Compositions!A141="Water",Compositions!A141="Carbon Monoxide",Compositions!A141="Nitrogen",Compositions!A141="Oxygen",Compositions!A141="Hydrogen Sulfide",Compositions!A141="Argon",Compositions!A141="Carbon Dioxide",Compositions!A141="Carbon Disulfide"),0,BB76)))</f>
        <v/>
      </c>
      <c r="BD76" s="186" t="str">
        <f>IF(Compositions!E141="","",((AU76/100)*((VLOOKUP(Compositions!A141,'HHV-LHV-MW'!$A$3:$G$40,7,FALSE)))))</f>
        <v/>
      </c>
      <c r="BE76" s="186" t="str">
        <f>IF(AU76="","",(IF(OR(Compositions!A141="Hydrogen",Compositions!A141="Carbon Disulfide",Compositions!A141="Helium",Compositions!A141="Water",Compositions!A141="Carbon Monoxide",Compositions!A141="Nitrogen",Compositions!A141="Oxygen",Compositions!A141="Hydrogen Sulfide",Compositions!A141="Argon",Compositions!A141="Carbon Dioxide",Compositions!A141="Methane",Compositions!A141="Ethane"),0,(AU76/100))))</f>
        <v/>
      </c>
      <c r="BF76" s="39" t="str">
        <f>IF(AU76="","",(IF(OR($BE$78=0,$BE$78=""),0,     ((VLOOKUP(Compositions!A141,'HHV-LHV-MW'!$A$3:$F$40,6,FALSE))*(BE76/$BE$78)))))</f>
        <v/>
      </c>
      <c r="BH76" s="27" t="str">
        <f>IF(Compositions!H141="","",IF(Compositions!$H$118="mol%",Compositions!H141,BI76))</f>
        <v/>
      </c>
      <c r="BI76" s="27" t="str">
        <f t="shared" si="29"/>
        <v/>
      </c>
      <c r="BJ76" s="27" t="str">
        <f>IF(Compositions!H141="","",(Compositions!H141/(VLOOKUP(Compositions!G141,'HHV-LHV-MW'!$A$3:$F$40,6,FALSE))))</f>
        <v/>
      </c>
      <c r="BK76" s="25" t="str">
        <f>IF(BH76="","",((VLOOKUP(Compositions!G141,'HHV-LHV-MW'!$A$3:$F$40,4,FALSE))*(BH76/100)))</f>
        <v/>
      </c>
      <c r="BL76" s="25" t="str">
        <f>IF(BH76="","",((VLOOKUP(Compositions!G141,'HHV-LHV-MW'!$A$3:$F$40,5,FALSE))*(BH76/100)))</f>
        <v/>
      </c>
      <c r="BM76" s="25" t="str">
        <f>IF(BH76="","",((VLOOKUP(Compositions!G141,'HHV-LHV-MW'!$A$3:$F$40,6,FALSE))*(BH76/100)))</f>
        <v/>
      </c>
      <c r="BN76" s="25" t="str">
        <f>IF(Compositions!H141="","",(Compositions!H141*(VLOOKUP(Compositions!G141,'HHV-LHV-MW'!$A$3:$F$40,6,FALSE))))</f>
        <v/>
      </c>
      <c r="BO76" s="295" t="str">
        <f>IF(Compositions!H141="","",IF(OR(Compositions!$H$118="wt%",Compositions!$H$118=""),Compositions!H141,(IF(BN76="","",((BN76/$BN$78)*100)))))</f>
        <v/>
      </c>
      <c r="BP76" s="185" t="str">
        <f>IF(BO76="","",(IF(OR(Compositions!G141="Hydrogen",Compositions!G141="Helium",Compositions!G141="Water",Compositions!G141="Carbon Monoxide",Compositions!G141="Nitrogen",Compositions!G141="Oxygen",Compositions!G141="Hydrogen Sulfide",Compositions!G141="Argon",Compositions!G141="Carbon Dioxide",Compositions!G141="Carbon Disulfide"),0,BO76)))</f>
        <v/>
      </c>
      <c r="BQ76" s="187" t="str">
        <f>IF(Compositions!H141="","",((BH76/100)*((VLOOKUP(Compositions!G141,'HHV-LHV-MW'!$A$3:$G$40,7,FALSE)))))</f>
        <v/>
      </c>
      <c r="BR76" s="187" t="str">
        <f>IF(BH76="","",(IF(OR(Compositions!G141="Hydrogen",Compositions!G141="Carbon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Dioxide",Compositions!G141="Methane",Compositions!G141="Ethane"),0,(BH76/100))))</f>
        <v/>
      </c>
      <c r="BS76" s="205" t="str">
        <f>IF(BH76="","",(IF(OR($BR$78=0,$BR$78=""),0,    ((VLOOKUP(Compositions!G141,'HHV-LHV-MW'!$A$3:$F$40,6,FALSE))*(BR76/$BR$78)))))</f>
        <v/>
      </c>
      <c r="BT76" s="28" t="str">
        <f>IF(Compositions!I141="","",IF(Compositions!$I$118="mol%",Compositions!I141,BU76))</f>
        <v/>
      </c>
      <c r="BU76" s="28" t="str">
        <f t="shared" si="30"/>
        <v/>
      </c>
      <c r="BV76" s="28" t="str">
        <f>IF(Compositions!I141="","",(Compositions!I141/(VLOOKUP(Compositions!G141,'HHV-LHV-MW'!$A$3:$F$40,6,FALSE))))</f>
        <v/>
      </c>
      <c r="BW76" s="26" t="str">
        <f>IF(BT76="","",((VLOOKUP(Compositions!G141,'HHV-LHV-MW'!$A$3:$F$40,4,FALSE))*(BT76/100)))</f>
        <v/>
      </c>
      <c r="BX76" s="26" t="str">
        <f>IF(BT76="","",((VLOOKUP(Compositions!G141,'HHV-LHV-MW'!$A$3:$F$40,5,FALSE))*(BT76/100)))</f>
        <v/>
      </c>
      <c r="BY76" s="26" t="str">
        <f>IF(BT76="","",((VLOOKUP(Compositions!G141,'HHV-LHV-MW'!$A$3:$F$40,6,FALSE))*(BT76/100)))</f>
        <v/>
      </c>
      <c r="BZ76" s="26" t="str">
        <f>IF(Compositions!I141="","",(Compositions!I141*(VLOOKUP(Compositions!G141,'HHV-LHV-MW'!$A$3:$F$40,6,FALSE))))</f>
        <v/>
      </c>
      <c r="CA76" s="296" t="str">
        <f>IF(Compositions!I141="","",IF(OR(Compositions!$I$118="wt%",Compositions!$I$118=""),Compositions!I141,(IF(BZ76="","",((BZ76/$BZ$78)*100)))))</f>
        <v/>
      </c>
      <c r="CB76" s="39" t="str">
        <f>IF(CA76="","",(IF(OR(Compositions!G141="Hydrogen",Compositions!G141="Helium",Compositions!G141="Water",Compositions!G141="Carbon Monoxide",Compositions!G141="Nitrogen",Compositions!G141="Oxygen",Compositions!G141="Hydrogen Sulfide",Compositions!G141="Argon",Compositions!G141="Carbon Dioxide",Compositions!G141="Carbon Disulfide"),0,CA76)))</f>
        <v/>
      </c>
      <c r="CC76" s="186" t="str">
        <f>IF(Compositions!I141="","",((BT76/100)*((VLOOKUP(Compositions!G141,'HHV-LHV-MW'!$A$3:$G$40,7,FALSE)))))</f>
        <v/>
      </c>
      <c r="CD76" s="186" t="str">
        <f>IF(BT76="","",(IF(OR(Compositions!G141="Hydrogen",Compositions!G141="Carbon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Dioxide",Compositions!G141="Methane",Compositions!G141="Ethane"),0,(BT76/100))))</f>
        <v/>
      </c>
      <c r="CE76" s="39" t="str">
        <f>IF(BT76="","",(IF(OR($CD$78=0,$CD$78=""),0,       ((VLOOKUP(Compositions!G141,'HHV-LHV-MW'!$A$3:$F$40,6,FALSE))*(CD76/$CD$78)))))</f>
        <v/>
      </c>
      <c r="CF76" s="27" t="str">
        <f>IF(Compositions!J141="","",IF(Compositions!$J$118="mol%",Compositions!J141,CG76))</f>
        <v/>
      </c>
      <c r="CG76" s="27" t="str">
        <f t="shared" si="31"/>
        <v/>
      </c>
      <c r="CH76" s="27" t="str">
        <f>IF(Compositions!J141="","",(Compositions!J141/(VLOOKUP(Compositions!G141,'HHV-LHV-MW'!$A$3:$F$40,6,FALSE))))</f>
        <v/>
      </c>
      <c r="CI76" s="25" t="str">
        <f>IF(CF76="","",((VLOOKUP(Compositions!G141,'HHV-LHV-MW'!$A$3:$F$40,4,FALSE))*(CF76/100)))</f>
        <v/>
      </c>
      <c r="CJ76" s="25" t="str">
        <f>IF(CF76="","",((VLOOKUP(Compositions!G141,'HHV-LHV-MW'!$A$3:$F$40,5,FALSE))*(CF76/100)))</f>
        <v/>
      </c>
      <c r="CK76" s="25" t="str">
        <f>IF(CF76="","",((VLOOKUP(Compositions!G141,'HHV-LHV-MW'!$A$3:$F$40,6,FALSE))*(CF76/100)))</f>
        <v/>
      </c>
      <c r="CL76" s="25" t="str">
        <f>IF(Compositions!J141="","",(Compositions!J141*(VLOOKUP(Compositions!G141,'HHV-LHV-MW'!$A$3:$F$40,6,FALSE))))</f>
        <v/>
      </c>
      <c r="CM76" s="295" t="str">
        <f>IF(Compositions!J141="","",IF(OR(Compositions!$J$118="wt%",Compositions!$J$118=""),Compositions!J141,(IF(CL76="","",((CL76/$CL$78)*100)))))</f>
        <v/>
      </c>
      <c r="CN76" s="185" t="str">
        <f>IF(CM76="","",(IF(OR(Compositions!G141="Hydrogen",Compositions!G141="Helium",Compositions!G141="Water",Compositions!G141="Carbon Monoxide",Compositions!G141="Nitrogen",Compositions!G141="Oxygen",Compositions!G141="Hydrogen Sulfide",Compositions!G141="Argon",Compositions!G141="Carbon Dioxide",Compositions!G141="Carbon Disulfide"),0,CM76)))</f>
        <v/>
      </c>
      <c r="CO76" s="187" t="str">
        <f>IF(Compositions!J141="","",((CF76/100)*((VLOOKUP(Compositions!G141,'HHV-LHV-MW'!$A$3:$G$40,7,FALSE)))))</f>
        <v/>
      </c>
      <c r="CP76" s="187" t="str">
        <f>IF(CF76="","",(IF(OR(Compositions!G141="Hydrogen",Compositions!G141="Carbon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Dioxide",Compositions!G141="Methane",Compositions!G141="Ethane"),0,(CF76/100))))</f>
        <v/>
      </c>
      <c r="CQ76" s="205" t="str">
        <f>IF(CF76="","",(IF(OR($CP$78=0,$CP$78=""),0,       ((VLOOKUP(Compositions!G141,'HHV-LHV-MW'!$A$3:$F$40,6,FALSE))*(CP76/$CP$78)))))</f>
        <v/>
      </c>
      <c r="CR76" s="28" t="str">
        <f>IF(Compositions!K141="","",IF(Compositions!$K$118="mol%",Compositions!K141,CS76))</f>
        <v/>
      </c>
      <c r="CS76" s="28" t="str">
        <f t="shared" si="32"/>
        <v/>
      </c>
      <c r="CT76" s="28" t="str">
        <f>IF(Compositions!K141="","",(Compositions!K141/(VLOOKUP(Compositions!G141,'HHV-LHV-MW'!$A$3:$F$40,6,FALSE))))</f>
        <v/>
      </c>
      <c r="CU76" s="26" t="str">
        <f>IF(CR76="","",((VLOOKUP(Compositions!G141,'HHV-LHV-MW'!$A$3:$F$40,4,FALSE))*(CR76/100)))</f>
        <v/>
      </c>
      <c r="CV76" s="26" t="str">
        <f>IF(CR76="","",((VLOOKUP(Compositions!G141,'HHV-LHV-MW'!$A$3:$F$40,5,FALSE))*(CR76/100)))</f>
        <v/>
      </c>
      <c r="CW76" s="26" t="str">
        <f>IF(CR76="","",((VLOOKUP(Compositions!G141,'HHV-LHV-MW'!$A$3:$F$40,6,FALSE))*(CR76/100)))</f>
        <v/>
      </c>
      <c r="CX76" s="26" t="str">
        <f>IF(Compositions!K141="","",(Compositions!K141*(VLOOKUP(Compositions!G141,'HHV-LHV-MW'!$A$3:$F$40,6,FALSE))))</f>
        <v/>
      </c>
      <c r="CY76" s="296" t="str">
        <f>IF(Compositions!K141="","",IF(OR(Compositions!$K$118="wt%",Compositions!$K$118=""),Compositions!K141,(IF(CX76="","",((CX76/$CX$78)*100)))))</f>
        <v/>
      </c>
      <c r="CZ76" s="39" t="str">
        <f>IF(CY76="","",(IF(OR(Compositions!G141="Hydrogen",Compositions!G141="Helium",Compositions!G141="Water",Compositions!G141="Carbon Monoxide",Compositions!G141="Nitrogen",Compositions!G141="Oxygen",Compositions!G141="Hydrogen Sulfide",Compositions!G141="Argon",Compositions!G141="Carbon Dioxide",Compositions!G141="Carbon Disulfide"),0,CY76)))</f>
        <v/>
      </c>
      <c r="DA76" s="186" t="str">
        <f>IF(Compositions!K141="","",((CR76/100)*((VLOOKUP(Compositions!G141,'HHV-LHV-MW'!$A$3:$G$40,7,FALSE)))))</f>
        <v/>
      </c>
      <c r="DB76" s="186" t="str">
        <f>IF(CR76="","",(IF(OR(Compositions!G141="Hydrogen",Compositions!G141="Carbon Disulfide",Compositions!G141="Helium",Compositions!G141="Water",Compositions!G141="Carbon Monoxide",Compositions!G141="Nitrogen",Compositions!G141="Oxygen",Compositions!G141="Hydrogen Sulfide",Compositions!G141="Argon",Compositions!G141="Carbon Dioxide",Compositions!G141="Methane",Compositions!G141="Ethane"),0,(CR76/100))))</f>
        <v/>
      </c>
      <c r="DC76" s="39" t="str">
        <f>IF(CR76="","",(IF(OR($DB$78=0,$DB$78=""),0,       ((VLOOKUP(Compositions!G141,'HHV-LHV-MW'!$A$3:$F$40,6,FALSE))*(DB76/$DB$78)))))</f>
        <v/>
      </c>
      <c r="DE76" s="27" t="str">
        <f>IF(Compositions!N141="","",IF(Compositions!$N$118="mol%",Compositions!N141,DF76))</f>
        <v/>
      </c>
      <c r="DF76" s="27" t="str">
        <f t="shared" si="33"/>
        <v/>
      </c>
      <c r="DG76" s="27" t="str">
        <f>IF(Compositions!N141="","",(Compositions!N141/(VLOOKUP(Compositions!M141,'HHV-LHV-MW'!$A$3:$F$40,6,FALSE))))</f>
        <v/>
      </c>
      <c r="DH76" s="25" t="str">
        <f>IF(DE76="","",((VLOOKUP(Compositions!M141,'HHV-LHV-MW'!$A$3:$F$40,4,FALSE))*(DE76/100)))</f>
        <v/>
      </c>
      <c r="DI76" s="25" t="str">
        <f>IF(DE76="","",((VLOOKUP(Compositions!M141,'HHV-LHV-MW'!$A$3:$F$40,5,FALSE))*(DE76/100)))</f>
        <v/>
      </c>
      <c r="DJ76" s="25" t="str">
        <f>IF(DE76="","",((VLOOKUP(Compositions!M141,'HHV-LHV-MW'!$A$3:$F$40,6,FALSE))*(DE76/100)))</f>
        <v/>
      </c>
      <c r="DK76" s="25" t="str">
        <f>IF(Compositions!N141="","",(Compositions!N141*(VLOOKUP(Compositions!M141,'HHV-LHV-MW'!$A$3:$F$40,6,FALSE))))</f>
        <v/>
      </c>
      <c r="DL76" s="295" t="str">
        <f>IF(Compositions!N141="","",IF(OR(Compositions!$N$118="wt%",Compositions!$N$118=""),Compositions!N141,(IF(DK76="","",((DK76/$DK$78)*100)))))</f>
        <v/>
      </c>
      <c r="DM76" s="185" t="str">
        <f>IF(DL76="","",(IF(OR(Compositions!M141="Hydrogen",Compositions!M141="Helium",Compositions!M141="Water",Compositions!M141="Carbon Monoxide",Compositions!M141="Nitrogen",Compositions!M141="Oxygen",Compositions!M141="Hydrogen Sulfide",Compositions!M141="Argon",Compositions!M141="Carbon Dioxide",Compositions!M141="Carbon Disulfide"),0,DL76)))</f>
        <v/>
      </c>
      <c r="DN76" s="187" t="str">
        <f>IF(Compositions!N141="","",((DE76/100)*((VLOOKUP(Compositions!M141,'HHV-LHV-MW'!$A$3:$G$40,7,FALSE)))))</f>
        <v/>
      </c>
      <c r="DO76" s="187" t="str">
        <f>IF(DE76="","",(IF(OR(Compositions!M141="Hydrogen",Compositions!M141="Carbon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Dioxide",Compositions!M141="Methane",Compositions!M141="Ethane"),0,(DE76/100))))</f>
        <v/>
      </c>
      <c r="DP76" s="205" t="str">
        <f>IF(DE76="","",(IF(OR($DO$78=0,$DO$78=""),0,       ((VLOOKUP(Compositions!M141,'HHV-LHV-MW'!$A$3:$F$40,6,FALSE))*(DO76/$DO$78)))))</f>
        <v/>
      </c>
      <c r="DQ76" s="28" t="str">
        <f>IF(Compositions!O141="","",IF(Compositions!$O$118="mol%",Compositions!O141,DR76))</f>
        <v/>
      </c>
      <c r="DR76" s="28" t="str">
        <f t="shared" si="34"/>
        <v/>
      </c>
      <c r="DS76" s="28" t="str">
        <f>IF(Compositions!O141="","",(Compositions!O141/(VLOOKUP(Compositions!M141,'HHV-LHV-MW'!$A$3:$F$40,6,FALSE))))</f>
        <v/>
      </c>
      <c r="DT76" s="26" t="str">
        <f>IF(DQ76="","",((VLOOKUP(Compositions!M141,'HHV-LHV-MW'!$A$3:$F$40,4,FALSE))*(DQ76/100)))</f>
        <v/>
      </c>
      <c r="DU76" s="26" t="str">
        <f>IF(DQ76="","",((VLOOKUP(Compositions!M141,'HHV-LHV-MW'!$A$3:$F$40,5,FALSE))*(DQ76/100)))</f>
        <v/>
      </c>
      <c r="DV76" s="26" t="str">
        <f>IF(DQ76="","",((VLOOKUP(Compositions!M141,'HHV-LHV-MW'!$A$3:$F$40,6,FALSE))*(DQ76/100)))</f>
        <v/>
      </c>
      <c r="DW76" s="26" t="str">
        <f>IF(Compositions!O141="","",(Compositions!O141*(VLOOKUP(Compositions!M141,'HHV-LHV-MW'!$A$3:$F$40,6,FALSE))))</f>
        <v/>
      </c>
      <c r="DX76" s="296" t="str">
        <f>IF(Compositions!O141="","",IF(OR(Compositions!$O$118="wt%",Compositions!$O$118=""),Compositions!O141,(IF(DW76="","",((DW76/$DW$78)*100)))))</f>
        <v/>
      </c>
      <c r="DY76" s="39" t="str">
        <f>IF(DX76="","",(IF(OR(Compositions!M141="Hydrogen",Compositions!M141="Helium",Compositions!M141="Water",Compositions!M141="Carbon Monoxide",Compositions!M141="Nitrogen",Compositions!M141="Oxygen",Compositions!M141="Hydrogen Sulfide",Compositions!M141="Argon",Compositions!M141="Carbon Dioxide",Compositions!M141="Carbon Disulfide"),0,DX76)))</f>
        <v/>
      </c>
      <c r="DZ76" s="186" t="str">
        <f>IF(Compositions!O141="","",((DQ76/100)*((VLOOKUP(Compositions!M141,'HHV-LHV-MW'!$A$3:$G$40,7,FALSE)))))</f>
        <v/>
      </c>
      <c r="EA76" s="186" t="str">
        <f>IF(DQ76="","",(IF(OR(Compositions!M141="Hydrogen",Compositions!M141="Carbon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Dioxide",Compositions!M141="Methane",Compositions!M141="Ethane"),0,(DQ76/100))))</f>
        <v/>
      </c>
      <c r="EB76" s="39" t="str">
        <f>IF(DQ76="","",(IF(OR($EA$78=0,$EA$78=""),0,       ((VLOOKUP(Compositions!M141,'HHV-LHV-MW'!$A$3:$F$40,6,FALSE))*(EA76/$EA$78)))))</f>
        <v/>
      </c>
      <c r="EC76" s="27" t="str">
        <f>IF(Compositions!P141="","",IF(Compositions!$P$118="mol%",Compositions!P141,ED76))</f>
        <v/>
      </c>
      <c r="ED76" s="27" t="str">
        <f t="shared" si="35"/>
        <v/>
      </c>
      <c r="EE76" s="27" t="str">
        <f>IF(Compositions!P141="","",(Compositions!P141/(VLOOKUP(Compositions!M141,'HHV-LHV-MW'!$A$3:$F$40,6,FALSE))))</f>
        <v/>
      </c>
      <c r="EF76" s="25" t="str">
        <f>IF(EC76="","",((VLOOKUP(Compositions!M141,'HHV-LHV-MW'!$A$3:$F$40,4,FALSE))*(EC76/100)))</f>
        <v/>
      </c>
      <c r="EG76" s="25" t="str">
        <f>IF(EC76="","",((VLOOKUP(Compositions!M141,'HHV-LHV-MW'!$A$3:$F$40,5,FALSE))*(EC76/100)))</f>
        <v/>
      </c>
      <c r="EH76" s="25" t="str">
        <f>IF(EC76="","",((VLOOKUP(Compositions!M141,'HHV-LHV-MW'!$A$3:$F$40,6,FALSE))*(EC76/100)))</f>
        <v/>
      </c>
      <c r="EI76" s="25" t="str">
        <f>IF(Compositions!P141="","",(Compositions!P141*(VLOOKUP(Compositions!M141,'HHV-LHV-MW'!$A$3:$F$40,6,FALSE))))</f>
        <v/>
      </c>
      <c r="EJ76" s="295" t="str">
        <f>IF(Compositions!P141="","",IF(OR(Compositions!$P$118="wt%",Compositions!$P$118=""),Compositions!P141,(IF(EI76="","",((EI76/$EI$78)*100)))))</f>
        <v/>
      </c>
      <c r="EK76" s="185" t="str">
        <f>IF(EJ76="","",(IF(OR(Compositions!M141="Hydrogen",Compositions!M141="Helium",Compositions!M141="Water",Compositions!M141="Carbon Monoxide",Compositions!M141="Nitrogen",Compositions!M141="Oxygen",Compositions!M141="Hydrogen Sulfide",Compositions!M141="Argon",Compositions!M141="Carbon Dioxide",Compositions!M141="Carbon Disulfide"),0,EJ76)))</f>
        <v/>
      </c>
      <c r="EL76" s="187" t="str">
        <f>IF(Compositions!P141="","",((EC76/100)*((VLOOKUP(Compositions!M141,'HHV-LHV-MW'!$A$3:$G$40,7,FALSE)))))</f>
        <v/>
      </c>
      <c r="EM76" s="187" t="str">
        <f>IF(EC76="","",(IF(OR(Compositions!M141="Hydrogen",Compositions!M141="Carbon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Dioxide",Compositions!M141="Methane",Compositions!M141="Ethane"),0,(EC76/100))))</f>
        <v/>
      </c>
      <c r="EN76" s="205" t="str">
        <f>IF(EC76="","",(IF(OR($EM$78=0,$EM$78=""),0,       ((VLOOKUP(Compositions!M141,'HHV-LHV-MW'!$A$3:$F$40,6,FALSE))*(EM76/$EM$78)))))</f>
        <v/>
      </c>
      <c r="EO76" s="28" t="str">
        <f>IF(Compositions!Q141="","",IF(Compositions!$Q$118="mol%",Compositions!Q141,EP76))</f>
        <v/>
      </c>
      <c r="EP76" s="28" t="str">
        <f t="shared" si="36"/>
        <v/>
      </c>
      <c r="EQ76" s="28" t="str">
        <f>IF(Compositions!Q141="","",(Compositions!Q141/(VLOOKUP(Compositions!M141,'HHV-LHV-MW'!$A$3:$F$40,6,FALSE))))</f>
        <v/>
      </c>
      <c r="ER76" s="26" t="str">
        <f>IF(EO76="","",((VLOOKUP(Compositions!M141,'HHV-LHV-MW'!$A$3:$F$40,4,FALSE))*(EO76/100)))</f>
        <v/>
      </c>
      <c r="ES76" s="26" t="str">
        <f>IF(EO76="","",((VLOOKUP(Compositions!M141,'HHV-LHV-MW'!$A$3:$F$40,5,FALSE))*(EO76/100)))</f>
        <v/>
      </c>
      <c r="ET76" s="26" t="str">
        <f>IF(EO76="","",((VLOOKUP(Compositions!M141,'HHV-LHV-MW'!$A$3:$F$40,6,FALSE))*(EO76/100)))</f>
        <v/>
      </c>
      <c r="EU76" s="26" t="str">
        <f>IF(Compositions!Q141="","",(Compositions!Q141*(VLOOKUP(Compositions!M141,'HHV-LHV-MW'!$A$3:$F$40,6,FALSE))))</f>
        <v/>
      </c>
      <c r="EV76" s="296" t="str">
        <f>IF(Compositions!Q141="","",IF(OR(Compositions!$Q$118="wt%",Compositions!$Q$118=""),Compositions!Q141,(IF(EU76="","",((EU76/$EU$78)*100)))))</f>
        <v/>
      </c>
      <c r="EW76" s="39" t="str">
        <f>IF(EV76="","",(IF(OR(Compositions!M141="Hydrogen",Compositions!M141="Helium",Compositions!M141="Water",Compositions!M141="Carbon Monoxide",Compositions!M141="Nitrogen",Compositions!M141="Oxygen",Compositions!M141="Hydrogen Sulfide",Compositions!M141="Argon",Compositions!M141="Carbon Dioxide",Compositions!M141="Carbon Disulfide"),0,EV76)))</f>
        <v/>
      </c>
      <c r="EX76" s="186" t="str">
        <f>IF(Compositions!Q141="","",((EO76/100)*((VLOOKUP(Compositions!M141,'HHV-LHV-MW'!$A$3:$G$40,7,FALSE)))))</f>
        <v/>
      </c>
      <c r="EY76" s="186" t="str">
        <f>IF(EO76="","",(IF(OR(Compositions!M141="Hydrogen",Compositions!M141="Carbon Disulfide",Compositions!M141="Helium",Compositions!M141="Water",Compositions!M141="Carbon Monoxide",Compositions!M141="Nitrogen",Compositions!M141="Oxygen",Compositions!M141="Hydrogen Sulfide",Compositions!M141="Argon",Compositions!M141="Carbon Dioxide",Compositions!M141="Methane",Compositions!M141="Ethane"),0,(EO76/100))))</f>
        <v/>
      </c>
      <c r="EZ76" s="39" t="str">
        <f>IF(EO76="","",(IF(OR($EY$78=0,$EY$78=""),0,       ((VLOOKUP(Compositions!M141,'HHV-LHV-MW'!$A$3:$F$40,6,FALSE))*(EY76/$EY$78)))))</f>
        <v/>
      </c>
      <c r="FB76" s="27" t="str">
        <f>IF(Compositions!T141="","",IF(Compositions!$T$118="mol%",Compositions!T141,FC76))</f>
        <v/>
      </c>
      <c r="FC76" s="27" t="str">
        <f t="shared" si="37"/>
        <v/>
      </c>
      <c r="FD76" s="27" t="str">
        <f>IF(Compositions!T141="","",(Compositions!T141/(VLOOKUP(Compositions!S141,'HHV-LHV-MW'!$A$3:$F$40,6,FALSE))))</f>
        <v/>
      </c>
      <c r="FE76" s="25" t="str">
        <f>IF(FB76="","",((VLOOKUP(Compositions!S141,'HHV-LHV-MW'!$A$3:$F$40,4,FALSE))*(FB76/100)))</f>
        <v/>
      </c>
      <c r="FF76" s="25" t="str">
        <f>IF(FB76="","",((VLOOKUP(Compositions!S141,'HHV-LHV-MW'!$A$3:$F$40,5,FALSE))*(FB76/100)))</f>
        <v/>
      </c>
      <c r="FG76" s="25" t="str">
        <f>IF(FB76="","",((VLOOKUP(Compositions!S141,'HHV-LHV-MW'!$A$3:$F$40,6,FALSE))*(FB76/100)))</f>
        <v/>
      </c>
      <c r="FH76" s="25" t="str">
        <f>IF(Compositions!T141="","",(Compositions!T141*(VLOOKUP(Compositions!S141,'HHV-LHV-MW'!$A$3:$F$40,6,FALSE))))</f>
        <v/>
      </c>
      <c r="FI76" s="295" t="str">
        <f>IF(Compositions!T141="","",IF(OR(Compositions!$T$118="wt%",Compositions!$T$118=""),Compositions!T141,(IF(FH76="","",((FH76/$FH$78)*100)))))</f>
        <v/>
      </c>
      <c r="FJ76" s="185" t="str">
        <f>IF(FI76="","",(IF(OR(Compositions!S141="Hydrogen",Compositions!S141="Helium",Compositions!S141="Water",Compositions!S141="Carbon Monoxide",Compositions!S141="Nitrogen",Compositions!S141="Oxygen",Compositions!S141="Hydrogen Sulfide",Compositions!S141="Argon",Compositions!S141="Carbon Dioxide",Compositions!S141="Carbon Disulfide"),0,FI76)))</f>
        <v/>
      </c>
      <c r="FK76" s="187" t="str">
        <f>IF(Compositions!T141="","",((FB76/100)*((VLOOKUP(Compositions!S141,'HHV-LHV-MW'!$A$3:$G$40,7,FALSE)))))</f>
        <v/>
      </c>
      <c r="FL76" s="187" t="str">
        <f>IF(FB76="","",(IF(OR(Compositions!S141="Hydrogen",Compositions!S141="Carbon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Dioxide",Compositions!S141="Methane",Compositions!S141="Ethane"),0,(FB76/100))))</f>
        <v/>
      </c>
      <c r="FM76" s="205" t="str">
        <f>IF(FB76="","",(IF(OR($FL$78=0,$FL$78=""),0,       ((VLOOKUP(Compositions!S141,'HHV-LHV-MW'!$A$3:$F$40,6,FALSE))*(FL76/$FL$78)))))</f>
        <v/>
      </c>
      <c r="FN76" s="28" t="str">
        <f>IF(Compositions!U141="","",IF(Compositions!$U$118="mol%",Compositions!U141,FO76))</f>
        <v/>
      </c>
      <c r="FO76" s="28" t="str">
        <f t="shared" si="38"/>
        <v/>
      </c>
      <c r="FP76" s="28" t="str">
        <f>IF(Compositions!U141="","",(Compositions!U141/(VLOOKUP(Compositions!S141,'HHV-LHV-MW'!$A$3:$F$40,6,FALSE))))</f>
        <v/>
      </c>
      <c r="FQ76" s="26" t="str">
        <f>IF(FN76="","",((VLOOKUP(Compositions!S141,'HHV-LHV-MW'!$A$3:$F$40,4,FALSE))*(FN76/100)))</f>
        <v/>
      </c>
      <c r="FR76" s="26" t="str">
        <f>IF(FN76="","",((VLOOKUP(Compositions!S141,'HHV-LHV-MW'!$A$3:$F$40,5,FALSE))*(FN76/100)))</f>
        <v/>
      </c>
      <c r="FS76" s="26" t="str">
        <f>IF(FN76="","",((VLOOKUP(Compositions!S141,'HHV-LHV-MW'!$A$3:$F$40,6,FALSE))*(FN76/100)))</f>
        <v/>
      </c>
      <c r="FT76" s="26" t="str">
        <f>IF(Compositions!U141="","",(Compositions!U141*(VLOOKUP(Compositions!S141,'HHV-LHV-MW'!$A$3:$F$40,6,FALSE))))</f>
        <v/>
      </c>
      <c r="FU76" s="296" t="str">
        <f>IF(Compositions!U141="","",IF(OR(Compositions!$U$118="wt%",Compositions!$U$118=""),Compositions!U141,(IF(FT76="","",((FT76/$FT$78)*100)))))</f>
        <v/>
      </c>
      <c r="FV76" s="39" t="str">
        <f>IF(FU76="","",(IF(OR(Compositions!S141="Hydrogen",Compositions!S141="Helium",Compositions!S141="Water",Compositions!S141="Carbon Monoxide",Compositions!S141="Nitrogen",Compositions!S141="Oxygen",Compositions!S141="Hydrogen Sulfide",Compositions!S141="Argon",Compositions!S141="Carbon Dioxide",Compositions!S141="Carbon Disulfide"),0,FU76)))</f>
        <v/>
      </c>
      <c r="FW76" s="186" t="str">
        <f>IF(Compositions!U141="","",((FN76/100)*((VLOOKUP(Compositions!S141,'HHV-LHV-MW'!$A$3:$G$40,7,FALSE)))))</f>
        <v/>
      </c>
      <c r="FX76" s="186" t="str">
        <f>IF(FN76="","",(IF(OR(Compositions!S141="Hydrogen",Compositions!S141="Carbon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Dioxide",Compositions!S141="Methane",Compositions!S141="Ethane"),0,(FN76/100))))</f>
        <v/>
      </c>
      <c r="FY76" s="39" t="str">
        <f>IF(FN76="","",(IF(OR($FX$78=0,$FX$78=""),0,       ((VLOOKUP(Compositions!S141,'HHV-LHV-MW'!$A$3:$F$40,6,FALSE))*(FX76/$FX$78)))))</f>
        <v/>
      </c>
      <c r="FZ76" s="27" t="str">
        <f>IF(Compositions!V141="","",IF(Compositions!$V$118="mol%",Compositions!V141,GA76))</f>
        <v/>
      </c>
      <c r="GA76" s="27" t="str">
        <f t="shared" si="39"/>
        <v/>
      </c>
      <c r="GB76" s="27" t="str">
        <f>IF(Compositions!V141="","",(Compositions!V141/(VLOOKUP(Compositions!S141,'HHV-LHV-MW'!$A$3:$F$40,6,FALSE))))</f>
        <v/>
      </c>
      <c r="GC76" s="25" t="str">
        <f>IF(FZ76="","",((VLOOKUP(Compositions!S141,'HHV-LHV-MW'!$A$3:$F$40,4,FALSE))*(FZ76/100)))</f>
        <v/>
      </c>
      <c r="GD76" s="25" t="str">
        <f>IF(FZ76="","",((VLOOKUP(Compositions!S141,'HHV-LHV-MW'!$A$3:$F$40,5,FALSE))*(FZ76/100)))</f>
        <v/>
      </c>
      <c r="GE76" s="25" t="str">
        <f>IF(FZ76="","",((VLOOKUP(Compositions!S141,'HHV-LHV-MW'!$A$3:$F$40,6,FALSE))*(FZ76/100)))</f>
        <v/>
      </c>
      <c r="GF76" s="25" t="str">
        <f>IF(Compositions!V141="","",(Compositions!V141*(VLOOKUP(Compositions!S141,'HHV-LHV-MW'!$A$3:$F$40,6,FALSE))))</f>
        <v/>
      </c>
      <c r="GG76" s="295" t="str">
        <f>IF(Compositions!V141="","",IF(OR(Compositions!$V$118="wt%",Compositions!$V$118=""),Compositions!V141,(IF(GF76="","",((GF76/$GF$78)*100)))))</f>
        <v/>
      </c>
      <c r="GH76" s="185" t="str">
        <f>IF(GG76="","",(IF(OR(Compositions!S141="Hydrogen",Compositions!S141="Helium",Compositions!S141="Water",Compositions!S141="Carbon Monoxide",Compositions!S141="Nitrogen",Compositions!S141="Oxygen",Compositions!S141="Hydrogen Sulfide",Compositions!S141="Argon",Compositions!S141="Carbon Dioxide",Compositions!S141="Carbon Disulfide"),0,GG76)))</f>
        <v/>
      </c>
      <c r="GI76" s="187" t="str">
        <f>IF(Compositions!V141="","",((FZ76/100)*((VLOOKUP(Compositions!S141,'HHV-LHV-MW'!$A$3:$G$40,7,FALSE)))))</f>
        <v/>
      </c>
      <c r="GJ76" s="187" t="str">
        <f>IF(FZ76="","",(IF(OR(Compositions!S141="Hydrogen",Compositions!S141="Carbon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Dioxide",Compositions!S141="Methane",Compositions!S141="Ethane"),0,(FZ76/100))))</f>
        <v/>
      </c>
      <c r="GK76" s="205" t="str">
        <f>IF(FZ76="","",(IF(OR($GJ$78=0,$GJ$78=""),0,       ((VLOOKUP(Compositions!S141,'HHV-LHV-MW'!$A$3:$F$40,6,FALSE))*(GJ76/$GJ$78)))))</f>
        <v/>
      </c>
      <c r="GL76" s="28" t="str">
        <f>IF(Compositions!W141="","",IF(Compositions!$W$118="mol%",Compositions!W141,GM76))</f>
        <v/>
      </c>
      <c r="GM76" s="28" t="str">
        <f t="shared" si="40"/>
        <v/>
      </c>
      <c r="GN76" s="28" t="str">
        <f>IF(Compositions!W141="","",(Compositions!W141/(VLOOKUP(Compositions!S141,'HHV-LHV-MW'!$A$3:$F$40,6,FALSE))))</f>
        <v/>
      </c>
      <c r="GO76" s="26" t="str">
        <f>IF(GL76="","",((VLOOKUP(Compositions!S141,'HHV-LHV-MW'!$A$3:$F$40,4,FALSE))*(GL76/100)))</f>
        <v/>
      </c>
      <c r="GP76" s="26" t="str">
        <f>IF(GL76="","",((VLOOKUP(Compositions!S141,'HHV-LHV-MW'!$A$3:$F$40,5,FALSE))*(GL76/100)))</f>
        <v/>
      </c>
      <c r="GQ76" s="26" t="str">
        <f>IF(GL76="","",((VLOOKUP(Compositions!S141,'HHV-LHV-MW'!$A$3:$F$40,6,FALSE))*(GL76/100)))</f>
        <v/>
      </c>
      <c r="GR76" s="26" t="str">
        <f>IF(Compositions!W141="","",(Compositions!W141*(VLOOKUP(Compositions!S141,'HHV-LHV-MW'!$A$3:$F$40,6,FALSE))))</f>
        <v/>
      </c>
      <c r="GS76" s="296" t="str">
        <f>IF(Compositions!W141="","",IF(OR(Compositions!$W$118="wt%",Compositions!$W$118=""),Compositions!W141,(IF(GR76="","",((GR76/$GR$78)*100)))))</f>
        <v/>
      </c>
      <c r="GT76" s="39" t="str">
        <f>IF(GS76="","",(IF(OR(Compositions!S141="Hydrogen",Compositions!S141="Helium",Compositions!S141="Water",Compositions!S141="Carbon Monoxide",Compositions!S141="Nitrogen",Compositions!S141="Oxygen",Compositions!S141="Hydrogen Sulfide",Compositions!S141="Argon",Compositions!S141="Carbon Dioxide",Compositions!S141="Carbon Disulfide"),0,GS76)))</f>
        <v/>
      </c>
      <c r="GU76" s="186" t="str">
        <f>IF(Compositions!W141="","",((GL76/100)*((VLOOKUP(Compositions!S141,'HHV-LHV-MW'!$A$3:$G$40,7,FALSE)))))</f>
        <v/>
      </c>
      <c r="GV76" s="186" t="str">
        <f>IF(GL76="","",(IF(OR(Compositions!S141="Hydrogen",Compositions!S141="Carbon Disulfide",Compositions!S141="Helium",Compositions!S141="Water",Compositions!S141="Carbon Monoxide",Compositions!S141="Nitrogen",Compositions!S141="Oxygen",Compositions!S141="Hydrogen Sulfide",Compositions!S141="Argon",Compositions!S141="Carbon Dioxide",Compositions!S141="Methane",Compositions!S141="Ethane"),0,(GL76/100))))</f>
        <v/>
      </c>
      <c r="GW76" s="39" t="str">
        <f>IF(GL76="","",(IF(OR($GV$78=0,$GV$78=""),0,       ((VLOOKUP(Compositions!S141,'HHV-LHV-MW'!$A$3:$F$40,6,FALSE))*(GV76/$GV$78)))))</f>
        <v/>
      </c>
      <c r="GY76" s="27" t="str">
        <f>IF(Compositions!Z141="","",IF(Compositions!$Z$118="mol%",Compositions!Z141,GZ76))</f>
        <v/>
      </c>
      <c r="GZ76" s="27" t="str">
        <f t="shared" si="41"/>
        <v/>
      </c>
      <c r="HA76" s="27" t="str">
        <f>IF(Compositions!Z141="","",(Compositions!Z141/(VLOOKUP(Compositions!Y141,'HHV-LHV-MW'!$A$3:$F$40,6,FALSE))))</f>
        <v/>
      </c>
      <c r="HB76" s="25" t="str">
        <f>IF(GY76="","",((VLOOKUP(Compositions!Y141,'HHV-LHV-MW'!$A$3:$F$40,4,FALSE))*(GY76/100)))</f>
        <v/>
      </c>
      <c r="HC76" s="25" t="str">
        <f>IF(GY76="","",((VLOOKUP(Compositions!Y141,'HHV-LHV-MW'!$A$3:$F$40,5,FALSE))*(GY76/100)))</f>
        <v/>
      </c>
      <c r="HD76" s="25" t="str">
        <f>IF(GY76="","",((VLOOKUP(Compositions!Y141,'HHV-LHV-MW'!$A$3:$F$40,6,FALSE))*(GY76/100)))</f>
        <v/>
      </c>
      <c r="HE76" s="25" t="str">
        <f>IF(Compositions!Z141="","",(Compositions!Z141*(VLOOKUP(Compositions!Y141,'HHV-LHV-MW'!$A$3:$F$40,6,FALSE))))</f>
        <v/>
      </c>
      <c r="HF76" s="295" t="str">
        <f>IF(Compositions!Z141="","",IF(OR(Compositions!$Z$118="wt%",Compositions!$Z$118=""),Compositions!Z141,(IF(HE76="","",((HE76/$HE$78)*100)))))</f>
        <v/>
      </c>
      <c r="HG76" s="185" t="str">
        <f>IF(HF76="","",(IF(OR(Compositions!Y141="Hydrogen",Compositions!Y141="Helium",Compositions!Y141="Water",Compositions!Y141="Carbon Monoxide",Compositions!Y141="Nitrogen",Compositions!Y141="Oxygen",Compositions!Y141="Hydrogen Sulfide",Compositions!Y141="Argon",Compositions!Y141="Carbon Dioxide",Compositions!Y141="Carbon Disulfide"),0,HF76)))</f>
        <v/>
      </c>
      <c r="HH76" s="187" t="str">
        <f>IF(Compositions!Z141="","",((GY76/100)*((VLOOKUP(Compositions!Y141,'HHV-LHV-MW'!$A$3:$G$40,7,FALSE)))))</f>
        <v/>
      </c>
      <c r="HI76" s="187" t="str">
        <f>IF(GY76="","",(IF(OR(Compositions!Y141="Hydrogen",Compositions!Y141="Carbon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Dioxide",Compositions!Y141="Methane",Compositions!Y141="Ethane"),0,(GY76/100))))</f>
        <v/>
      </c>
      <c r="HJ76" s="205" t="str">
        <f>IF(GY76="","",(IF(OR($HI$78=0,$HI$78=""),0,       ((VLOOKUP(Compositions!Y141,'HHV-LHV-MW'!$A$3:$F$40,6,FALSE))*(HI76/$HI$78)))))</f>
        <v/>
      </c>
      <c r="HK76" s="28" t="str">
        <f>IF(Compositions!AA141="","",IF(Compositions!$AA$118="mol%",Compositions!AA141,HL76))</f>
        <v/>
      </c>
      <c r="HL76" s="28" t="str">
        <f t="shared" si="42"/>
        <v/>
      </c>
      <c r="HM76" s="28" t="str">
        <f>IF(Compositions!AA141="","",(Compositions!AA141/(VLOOKUP(Compositions!Y141,'HHV-LHV-MW'!$A$3:$F$40,6,FALSE))))</f>
        <v/>
      </c>
      <c r="HN76" s="26" t="str">
        <f>IF(HK76="","",((VLOOKUP(Compositions!Y141,'HHV-LHV-MW'!$A$3:$F$40,4,FALSE))*(HK76/100)))</f>
        <v/>
      </c>
      <c r="HO76" s="26" t="str">
        <f>IF(HK76="","",((VLOOKUP(Compositions!Y141,'HHV-LHV-MW'!$A$3:$F$40,5,FALSE))*(HK76/100)))</f>
        <v/>
      </c>
      <c r="HP76" s="26" t="str">
        <f>IF(HK76="","",((VLOOKUP(Compositions!Y141,'HHV-LHV-MW'!$A$3:$F$40,6,FALSE))*(HK76/100)))</f>
        <v/>
      </c>
      <c r="HQ76" s="26" t="str">
        <f>IF(Compositions!AA141="","",(Compositions!AA141*(VLOOKUP(Compositions!Y141,'HHV-LHV-MW'!$A$3:$F$40,6,FALSE))))</f>
        <v/>
      </c>
      <c r="HR76" s="296" t="str">
        <f>IF(Compositions!AA141="","",IF(OR(Compositions!$AA$118="wt%",Compositions!$AA$118=""),Compositions!AA141,(IF(HQ76="","",((HQ76/$HQ$78)*100)))))</f>
        <v/>
      </c>
      <c r="HS76" s="39" t="str">
        <f>IF(HR76="","",(IF(OR(Compositions!Y141="Hydrogen",Compositions!Y141="Helium",Compositions!Y141="Water",Compositions!Y141="Carbon Monoxide",Compositions!Y141="Nitrogen",Compositions!Y141="Oxygen",Compositions!Y141="Hydrogen Sulfide",Compositions!Y141="Argon",Compositions!Y141="Carbon Dioxide",Compositions!Y141="Carbon Disulfide"),0,HR76)))</f>
        <v/>
      </c>
      <c r="HT76" s="186" t="str">
        <f>IF(Compositions!AA141="","",((HK76/100)*((VLOOKUP(Compositions!Y141,'HHV-LHV-MW'!$A$3:$G$40,7,FALSE)))))</f>
        <v/>
      </c>
      <c r="HU76" s="186" t="str">
        <f>IF(HK76="","",(IF(OR(Compositions!Y141="Hydrogen",Compositions!Y141="Carbon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Dioxide",Compositions!Y141="Methane",Compositions!Y141="Ethane"),0,(HK76/100))))</f>
        <v/>
      </c>
      <c r="HV76" s="39" t="str">
        <f>IF(HK76="","",(IF(OR($HU$78=0,$HU$78=""),0,       ((VLOOKUP(Compositions!Y141,'HHV-LHV-MW'!$A$3:$F$40,6,FALSE))*(HU76/$HU$78)))))</f>
        <v/>
      </c>
      <c r="HW76" s="27" t="str">
        <f>IF(Compositions!AB141="","",IF(Compositions!$AB$118="mol%",Compositions!AB141,HX76))</f>
        <v/>
      </c>
      <c r="HX76" s="27" t="str">
        <f t="shared" si="43"/>
        <v/>
      </c>
      <c r="HY76" s="27" t="str">
        <f>IF(Compositions!AB141="","",(Compositions!AB141/(VLOOKUP(Compositions!Y141,'HHV-LHV-MW'!$A$3:$F$40,6,FALSE))))</f>
        <v/>
      </c>
      <c r="HZ76" s="25" t="str">
        <f>IF(HW76="","",((VLOOKUP(Compositions!Y141,'HHV-LHV-MW'!$A$3:$F$40,4,FALSE))*(HW76/100)))</f>
        <v/>
      </c>
      <c r="IA76" s="25" t="str">
        <f>IF(HW76="","",((VLOOKUP(Compositions!Y141,'HHV-LHV-MW'!$A$3:$F$40,5,FALSE))*(HW76/100)))</f>
        <v/>
      </c>
      <c r="IB76" s="25" t="str">
        <f>IF(HW76="","",((VLOOKUP(Compositions!Y141,'HHV-LHV-MW'!$A$3:$F$40,6,FALSE))*(HW76/100)))</f>
        <v/>
      </c>
      <c r="IC76" s="25" t="str">
        <f>IF(Compositions!AB141="","",(Compositions!AB141*(VLOOKUP(Compositions!Y141,'HHV-LHV-MW'!$A$3:$F$40,6,FALSE))))</f>
        <v/>
      </c>
      <c r="ID76" s="295" t="str">
        <f>IF(Compositions!AB141="","",IF(OR(Compositions!$AB$118="wt%",Compositions!$AB$118=""),Compositions!AB141,(IF(IC76="","",((IC76/$IC$78)*100)))))</f>
        <v/>
      </c>
      <c r="IE76" s="185" t="str">
        <f>IF(ID76="","",(IF(OR(Compositions!Y141="Hydrogen",Compositions!Y141="Helium",Compositions!Y141="Water",Compositions!Y141="Carbon Monoxide",Compositions!Y141="Nitrogen",Compositions!Y141="Oxygen",Compositions!Y141="Hydrogen Sulfide",Compositions!Y141="Argon",Compositions!Y141="Carbon Dioxide",Compositions!Y141="Carbon Disulfide"),0,ID76)))</f>
        <v/>
      </c>
      <c r="IF76" s="187" t="str">
        <f>IF(Compositions!AB141="","",((HW76/100)*((VLOOKUP(Compositions!Y141,'HHV-LHV-MW'!$A$3:$G$40,7,FALSE)))))</f>
        <v/>
      </c>
      <c r="IG76" s="187" t="str">
        <f>IF(HW76="","",(IF(OR(Compositions!Y141="Hydrogen",Compositions!Y141="Carbon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Dioxide",Compositions!Y141="Methane",Compositions!Y141="Ethane"),0,(HW76/100))))</f>
        <v/>
      </c>
      <c r="IH76" s="205" t="str">
        <f>IF(HW76="","",(IF(OR($IG$78=0,$IG$78=""),0,       ((VLOOKUP(Compositions!Y141,'HHV-LHV-MW'!$A$3:$F$40,6,FALSE))*(IG76/$IG$78)))))</f>
        <v/>
      </c>
      <c r="II76" s="28" t="str">
        <f>IF(Compositions!AC141="","",IF(Compositions!$AC$118="mol%",Compositions!AC141,IJ76))</f>
        <v/>
      </c>
      <c r="IJ76" s="28" t="str">
        <f t="shared" si="44"/>
        <v/>
      </c>
      <c r="IK76" s="28" t="str">
        <f>IF(Compositions!AC141="","",(Compositions!AC141/(VLOOKUP(Compositions!Y141,'HHV-LHV-MW'!$A$3:$F$40,6,FALSE))))</f>
        <v/>
      </c>
      <c r="IL76" s="26" t="str">
        <f>IF(II76="","",((VLOOKUP(Compositions!Y141,'HHV-LHV-MW'!$A$3:$F$40,4,FALSE))*(II76/100)))</f>
        <v/>
      </c>
      <c r="IM76" s="26" t="str">
        <f>IF(II76="","",((VLOOKUP(Compositions!Y141,'HHV-LHV-MW'!$A$3:$F$40,5,FALSE))*(II76/100)))</f>
        <v/>
      </c>
      <c r="IN76" s="26" t="str">
        <f>IF(II76="","",((VLOOKUP(Compositions!Y141,'HHV-LHV-MW'!$A$3:$F$40,6,FALSE))*(II76/100)))</f>
        <v/>
      </c>
      <c r="IO76" s="26" t="str">
        <f>IF(Compositions!AC141="","",(Compositions!AC141*(VLOOKUP(Compositions!Y141,'HHV-LHV-MW'!$A$3:$F$40,6,FALSE))))</f>
        <v/>
      </c>
      <c r="IP76" s="296" t="str">
        <f>IF(Compositions!AC141="","",IF(OR(Compositions!$AC$118="wt%",Compositions!$AC$118=""),Compositions!AC141,(IF(IO76="","",((IO76/$IO$78)*100)))))</f>
        <v/>
      </c>
      <c r="IQ76" s="39" t="str">
        <f>IF(IP76="","",(IF(OR(Compositions!Y141="Hydrogen",Compositions!Y141="Helium",Compositions!Y141="Water",Compositions!Y141="Carbon Monoxide",Compositions!Y141="Nitrogen",Compositions!Y141="Oxygen",Compositions!Y141="Hydrogen Sulfide",Compositions!Y141="Argon",Compositions!Y141="Carbon Dioxide",Compositions!Y141="Carbon Disulfide"),0,IP76)))</f>
        <v/>
      </c>
      <c r="IR76" s="186" t="str">
        <f>IF(Compositions!AC141="","",((II76/100)*((VLOOKUP(Compositions!Y141,'HHV-LHV-MW'!$A$3:$G$40,7,FALSE)))))</f>
        <v/>
      </c>
      <c r="IS76" s="186" t="str">
        <f>IF(II76="","",(IF(OR(Compositions!Y141="Hydrogen",Compositions!Y141="Carbon Disulfide",Compositions!Y141="Helium",Compositions!Y141="Water",Compositions!Y141="Carbon Monoxide",Compositions!Y141="Nitrogen",Compositions!Y141="Oxygen",Compositions!Y141="Hydrogen Sulfide",Compositions!Y141="Argon",Compositions!Y141="Carbon Dioxide",Compositions!Y141="Methane",Compositions!Y141="Ethane"),0,(II76/100))))</f>
        <v/>
      </c>
      <c r="IT76" s="39" t="str">
        <f>IF(II76="","",(IF(OR($IS$78=0,$IS$78=""),0,      ((VLOOKUP(Compositions!Y141,'HHV-LHV-MW'!$A$3:$F$40,6,FALSE))*(IS76/$IS$78)))))</f>
        <v/>
      </c>
      <c r="IV76" s="27" t="str">
        <f>IF(Compositions!AF141="","",IF(Compositions!$AF$118="mol%",Compositions!AF141,IW76))</f>
        <v/>
      </c>
      <c r="IW76" s="27" t="str">
        <f t="shared" si="45"/>
        <v/>
      </c>
      <c r="IX76" s="27" t="str">
        <f>IF(Compositions!AF141="","",(Compositions!AF141/(VLOOKUP(Compositions!AE141,'HHV-LHV-MW'!$A$3:$F$40,6,FALSE))))</f>
        <v/>
      </c>
      <c r="IY76" s="25" t="str">
        <f>IF(IV76="","",((VLOOKUP(Compositions!AE141,'HHV-LHV-MW'!$A$3:$F$40,4,FALSE))*(IV76/100)))</f>
        <v/>
      </c>
      <c r="IZ76" s="25" t="str">
        <f>IF(IV76="","",((VLOOKUP(Compositions!AE141,'HHV-LHV-MW'!$A$3:$F$40,5,FALSE))*(IV76/100)))</f>
        <v/>
      </c>
      <c r="JA76" s="25" t="str">
        <f>IF(IV76="","",((VLOOKUP(Compositions!AE141,'HHV-LHV-MW'!$A$3:$F$40,6,FALSE))*(IV76/100)))</f>
        <v/>
      </c>
      <c r="JB76" s="25" t="str">
        <f>IF(Compositions!AF141="","",(Compositions!AF141*(VLOOKUP(Compositions!AE141,'HHV-LHV-MW'!$A$3:$F$40,6,FALSE))))</f>
        <v/>
      </c>
      <c r="JC76" s="298" t="str">
        <f>IF(Compositions!AF141="","",IF(OR(Compositions!$AF$118="wt%",Compositions!$AF$118=""),Compositions!AF141,(IF(JB76="","",((JB76/$JB$78)*100)))))</f>
        <v/>
      </c>
      <c r="JD76" s="185" t="str">
        <f>IF(JC76="","",(IF(OR(Compositions!AE141="Hydrogen",Compositions!AE141="Helium",Compositions!AE141="Water",Compositions!AE141="Carbon Monoxide",Compositions!AE141="Nitrogen",Compositions!AE141="Oxygen",Compositions!AE141="Hydrogen Sulfide",Compositions!AE141="Argon",Compositions!AE141="Carbon Dioxide",Compositions!AE141="Carbon Disulfide"),0,JC76)))</f>
        <v/>
      </c>
      <c r="JE76" s="187" t="str">
        <f>IF(Compositions!AF141="","",((IV76/100)*((VLOOKUP(Compositions!AE141,'HHV-LHV-MW'!$A$3:$G$40,7,FALSE)))))</f>
        <v/>
      </c>
      <c r="JF76" s="187" t="str">
        <f>IF(IV76="","",(IF(OR(Compositions!AE141="Hydrogen",Compositions!AE141="Carbon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Dioxide",Compositions!AE141="Methane",Compositions!AE141="Ethane"),0,(IV76/100))))</f>
        <v/>
      </c>
      <c r="JG76" s="205" t="str">
        <f>IF(IV76="","",(IF(OR($JF$78=0,$JF$78=""),0,      ((VLOOKUP(Compositions!AE141,'HHV-LHV-MW'!$A$3:$F$40,6,FALSE))*(JF76/$JF$78)))))</f>
        <v/>
      </c>
      <c r="JH76" s="28" t="str">
        <f>IF(Compositions!AG141="","",IF(Compositions!$AG$118="mol%",Compositions!AG141,JI76))</f>
        <v/>
      </c>
      <c r="JI76" s="28" t="str">
        <f t="shared" si="46"/>
        <v/>
      </c>
      <c r="JJ76" s="28" t="str">
        <f>IF(Compositions!AG141="","",(Compositions!AG141/(VLOOKUP(Compositions!AE141,'HHV-LHV-MW'!$A$3:$F$40,6,FALSE))))</f>
        <v/>
      </c>
      <c r="JK76" s="26" t="str">
        <f>IF(JH76="","",((VLOOKUP(Compositions!AE141,'HHV-LHV-MW'!$A$3:$F$40,4,FALSE))*(JH76/100)))</f>
        <v/>
      </c>
      <c r="JL76" s="26" t="str">
        <f>IF(JH76="","",((VLOOKUP(Compositions!AE141,'HHV-LHV-MW'!$A$3:$F$40,5,FALSE))*(JH76/100)))</f>
        <v/>
      </c>
      <c r="JM76" s="26" t="str">
        <f>IF(JH76="","",((VLOOKUP(Compositions!AE141,'HHV-LHV-MW'!$A$3:$F$40,6,FALSE))*(JH76/100)))</f>
        <v/>
      </c>
      <c r="JN76" s="26" t="str">
        <f>IF(Compositions!AG141="","",(Compositions!AG141*(VLOOKUP(Compositions!AE141,'HHV-LHV-MW'!$A$3:$F$40,6,FALSE))))</f>
        <v/>
      </c>
      <c r="JO76" s="297" t="str">
        <f>IF(Compositions!AG141="","",IF(OR(Compositions!$AG$118="wt%",Compositions!$AG$118=""),Compositions!AG141,(IF(JN76="","",((JN76/$JN$78)*100)))))</f>
        <v/>
      </c>
      <c r="JP76" s="39" t="str">
        <f>IF(JO76="","",(IF(OR(Compositions!AE141="Hydrogen",Compositions!AE141="Helium",Compositions!AE141="Water",Compositions!AE141="Carbon Monoxide",Compositions!AE141="Nitrogen",Compositions!AE141="Oxygen",Compositions!AE141="Hydrogen Sulfide",Compositions!AE141="Argon",Compositions!AE141="Carbon Dioxide",Compositions!AE141="Carbon Disulfide"),0,JO76)))</f>
        <v/>
      </c>
      <c r="JQ76" s="186" t="str">
        <f>IF(Compositions!AG141="","",((JH76/100)*((VLOOKUP(Compositions!AE141,'HHV-LHV-MW'!$A$3:$G$40,7,FALSE)))))</f>
        <v/>
      </c>
      <c r="JR76" s="186" t="str">
        <f>IF(JH76="","",(IF(OR(Compositions!AE141="Hydrogen",Compositions!AE141="Carbon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Dioxide",Compositions!AE141="Methane",Compositions!AE141="Ethane"),0,(JH76/100))))</f>
        <v/>
      </c>
      <c r="JS76" s="39" t="str">
        <f>IF(JH76="","",(IF(OR($JR$78=0,$JR$78=""),0,      ((VLOOKUP(Compositions!AE141,'HHV-LHV-MW'!$A$3:$F$40,6,FALSE))*(JR76/$JR$78)))))</f>
        <v/>
      </c>
      <c r="JT76" s="27" t="str">
        <f>IF(Compositions!AH141="","",IF(Compositions!$AH$118="mol%",Compositions!AH141,JU76))</f>
        <v/>
      </c>
      <c r="JU76" s="27" t="str">
        <f t="shared" si="47"/>
        <v/>
      </c>
      <c r="JV76" s="27" t="str">
        <f>IF(Compositions!AH141="","",(Compositions!AH141/(VLOOKUP(Compositions!AE141,'HHV-LHV-MW'!$A$3:$F$40,6,FALSE))))</f>
        <v/>
      </c>
      <c r="JW76" s="25" t="str">
        <f>IF(JT76="","",((VLOOKUP(Compositions!AE141,'HHV-LHV-MW'!$A$3:$F$40,4,FALSE))*(JT76/100)))</f>
        <v/>
      </c>
      <c r="JX76" s="25" t="str">
        <f>IF(JT76="","",((VLOOKUP(Compositions!AE141,'HHV-LHV-MW'!$A$3:$F$40,5,FALSE))*(JT76/100)))</f>
        <v/>
      </c>
      <c r="JY76" s="25" t="str">
        <f>IF(JT76="","",((VLOOKUP(Compositions!AE141,'HHV-LHV-MW'!$A$3:$F$40,6,FALSE))*(JT76/100)))</f>
        <v/>
      </c>
      <c r="JZ76" s="25" t="str">
        <f>IF(Compositions!AH141="","",(Compositions!AH141*(VLOOKUP(Compositions!AE141,'HHV-LHV-MW'!$A$3:$F$40,6,FALSE))))</f>
        <v/>
      </c>
      <c r="KA76" s="298" t="str">
        <f>IF(Compositions!AH141="","",IF(OR(Compositions!$AH$118="wt%",Compositions!$AH$118=""),Compositions!AH141,(IF(JZ76="","",((JZ76/$JZ$78)*100)))))</f>
        <v/>
      </c>
      <c r="KB76" s="185" t="str">
        <f>IF(KA76="","",(IF(OR(Compositions!AE141="Hydrogen",Compositions!AE141="Helium",Compositions!AE141="Water",Compositions!AE141="Carbon Monoxide",Compositions!AE141="Nitrogen",Compositions!AE141="Oxygen",Compositions!AE141="Hydrogen Sulfide",Compositions!AE141="Argon",Compositions!AE141="Carbon Dioxide",Compositions!AE141="Carbon Disulfide"),0,KA76)))</f>
        <v/>
      </c>
      <c r="KC76" s="187" t="str">
        <f>IF(Compositions!AH141="","",((JT76/100)*((VLOOKUP(Compositions!AE141,'HHV-LHV-MW'!$A$3:$G$40,7,FALSE)))))</f>
        <v/>
      </c>
      <c r="KD76" s="187" t="str">
        <f>IF(JT76="","",(IF(OR(Compositions!AE141="Hydrogen",Compositions!AE141="Carbon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Dioxide",Compositions!AE141="Methane",Compositions!AE141="Ethane"),0,(JT76/100))))</f>
        <v/>
      </c>
      <c r="KE76" s="205" t="str">
        <f>IF(JT76="","",(IF(OR($KD$78=0,$KD$78=""),0,      ((VLOOKUP(Compositions!AE141,'HHV-LHV-MW'!$A$3:$F$40,6,FALSE))*(KD76/$KD$78)))))</f>
        <v/>
      </c>
      <c r="KF76" s="28" t="str">
        <f>IF(Compositions!AI141="","",IF(Compositions!$AI$118="mol%",Compositions!AI141,KG76))</f>
        <v/>
      </c>
      <c r="KG76" s="28" t="str">
        <f t="shared" si="48"/>
        <v/>
      </c>
      <c r="KH76" s="28" t="str">
        <f>IF(Compositions!AI141="","",(Compositions!AI141/(VLOOKUP(Compositions!AE141,'HHV-LHV-MW'!$A$3:$F$40,6,FALSE))))</f>
        <v/>
      </c>
      <c r="KI76" s="26" t="str">
        <f>IF(KF76="","",((VLOOKUP(Compositions!AE141,'HHV-LHV-MW'!$A$3:$F$40,4,FALSE))*(KF76/100)))</f>
        <v/>
      </c>
      <c r="KJ76" s="26" t="str">
        <f>IF(KF76="","",((VLOOKUP(Compositions!AE141,'HHV-LHV-MW'!$A$3:$F$40,5,FALSE))*(KF76/100)))</f>
        <v/>
      </c>
      <c r="KK76" s="26" t="str">
        <f>IF(KF76="","",((VLOOKUP(Compositions!AE141,'HHV-LHV-MW'!$A$3:$F$40,6,FALSE))*(KF76/100)))</f>
        <v/>
      </c>
      <c r="KL76" s="26" t="str">
        <f>IF(Compositions!AI141="","",(Compositions!AI141*(VLOOKUP(Compositions!AE141,'HHV-LHV-MW'!$A$3:$F$40,6,FALSE))))</f>
        <v/>
      </c>
      <c r="KM76" s="297" t="str">
        <f>IF(Compositions!AI141="","",IF(OR(Compositions!$AI$118="wt%",Compositions!$AI$118=""),Compositions!AI141,(IF(KL76="","",((KL76/$KL$78)*100)))))</f>
        <v/>
      </c>
      <c r="KN76" s="39" t="str">
        <f>IF(KM76="","",(IF(OR(Compositions!AE141="Hydrogen",Compositions!AE141="Helium",Compositions!AE141="Water",Compositions!AE141="Carbon Monoxide",Compositions!AE141="Nitrogen",Compositions!AE141="Oxygen",Compositions!AE141="Hydrogen Sulfide",Compositions!AE141="Argon",Compositions!AE141="Carbon Dioxide",Compositions!AE141="Carbon Disulfide"),0,KM76)))</f>
        <v/>
      </c>
      <c r="KO76" s="186" t="str">
        <f>IF(Compositions!AI141="","",((KF76/100)*((VLOOKUP(Compositions!AE141,'HHV-LHV-MW'!$A$3:$G$40,7,FALSE)))))</f>
        <v/>
      </c>
      <c r="KP76" s="186" t="str">
        <f>IF(KF76="","",(IF(OR(Compositions!AE141="Hydrogen",Compositions!AE141="Carbon Disulfide",Compositions!AE141="Helium",Compositions!AE141="Water",Compositions!AE141="Carbon Monoxide",Compositions!AE141="Nitrogen",Compositions!AE141="Oxygen",Compositions!AE141="Hydrogen Sulfide",Compositions!AE141="Argon",Compositions!AE141="Carbon Dioxide",Compositions!AE141="Methane",Compositions!AE141="Ethane"),0,(KF76/100))))</f>
        <v/>
      </c>
      <c r="KQ76" s="39" t="str">
        <f>IF(KF76="","",(IF(OR($KP$78=0,$KP$78=""),0,      ((VLOOKUP(Compositions!AE141,'HHV-LHV-MW'!$A$3:$F$40,6,FALSE))*(KP76/$KP$78)))))</f>
        <v/>
      </c>
      <c r="KS76" s="27" t="str">
        <f>IF(Compositions!AL141="","",IF(Compositions!$AL$118="mol%",Compositions!AL141,KT76))</f>
        <v/>
      </c>
      <c r="KT76" s="27" t="str">
        <f>IF(KU76="","",((KU76/$KU$78)*100))</f>
        <v/>
      </c>
      <c r="KU76" s="27" t="str">
        <f>IF(Compositions!AL141="","",(Compositions!AL141/(VLOOKUP(Compositions!AK141,'HHV-LHV-MW'!$A$3:$F$40,6,FALSE))))</f>
        <v/>
      </c>
      <c r="KV76" s="185" t="str">
        <f>IF(KS76="","",((VLOOKUP(Compositions!AK141,'HHV-LHV-MW'!$A$3:$F$40,4,FALSE))*(KS76/100)))</f>
        <v/>
      </c>
      <c r="KW76" s="185" t="str">
        <f>IF(KS76="","",((VLOOKUP(Compositions!AK141,'HHV-LHV-MW'!$A$3:$F$40,5,FALSE))*(KS76/100)))</f>
        <v/>
      </c>
      <c r="KX76" s="185" t="str">
        <f>IF(KS76="","",((VLOOKUP(Compositions!AK141,'HHV-LHV-MW'!$A$3:$F$40,6,FALSE))*(KS76/100)))</f>
        <v/>
      </c>
      <c r="KY76" s="185" t="str">
        <f>IF(Compositions!AL141="","",(Compositions!AL141*(VLOOKUP(Compositions!AK141,'HHV-LHV-MW'!$A$3:$F$40,6,FALSE))))</f>
        <v/>
      </c>
      <c r="KZ76" s="298" t="str">
        <f>IF(Compositions!AL141="","",IF(OR(Compositions!$AL$118="wt%",Compositions!$AL$118=""),Compositions!AL141,(IF(KY76="","",((KY76/$KY$78)*100)))))</f>
        <v/>
      </c>
      <c r="LA76" s="185" t="str">
        <f>IF(KZ76="","",(IF(OR(Compositions!AK141="Hydrogen",Compositions!AK141="Helium",Compositions!AK141="Water",Compositions!AK141="Carbon Monoxide",Compositions!AK141="Nitrogen",Compositions!AK141="Oxygen",Compositions!AK141="Hydrogen Sulfide",Compositions!AK141="Argon",Compositions!AK141="Carbon Dioxide",Compositions!AK141="Carbon Disulfide"),0,KZ76)))</f>
        <v/>
      </c>
      <c r="LB76" s="187" t="str">
        <f>IF(Compositions!AL141="","",((KS76/100)*((VLOOKUP(Compositions!AK141,'HHV-LHV-MW'!$A$3:$G$40,7,FALSE)))))</f>
        <v/>
      </c>
      <c r="LC76" s="187" t="str">
        <f>IF(KS76="","",(IF(OR(Compositions!AK141="Hydrogen",Compositions!AK141="Carbon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Dioxide",Compositions!AK141="Methane",Compositions!AK141="Ethane"),0,(KS76/100))))</f>
        <v/>
      </c>
      <c r="LD76" s="205" t="str">
        <f>IF(KS76="","",(IF(OR($LC$78=0,$LC$78=""),0,      ((VLOOKUP(Compositions!AK141,'HHV-LHV-MW'!$A$3:$F$40,6,FALSE))*(LC76/$LC$78)))))</f>
        <v/>
      </c>
      <c r="LE76" s="28" t="str">
        <f>IF(Compositions!AM141="","",IF(Compositions!$AM$118="mol%",Compositions!AM141,LF76))</f>
        <v/>
      </c>
      <c r="LF76" s="28" t="str">
        <f>IF(LG76="","",((LG76/$LG$78)*100))</f>
        <v/>
      </c>
      <c r="LG76" s="28" t="str">
        <f>IF(Compositions!AM141="","",(Compositions!AM141/(VLOOKUP(Compositions!AK141,'HHV-LHV-MW'!$A$3:$F$40,6,FALSE))))</f>
        <v/>
      </c>
      <c r="LH76" s="184" t="str">
        <f>IF(LE76="","",((VLOOKUP(Compositions!AK141,'HHV-LHV-MW'!$A$3:$F$40,4,FALSE))*(LE76/100)))</f>
        <v/>
      </c>
      <c r="LI76" s="184" t="str">
        <f>IF(LE76="","",((VLOOKUP(Compositions!AK141,'HHV-LHV-MW'!$A$3:$F$40,5,FALSE))*(LE76/100)))</f>
        <v/>
      </c>
      <c r="LJ76" s="184" t="str">
        <f>IF(LE76="","",((VLOOKUP(Compositions!AK141,'HHV-LHV-MW'!$A$3:$F$40,6,FALSE))*(LE76/100)))</f>
        <v/>
      </c>
      <c r="LK76" s="184" t="str">
        <f>IF(Compositions!AM141="","",(Compositions!AM141*(VLOOKUP(Compositions!AK141,'HHV-LHV-MW'!$A$3:$F$40,6,FALSE))))</f>
        <v/>
      </c>
      <c r="LL76" s="297" t="str">
        <f>IF(Compositions!AM141="","",IF(OR(Compositions!$AM$118="wt%",Compositions!$AM$118=""),Compositions!AM141,(IF(LK76="","",((LK76/$LK$78)*100)))))</f>
        <v/>
      </c>
      <c r="LM76" s="39" t="str">
        <f>IF(LL76="","",(IF(OR(Compositions!AK141="Hydrogen",Compositions!AK141="Helium",Compositions!AK141="Water",Compositions!AK141="Carbon Monoxide",Compositions!AK141="Nitrogen",Compositions!AK141="Oxygen",Compositions!AK141="Hydrogen Sulfide",Compositions!AK141="Argon",Compositions!AK141="Carbon Dioxide",Compositions!AK141="Carbon Disulfide"),0,LL76)))</f>
        <v/>
      </c>
      <c r="LN76" s="186" t="str">
        <f>IF(Compositions!AM141="","",((LE76/100)*((VLOOKUP(Compositions!AK141,'HHV-LHV-MW'!$A$3:$G$40,7,FALSE)))))</f>
        <v/>
      </c>
      <c r="LO76" s="186" t="str">
        <f>IF(LE76="","",(IF(OR(Compositions!AK141="Hydrogen",Compositions!AK141="Carbon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Dioxide",Compositions!AK141="Methane",Compositions!AK141="Ethane"),0,(LE76/100))))</f>
        <v/>
      </c>
      <c r="LP76" s="39" t="str">
        <f>IF(LE76="","",(IF(OR($LO$78=0,$LO$78=""),0,     ((VLOOKUP(Compositions!AK141,'HHV-LHV-MW'!$A$3:$F$40,6,FALSE))*(LO76/$LO$78)))))</f>
        <v/>
      </c>
      <c r="LQ76" s="27" t="str">
        <f>IF(Compositions!AN141="","",IF(Compositions!$AN$118="mol%",Compositions!AN141,LR76))</f>
        <v/>
      </c>
      <c r="LR76" s="27" t="str">
        <f t="shared" si="51"/>
        <v/>
      </c>
      <c r="LS76" s="27" t="str">
        <f>IF(Compositions!AN141="","",(Compositions!AN141/(VLOOKUP(Compositions!AK141,'HHV-LHV-MW'!$A$3:$F$40,6,FALSE))))</f>
        <v/>
      </c>
      <c r="LT76" s="185" t="str">
        <f>IF(LQ76="","",((VLOOKUP(Compositions!AK141,'HHV-LHV-MW'!$A$3:$F$40,4,FALSE))*(LQ76/100)))</f>
        <v/>
      </c>
      <c r="LU76" s="185" t="str">
        <f>IF(LQ76="","",((VLOOKUP(Compositions!AK141,'HHV-LHV-MW'!$A$3:$F$40,5,FALSE))*(LQ76/100)))</f>
        <v/>
      </c>
      <c r="LV76" s="185" t="str">
        <f>IF(LQ76="","",((VLOOKUP(Compositions!AK141,'HHV-LHV-MW'!$A$3:$F$40,6,FALSE))*(LQ76/100)))</f>
        <v/>
      </c>
      <c r="LW76" s="185" t="str">
        <f>IF(Compositions!AN141="","",(Compositions!AN141*(VLOOKUP(Compositions!AK141,'HHV-LHV-MW'!$A$3:$F$40,6,FALSE))))</f>
        <v/>
      </c>
      <c r="LX76" s="298" t="str">
        <f>IF(Compositions!AN141="","",IF(OR(Compositions!$AN$118="wt%",Compositions!$AN$118=""),Compositions!AN141,(IF(LW76="","",((LW76/$LW$78)*100)))))</f>
        <v/>
      </c>
      <c r="LY76" s="185" t="str">
        <f>IF(LX76="","",(IF(OR(Compositions!AK141="Hydrogen",Compositions!AK141="Helium",Compositions!AK141="Water",Compositions!AK141="Carbon Monoxide",Compositions!AK141="Nitrogen",Compositions!AK141="Oxygen",Compositions!AK141="Hydrogen Sulfide",Compositions!AK141="Argon",Compositions!AK141="Carbon Dioxide",Compositions!AK141="Carbon Disulfide"),0,LX76)))</f>
        <v/>
      </c>
      <c r="LZ76" s="187" t="str">
        <f>IF(Compositions!AN141="","",((LQ76/100)*((VLOOKUP(Compositions!AK141,'HHV-LHV-MW'!$A$3:$G$40,7,FALSE)))))</f>
        <v/>
      </c>
      <c r="MA76" s="187" t="str">
        <f>IF(LQ76="","",(IF(OR(Compositions!AK141="Hydrogen",Compositions!AK141="Carbon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Dioxide",Compositions!AK141="Methane",Compositions!AK141="Ethane"),0,(LQ76/100))))</f>
        <v/>
      </c>
      <c r="MB76" s="205" t="str">
        <f>IF(LQ76="","",(IF(OR($MA$78=0,$MA$78=""),0,     ((VLOOKUP(Compositions!AK141,'HHV-LHV-MW'!$A$3:$F$40,6,FALSE))*(MA76/$MA$78)))))</f>
        <v/>
      </c>
      <c r="MC76" s="28" t="str">
        <f>IF(Compositions!AO141="","",IF(Compositions!$AO$118="mol%",Compositions!AO141,MD76))</f>
        <v/>
      </c>
      <c r="MD76" s="28" t="str">
        <f t="shared" si="52"/>
        <v/>
      </c>
      <c r="ME76" s="28" t="str">
        <f>IF(Compositions!AO141="","",(Compositions!AO141/(VLOOKUP(Compositions!AK141,'HHV-LHV-MW'!$A$3:$F$40,6,FALSE))))</f>
        <v/>
      </c>
      <c r="MF76" s="184" t="str">
        <f>IF(MC76="","",((VLOOKUP(Compositions!AK141,'HHV-LHV-MW'!$A$3:$F$40,4,FALSE))*(MC76/100)))</f>
        <v/>
      </c>
      <c r="MG76" s="184" t="str">
        <f>IF(MC76="","",((VLOOKUP(Compositions!AK141,'HHV-LHV-MW'!$A$3:$F$40,5,FALSE))*(MC76/100)))</f>
        <v/>
      </c>
      <c r="MH76" s="184" t="str">
        <f>IF(MC76="","",((VLOOKUP(Compositions!AK141,'HHV-LHV-MW'!$A$3:$F$40,6,FALSE))*(MC76/100)))</f>
        <v/>
      </c>
      <c r="MI76" s="184" t="str">
        <f>IF(Compositions!AO141="","",(Compositions!AO141*(VLOOKUP(Compositions!AK141,'HHV-LHV-MW'!$A$3:$F$40,6,FALSE))))</f>
        <v/>
      </c>
      <c r="MJ76" s="297" t="str">
        <f>IF(Compositions!AO141="","",IF(OR(Compositions!$AO$118="wt%",Compositions!$AO$118=""),Compositions!AO141,(IF(MI76="","",((MI76/$MI$78)*100)))))</f>
        <v/>
      </c>
      <c r="MK76" s="39" t="str">
        <f>IF(MJ76="","",(IF(OR(Compositions!AK141="Hydrogen",Compositions!AK141="Helium",Compositions!AK141="Water",Compositions!AK141="Carbon Monoxide",Compositions!AK141="Nitrogen",Compositions!AK141="Oxygen",Compositions!AK141="Hydrogen Sulfide",Compositions!AK141="Argon",Compositions!AK141="Carbon Dioxide",Compositions!AK141="Carbon Disulfide"),0,MJ76)))</f>
        <v/>
      </c>
      <c r="ML76" s="186" t="str">
        <f>IF(Compositions!AO141="","",((MC76/100)*((VLOOKUP(Compositions!AK141,'HHV-LHV-MW'!$A$3:$G$40,7,FALSE)))))</f>
        <v/>
      </c>
      <c r="MM76" s="186" t="str">
        <f>IF(MC76="","",(IF(OR(Compositions!AK141="Hydrogen",Compositions!AK141="Carbon Disulfide",Compositions!AK141="Helium",Compositions!AK141="Water",Compositions!AK141="Carbon Monoxide",Compositions!AK141="Nitrogen",Compositions!AK141="Oxygen",Compositions!AK141="Hydrogen Sulfide",Compositions!AK141="Argon",Compositions!AK141="Carbon Dioxide",Compositions!AK141="Methane",Compositions!AK141="Ethane"),0,(MC76/100))))</f>
        <v/>
      </c>
      <c r="MN76" s="39" t="str">
        <f>IF(MC76="","",(IF(OR($MM$78=0,$MM$78=""),0,     ((VLOOKUP(Compositions!AK141,'HHV-LHV-MW'!$A$3:$F$40,6,FALSE))*(MM76/$MM$78)))))</f>
        <v/>
      </c>
      <c r="MP76" s="27" t="str">
        <f>IF(Compositions!AR141="","",IF(Compositions!$AR$118="mol%",Compositions!AR141,MQ76))</f>
        <v/>
      </c>
      <c r="MQ76" s="27" t="str">
        <f t="shared" si="53"/>
        <v/>
      </c>
      <c r="MR76" s="27" t="str">
        <f>IF(Compositions!AR141="","",(Compositions!AR141/(VLOOKUP(Compositions!AQ141,'HHV-LHV-MW'!$A$3:$F$40,6,FALSE))))</f>
        <v/>
      </c>
      <c r="MS76" s="185" t="str">
        <f>IF(MP76="","",((VLOOKUP(Compositions!AQ141,'HHV-LHV-MW'!$A$3:$F$40,4,FALSE))*(MP76/100)))</f>
        <v/>
      </c>
      <c r="MT76" s="185" t="str">
        <f>IF(MP76="","",((VLOOKUP(Compositions!AQ141,'HHV-LHV-MW'!$A$3:$F$40,5,FALSE))*(MP76/100)))</f>
        <v/>
      </c>
      <c r="MU76" s="185" t="str">
        <f>IF(MP76="","",((VLOOKUP(Compositions!AQ141,'HHV-LHV-MW'!$A$3:$F$40,6,FALSE))*(MP76/100)))</f>
        <v/>
      </c>
      <c r="MV76" s="185" t="str">
        <f>IF(Compositions!AR141="","",(Compositions!AR141*(VLOOKUP(Compositions!AQ141,'HHV-LHV-MW'!$A$3:$F$40,6,FALSE))))</f>
        <v/>
      </c>
      <c r="MW76" s="298" t="str">
        <f>IF(Compositions!AR141="","",IF(OR(Compositions!$AR$118="wt%",Compositions!$AR$118=""),Compositions!AR141,(IF(MV76="","",((MV76/$MV$78)*100)))))</f>
        <v/>
      </c>
      <c r="MX76" s="185" t="str">
        <f>IF(MW76="","",(IF(OR(Compositions!AQ141="Hydrogen",Compositions!AQ141="Helium",Compositions!AQ141="Water",Compositions!AQ141="Carbon Monoxide",Compositions!AQ141="Nitrogen",Compositions!AQ141="Oxygen",Compositions!AQ141="Hydrogen Sulfide",Compositions!AQ141="Argon",Compositions!AQ141="Carbon Dioxide",Compositions!AQ141="Carbon Disulfide"),0,MW76)))</f>
        <v/>
      </c>
      <c r="MY76" s="187" t="str">
        <f>IF(Compositions!AR141="","",((MP76/100)*((VLOOKUP(Compositions!AQ141,'HHV-LHV-MW'!$A$3:$G$40,7,FALSE)))))</f>
        <v/>
      </c>
      <c r="MZ76" s="187" t="str">
        <f>IF(MP76="","",(IF(OR(Compositions!AQ141="Hydrogen",Compositions!AQ141="Carbon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Dioxide",Compositions!AQ141="Methane",Compositions!AQ141="Ethane"),0,(MP76/100))))</f>
        <v/>
      </c>
      <c r="NA76" s="205" t="str">
        <f>IF(MP76="","",(IF(OR($MZ$78=0,$MZ$78=""),0,     ((VLOOKUP(Compositions!AQ141,'HHV-LHV-MW'!$A$3:$F$40,6,FALSE))*(MZ76/$MZ$78)))))</f>
        <v/>
      </c>
      <c r="NB76" s="28" t="str">
        <f>IF(Compositions!AS141="","",IF(Compositions!$AS$118="mol%",Compositions!AS141,NC76))</f>
        <v/>
      </c>
      <c r="NC76" s="28" t="str">
        <f>IF(ND76="","",((ND76/$ND$78)*100))</f>
        <v/>
      </c>
      <c r="ND76" s="28" t="str">
        <f>IF(Compositions!AS141="","",(Compositions!AS141/(VLOOKUP(Compositions!AQ141,'HHV-LHV-MW'!$A$3:$F$40,6,FALSE))))</f>
        <v/>
      </c>
      <c r="NE76" s="184" t="str">
        <f>IF(NB76="","",((VLOOKUP(Compositions!AQ141,'HHV-LHV-MW'!$A$3:$F$40,4,FALSE))*(NB76/100)))</f>
        <v/>
      </c>
      <c r="NF76" s="184" t="str">
        <f>IF(NB76="","",((VLOOKUP(Compositions!AQ141,'HHV-LHV-MW'!$A$3:$F$40,5,FALSE))*(NB76/100)))</f>
        <v/>
      </c>
      <c r="NG76" s="184" t="str">
        <f>IF(NB76="","",((VLOOKUP(Compositions!AQ141,'HHV-LHV-MW'!$A$3:$F$40,6,FALSE))*(NB76/100)))</f>
        <v/>
      </c>
      <c r="NH76" s="184" t="str">
        <f>IF(Compositions!AS141="","",(Compositions!AS141*(VLOOKUP(Compositions!AQ141,'HHV-LHV-MW'!$A$3:$F$40,6,FALSE))))</f>
        <v/>
      </c>
      <c r="NI76" s="297" t="str">
        <f>IF(Compositions!AS141="","",IF(OR(Compositions!$AS$118="wt%",Compositions!$AS$118=""),Compositions!AS141,(IF(NH76="","",((NH76/$NH$78)*100)))))</f>
        <v/>
      </c>
      <c r="NJ76" s="39" t="str">
        <f>IF(NI76="","",(IF(OR(Compositions!AQ141="Hydrogen",Compositions!AQ141="Helium",Compositions!AQ141="Water",Compositions!AQ141="Carbon Monoxide",Compositions!AQ141="Nitrogen",Compositions!AQ141="Oxygen",Compositions!AQ141="Hydrogen Sulfide",Compositions!AQ141="Argon",Compositions!AQ141="Carbon Dioxide",Compositions!AQ141="Carbon Disulfide"),0,NI76)))</f>
        <v/>
      </c>
      <c r="NK76" s="186" t="str">
        <f>IF(Compositions!AS141="","",((NB76/100)*((VLOOKUP(Compositions!AQ141,'HHV-LHV-MW'!$A$3:$G$40,7,FALSE)))))</f>
        <v/>
      </c>
      <c r="NL76" s="186" t="str">
        <f>IF(NB76="","",(IF(OR(Compositions!AQ141="Hydrogen",Compositions!AQ141="Carbon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Dioxide",Compositions!AQ141="Methane",Compositions!AQ141="Ethane"),0,(NB76/100))))</f>
        <v/>
      </c>
      <c r="NM76" s="39" t="str">
        <f>IF(NB76="","",(IF(OR($NL$78=0,$NL$78=""),0,     ((VLOOKUP(Compositions!AQ141,'HHV-LHV-MW'!$A$3:$F$40,6,FALSE))*(NL76/$NL$78)))))</f>
        <v/>
      </c>
      <c r="NN76" s="27" t="str">
        <f>IF(Compositions!AT141="","",IF(Compositions!$AT$118="mol%",Compositions!AT141,NO76))</f>
        <v/>
      </c>
      <c r="NO76" s="27" t="str">
        <f>IF(NP76="","",((NP76/$NP$78)*100))</f>
        <v/>
      </c>
      <c r="NP76" s="27" t="str">
        <f>IF(Compositions!AT141="","",(Compositions!AT141/(VLOOKUP(Compositions!AQ141,'HHV-LHV-MW'!$A$3:$F$40,6,FALSE))))</f>
        <v/>
      </c>
      <c r="NQ76" s="185" t="str">
        <f>IF(NN76="","",((VLOOKUP(Compositions!AQ141,'HHV-LHV-MW'!$A$3:$F$40,4,FALSE))*(NN76/100)))</f>
        <v/>
      </c>
      <c r="NR76" s="185" t="str">
        <f>IF(NN76="","",((VLOOKUP(Compositions!AQ141,'HHV-LHV-MW'!$A$3:$F$40,5,FALSE))*(NN76/100)))</f>
        <v/>
      </c>
      <c r="NS76" s="185" t="str">
        <f>IF(NN76="","",((VLOOKUP(Compositions!AQ141,'HHV-LHV-MW'!$A$3:$F$40,6,FALSE))*(NN76/100)))</f>
        <v/>
      </c>
      <c r="NT76" s="185" t="str">
        <f>IF(Compositions!AT141="","",(Compositions!AT141*(VLOOKUP(Compositions!AQ141,'HHV-LHV-MW'!$A$3:$F$40,6,FALSE))))</f>
        <v/>
      </c>
      <c r="NU76" s="298" t="str">
        <f>IF(Compositions!AT141="","",IF(OR(Compositions!$AT$118="wt%",Compositions!$AT$118=""),Compositions!AT141,(IF(NT76="","",((NT76/$NT$78)*100)))))</f>
        <v/>
      </c>
      <c r="NV76" s="185" t="str">
        <f>IF(NU76="","",(IF(OR(Compositions!AQ141="Hydrogen",Compositions!AQ141="Helium",Compositions!AQ141="Water",Compositions!AQ141="Carbon Monoxide",Compositions!AQ141="Nitrogen",Compositions!AQ141="Oxygen",Compositions!AQ141="Hydrogen Sulfide",Compositions!AQ141="Argon",Compositions!AQ141="Carbon Dioxide",Compositions!AQ141="Carbon Disulfide"),0,NU76)))</f>
        <v/>
      </c>
      <c r="NW76" s="187" t="str">
        <f>IF(Compositions!AT141="","",((NN76/100)*((VLOOKUP(Compositions!AQ141,'HHV-LHV-MW'!$A$3:$G$40,7,FALSE)))))</f>
        <v/>
      </c>
      <c r="NX76" s="187" t="str">
        <f>IF(NN76="","",(IF(OR(Compositions!AQ141="Hydrogen",Compositions!AQ141="Carbon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Dioxide",Compositions!AQ141="Methane",Compositions!AQ141="Ethane"),0,(NN76/100))))</f>
        <v/>
      </c>
      <c r="NY76" s="205" t="str">
        <f>IF(NN76="","",(IF(OR($NX$78=0,$NX$78=""),0,     ((VLOOKUP(Compositions!AQ141,'HHV-LHV-MW'!$A$3:$F$40,6,FALSE))*(NX76/$NX$78)))))</f>
        <v/>
      </c>
      <c r="NZ76" s="28" t="str">
        <f>IF(Compositions!AU141="","",IF(Compositions!$AU$118="mol%",Compositions!AU141,OA76))</f>
        <v/>
      </c>
      <c r="OA76" s="28" t="str">
        <f>IF(OB76="","",((OB76/$OB$78)*100))</f>
        <v/>
      </c>
      <c r="OB76" s="28" t="str">
        <f>IF(Compositions!AU141="","",(Compositions!AU141/(VLOOKUP(Compositions!AQ141,'HHV-LHV-MW'!$A$3:$F$40,6,FALSE))))</f>
        <v/>
      </c>
      <c r="OC76" s="184" t="str">
        <f>IF(NZ76="","",((VLOOKUP(Compositions!AQ141,'HHV-LHV-MW'!$A$3:$F$40,4,FALSE))*(NZ76/100)))</f>
        <v/>
      </c>
      <c r="OD76" s="184" t="str">
        <f>IF(NZ76="","",((VLOOKUP(Compositions!AQ141,'HHV-LHV-MW'!$A$3:$F$40,5,FALSE))*(NZ76/100)))</f>
        <v/>
      </c>
      <c r="OE76" s="184" t="str">
        <f>IF(NZ76="","",((VLOOKUP(Compositions!AQ141,'HHV-LHV-MW'!$A$3:$F$40,6,FALSE))*(NZ76/100)))</f>
        <v/>
      </c>
      <c r="OF76" s="184" t="str">
        <f>IF(Compositions!AU141="","",(Compositions!AU141*(VLOOKUP(Compositions!AQ141,'HHV-LHV-MW'!$A$3:$F$40,6,FALSE))))</f>
        <v/>
      </c>
      <c r="OG76" s="297" t="str">
        <f>IF(Compositions!AU141="","",IF(OR(Compositions!$AU$118="wt%",Compositions!$AU$118=""),Compositions!AU141,(IF(OF76="","",((OF76/$OF$78)*100)))))</f>
        <v/>
      </c>
      <c r="OH76" s="39" t="str">
        <f>IF(OG76="","",(IF(OR(Compositions!AQ141="Hydrogen",Compositions!AQ141="Helium",Compositions!AQ141="Water",Compositions!AQ141="Carbon Monoxide",Compositions!AQ141="Nitrogen",Compositions!AQ141="Oxygen",Compositions!AQ141="Hydrogen Sulfide",Compositions!AQ141="Argon",Compositions!AQ141="Carbon Dioxide",Compositions!AQ141="Carbon Disulfide"),0,OG76)))</f>
        <v/>
      </c>
      <c r="OI76" s="186" t="str">
        <f>IF(Compositions!AU141="","",((NZ76/100)*((VLOOKUP(Compositions!AQ141,'HHV-LHV-MW'!$A$3:$G$40,7,FALSE)))))</f>
        <v/>
      </c>
      <c r="OJ76" s="186" t="str">
        <f>IF(NZ76="","",(IF(OR(Compositions!AQ141="Hydrogen",Compositions!AQ141="Carbon Disulfide",Compositions!AQ141="Helium",Compositions!AQ141="Water",Compositions!AQ141="Carbon Monoxide",Compositions!AQ141="Nitrogen",Compositions!AQ141="Oxygen",Compositions!AQ141="Hydrogen Sulfide",Compositions!AQ141="Argon",Compositions!AQ141="Carbon Dioxide",Compositions!AQ141="Methane",Compositions!AQ141="Ethane"),0,(NZ76/100))))</f>
        <v/>
      </c>
      <c r="OK76" s="39" t="str">
        <f>IF(NZ76="","",(IF(OR($OJ$78=0,$OJ$78=""),0,     ((VLOOKUP(Compositions!AQ141,'HHV-LHV-MW'!$A$3:$F$40,6,FALSE))*(OJ76/$OJ$78)))))</f>
        <v/>
      </c>
      <c r="ON76" s="27" t="str">
        <f>IF(Compositions!AX141="","",IF(Compositions!$AX$118="mol%",Compositions!AX141,OO76))</f>
        <v/>
      </c>
      <c r="OO76" s="27" t="str">
        <f t="shared" si="57"/>
        <v/>
      </c>
      <c r="OP76" s="27" t="str">
        <f>IF(Compositions!AX141="","",(Compositions!AX141/(VLOOKUP(Compositions!AW141,'HHV-LHV-MW'!$A$3:$F$40,6,FALSE))))</f>
        <v/>
      </c>
      <c r="OQ76" s="185" t="str">
        <f>IF(ON76="","",((VLOOKUP(Compositions!AW141,'HHV-LHV-MW'!$A$3:$F$40,4,FALSE))*(ON76/100)))</f>
        <v/>
      </c>
      <c r="OR76" s="185" t="str">
        <f>IF(ON76="","",((VLOOKUP(Compositions!AW141,'HHV-LHV-MW'!$A$3:$F$40,5,FALSE))*(ON76/100)))</f>
        <v/>
      </c>
      <c r="OS76" s="185" t="str">
        <f>IF(ON76="","",((VLOOKUP(Compositions!AW141,'HHV-LHV-MW'!$A$3:$F$40,6,FALSE))*(ON76/100)))</f>
        <v/>
      </c>
      <c r="OT76" s="185" t="str">
        <f>IF(Compositions!AX141="","",(Compositions!AX141*(VLOOKUP(Compositions!AW141,'HHV-LHV-MW'!$A$3:$F$40,6,FALSE))))</f>
        <v/>
      </c>
      <c r="OU76" s="298" t="str">
        <f>IF(Compositions!AX141="","",IF(OR(Compositions!$AX$118="wt%",Compositions!$AX$118=""),Compositions!AX141,(IF(OT76="","",((OT76/$OT$78)*100)))))</f>
        <v/>
      </c>
      <c r="OV76" s="185" t="str">
        <f>IF(OU76="","",(IF(OR(Compositions!AW141="Hydrogen",Compositions!AW141="Helium",Compositions!AW141="Water",Compositions!AW141="Carbon Monoxide",Compositions!AW141="Nitrogen",Compositions!AW141="Oxygen",Compositions!AW141="Hydrogen Sulfide",Compositions!AW141="Argon",Compositions!AW141="Carbon Dioxide",Compositions!AW141="Carbon Disulfide"),0,OU76)))</f>
        <v/>
      </c>
      <c r="OW76" s="187" t="str">
        <f>IF(Compositions!AX141="","",((ON76/100)*((VLOOKUP(Compositions!AW141,'HHV-LHV-MW'!$A$3:$G$40,7,FALSE)))))</f>
        <v/>
      </c>
      <c r="OX76" s="187" t="str">
        <f>IF(ON76="","",(IF(OR(Compositions!AW141="Hydrogen",Compositions!AW141="Carbon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Dioxide",Compositions!AW141="Methane",Compositions!AW141="Ethane"),0,(ON76/100))))</f>
        <v/>
      </c>
      <c r="OY76" s="205" t="str">
        <f>IF(ON76="","",(IF(OR($OX$78=0,$OX$78=""),0,     ((VLOOKUP(Compositions!AW141,'HHV-LHV-MW'!$A$3:$F$40,6,FALSE))*(OX76/$OX$78)))))</f>
        <v/>
      </c>
      <c r="OZ76" s="28" t="str">
        <f>IF(Compositions!AY141="","",IF(Compositions!$AY$118="mol%",Compositions!AY141,PA76))</f>
        <v/>
      </c>
      <c r="PA76" s="28" t="str">
        <f>IF(PB76="","",((PB76/$PB$78)*100))</f>
        <v/>
      </c>
      <c r="PB76" s="28" t="str">
        <f>IF(Compositions!AY141="","",(Compositions!AY141/(VLOOKUP(Compositions!AW141,'HHV-LHV-MW'!$A$3:$F$40,6,FALSE))))</f>
        <v/>
      </c>
      <c r="PC76" s="184" t="str">
        <f>IF(OZ76="","",((VLOOKUP(Compositions!AW141,'HHV-LHV-MW'!$A$3:$F$40,4,FALSE))*(OZ76/100)))</f>
        <v/>
      </c>
      <c r="PD76" s="184" t="str">
        <f>IF(OZ76="","",((VLOOKUP(Compositions!AW141,'HHV-LHV-MW'!$A$3:$F$40,5,FALSE))*(OZ76/100)))</f>
        <v/>
      </c>
      <c r="PE76" s="184" t="str">
        <f>IF(OZ76="","",((VLOOKUP(Compositions!AW141,'HHV-LHV-MW'!$A$3:$F$40,6,FALSE))*(OZ76/100)))</f>
        <v/>
      </c>
      <c r="PF76" s="184" t="str">
        <f>IF(Compositions!AY141="","",(Compositions!AY141*(VLOOKUP(Compositions!AW141,'HHV-LHV-MW'!$A$3:$F$40,6,FALSE))))</f>
        <v/>
      </c>
      <c r="PG76" s="297" t="str">
        <f>IF(Compositions!AY141="","",IF(OR(Compositions!$AY$118="wt%",Compositions!$AY$118=""),Compositions!AY141,(IF(PF76="","",((PF76/$PF$78)*100)))))</f>
        <v/>
      </c>
      <c r="PH76" s="39" t="str">
        <f>IF(PG76="","",(IF(OR(Compositions!AW141="Hydrogen",Compositions!AW141="Helium",Compositions!AW141="Water",Compositions!AW141="Carbon Monoxide",Compositions!AW141="Nitrogen",Compositions!AW141="Oxygen",Compositions!AW141="Hydrogen Sulfide",Compositions!AW141="Argon",Compositions!AW141="Carbon Dioxide",Compositions!AW141="Carbon Disulfide"),0,PG76)))</f>
        <v/>
      </c>
      <c r="PI76" s="186" t="str">
        <f>IF(Compositions!AY141="","",((OZ76/100)*((VLOOKUP(Compositions!AW141,'HHV-LHV-MW'!$A$3:$G$40,7,FALSE)))))</f>
        <v/>
      </c>
      <c r="PJ76" s="186" t="str">
        <f>IF(OZ76="","",(IF(OR(Compositions!AW141="Hydrogen",Compositions!AW141="Carbon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Dioxide",Compositions!AW141="Methane",Compositions!AW141="Ethane"),0,(OZ76/100))))</f>
        <v/>
      </c>
      <c r="PK76" s="39" t="str">
        <f>IF(OZ76="","",(IF(OR($PJ$78=0,$PJ$78=""),0,     ((VLOOKUP(Compositions!AW141,'HHV-LHV-MW'!$A$3:$F$40,6,FALSE))*(PJ76/$PJ$78)))))</f>
        <v/>
      </c>
      <c r="PL76" s="27" t="str">
        <f>IF(Compositions!AZ141="","",IF(Compositions!$AZ$118="mol%",Compositions!AZ141,PM76))</f>
        <v/>
      </c>
      <c r="PM76" s="27" t="str">
        <f>IF(PN76="","",((PN76/$PN$78)*100))</f>
        <v/>
      </c>
      <c r="PN76" s="27" t="str">
        <f>IF(Compositions!AZ141="","",(Compositions!AZ141/(VLOOKUP(Compositions!AW141,'HHV-LHV-MW'!$A$3:$F$40,6,FALSE))))</f>
        <v/>
      </c>
      <c r="PO76" s="185" t="str">
        <f>IF(PL76="","",((VLOOKUP(Compositions!AW141,'HHV-LHV-MW'!$A$3:$F$40,4,FALSE))*(PL76/100)))</f>
        <v/>
      </c>
      <c r="PP76" s="185" t="str">
        <f>IF(PL76="","",((VLOOKUP(Compositions!AW141,'HHV-LHV-MW'!$A$3:$F$40,5,FALSE))*(PL76/100)))</f>
        <v/>
      </c>
      <c r="PQ76" s="185" t="str">
        <f>IF(PL76="","",((VLOOKUP(Compositions!AW141,'HHV-LHV-MW'!$A$3:$F$40,6,FALSE))*(PL76/100)))</f>
        <v/>
      </c>
      <c r="PR76" s="185" t="str">
        <f>IF(Compositions!AZ141="","",(Compositions!AZ141*(VLOOKUP(Compositions!AW141,'HHV-LHV-MW'!$A$3:$F$40,6,FALSE))))</f>
        <v/>
      </c>
      <c r="PS76" s="298" t="str">
        <f>IF(Compositions!AZ141="","",IF(OR(Compositions!$AZ$118="wt%",Compositions!$AZ$118=""),Compositions!AZ141,(IF(PR76="","",((PR76/$PR$78)*100)))))</f>
        <v/>
      </c>
      <c r="PT76" s="185" t="str">
        <f>IF(PS76="","",(IF(OR(Compositions!AW141="Hydrogen",Compositions!AW141="Helium",Compositions!AW141="Water",Compositions!AW141="Carbon Monoxide",Compositions!AW141="Nitrogen",Compositions!AW141="Oxygen",Compositions!AW141="Hydrogen Sulfide",Compositions!AW141="Argon",Compositions!AW141="Carbon Dioxide",Compositions!AW141="Carbon Disulfide"),0,PS76)))</f>
        <v/>
      </c>
      <c r="PU76" s="187" t="str">
        <f>IF(Compositions!AZ141="","",((PL76/100)*((VLOOKUP(Compositions!AW141,'HHV-LHV-MW'!$A$3:$G$40,7,FALSE)))))</f>
        <v/>
      </c>
      <c r="PV76" s="187" t="str">
        <f>IF(PL76="","",(IF(OR(Compositions!AW141="Hydrogen",Compositions!AW141="Carbon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Dioxide",Compositions!AW141="Methane",Compositions!AW141="Ethane"),0,(PL76/100))))</f>
        <v/>
      </c>
      <c r="PW76" s="205" t="str">
        <f>IF(PL76="","",(IF(OR($PV$78=0,$PV$78=""),0,     ((VLOOKUP(Compositions!AW141,'HHV-LHV-MW'!$A$3:$F$40,6,FALSE))*(PV76/$PV$78)))))</f>
        <v/>
      </c>
      <c r="PX76" s="28" t="str">
        <f>IF(Compositions!BA141="","",IF(Compositions!$BA$118="mol%",Compositions!BA141,PY76))</f>
        <v/>
      </c>
      <c r="PY76" s="28" t="str">
        <f t="shared" si="59"/>
        <v/>
      </c>
      <c r="PZ76" s="28" t="str">
        <f>IF(Compositions!BA141="","",(Compositions!BA141/(VLOOKUP(Compositions!AW141,'HHV-LHV-MW'!$A$3:$F$40,6,FALSE))))</f>
        <v/>
      </c>
      <c r="QA76" s="184" t="str">
        <f>IF(PX76="","",((VLOOKUP(Compositions!AW141,'HHV-LHV-MW'!$A$3:$F$40,4,FALSE))*(PX76/100)))</f>
        <v/>
      </c>
      <c r="QB76" s="184" t="str">
        <f>IF(PX76="","",((VLOOKUP(Compositions!AW141,'HHV-LHV-MW'!$A$3:$F$40,5,FALSE))*(PX76/100)))</f>
        <v/>
      </c>
      <c r="QC76" s="184" t="str">
        <f>IF(PX76="","",((VLOOKUP(Compositions!AW141,'HHV-LHV-MW'!$A$3:$F$40,6,FALSE))*(PX76/100)))</f>
        <v/>
      </c>
      <c r="QD76" s="184" t="str">
        <f>IF(Compositions!BA141="","",(Compositions!BA141*(VLOOKUP(Compositions!AW141,'HHV-LHV-MW'!$A$3:$F$40,6,FALSE))))</f>
        <v/>
      </c>
      <c r="QE76" s="297" t="str">
        <f>IF(Compositions!BA141="","",IF(OR(Compositions!$BA$118="wt%",Compositions!$BA$118=""),Compositions!BA141,(IF(QD76="","",((QD76/$QD$78)*100)))))</f>
        <v/>
      </c>
      <c r="QF76" s="39" t="str">
        <f>IF(QE76="","",(IF(OR(Compositions!AW141="Hydrogen",Compositions!AW141="Helium",Compositions!AW141="Water",Compositions!AW141="Carbon Monoxide",Compositions!AW141="Nitrogen",Compositions!AW141="Oxygen",Compositions!AW141="Hydrogen Sulfide",Compositions!AW141="Argon",Compositions!AW141="Carbon Dioxide",Compositions!AW141="Carbon Disulfide"),0,QE76)))</f>
        <v/>
      </c>
      <c r="QG76" s="186" t="str">
        <f>IF(Compositions!BA141="","",((PX76/100)*((VLOOKUP(Compositions!AW141,'HHV-LHV-MW'!$A$3:$G$40,7,FALSE)))))</f>
        <v/>
      </c>
      <c r="QH76" s="186" t="str">
        <f>IF(PX76="","",(IF(OR(Compositions!AW141="Hydrogen",Compositions!AW141="Carbon Disulfide",Compositions!AW141="Helium",Compositions!AW141="Water",Compositions!AW141="Carbon Monoxide",Compositions!AW141="Nitrogen",Compositions!AW141="Oxygen",Compositions!AW141="Hydrogen Sulfide",Compositions!AW141="Argon",Compositions!AW141="Carbon Dioxide",Compositions!AW141="Methane",Compositions!AW141="Ethane"),0,(PX76/100))))</f>
        <v/>
      </c>
      <c r="QI76" s="39" t="str">
        <f>IF(PX76="","",(IF(OR($QH$78=0,$QH$78=""),0,     ((VLOOKUP(Compositions!AW141,'HHV-LHV-MW'!$A$3:$F$40,6,FALSE))*(QH76/$QH$78)))))</f>
        <v/>
      </c>
      <c r="QK76" s="27" t="str">
        <f>IF(Compositions!BD141="","",IF(Compositions!$BD$118="mol%",Compositions!BD141,QL76))</f>
        <v/>
      </c>
      <c r="QL76" s="27" t="str">
        <f t="shared" si="60"/>
        <v/>
      </c>
      <c r="QM76" s="27" t="str">
        <f>IF(Compositions!BD141="","",(Compositions!BD141/(VLOOKUP(Compositions!BC141,'HHV-LHV-MW'!$A$3:$F$40,6,FALSE))))</f>
        <v/>
      </c>
      <c r="QN76" s="185" t="str">
        <f>IF(QK76="","",((VLOOKUP(Compositions!BC141,'HHV-LHV-MW'!$A$3:$F$40,4,FALSE))*(QK76/100)))</f>
        <v/>
      </c>
      <c r="QO76" s="185" t="str">
        <f>IF(QK76="","",((VLOOKUP(Compositions!BC141,'HHV-LHV-MW'!$A$3:$F$40,5,FALSE))*(QK76/100)))</f>
        <v/>
      </c>
      <c r="QP76" s="185" t="str">
        <f>IF(QK76="","",((VLOOKUP(Compositions!BC141,'HHV-LHV-MW'!$A$3:$F$40,6,FALSE))*(QK76/100)))</f>
        <v/>
      </c>
      <c r="QQ76" s="185" t="str">
        <f>IF(Compositions!BD141="","",(Compositions!BD141*(VLOOKUP(Compositions!BC141,'HHV-LHV-MW'!$A$3:$F$40,6,FALSE))))</f>
        <v/>
      </c>
      <c r="QR76" s="298" t="str">
        <f>IF(Compositions!BD141="","",IF(OR(Compositions!$BD$118="wt%",Compositions!$BD$118=""),Compositions!BD141,(IF(QQ76="","",((QQ76/$QQ$78)*100)))))</f>
        <v/>
      </c>
      <c r="QS76" s="185" t="str">
        <f>IF(QR76="","",(IF(OR(Compositions!BC141="Hydrogen",Compositions!BC141="Helium",Compositions!BC141="Water",Compositions!BC141="Carbon Monoxide",Compositions!BC141="Nitrogen",Compositions!BC141="Oxygen",Compositions!BC141="Hydrogen Sulfide",Compositions!BC141="Argon",Compositions!BC141="Carbon Dioxide",Compositions!BC141="Carbon Disulfide"),0,QR76)))</f>
        <v/>
      </c>
      <c r="QT76" s="187" t="str">
        <f>IF(Compositions!BD141="","",((QK76/100)*((VLOOKUP(Compositions!BC141,'HHV-LHV-MW'!$A$3:$G$40,7,FALSE)))))</f>
        <v/>
      </c>
      <c r="QU76" s="187" t="str">
        <f>IF(QK76="","",(IF(OR(Compositions!BC141="Hydrogen",Compositions!BC141="Carbon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Dioxide",Compositions!BC141="Methane",Compositions!BC141="Ethane"),0,(QK76/100))))</f>
        <v/>
      </c>
      <c r="QV76" s="205" t="str">
        <f>IF(QK76="","",(IF(OR($QU$78=0,$QU$78=""),0,     ((VLOOKUP(Compositions!BC141,'HHV-LHV-MW'!$A$3:$F$40,6,FALSE))*(QU76/$QU$78)))))</f>
        <v/>
      </c>
      <c r="QW76" s="28" t="str">
        <f>IF(Compositions!BE141="","",IF(Compositions!$BE$118="mol%",Compositions!BE141,QX76))</f>
        <v/>
      </c>
      <c r="QX76" s="28" t="str">
        <f t="shared" si="61"/>
        <v/>
      </c>
      <c r="QY76" s="28" t="str">
        <f>IF(Compositions!BE141="","",(Compositions!BE141/(VLOOKUP(Compositions!BC141,'HHV-LHV-MW'!$A$3:$F$40,6,FALSE))))</f>
        <v/>
      </c>
      <c r="QZ76" s="184" t="str">
        <f>IF(QW76="","",((VLOOKUP(Compositions!BC141,'HHV-LHV-MW'!$A$3:$F$40,4,FALSE))*(QW76/100)))</f>
        <v/>
      </c>
      <c r="RA76" s="184" t="str">
        <f>IF(QW76="","",((VLOOKUP(Compositions!BC141,'HHV-LHV-MW'!$A$3:$F$40,5,FALSE))*(QW76/100)))</f>
        <v/>
      </c>
      <c r="RB76" s="184" t="str">
        <f>IF(QW76="","",((VLOOKUP(Compositions!BC141,'HHV-LHV-MW'!$A$3:$F$40,6,FALSE))*(QW76/100)))</f>
        <v/>
      </c>
      <c r="RC76" s="184" t="str">
        <f>IF(Compositions!BE141="","",(Compositions!BE141*(VLOOKUP(Compositions!BC141,'HHV-LHV-MW'!$A$3:$F$40,6,FALSE))))</f>
        <v/>
      </c>
      <c r="RD76" s="297" t="str">
        <f>IF(Compositions!BE141="","",IF(OR(Compositions!$BE$118="wt%",Compositions!$BE$118=""),Compositions!BE141,(IF(RC76="","",((RC76/$RC$78)*100)))))</f>
        <v/>
      </c>
      <c r="RE76" s="39" t="str">
        <f>IF(RD76="","",(IF(OR(Compositions!BC141="Hydrogen",Compositions!BC141="Helium",Compositions!BC141="Water",Compositions!BC141="Carbon Monoxide",Compositions!BC141="Nitrogen",Compositions!BC141="Oxygen",Compositions!BC141="Hydrogen Sulfide",Compositions!BC141="Argon",Compositions!BC141="Carbon Dioxide",Compositions!BC141="Carbon Disulfide"),0,RD76)))</f>
        <v/>
      </c>
      <c r="RF76" s="186" t="str">
        <f>IF(Compositions!BE141="","",((QW76/100)*((VLOOKUP(Compositions!BC141,'HHV-LHV-MW'!$A$3:$G$40,7,FALSE)))))</f>
        <v/>
      </c>
      <c r="RG76" s="186" t="str">
        <f>IF(QW76="","",(IF(OR(Compositions!BC141="Hydrogen",Compositions!BC141="Carbon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Dioxide",Compositions!BC141="Methane",Compositions!BC141="Ethane"),0,(QW76/100))))</f>
        <v/>
      </c>
      <c r="RH76" s="39" t="str">
        <f>IF(QW76="","",(IF(OR($RG$78=0,$RG$78=""),0,     ((VLOOKUP(Compositions!BC141,'HHV-LHV-MW'!$A$3:$F$40,6,FALSE))*(RG76/$RG$78)))))</f>
        <v/>
      </c>
      <c r="RI76" s="27" t="str">
        <f>IF(Compositions!BF141="","",IF(Compositions!$BF$118="mol%",Compositions!BF141,RJ76))</f>
        <v/>
      </c>
      <c r="RJ76" s="27" t="str">
        <f>IF(RK76="","",((RK76/$RK$78)*100))</f>
        <v/>
      </c>
      <c r="RK76" s="27" t="str">
        <f>IF(Compositions!BF141="","",(Compositions!BF141/(VLOOKUP(Compositions!BC141,'HHV-LHV-MW'!$A$3:$F$40,6,FALSE))))</f>
        <v/>
      </c>
      <c r="RL76" s="185" t="str">
        <f>IF(RI76="","",((VLOOKUP(Compositions!BC141,'HHV-LHV-MW'!$A$3:$F$40,4,FALSE))*(RI76/100)))</f>
        <v/>
      </c>
      <c r="RM76" s="185" t="str">
        <f>IF(RI76="","",((VLOOKUP(Compositions!BC141,'HHV-LHV-MW'!$A$3:$F$40,5,FALSE))*(RI76/100)))</f>
        <v/>
      </c>
      <c r="RN76" s="185" t="str">
        <f>IF(RI76="","",((VLOOKUP(Compositions!BC141,'HHV-LHV-MW'!$A$3:$F$40,6,FALSE))*(RI76/100)))</f>
        <v/>
      </c>
      <c r="RO76" s="185" t="str">
        <f>IF(Compositions!BF141="","",(Compositions!BF141*(VLOOKUP(Compositions!BC141,'HHV-LHV-MW'!$A$3:$F$40,6,FALSE))))</f>
        <v/>
      </c>
      <c r="RP76" s="298" t="str">
        <f>IF(Compositions!BF141="","",IF(OR(Compositions!$BF$118="wt%",Compositions!$BF$118=""),Compositions!BF141,(IF(RO76="","",((RO76/$RO$78)*100)))))</f>
        <v/>
      </c>
      <c r="RQ76" s="185" t="str">
        <f>IF(RP76="","",(IF(OR(Compositions!BC141="Hydrogen",Compositions!BC141="Helium",Compositions!BC141="Water",Compositions!BC141="Carbon Monoxide",Compositions!BC141="Nitrogen",Compositions!BC141="Oxygen",Compositions!BC141="Hydrogen Sulfide",Compositions!BC141="Argon",Compositions!BC141="Carbon Dioxide",Compositions!BC141="Carbon Disulfide"),0,RP76)))</f>
        <v/>
      </c>
      <c r="RR76" s="187" t="str">
        <f>IF(Compositions!BF141="","",((RI76/100)*((VLOOKUP(Compositions!BC141,'HHV-LHV-MW'!$A$3:$G$40,7,FALSE)))))</f>
        <v/>
      </c>
      <c r="RS76" s="187" t="str">
        <f>IF(RI76="","",(IF(OR(Compositions!BC141="Hydrogen",Compositions!BC141="Carbon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Dioxide",Compositions!BC141="Methane",Compositions!BC141="Ethane"),0,(RI76/100))))</f>
        <v/>
      </c>
      <c r="RT76" s="205" t="str">
        <f>IF(RI76="","",(IF(OR($RS$78=0,$RS$78=""),0,     ((VLOOKUP(Compositions!BC141,'HHV-LHV-MW'!$A$3:$F$40,6,FALSE))*(RS76/$RS$78)))))</f>
        <v/>
      </c>
      <c r="RU76" s="28" t="str">
        <f>IF(Compositions!BG141="","",IF(Compositions!$BG$118="mol%",Compositions!BG141,RV76))</f>
        <v/>
      </c>
      <c r="RV76" s="28" t="str">
        <f>IF(RW76="","",((RW76/$RW$78)*100))</f>
        <v/>
      </c>
      <c r="RW76" s="28" t="str">
        <f>IF(Compositions!BG141="","",(Compositions!BG141/(VLOOKUP(Compositions!BC141,'HHV-LHV-MW'!$A$3:$F$40,6,FALSE))))</f>
        <v/>
      </c>
      <c r="RX76" s="184" t="str">
        <f>IF(RU76="","",((VLOOKUP(Compositions!BC141,'HHV-LHV-MW'!$A$3:$F$40,4,FALSE))*(RU76/100)))</f>
        <v/>
      </c>
      <c r="RY76" s="184" t="str">
        <f>IF(RU76="","",((VLOOKUP(Compositions!BC141,'HHV-LHV-MW'!$A$3:$F$40,5,FALSE))*(RU76/100)))</f>
        <v/>
      </c>
      <c r="RZ76" s="184" t="str">
        <f>IF(RU76="","",((VLOOKUP(Compositions!BC141,'HHV-LHV-MW'!$A$3:$F$40,6,FALSE))*(RU76/100)))</f>
        <v/>
      </c>
      <c r="SA76" s="184" t="str">
        <f>IF(Compositions!BG141="","",(Compositions!BG141*(VLOOKUP(Compositions!BC141,'HHV-LHV-MW'!$A$3:$F$40,6,FALSE))))</f>
        <v/>
      </c>
      <c r="SB76" s="297" t="str">
        <f>IF(Compositions!BG141="","",IF(OR(Compositions!$BG$118="wt%",Compositions!$BG$118=""),Compositions!BG141,(IF(SA76="","",((SA76/$SA$78)*100)))))</f>
        <v/>
      </c>
      <c r="SC76" s="39" t="str">
        <f>IF(SB76="","",(IF(OR(Compositions!BC141="Hydrogen",Compositions!BC141="Helium",Compositions!BC141="Water",Compositions!BC141="Carbon Monoxide",Compositions!BC141="Nitrogen",Compositions!BC141="Oxygen",Compositions!BC141="Hydrogen Sulfide",Compositions!BC141="Argon",Compositions!BC141="Carbon Dioxide",Compositions!BC141="Carbon Disulfide"),0,SB76)))</f>
        <v/>
      </c>
      <c r="SD76" s="186" t="str">
        <f>IF(Compositions!BG141="","",((RU76/100)*((VLOOKUP(Compositions!BC141,'HHV-LHV-MW'!$A$3:$G$40,7,FALSE)))))</f>
        <v/>
      </c>
      <c r="SE76" s="186" t="str">
        <f>IF(RU76="","",(IF(OR(Compositions!BC141="Hydrogen",Compositions!BC141="Carbon Disulfide",Compositions!BC141="Helium",Compositions!BC141="Water",Compositions!BC141="Carbon Monoxide",Compositions!BC141="Nitrogen",Compositions!BC141="Oxygen",Compositions!BC141="Hydrogen Sulfide",Compositions!BC141="Argon",Compositions!BC141="Carbon Dioxide",Compositions!BC141="Methane",Compositions!BC141="Ethane"),0,(RU76/100))))</f>
        <v/>
      </c>
      <c r="SF76" s="39" t="str">
        <f>IF(RU76="","",(IF(OR($SE$78=0,$SE$78=""),0,     ((VLOOKUP(Compositions!BC141,'HHV-LHV-MW'!$A$3:$F$40,6,FALSE))*(SE76/$SE$78)))))</f>
        <v/>
      </c>
    </row>
    <row r="77" spans="1:500" ht="15.6">
      <c r="A77" s="173" t="s">
        <v>214</v>
      </c>
      <c r="B77" s="19" t="s">
        <v>213</v>
      </c>
      <c r="C77" s="20">
        <v>6</v>
      </c>
      <c r="D77" s="20">
        <v>3.9575</v>
      </c>
      <c r="E77" s="20">
        <v>3.6894</v>
      </c>
      <c r="F77" s="20">
        <v>84.161280000000005</v>
      </c>
      <c r="G77" s="20">
        <v>0</v>
      </c>
      <c r="H77" s="170"/>
      <c r="I77" s="170"/>
      <c r="K77" s="27" t="str">
        <f>IF(Compositions!B142="","",IF(Compositions!$B$118="mol%",Compositions!B142,L77))</f>
        <v/>
      </c>
      <c r="L77" s="27" t="str">
        <f t="shared" si="25"/>
        <v/>
      </c>
      <c r="M77" s="27" t="str">
        <f>IF(Compositions!B142="","",(Compositions!B142/(VLOOKUP(Compositions!A142,'HHV-LHV-MW'!$A$3:$F$40,6,FALSE))))</f>
        <v/>
      </c>
      <c r="N77" s="25" t="str">
        <f>IF(K77="","",((VLOOKUP(Compositions!A142,'HHV-LHV-MW'!$A$3:$F$40,4,FALSE))*(K77/100)))</f>
        <v/>
      </c>
      <c r="O77" s="25" t="str">
        <f>IF(K77="","",((VLOOKUP(Compositions!A142,'HHV-LHV-MW'!$A$3:$F$40,5,FALSE))*(K77/100)))</f>
        <v/>
      </c>
      <c r="P77" s="25" t="str">
        <f>IF(K77="","",((VLOOKUP(Compositions!A142,'HHV-LHV-MW'!$A$3:$F$40,6,FALSE))*(K77/100)))</f>
        <v/>
      </c>
      <c r="Q77" s="25" t="str">
        <f>IF(Compositions!B142="","",(Compositions!B142*(VLOOKUP(Compositions!A142,'HHV-LHV-MW'!$A$3:$F$40,6,FALSE))))</f>
        <v/>
      </c>
      <c r="R77" s="188" t="str">
        <f>IF(Compositions!B142="","",IF(OR(Compositions!$B$118="wt%",Compositions!$B$118=""),Compositions!B142,(IF(Q77="","",((Q77/$Q$78)*100)))))</f>
        <v/>
      </c>
      <c r="S77" s="185" t="str">
        <f>IF(R77="","",(IF(OR(Compositions!A142="Hydrogen",Compositions!A142="Helium",Compositions!A142="Water",Compositions!A142="Carbon Monoxide",Compositions!A142="Nitrogen",Compositions!A142="Oxygen",Compositions!A142="Hydrogen Sulfide",Compositions!A142="Argon",Compositions!A142="Carbon Dioxide",Compositions!A142="Carbon Disulfide"),0,R77)))</f>
        <v/>
      </c>
      <c r="T77" s="169" t="str">
        <f>IF(Compositions!B142="","",((K77/100)*((VLOOKUP(Compositions!A142,'HHV-LHV-MW'!$A$3:$G$40,7,FALSE)))))</f>
        <v/>
      </c>
      <c r="U77" s="187" t="str">
        <f>IF(K77="","",(IF(OR(Compositions!A142="Hydrogen",Compositions!A142="Carbon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Dioxide",Compositions!A142="Methane",Compositions!A142="Ethane"),0,(K77/100))))</f>
        <v/>
      </c>
      <c r="V77" s="188" t="str">
        <f>IF(K77="","", (IF(OR($U$78=0,$U$78=""),0,((VLOOKUP(Compositions!A142,'HHV-LHV-MW'!$A$3:$F$40,6,FALSE))*(U77/$U$78))   ))   )</f>
        <v/>
      </c>
      <c r="W77" s="28" t="str">
        <f>IF(Compositions!C142="","",IF(Compositions!$C$118="mol%",Compositions!C142,X77))</f>
        <v/>
      </c>
      <c r="X77" s="28" t="str">
        <f t="shared" si="26"/>
        <v/>
      </c>
      <c r="Y77" s="28" t="str">
        <f>IF(Compositions!C142="","",(Compositions!C142/(VLOOKUP(Compositions!A142,'HHV-LHV-MW'!$A$3:$F$40,6,FALSE))))</f>
        <v/>
      </c>
      <c r="Z77" s="26" t="str">
        <f>IF(W77="","",((VLOOKUP(Compositions!A142,'HHV-LHV-MW'!$A$3:$F$40,4,FALSE))*(W77/100)))</f>
        <v/>
      </c>
      <c r="AA77" s="26" t="str">
        <f>IF(W77="","",((VLOOKUP(Compositions!A142,'HHV-LHV-MW'!$A$3:$F$40,5,FALSE))*(W77/100)))</f>
        <v/>
      </c>
      <c r="AB77" s="26" t="str">
        <f>IF(W77="","",((VLOOKUP(Compositions!A142,'HHV-LHV-MW'!$A$3:$F$40,6,FALSE))*(W77/100)))</f>
        <v/>
      </c>
      <c r="AC77" s="26" t="str">
        <f>IF(Compositions!C142="","",(Compositions!C142*(VLOOKUP(Compositions!A142,'HHV-LHV-MW'!$A$3:$F$40,6,FALSE))))</f>
        <v/>
      </c>
      <c r="AD77" s="296" t="str">
        <f>IF(Compositions!C142="","",IF(OR(Compositions!$C$118="wt%",Compositions!$C$118=""),Compositions!C142,(IF(AC77="","",((AC77/$AC$78)*100)))))</f>
        <v/>
      </c>
      <c r="AE77" s="39" t="str">
        <f>IF(AD77="","",(IF(OR(Compositions!A142="Hydrogen",Compositions!A142="Helium",Compositions!A142="Water",Compositions!A142="Carbon Monoxide",Compositions!A142="Nitrogen",Compositions!A142="Oxygen",Compositions!A142="Hydrogen Sulfide",Compositions!A142="Argon",Compositions!A142="Carbon Dioxide",Compositions!A142="Carbon Disulfide"),0,AD77)))</f>
        <v/>
      </c>
      <c r="AF77" s="186" t="str">
        <f>IF(Compositions!C142="","",((W77/100)*((VLOOKUP(Compositions!A142,'HHV-LHV-MW'!$A$3:$G$40,7,FALSE)))))</f>
        <v/>
      </c>
      <c r="AG77" s="186" t="str">
        <f>IF(W77="","",(IF(OR(Compositions!A142="Hydrogen",Compositions!A142="Carbon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Dioxide",Compositions!A142="Methane",Compositions!A142="Ethane"),0,(W77/100))))</f>
        <v/>
      </c>
      <c r="AH77" s="39" t="str">
        <f>IF(W77="","", (IF(OR($AG$78=0,$AG$78=""),0,   ((VLOOKUP(Compositions!A142,'HHV-LHV-MW'!$A$3:$F$40,6,FALSE))*(AG77/$AG$78)))))</f>
        <v/>
      </c>
      <c r="AI77" s="27" t="str">
        <f>IF(Compositions!D142="","",IF(Compositions!$D$118="mol%",Compositions!D142,AJ77))</f>
        <v/>
      </c>
      <c r="AJ77" s="27" t="str">
        <f t="shared" si="27"/>
        <v/>
      </c>
      <c r="AK77" s="27" t="str">
        <f>IF(Compositions!D142="","",(Compositions!D142/(VLOOKUP(Compositions!A142,'HHV-LHV-MW'!$A$3:$F$40,6,FALSE))))</f>
        <v/>
      </c>
      <c r="AL77" s="25" t="str">
        <f>IF(AI77="","",((VLOOKUP(Compositions!A142,'HHV-LHV-MW'!$A$3:$F$40,4,FALSE))*(AI77/100)))</f>
        <v/>
      </c>
      <c r="AM77" s="25" t="str">
        <f>IF(AI77="","",((VLOOKUP(Compositions!A142,'HHV-LHV-MW'!$A$3:$F$40,5,FALSE))*(AI77/100)))</f>
        <v/>
      </c>
      <c r="AN77" s="25" t="str">
        <f>IF(AI77="","",((VLOOKUP(Compositions!A142,'HHV-LHV-MW'!$A$3:$F$40,6,FALSE))*(AI77/100)))</f>
        <v/>
      </c>
      <c r="AO77" s="25" t="str">
        <f>IF(Compositions!D142="","",(Compositions!D142*(VLOOKUP(Compositions!A142,'HHV-LHV-MW'!$A$3:$F$40,6,FALSE))))</f>
        <v/>
      </c>
      <c r="AP77" s="295" t="str">
        <f>IF(Compositions!D142="","",IF(OR(Compositions!$D$118="wt%",Compositions!$D$118=""),Compositions!D142,(IF(AO77="","",((AO77/$AO$78)*100)))))</f>
        <v/>
      </c>
      <c r="AQ77" s="185" t="str">
        <f>IF(AP77="","",(IF(OR(Compositions!A142="Hydrogen",Compositions!A142="Helium",Compositions!A142="Water",Compositions!A142="Carbon Monoxide",Compositions!A142="Nitrogen",Compositions!A142="Oxygen",Compositions!A142="Hydrogen Sulfide",Compositions!A142="Argon",Compositions!A142="Carbon Dioxide",Compositions!A142="Carbon Disulfide"),0,AP77)))</f>
        <v/>
      </c>
      <c r="AR77" s="187" t="str">
        <f>IF(Compositions!D142="","",((AI77/100)*((VLOOKUP(Compositions!A142,'HHV-LHV-MW'!$A$3:$G$40,7,FALSE)))))</f>
        <v/>
      </c>
      <c r="AS77" s="187" t="str">
        <f>IF(AI77="","",(IF(OR(Compositions!A142="Hydrogen",Compositions!A142="Carbon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Dioxide",Compositions!A142="Methane",Compositions!A142="Ethane"),0,(AI77/100))))</f>
        <v/>
      </c>
      <c r="AT77" s="205" t="str">
        <f>IF(AI77="","",(IF(OR($AS$78=0,$AS$78=""),0,      ((VLOOKUP(Compositions!A142,'HHV-LHV-MW'!$A$3:$F$40,6,FALSE))*(AS77/$AS$78)))))</f>
        <v/>
      </c>
      <c r="AU77" s="28" t="str">
        <f>IF(Compositions!E142="","",IF(Compositions!$E$118="mol%",Compositions!E142,AV77))</f>
        <v/>
      </c>
      <c r="AV77" s="28" t="str">
        <f t="shared" si="28"/>
        <v/>
      </c>
      <c r="AW77" s="28" t="str">
        <f>IF(Compositions!E142="","",(Compositions!E142/(VLOOKUP(Compositions!A142,'HHV-LHV-MW'!$A$3:$F$40,6,FALSE))))</f>
        <v/>
      </c>
      <c r="AX77" s="26" t="str">
        <f>IF(AU77="","",((VLOOKUP(Compositions!A142,'HHV-LHV-MW'!$A$3:$F$40,4,FALSE))*(AU77/100)))</f>
        <v/>
      </c>
      <c r="AY77" s="26" t="str">
        <f>IF(AU77="","",((VLOOKUP(Compositions!A142,'HHV-LHV-MW'!$A$3:$F$40,5,FALSE))*(AU77/100)))</f>
        <v/>
      </c>
      <c r="AZ77" s="26" t="str">
        <f>IF(AU77="","",((VLOOKUP(Compositions!A142,'HHV-LHV-MW'!$A$3:$F$40,6,FALSE))*(AU77/100)))</f>
        <v/>
      </c>
      <c r="BA77" s="26" t="str">
        <f>IF(Compositions!E142="","",(Compositions!E142*(VLOOKUP(Compositions!A142,'HHV-LHV-MW'!$A$3:$F$40,6,FALSE))))</f>
        <v/>
      </c>
      <c r="BB77" s="296" t="str">
        <f>IF(Compositions!E142="","",IF(OR(Compositions!$E$118="wt%",Compositions!$E$118=""),Compositions!E142,(IF(BA77="","",((BA77/$BA$78)*100)))))</f>
        <v/>
      </c>
      <c r="BC77" s="39" t="str">
        <f>IF(BB77="","",(IF(OR(Compositions!A142="Hydrogen",Compositions!A142="Helium",Compositions!A142="Water",Compositions!A142="Carbon Monoxide",Compositions!A142="Nitrogen",Compositions!A142="Oxygen",Compositions!A142="Hydrogen Sulfide",Compositions!A142="Argon",Compositions!A142="Carbon Dioxide",Compositions!A142="Carbon Disulfide"),0,BB77)))</f>
        <v/>
      </c>
      <c r="BD77" s="186" t="str">
        <f>IF(Compositions!E142="","",((AU77/100)*((VLOOKUP(Compositions!A142,'HHV-LHV-MW'!$A$3:$G$40,7,FALSE)))))</f>
        <v/>
      </c>
      <c r="BE77" s="186" t="str">
        <f>IF(AU77="","",(IF(OR(Compositions!A142="Hydrogen",Compositions!A142="Carbon Disulfide",Compositions!A142="Helium",Compositions!A142="Water",Compositions!A142="Carbon Monoxide",Compositions!A142="Nitrogen",Compositions!A142="Oxygen",Compositions!A142="Hydrogen Sulfide",Compositions!A142="Argon",Compositions!A142="Carbon Dioxide",Compositions!A142="Methane",Compositions!A142="Ethane"),0,(AU77/100))))</f>
        <v/>
      </c>
      <c r="BF77" s="39" t="str">
        <f>IF(AU77="","",(IF(OR($BE$78=0,$BE$78=""),0,     ((VLOOKUP(Compositions!A142,'HHV-LHV-MW'!$A$3:$F$40,6,FALSE))*(BE77/$BE$78)))))</f>
        <v/>
      </c>
      <c r="BH77" s="27" t="str">
        <f>IF(Compositions!H142="","",IF(Compositions!$H$118="mol%",Compositions!H142,BI77))</f>
        <v/>
      </c>
      <c r="BI77" s="27" t="str">
        <f t="shared" si="29"/>
        <v/>
      </c>
      <c r="BJ77" s="27" t="str">
        <f>IF(Compositions!H142="","",(Compositions!H142/(VLOOKUP(Compositions!G142,'HHV-LHV-MW'!$A$3:$F$40,6,FALSE))))</f>
        <v/>
      </c>
      <c r="BK77" s="25" t="str">
        <f>IF(BH77="","",((VLOOKUP(Compositions!G142,'HHV-LHV-MW'!$A$3:$F$40,4,FALSE))*(BH77/100)))</f>
        <v/>
      </c>
      <c r="BL77" s="25" t="str">
        <f>IF(BH77="","",((VLOOKUP(Compositions!G142,'HHV-LHV-MW'!$A$3:$F$40,5,FALSE))*(BH77/100)))</f>
        <v/>
      </c>
      <c r="BM77" s="25" t="str">
        <f>IF(BH77="","",((VLOOKUP(Compositions!G142,'HHV-LHV-MW'!$A$3:$F$40,6,FALSE))*(BH77/100)))</f>
        <v/>
      </c>
      <c r="BN77" s="25" t="str">
        <f>IF(Compositions!H142="","",(Compositions!H142*(VLOOKUP(Compositions!G142,'HHV-LHV-MW'!$A$3:$F$40,6,FALSE))))</f>
        <v/>
      </c>
      <c r="BO77" s="295" t="str">
        <f>IF(Compositions!H142="","",IF(OR(Compositions!$H$118="wt%",Compositions!$H$118=""),Compositions!H142,(IF(BN77="","",((BN77/$BN$78)*100)))))</f>
        <v/>
      </c>
      <c r="BP77" s="185" t="str">
        <f>IF(BO77="","",(IF(OR(Compositions!G142="Hydrogen",Compositions!G142="Helium",Compositions!G142="Water",Compositions!G142="Carbon Monoxide",Compositions!G142="Nitrogen",Compositions!G142="Oxygen",Compositions!G142="Hydrogen Sulfide",Compositions!G142="Argon",Compositions!G142="Carbon Dioxide",Compositions!G142="Carbon Disulfide"),0,BO77)))</f>
        <v/>
      </c>
      <c r="BQ77" s="187" t="str">
        <f>IF(Compositions!H142="","",((BH77/100)*((VLOOKUP(Compositions!G142,'HHV-LHV-MW'!$A$3:$G$40,7,FALSE)))))</f>
        <v/>
      </c>
      <c r="BR77" s="187" t="str">
        <f>IF(BH77="","",(IF(OR(Compositions!G142="Hydrogen",Compositions!G142="Carbon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Dioxide",Compositions!G142="Methane",Compositions!G142="Ethane"),0,(BH77/100))))</f>
        <v/>
      </c>
      <c r="BS77" s="205" t="str">
        <f>IF(BH77="","",(IF(OR($BR$78=0,$BR$78=""),0,    ((VLOOKUP(Compositions!G142,'HHV-LHV-MW'!$A$3:$F$40,6,FALSE))*(BR77/$BR$78)))))</f>
        <v/>
      </c>
      <c r="BT77" s="28" t="str">
        <f>IF(Compositions!I142="","",IF(Compositions!$I$118="mol%",Compositions!I142,BU77))</f>
        <v/>
      </c>
      <c r="BU77" s="28" t="str">
        <f t="shared" si="30"/>
        <v/>
      </c>
      <c r="BV77" s="28" t="str">
        <f>IF(Compositions!I142="","",(Compositions!I142/(VLOOKUP(Compositions!G142,'HHV-LHV-MW'!$A$3:$F$40,6,FALSE))))</f>
        <v/>
      </c>
      <c r="BW77" s="26" t="str">
        <f>IF(BT77="","",((VLOOKUP(Compositions!G142,'HHV-LHV-MW'!$A$3:$F$40,4,FALSE))*(BT77/100)))</f>
        <v/>
      </c>
      <c r="BX77" s="26" t="str">
        <f>IF(BT77="","",((VLOOKUP(Compositions!G142,'HHV-LHV-MW'!$A$3:$F$40,5,FALSE))*(BT77/100)))</f>
        <v/>
      </c>
      <c r="BY77" s="26" t="str">
        <f>IF(BT77="","",((VLOOKUP(Compositions!G142,'HHV-LHV-MW'!$A$3:$F$40,6,FALSE))*(BT77/100)))</f>
        <v/>
      </c>
      <c r="BZ77" s="26" t="str">
        <f>IF(Compositions!I142="","",(Compositions!I142*(VLOOKUP(Compositions!G142,'HHV-LHV-MW'!$A$3:$F$40,6,FALSE))))</f>
        <v/>
      </c>
      <c r="CA77" s="296" t="str">
        <f>IF(Compositions!I142="","",IF(OR(Compositions!$I$118="wt%",Compositions!$I$118=""),Compositions!I142,(IF(BZ77="","",((BZ77/$BZ$78)*100)))))</f>
        <v/>
      </c>
      <c r="CB77" s="39" t="str">
        <f>IF(CA77="","",(IF(OR(Compositions!G142="Hydrogen",Compositions!G142="Helium",Compositions!G142="Water",Compositions!G142="Carbon Monoxide",Compositions!G142="Nitrogen",Compositions!G142="Oxygen",Compositions!G142="Hydrogen Sulfide",Compositions!G142="Argon",Compositions!G142="Carbon Dioxide",Compositions!G142="Carbon Disulfide"),0,CA77)))</f>
        <v/>
      </c>
      <c r="CC77" s="186" t="str">
        <f>IF(Compositions!I142="","",((BT77/100)*((VLOOKUP(Compositions!G142,'HHV-LHV-MW'!$A$3:$G$40,7,FALSE)))))</f>
        <v/>
      </c>
      <c r="CD77" s="186" t="str">
        <f>IF(BT77="","",(IF(OR(Compositions!G142="Hydrogen",Compositions!G142="Carbon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Dioxide",Compositions!G142="Methane",Compositions!G142="Ethane"),0,(BT77/100))))</f>
        <v/>
      </c>
      <c r="CE77" s="39" t="str">
        <f>IF(BT77="","",(IF(OR($CD$78=0,$CD$78=""),0,       ((VLOOKUP(Compositions!G142,'HHV-LHV-MW'!$A$3:$F$40,6,FALSE))*(CD77/$CD$78)))))</f>
        <v/>
      </c>
      <c r="CF77" s="27" t="str">
        <f>IF(Compositions!J142="","",IF(Compositions!$J$118="mol%",Compositions!J142,CG77))</f>
        <v/>
      </c>
      <c r="CG77" s="27" t="str">
        <f t="shared" si="31"/>
        <v/>
      </c>
      <c r="CH77" s="27" t="str">
        <f>IF(Compositions!J142="","",(Compositions!J142/(VLOOKUP(Compositions!G142,'HHV-LHV-MW'!$A$3:$F$40,6,FALSE))))</f>
        <v/>
      </c>
      <c r="CI77" s="25" t="str">
        <f>IF(CF77="","",((VLOOKUP(Compositions!G142,'HHV-LHV-MW'!$A$3:$F$40,4,FALSE))*(CF77/100)))</f>
        <v/>
      </c>
      <c r="CJ77" s="25" t="str">
        <f>IF(CF77="","",((VLOOKUP(Compositions!G142,'HHV-LHV-MW'!$A$3:$F$40,5,FALSE))*(CF77/100)))</f>
        <v/>
      </c>
      <c r="CK77" s="25" t="str">
        <f>IF(CF77="","",((VLOOKUP(Compositions!G142,'HHV-LHV-MW'!$A$3:$F$40,6,FALSE))*(CF77/100)))</f>
        <v/>
      </c>
      <c r="CL77" s="25" t="str">
        <f>IF(Compositions!J142="","",(Compositions!J142*(VLOOKUP(Compositions!G142,'HHV-LHV-MW'!$A$3:$F$40,6,FALSE))))</f>
        <v/>
      </c>
      <c r="CM77" s="295" t="str">
        <f>IF(Compositions!J142="","",IF(OR(Compositions!$J$118="wt%",Compositions!$J$118=""),Compositions!J142,(IF(CL77="","",((CL77/$CL$78)*100)))))</f>
        <v/>
      </c>
      <c r="CN77" s="185" t="str">
        <f>IF(CM77="","",(IF(OR(Compositions!G142="Hydrogen",Compositions!G142="Helium",Compositions!G142="Water",Compositions!G142="Carbon Monoxide",Compositions!G142="Nitrogen",Compositions!G142="Oxygen",Compositions!G142="Hydrogen Sulfide",Compositions!G142="Argon",Compositions!G142="Carbon Dioxide",Compositions!G142="Carbon Disulfide"),0,CM77)))</f>
        <v/>
      </c>
      <c r="CO77" s="187" t="str">
        <f>IF(Compositions!J142="","",((CF77/100)*((VLOOKUP(Compositions!G142,'HHV-LHV-MW'!$A$3:$G$40,7,FALSE)))))</f>
        <v/>
      </c>
      <c r="CP77" s="187" t="str">
        <f>IF(CF77="","",(IF(OR(Compositions!G142="Hydrogen",Compositions!G142="Carbon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Dioxide",Compositions!G142="Methane",Compositions!G142="Ethane"),0,(CF77/100))))</f>
        <v/>
      </c>
      <c r="CQ77" s="205" t="str">
        <f>IF(CF77="","",(IF(OR($CP$78=0,$CP$78=""),0,       ((VLOOKUP(Compositions!G142,'HHV-LHV-MW'!$A$3:$F$40,6,FALSE))*(CP77/$CP$78)))))</f>
        <v/>
      </c>
      <c r="CR77" s="28" t="str">
        <f>IF(Compositions!K142="","",IF(Compositions!$K$118="mol%",Compositions!K142,CS77))</f>
        <v/>
      </c>
      <c r="CS77" s="28" t="str">
        <f t="shared" si="32"/>
        <v/>
      </c>
      <c r="CT77" s="28" t="str">
        <f>IF(Compositions!K142="","",(Compositions!K142/(VLOOKUP(Compositions!G142,'HHV-LHV-MW'!$A$3:$F$40,6,FALSE))))</f>
        <v/>
      </c>
      <c r="CU77" s="26" t="str">
        <f>IF(CR77="","",((VLOOKUP(Compositions!G142,'HHV-LHV-MW'!$A$3:$F$40,4,FALSE))*(CR77/100)))</f>
        <v/>
      </c>
      <c r="CV77" s="26" t="str">
        <f>IF(CR77="","",((VLOOKUP(Compositions!G142,'HHV-LHV-MW'!$A$3:$F$40,5,FALSE))*(CR77/100)))</f>
        <v/>
      </c>
      <c r="CW77" s="26" t="str">
        <f>IF(CR77="","",((VLOOKUP(Compositions!G142,'HHV-LHV-MW'!$A$3:$F$40,6,FALSE))*(CR77/100)))</f>
        <v/>
      </c>
      <c r="CX77" s="26" t="str">
        <f>IF(Compositions!K142="","",(Compositions!K142*(VLOOKUP(Compositions!G142,'HHV-LHV-MW'!$A$3:$F$40,6,FALSE))))</f>
        <v/>
      </c>
      <c r="CY77" s="296" t="str">
        <f>IF(Compositions!K142="","",IF(OR(Compositions!$K$118="wt%",Compositions!$K$118=""),Compositions!K142,(IF(CX77="","",((CX77/$CX$78)*100)))))</f>
        <v/>
      </c>
      <c r="CZ77" s="39" t="str">
        <f>IF(CY77="","",(IF(OR(Compositions!G142="Hydrogen",Compositions!G142="Helium",Compositions!G142="Water",Compositions!G142="Carbon Monoxide",Compositions!G142="Nitrogen",Compositions!G142="Oxygen",Compositions!G142="Hydrogen Sulfide",Compositions!G142="Argon",Compositions!G142="Carbon Dioxide",Compositions!G142="Carbon Disulfide"),0,CY77)))</f>
        <v/>
      </c>
      <c r="DA77" s="186" t="str">
        <f>IF(Compositions!K142="","",((CR77/100)*((VLOOKUP(Compositions!G142,'HHV-LHV-MW'!$A$3:$G$40,7,FALSE)))))</f>
        <v/>
      </c>
      <c r="DB77" s="186" t="str">
        <f>IF(CR77="","",(IF(OR(Compositions!G142="Hydrogen",Compositions!G142="Carbon Disulfide",Compositions!G142="Helium",Compositions!G142="Water",Compositions!G142="Carbon Monoxide",Compositions!G142="Nitrogen",Compositions!G142="Oxygen",Compositions!G142="Hydrogen Sulfide",Compositions!G142="Argon",Compositions!G142="Carbon Dioxide",Compositions!G142="Methane",Compositions!G142="Ethane"),0,(CR77/100))))</f>
        <v/>
      </c>
      <c r="DC77" s="39" t="str">
        <f>IF(CR77="","",(IF(OR($DB$78=0,$DB$78=""),0,       ((VLOOKUP(Compositions!G142,'HHV-LHV-MW'!$A$3:$F$40,6,FALSE))*(DB77/$DB$78)))))</f>
        <v/>
      </c>
      <c r="DE77" s="27" t="str">
        <f>IF(Compositions!N142="","",IF(Compositions!$N$118="mol%",Compositions!N142,DF77))</f>
        <v/>
      </c>
      <c r="DF77" s="27" t="str">
        <f t="shared" si="33"/>
        <v/>
      </c>
      <c r="DG77" s="27" t="str">
        <f>IF(Compositions!N142="","",(Compositions!N142/(VLOOKUP(Compositions!M142,'HHV-LHV-MW'!$A$3:$F$40,6,FALSE))))</f>
        <v/>
      </c>
      <c r="DH77" s="25" t="str">
        <f>IF(DE77="","",((VLOOKUP(Compositions!M142,'HHV-LHV-MW'!$A$3:$F$40,4,FALSE))*(DE77/100)))</f>
        <v/>
      </c>
      <c r="DI77" s="25" t="str">
        <f>IF(DE77="","",((VLOOKUP(Compositions!M142,'HHV-LHV-MW'!$A$3:$F$40,5,FALSE))*(DE77/100)))</f>
        <v/>
      </c>
      <c r="DJ77" s="25" t="str">
        <f>IF(DE77="","",((VLOOKUP(Compositions!M142,'HHV-LHV-MW'!$A$3:$F$40,6,FALSE))*(DE77/100)))</f>
        <v/>
      </c>
      <c r="DK77" s="25" t="str">
        <f>IF(Compositions!N142="","",(Compositions!N142*(VLOOKUP(Compositions!M142,'HHV-LHV-MW'!$A$3:$F$40,6,FALSE))))</f>
        <v/>
      </c>
      <c r="DL77" s="295" t="str">
        <f>IF(Compositions!N142="","",IF(OR(Compositions!$N$118="wt%",Compositions!$N$118=""),Compositions!N142,(IF(DK77="","",((DK77/$DK$78)*100)))))</f>
        <v/>
      </c>
      <c r="DM77" s="185" t="str">
        <f>IF(DL77="","",(IF(OR(Compositions!M142="Hydrogen",Compositions!M142="Helium",Compositions!M142="Water",Compositions!M142="Carbon Monoxide",Compositions!M142="Nitrogen",Compositions!M142="Oxygen",Compositions!M142="Hydrogen Sulfide",Compositions!M142="Argon",Compositions!M142="Carbon Dioxide",Compositions!M142="Carbon Disulfide"),0,DL77)))</f>
        <v/>
      </c>
      <c r="DN77" s="187" t="str">
        <f>IF(Compositions!N142="","",((DE77/100)*((VLOOKUP(Compositions!M142,'HHV-LHV-MW'!$A$3:$G$40,7,FALSE)))))</f>
        <v/>
      </c>
      <c r="DO77" s="187" t="str">
        <f>IF(DE77="","",(IF(OR(Compositions!M142="Hydrogen",Compositions!M142="Carbon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Dioxide",Compositions!M142="Methane",Compositions!M142="Ethane"),0,(DE77/100))))</f>
        <v/>
      </c>
      <c r="DP77" s="205" t="str">
        <f>IF(DE77="","",(IF(OR($DO$78=0,$DO$78=""),0,       ((VLOOKUP(Compositions!M142,'HHV-LHV-MW'!$A$3:$F$40,6,FALSE))*(DO77/$DO$78)))))</f>
        <v/>
      </c>
      <c r="DQ77" s="28" t="str">
        <f>IF(Compositions!O142="","",IF(Compositions!$O$118="mol%",Compositions!O142,DR77))</f>
        <v/>
      </c>
      <c r="DR77" s="28" t="str">
        <f t="shared" si="34"/>
        <v/>
      </c>
      <c r="DS77" s="28" t="str">
        <f>IF(Compositions!O142="","",(Compositions!O142/(VLOOKUP(Compositions!M142,'HHV-LHV-MW'!$A$3:$F$40,6,FALSE))))</f>
        <v/>
      </c>
      <c r="DT77" s="26" t="str">
        <f>IF(DQ77="","",((VLOOKUP(Compositions!M142,'HHV-LHV-MW'!$A$3:$F$40,4,FALSE))*(DQ77/100)))</f>
        <v/>
      </c>
      <c r="DU77" s="26" t="str">
        <f>IF(DQ77="","",((VLOOKUP(Compositions!M142,'HHV-LHV-MW'!$A$3:$F$40,5,FALSE))*(DQ77/100)))</f>
        <v/>
      </c>
      <c r="DV77" s="26" t="str">
        <f>IF(DQ77="","",((VLOOKUP(Compositions!M142,'HHV-LHV-MW'!$A$3:$F$40,6,FALSE))*(DQ77/100)))</f>
        <v/>
      </c>
      <c r="DW77" s="26" t="str">
        <f>IF(Compositions!O142="","",(Compositions!O142*(VLOOKUP(Compositions!M142,'HHV-LHV-MW'!$A$3:$F$40,6,FALSE))))</f>
        <v/>
      </c>
      <c r="DX77" s="296" t="str">
        <f>IF(Compositions!O142="","",IF(OR(Compositions!$O$118="wt%",Compositions!$O$118=""),Compositions!O142,(IF(DW77="","",((DW77/$DW$78)*100)))))</f>
        <v/>
      </c>
      <c r="DY77" s="39" t="str">
        <f>IF(DX77="","",(IF(OR(Compositions!M142="Hydrogen",Compositions!M142="Helium",Compositions!M142="Water",Compositions!M142="Carbon Monoxide",Compositions!M142="Nitrogen",Compositions!M142="Oxygen",Compositions!M142="Hydrogen Sulfide",Compositions!M142="Argon",Compositions!M142="Carbon Dioxide",Compositions!M142="Carbon Disulfide"),0,DX77)))</f>
        <v/>
      </c>
      <c r="DZ77" s="186" t="str">
        <f>IF(Compositions!O142="","",((DQ77/100)*((VLOOKUP(Compositions!M142,'HHV-LHV-MW'!$A$3:$G$40,7,FALSE)))))</f>
        <v/>
      </c>
      <c r="EA77" s="186" t="str">
        <f>IF(DQ77="","",(IF(OR(Compositions!M142="Hydrogen",Compositions!M142="Carbon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Dioxide",Compositions!M142="Methane",Compositions!M142="Ethane"),0,(DQ77/100))))</f>
        <v/>
      </c>
      <c r="EB77" s="39" t="str">
        <f>IF(DQ77="","",(IF(OR($EA$78=0,$EA$78=""),0,       ((VLOOKUP(Compositions!M142,'HHV-LHV-MW'!$A$3:$F$40,6,FALSE))*(EA77/$EA$78)))))</f>
        <v/>
      </c>
      <c r="EC77" s="27" t="str">
        <f>IF(Compositions!P142="","",IF(Compositions!$P$118="mol%",Compositions!P142,ED77))</f>
        <v/>
      </c>
      <c r="ED77" s="27" t="str">
        <f t="shared" si="35"/>
        <v/>
      </c>
      <c r="EE77" s="27" t="str">
        <f>IF(Compositions!P142="","",(Compositions!P142/(VLOOKUP(Compositions!M142,'HHV-LHV-MW'!$A$3:$F$40,6,FALSE))))</f>
        <v/>
      </c>
      <c r="EF77" s="25" t="str">
        <f>IF(EC77="","",((VLOOKUP(Compositions!M142,'HHV-LHV-MW'!$A$3:$F$40,4,FALSE))*(EC77/100)))</f>
        <v/>
      </c>
      <c r="EG77" s="25" t="str">
        <f>IF(EC77="","",((VLOOKUP(Compositions!M142,'HHV-LHV-MW'!$A$3:$F$40,5,FALSE))*(EC77/100)))</f>
        <v/>
      </c>
      <c r="EH77" s="25" t="str">
        <f>IF(EC77="","",((VLOOKUP(Compositions!M142,'HHV-LHV-MW'!$A$3:$F$40,6,FALSE))*(EC77/100)))</f>
        <v/>
      </c>
      <c r="EI77" s="25" t="str">
        <f>IF(Compositions!P142="","",(Compositions!P142*(VLOOKUP(Compositions!M142,'HHV-LHV-MW'!$A$3:$F$40,6,FALSE))))</f>
        <v/>
      </c>
      <c r="EJ77" s="295" t="str">
        <f>IF(Compositions!P142="","",IF(OR(Compositions!$P$118="wt%",Compositions!$P$118=""),Compositions!P142,(IF(EI77="","",((EI77/$EI$78)*100)))))</f>
        <v/>
      </c>
      <c r="EK77" s="185" t="str">
        <f>IF(EJ77="","",(IF(OR(Compositions!M142="Hydrogen",Compositions!M142="Helium",Compositions!M142="Water",Compositions!M142="Carbon Monoxide",Compositions!M142="Nitrogen",Compositions!M142="Oxygen",Compositions!M142="Hydrogen Sulfide",Compositions!M142="Argon",Compositions!M142="Carbon Dioxide",Compositions!M142="Carbon Disulfide"),0,EJ77)))</f>
        <v/>
      </c>
      <c r="EL77" s="187" t="str">
        <f>IF(Compositions!P142="","",((EC77/100)*((VLOOKUP(Compositions!M142,'HHV-LHV-MW'!$A$3:$G$40,7,FALSE)))))</f>
        <v/>
      </c>
      <c r="EM77" s="187" t="str">
        <f>IF(EC77="","",(IF(OR(Compositions!M142="Hydrogen",Compositions!M142="Carbon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Dioxide",Compositions!M142="Methane",Compositions!M142="Ethane"),0,(EC77/100))))</f>
        <v/>
      </c>
      <c r="EN77" s="205" t="str">
        <f>IF(EC77="","",(IF(OR($EM$78=0,$EM$78=""),0,       ((VLOOKUP(Compositions!M142,'HHV-LHV-MW'!$A$3:$F$40,6,FALSE))*(EM77/$EM$78)))))</f>
        <v/>
      </c>
      <c r="EO77" s="28" t="str">
        <f>IF(Compositions!Q142="","",IF(Compositions!$Q$118="mol%",Compositions!Q142,EP77))</f>
        <v/>
      </c>
      <c r="EP77" s="28" t="str">
        <f t="shared" si="36"/>
        <v/>
      </c>
      <c r="EQ77" s="28" t="str">
        <f>IF(Compositions!Q142="","",(Compositions!Q142/(VLOOKUP(Compositions!M142,'HHV-LHV-MW'!$A$3:$F$40,6,FALSE))))</f>
        <v/>
      </c>
      <c r="ER77" s="26" t="str">
        <f>IF(EO77="","",((VLOOKUP(Compositions!M142,'HHV-LHV-MW'!$A$3:$F$40,4,FALSE))*(EO77/100)))</f>
        <v/>
      </c>
      <c r="ES77" s="26" t="str">
        <f>IF(EO77="","",((VLOOKUP(Compositions!M142,'HHV-LHV-MW'!$A$3:$F$40,5,FALSE))*(EO77/100)))</f>
        <v/>
      </c>
      <c r="ET77" s="26" t="str">
        <f>IF(EO77="","",((VLOOKUP(Compositions!M142,'HHV-LHV-MW'!$A$3:$F$40,6,FALSE))*(EO77/100)))</f>
        <v/>
      </c>
      <c r="EU77" s="26" t="str">
        <f>IF(Compositions!Q142="","",(Compositions!Q142*(VLOOKUP(Compositions!M142,'HHV-LHV-MW'!$A$3:$F$40,6,FALSE))))</f>
        <v/>
      </c>
      <c r="EV77" s="296" t="str">
        <f>IF(Compositions!Q142="","",IF(OR(Compositions!$Q$118="wt%",Compositions!$Q$118=""),Compositions!Q142,(IF(EU77="","",((EU77/$EU$78)*100)))))</f>
        <v/>
      </c>
      <c r="EW77" s="39" t="str">
        <f>IF(EV77="","",(IF(OR(Compositions!M142="Hydrogen",Compositions!M142="Helium",Compositions!M142="Water",Compositions!M142="Carbon Monoxide",Compositions!M142="Nitrogen",Compositions!M142="Oxygen",Compositions!M142="Hydrogen Sulfide",Compositions!M142="Argon",Compositions!M142="Carbon Dioxide",Compositions!M142="Carbon Disulfide"),0,EV77)))</f>
        <v/>
      </c>
      <c r="EX77" s="186" t="str">
        <f>IF(Compositions!Q142="","",((EO77/100)*((VLOOKUP(Compositions!M142,'HHV-LHV-MW'!$A$3:$G$40,7,FALSE)))))</f>
        <v/>
      </c>
      <c r="EY77" s="186" t="str">
        <f>IF(EO77="","",(IF(OR(Compositions!M142="Hydrogen",Compositions!M142="Carbon Disulfide",Compositions!M142="Helium",Compositions!M142="Water",Compositions!M142="Carbon Monoxide",Compositions!M142="Nitrogen",Compositions!M142="Oxygen",Compositions!M142="Hydrogen Sulfide",Compositions!M142="Argon",Compositions!M142="Carbon Dioxide",Compositions!M142="Methane",Compositions!M142="Ethane"),0,(EO77/100))))</f>
        <v/>
      </c>
      <c r="EZ77" s="39" t="str">
        <f>IF(EO77="","",(IF(OR($EY$78=0,$EY$78=""),0,       ((VLOOKUP(Compositions!M142,'HHV-LHV-MW'!$A$3:$F$40,6,FALSE))*(EY77/$EY$78)))))</f>
        <v/>
      </c>
      <c r="FB77" s="27" t="str">
        <f>IF(Compositions!T142="","",IF(Compositions!$T$118="mol%",Compositions!T142,FC77))</f>
        <v/>
      </c>
      <c r="FC77" s="27" t="str">
        <f t="shared" si="37"/>
        <v/>
      </c>
      <c r="FD77" s="27" t="str">
        <f>IF(Compositions!T142="","",(Compositions!T142/(VLOOKUP(Compositions!S142,'HHV-LHV-MW'!$A$3:$F$40,6,FALSE))))</f>
        <v/>
      </c>
      <c r="FE77" s="25" t="str">
        <f>IF(FB77="","",((VLOOKUP(Compositions!S142,'HHV-LHV-MW'!$A$3:$F$40,4,FALSE))*(FB77/100)))</f>
        <v/>
      </c>
      <c r="FF77" s="25" t="str">
        <f>IF(FB77="","",((VLOOKUP(Compositions!S142,'HHV-LHV-MW'!$A$3:$F$40,5,FALSE))*(FB77/100)))</f>
        <v/>
      </c>
      <c r="FG77" s="25" t="str">
        <f>IF(FB77="","",((VLOOKUP(Compositions!S142,'HHV-LHV-MW'!$A$3:$F$40,6,FALSE))*(FB77/100)))</f>
        <v/>
      </c>
      <c r="FH77" s="25" t="str">
        <f>IF(Compositions!T142="","",(Compositions!T142*(VLOOKUP(Compositions!S142,'HHV-LHV-MW'!$A$3:$F$40,6,FALSE))))</f>
        <v/>
      </c>
      <c r="FI77" s="295" t="str">
        <f>IF(Compositions!T142="","",IF(OR(Compositions!$T$118="wt%",Compositions!$T$118=""),Compositions!T142,(IF(FH77="","",((FH77/$FH$78)*100)))))</f>
        <v/>
      </c>
      <c r="FJ77" s="185" t="str">
        <f>IF(FI77="","",(IF(OR(Compositions!S142="Hydrogen",Compositions!S142="Helium",Compositions!S142="Water",Compositions!S142="Carbon Monoxide",Compositions!S142="Nitrogen",Compositions!S142="Oxygen",Compositions!S142="Hydrogen Sulfide",Compositions!S142="Argon",Compositions!S142="Carbon Dioxide",Compositions!S142="Carbon Disulfide"),0,FI77)))</f>
        <v/>
      </c>
      <c r="FK77" s="187" t="str">
        <f>IF(Compositions!T142="","",((FB77/100)*((VLOOKUP(Compositions!S142,'HHV-LHV-MW'!$A$3:$G$40,7,FALSE)))))</f>
        <v/>
      </c>
      <c r="FL77" s="187" t="str">
        <f>IF(FB77="","",(IF(OR(Compositions!S142="Hydrogen",Compositions!S142="Carbon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Dioxide",Compositions!S142="Methane",Compositions!S142="Ethane"),0,(FB77/100))))</f>
        <v/>
      </c>
      <c r="FM77" s="205" t="str">
        <f>IF(FB77="","",(IF(OR($FL$78=0,$FL$78=""),0,       ((VLOOKUP(Compositions!S142,'HHV-LHV-MW'!$A$3:$F$40,6,FALSE))*(FL77/$FL$78)))))</f>
        <v/>
      </c>
      <c r="FN77" s="28" t="str">
        <f>IF(Compositions!U142="","",IF(Compositions!$U$118="mol%",Compositions!U142,FO77))</f>
        <v/>
      </c>
      <c r="FO77" s="28" t="str">
        <f t="shared" si="38"/>
        <v/>
      </c>
      <c r="FP77" s="28" t="str">
        <f>IF(Compositions!U142="","",(Compositions!U142/(VLOOKUP(Compositions!S142,'HHV-LHV-MW'!$A$3:$F$40,6,FALSE))))</f>
        <v/>
      </c>
      <c r="FQ77" s="26" t="str">
        <f>IF(FN77="","",((VLOOKUP(Compositions!S142,'HHV-LHV-MW'!$A$3:$F$40,4,FALSE))*(FN77/100)))</f>
        <v/>
      </c>
      <c r="FR77" s="26" t="str">
        <f>IF(FN77="","",((VLOOKUP(Compositions!S142,'HHV-LHV-MW'!$A$3:$F$40,5,FALSE))*(FN77/100)))</f>
        <v/>
      </c>
      <c r="FS77" s="26" t="str">
        <f>IF(FN77="","",((VLOOKUP(Compositions!S142,'HHV-LHV-MW'!$A$3:$F$40,6,FALSE))*(FN77/100)))</f>
        <v/>
      </c>
      <c r="FT77" s="26" t="str">
        <f>IF(Compositions!U142="","",(Compositions!U142*(VLOOKUP(Compositions!S142,'HHV-LHV-MW'!$A$3:$F$40,6,FALSE))))</f>
        <v/>
      </c>
      <c r="FU77" s="296" t="str">
        <f>IF(Compositions!U142="","",IF(OR(Compositions!$U$118="wt%",Compositions!$U$118=""),Compositions!U142,(IF(FT77="","",((FT77/$FT$78)*100)))))</f>
        <v/>
      </c>
      <c r="FV77" s="39" t="str">
        <f>IF(FU77="","",(IF(OR(Compositions!S142="Hydrogen",Compositions!S142="Helium",Compositions!S142="Water",Compositions!S142="Carbon Monoxide",Compositions!S142="Nitrogen",Compositions!S142="Oxygen",Compositions!S142="Hydrogen Sulfide",Compositions!S142="Argon",Compositions!S142="Carbon Dioxide",Compositions!S142="Carbon Disulfide"),0,FU77)))</f>
        <v/>
      </c>
      <c r="FW77" s="186" t="str">
        <f>IF(Compositions!U142="","",((FN77/100)*((VLOOKUP(Compositions!S142,'HHV-LHV-MW'!$A$3:$G$40,7,FALSE)))))</f>
        <v/>
      </c>
      <c r="FX77" s="186" t="str">
        <f>IF(FN77="","",(IF(OR(Compositions!S142="Hydrogen",Compositions!S142="Carbon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Dioxide",Compositions!S142="Methane",Compositions!S142="Ethane"),0,(FN77/100))))</f>
        <v/>
      </c>
      <c r="FY77" s="39" t="str">
        <f>IF(FN77="","",(IF(OR($FX$78=0,$FX$78=""),0,       ((VLOOKUP(Compositions!S142,'HHV-LHV-MW'!$A$3:$F$40,6,FALSE))*(FX77/$FX$78)))))</f>
        <v/>
      </c>
      <c r="FZ77" s="27" t="str">
        <f>IF(Compositions!V142="","",IF(Compositions!$V$118="mol%",Compositions!V142,GA77))</f>
        <v/>
      </c>
      <c r="GA77" s="27" t="str">
        <f t="shared" si="39"/>
        <v/>
      </c>
      <c r="GB77" s="27" t="str">
        <f>IF(Compositions!V142="","",(Compositions!V142/(VLOOKUP(Compositions!S142,'HHV-LHV-MW'!$A$3:$F$40,6,FALSE))))</f>
        <v/>
      </c>
      <c r="GC77" s="25" t="str">
        <f>IF(FZ77="","",((VLOOKUP(Compositions!S142,'HHV-LHV-MW'!$A$3:$F$40,4,FALSE))*(FZ77/100)))</f>
        <v/>
      </c>
      <c r="GD77" s="25" t="str">
        <f>IF(FZ77="","",((VLOOKUP(Compositions!S142,'HHV-LHV-MW'!$A$3:$F$40,5,FALSE))*(FZ77/100)))</f>
        <v/>
      </c>
      <c r="GE77" s="25" t="str">
        <f>IF(FZ77="","",((VLOOKUP(Compositions!S142,'HHV-LHV-MW'!$A$3:$F$40,6,FALSE))*(FZ77/100)))</f>
        <v/>
      </c>
      <c r="GF77" s="25" t="str">
        <f>IF(Compositions!V142="","",(Compositions!V142*(VLOOKUP(Compositions!S142,'HHV-LHV-MW'!$A$3:$F$40,6,FALSE))))</f>
        <v/>
      </c>
      <c r="GG77" s="295" t="str">
        <f>IF(Compositions!V142="","",IF(OR(Compositions!$V$118="wt%",Compositions!$V$118=""),Compositions!V142,(IF(GF77="","",((GF77/$GF$78)*100)))))</f>
        <v/>
      </c>
      <c r="GH77" s="185" t="str">
        <f>IF(GG77="","",(IF(OR(Compositions!S142="Hydrogen",Compositions!S142="Helium",Compositions!S142="Water",Compositions!S142="Carbon Monoxide",Compositions!S142="Nitrogen",Compositions!S142="Oxygen",Compositions!S142="Hydrogen Sulfide",Compositions!S142="Argon",Compositions!S142="Carbon Dioxide",Compositions!S142="Carbon Disulfide"),0,GG77)))</f>
        <v/>
      </c>
      <c r="GI77" s="187" t="str">
        <f>IF(Compositions!V142="","",((FZ77/100)*((VLOOKUP(Compositions!S142,'HHV-LHV-MW'!$A$3:$G$40,7,FALSE)))))</f>
        <v/>
      </c>
      <c r="GJ77" s="187" t="str">
        <f>IF(FZ77="","",(IF(OR(Compositions!S142="Hydrogen",Compositions!S142="Carbon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Dioxide",Compositions!S142="Methane",Compositions!S142="Ethane"),0,(FZ77/100))))</f>
        <v/>
      </c>
      <c r="GK77" s="205" t="str">
        <f>IF(FZ77="","",(IF(OR($GJ$78=0,$GJ$78=""),0,       ((VLOOKUP(Compositions!S142,'HHV-LHV-MW'!$A$3:$F$40,6,FALSE))*(GJ77/$GJ$78)))))</f>
        <v/>
      </c>
      <c r="GL77" s="28" t="str">
        <f>IF(Compositions!W142="","",IF(Compositions!$W$118="mol%",Compositions!W142,GM77))</f>
        <v/>
      </c>
      <c r="GM77" s="28" t="str">
        <f t="shared" si="40"/>
        <v/>
      </c>
      <c r="GN77" s="28" t="str">
        <f>IF(Compositions!W142="","",(Compositions!W142/(VLOOKUP(Compositions!S142,'HHV-LHV-MW'!$A$3:$F$40,6,FALSE))))</f>
        <v/>
      </c>
      <c r="GO77" s="26" t="str">
        <f>IF(GL77="","",((VLOOKUP(Compositions!S142,'HHV-LHV-MW'!$A$3:$F$40,4,FALSE))*(GL77/100)))</f>
        <v/>
      </c>
      <c r="GP77" s="26" t="str">
        <f>IF(GL77="","",((VLOOKUP(Compositions!S142,'HHV-LHV-MW'!$A$3:$F$40,5,FALSE))*(GL77/100)))</f>
        <v/>
      </c>
      <c r="GQ77" s="26" t="str">
        <f>IF(GL77="","",((VLOOKUP(Compositions!S142,'HHV-LHV-MW'!$A$3:$F$40,6,FALSE))*(GL77/100)))</f>
        <v/>
      </c>
      <c r="GR77" s="26" t="str">
        <f>IF(Compositions!W142="","",(Compositions!W142*(VLOOKUP(Compositions!S142,'HHV-LHV-MW'!$A$3:$F$40,6,FALSE))))</f>
        <v/>
      </c>
      <c r="GS77" s="296" t="str">
        <f>IF(Compositions!W142="","",IF(OR(Compositions!$W$118="wt%",Compositions!$W$118=""),Compositions!W142,(IF(GR77="","",((GR77/$GR$78)*100)))))</f>
        <v/>
      </c>
      <c r="GT77" s="39" t="str">
        <f>IF(GS77="","",(IF(OR(Compositions!S142="Hydrogen",Compositions!S142="Helium",Compositions!S142="Water",Compositions!S142="Carbon Monoxide",Compositions!S142="Nitrogen",Compositions!S142="Oxygen",Compositions!S142="Hydrogen Sulfide",Compositions!S142="Argon",Compositions!S142="Carbon Dioxide",Compositions!S142="Carbon Disulfide"),0,GS77)))</f>
        <v/>
      </c>
      <c r="GU77" s="186" t="str">
        <f>IF(Compositions!W142="","",((GL77/100)*((VLOOKUP(Compositions!S142,'HHV-LHV-MW'!$A$3:$G$40,7,FALSE)))))</f>
        <v/>
      </c>
      <c r="GV77" s="186" t="str">
        <f>IF(GL77="","",(IF(OR(Compositions!S142="Hydrogen",Compositions!S142="Carbon Disulfide",Compositions!S142="Helium",Compositions!S142="Water",Compositions!S142="Carbon Monoxide",Compositions!S142="Nitrogen",Compositions!S142="Oxygen",Compositions!S142="Hydrogen Sulfide",Compositions!S142="Argon",Compositions!S142="Carbon Dioxide",Compositions!S142="Methane",Compositions!S142="Ethane"),0,(GL77/100))))</f>
        <v/>
      </c>
      <c r="GW77" s="39" t="str">
        <f>IF(GL77="","",(IF(OR($GV$78=0,$GV$78=""),0,       ((VLOOKUP(Compositions!S142,'HHV-LHV-MW'!$A$3:$F$40,6,FALSE))*(GV77/$GV$78)))))</f>
        <v/>
      </c>
      <c r="GY77" s="27" t="str">
        <f>IF(Compositions!Z142="","",IF(Compositions!$Z$118="mol%",Compositions!Z142,GZ77))</f>
        <v/>
      </c>
      <c r="GZ77" s="27" t="str">
        <f t="shared" si="41"/>
        <v/>
      </c>
      <c r="HA77" s="27" t="str">
        <f>IF(Compositions!Z142="","",(Compositions!Z142/(VLOOKUP(Compositions!Y142,'HHV-LHV-MW'!$A$3:$F$40,6,FALSE))))</f>
        <v/>
      </c>
      <c r="HB77" s="25" t="str">
        <f>IF(GY77="","",((VLOOKUP(Compositions!Y142,'HHV-LHV-MW'!$A$3:$F$40,4,FALSE))*(GY77/100)))</f>
        <v/>
      </c>
      <c r="HC77" s="25" t="str">
        <f>IF(GY77="","",((VLOOKUP(Compositions!Y142,'HHV-LHV-MW'!$A$3:$F$40,5,FALSE))*(GY77/100)))</f>
        <v/>
      </c>
      <c r="HD77" s="25" t="str">
        <f>IF(GY77="","",((VLOOKUP(Compositions!Y142,'HHV-LHV-MW'!$A$3:$F$40,6,FALSE))*(GY77/100)))</f>
        <v/>
      </c>
      <c r="HE77" s="25" t="str">
        <f>IF(Compositions!Z142="","",(Compositions!Z142*(VLOOKUP(Compositions!Y142,'HHV-LHV-MW'!$A$3:$F$40,6,FALSE))))</f>
        <v/>
      </c>
      <c r="HF77" s="295" t="str">
        <f>IF(Compositions!Z142="","",IF(OR(Compositions!$Z$118="wt%",Compositions!$Z$118=""),Compositions!Z142,(IF(HE77="","",((HE77/$HE$78)*100)))))</f>
        <v/>
      </c>
      <c r="HG77" s="185" t="str">
        <f>IF(HF77="","",(IF(OR(Compositions!Y142="Hydrogen",Compositions!Y142="Helium",Compositions!Y142="Water",Compositions!Y142="Carbon Monoxide",Compositions!Y142="Nitrogen",Compositions!Y142="Oxygen",Compositions!Y142="Hydrogen Sulfide",Compositions!Y142="Argon",Compositions!Y142="Carbon Dioxide",Compositions!Y142="Carbon Disulfide"),0,HF77)))</f>
        <v/>
      </c>
      <c r="HH77" s="187" t="str">
        <f>IF(Compositions!Z142="","",((GY77/100)*((VLOOKUP(Compositions!Y142,'HHV-LHV-MW'!$A$3:$G$40,7,FALSE)))))</f>
        <v/>
      </c>
      <c r="HI77" s="187" t="str">
        <f>IF(GY77="","",(IF(OR(Compositions!Y142="Hydrogen",Compositions!Y142="Carbon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Dioxide",Compositions!Y142="Methane",Compositions!Y142="Ethane"),0,(GY77/100))))</f>
        <v/>
      </c>
      <c r="HJ77" s="205" t="str">
        <f>IF(GY77="","",(IF(OR($HI$78=0,$HI$78=""),0,       ((VLOOKUP(Compositions!Y142,'HHV-LHV-MW'!$A$3:$F$40,6,FALSE))*(HI77/$HI$78)))))</f>
        <v/>
      </c>
      <c r="HK77" s="28" t="str">
        <f>IF(Compositions!AA142="","",IF(Compositions!$AA$118="mol%",Compositions!AA142,HL77))</f>
        <v/>
      </c>
      <c r="HL77" s="28" t="str">
        <f t="shared" si="42"/>
        <v/>
      </c>
      <c r="HM77" s="28" t="str">
        <f>IF(Compositions!AA142="","",(Compositions!AA142/(VLOOKUP(Compositions!Y142,'HHV-LHV-MW'!$A$3:$F$40,6,FALSE))))</f>
        <v/>
      </c>
      <c r="HN77" s="26" t="str">
        <f>IF(HK77="","",((VLOOKUP(Compositions!Y142,'HHV-LHV-MW'!$A$3:$F$40,4,FALSE))*(HK77/100)))</f>
        <v/>
      </c>
      <c r="HO77" s="26" t="str">
        <f>IF(HK77="","",((VLOOKUP(Compositions!Y142,'HHV-LHV-MW'!$A$3:$F$40,5,FALSE))*(HK77/100)))</f>
        <v/>
      </c>
      <c r="HP77" s="26" t="str">
        <f>IF(HK77="","",((VLOOKUP(Compositions!Y142,'HHV-LHV-MW'!$A$3:$F$40,6,FALSE))*(HK77/100)))</f>
        <v/>
      </c>
      <c r="HQ77" s="26" t="str">
        <f>IF(Compositions!AA142="","",(Compositions!AA142*(VLOOKUP(Compositions!Y142,'HHV-LHV-MW'!$A$3:$F$40,6,FALSE))))</f>
        <v/>
      </c>
      <c r="HR77" s="296" t="str">
        <f>IF(Compositions!AA142="","",IF(OR(Compositions!$AA$118="wt%",Compositions!$AA$118=""),Compositions!AA142,(IF(HQ77="","",((HQ77/$HQ$78)*100)))))</f>
        <v/>
      </c>
      <c r="HS77" s="39" t="str">
        <f>IF(HR77="","",(IF(OR(Compositions!Y142="Hydrogen",Compositions!Y142="Helium",Compositions!Y142="Water",Compositions!Y142="Carbon Monoxide",Compositions!Y142="Nitrogen",Compositions!Y142="Oxygen",Compositions!Y142="Hydrogen Sulfide",Compositions!Y142="Argon",Compositions!Y142="Carbon Dioxide",Compositions!Y142="Carbon Disulfide"),0,HR77)))</f>
        <v/>
      </c>
      <c r="HT77" s="186" t="str">
        <f>IF(Compositions!AA142="","",((HK77/100)*((VLOOKUP(Compositions!Y142,'HHV-LHV-MW'!$A$3:$G$40,7,FALSE)))))</f>
        <v/>
      </c>
      <c r="HU77" s="186" t="str">
        <f>IF(HK77="","",(IF(OR(Compositions!Y142="Hydrogen",Compositions!Y142="Carbon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Dioxide",Compositions!Y142="Methane",Compositions!Y142="Ethane"),0,(HK77/100))))</f>
        <v/>
      </c>
      <c r="HV77" s="39" t="str">
        <f>IF(HK77="","",(IF(OR($HU$78=0,$HU$78=""),0,       ((VLOOKUP(Compositions!Y142,'HHV-LHV-MW'!$A$3:$F$40,6,FALSE))*(HU77/$HU$78)))))</f>
        <v/>
      </c>
      <c r="HW77" s="27" t="str">
        <f>IF(Compositions!AB142="","",IF(Compositions!$AB$118="mol%",Compositions!AB142,HX77))</f>
        <v/>
      </c>
      <c r="HX77" s="27" t="str">
        <f t="shared" si="43"/>
        <v/>
      </c>
      <c r="HY77" s="27" t="str">
        <f>IF(Compositions!AB142="","",(Compositions!AB142/(VLOOKUP(Compositions!Y142,'HHV-LHV-MW'!$A$3:$F$40,6,FALSE))))</f>
        <v/>
      </c>
      <c r="HZ77" s="25" t="str">
        <f>IF(HW77="","",((VLOOKUP(Compositions!Y142,'HHV-LHV-MW'!$A$3:$F$40,4,FALSE))*(HW77/100)))</f>
        <v/>
      </c>
      <c r="IA77" s="25" t="str">
        <f>IF(HW77="","",((VLOOKUP(Compositions!Y142,'HHV-LHV-MW'!$A$3:$F$40,5,FALSE))*(HW77/100)))</f>
        <v/>
      </c>
      <c r="IB77" s="25" t="str">
        <f>IF(HW77="","",((VLOOKUP(Compositions!Y142,'HHV-LHV-MW'!$A$3:$F$40,6,FALSE))*(HW77/100)))</f>
        <v/>
      </c>
      <c r="IC77" s="25" t="str">
        <f>IF(Compositions!AB142="","",(Compositions!AB142*(VLOOKUP(Compositions!Y142,'HHV-LHV-MW'!$A$3:$F$40,6,FALSE))))</f>
        <v/>
      </c>
      <c r="ID77" s="295" t="str">
        <f>IF(Compositions!AB142="","",IF(OR(Compositions!$AB$118="wt%",Compositions!$AB$118=""),Compositions!AB142,(IF(IC77="","",((IC77/$IC$78)*100)))))</f>
        <v/>
      </c>
      <c r="IE77" s="185" t="str">
        <f>IF(ID77="","",(IF(OR(Compositions!Y142="Hydrogen",Compositions!Y142="Helium",Compositions!Y142="Water",Compositions!Y142="Carbon Monoxide",Compositions!Y142="Nitrogen",Compositions!Y142="Oxygen",Compositions!Y142="Hydrogen Sulfide",Compositions!Y142="Argon",Compositions!Y142="Carbon Dioxide",Compositions!Y142="Carbon Disulfide"),0,ID77)))</f>
        <v/>
      </c>
      <c r="IF77" s="187" t="str">
        <f>IF(Compositions!AB142="","",((HW77/100)*((VLOOKUP(Compositions!Y142,'HHV-LHV-MW'!$A$3:$G$40,7,FALSE)))))</f>
        <v/>
      </c>
      <c r="IG77" s="187" t="str">
        <f>IF(HW77="","",(IF(OR(Compositions!Y142="Hydrogen",Compositions!Y142="Carbon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Dioxide",Compositions!Y142="Methane",Compositions!Y142="Ethane"),0,(HW77/100))))</f>
        <v/>
      </c>
      <c r="IH77" s="205" t="str">
        <f>IF(HW77="","",(IF(OR($IG$78=0,$IG$78=""),0,       ((VLOOKUP(Compositions!Y142,'HHV-LHV-MW'!$A$3:$F$40,6,FALSE))*(IG77/$IG$78)))))</f>
        <v/>
      </c>
      <c r="II77" s="28" t="str">
        <f>IF(Compositions!AC142="","",IF(Compositions!$AC$118="mol%",Compositions!AC142,IJ77))</f>
        <v/>
      </c>
      <c r="IJ77" s="28" t="str">
        <f t="shared" si="44"/>
        <v/>
      </c>
      <c r="IK77" s="28" t="str">
        <f>IF(Compositions!AC142="","",(Compositions!AC142/(VLOOKUP(Compositions!Y142,'HHV-LHV-MW'!$A$3:$F$40,6,FALSE))))</f>
        <v/>
      </c>
      <c r="IL77" s="26" t="str">
        <f>IF(II77="","",((VLOOKUP(Compositions!Y142,'HHV-LHV-MW'!$A$3:$F$40,4,FALSE))*(II77/100)))</f>
        <v/>
      </c>
      <c r="IM77" s="26" t="str">
        <f>IF(II77="","",((VLOOKUP(Compositions!Y142,'HHV-LHV-MW'!$A$3:$F$40,5,FALSE))*(II77/100)))</f>
        <v/>
      </c>
      <c r="IN77" s="26" t="str">
        <f>IF(II77="","",((VLOOKUP(Compositions!Y142,'HHV-LHV-MW'!$A$3:$F$40,6,FALSE))*(II77/100)))</f>
        <v/>
      </c>
      <c r="IO77" s="26" t="str">
        <f>IF(Compositions!AC142="","",(Compositions!AC142*(VLOOKUP(Compositions!Y142,'HHV-LHV-MW'!$A$3:$F$40,6,FALSE))))</f>
        <v/>
      </c>
      <c r="IP77" s="296" t="str">
        <f>IF(Compositions!AC142="","",IF(OR(Compositions!$AC$118="wt%",Compositions!$AC$118=""),Compositions!AC142,(IF(IO77="","",((IO77/$IO$78)*100)))))</f>
        <v/>
      </c>
      <c r="IQ77" s="39" t="str">
        <f>IF(IP77="","",(IF(OR(Compositions!Y142="Hydrogen",Compositions!Y142="Helium",Compositions!Y142="Water",Compositions!Y142="Carbon Monoxide",Compositions!Y142="Nitrogen",Compositions!Y142="Oxygen",Compositions!Y142="Hydrogen Sulfide",Compositions!Y142="Argon",Compositions!Y142="Carbon Dioxide",Compositions!Y142="Carbon Disulfide"),0,IP77)))</f>
        <v/>
      </c>
      <c r="IR77" s="186" t="str">
        <f>IF(Compositions!AC142="","",((II77/100)*((VLOOKUP(Compositions!Y142,'HHV-LHV-MW'!$A$3:$G$40,7,FALSE)))))</f>
        <v/>
      </c>
      <c r="IS77" s="186" t="str">
        <f>IF(II77="","",(IF(OR(Compositions!Y142="Hydrogen",Compositions!Y142="Carbon Disulfide",Compositions!Y142="Helium",Compositions!Y142="Water",Compositions!Y142="Carbon Monoxide",Compositions!Y142="Nitrogen",Compositions!Y142="Oxygen",Compositions!Y142="Hydrogen Sulfide",Compositions!Y142="Argon",Compositions!Y142="Carbon Dioxide",Compositions!Y142="Methane",Compositions!Y142="Ethane"),0,(II77/100))))</f>
        <v/>
      </c>
      <c r="IT77" s="39" t="str">
        <f>IF(II77="","",(IF(OR($IS$78=0,$IS$78=""),0,      ((VLOOKUP(Compositions!Y142,'HHV-LHV-MW'!$A$3:$F$40,6,FALSE))*(IS77/$IS$78)))))</f>
        <v/>
      </c>
      <c r="IV77" s="27" t="str">
        <f>IF(Compositions!AF142="","",IF(Compositions!$AF$118="mol%",Compositions!AF142,IW77))</f>
        <v/>
      </c>
      <c r="IW77" s="27" t="str">
        <f t="shared" si="45"/>
        <v/>
      </c>
      <c r="IX77" s="27" t="str">
        <f>IF(Compositions!AF142="","",(Compositions!AF142/(VLOOKUP(Compositions!AE142,'HHV-LHV-MW'!$A$3:$F$40,6,FALSE))))</f>
        <v/>
      </c>
      <c r="IY77" s="25" t="str">
        <f>IF(IV77="","",((VLOOKUP(Compositions!AE142,'HHV-LHV-MW'!$A$3:$F$40,4,FALSE))*(IV77/100)))</f>
        <v/>
      </c>
      <c r="IZ77" s="25" t="str">
        <f>IF(IV77="","",((VLOOKUP(Compositions!AE142,'HHV-LHV-MW'!$A$3:$F$40,5,FALSE))*(IV77/100)))</f>
        <v/>
      </c>
      <c r="JA77" s="25" t="str">
        <f>IF(IV77="","",((VLOOKUP(Compositions!AE142,'HHV-LHV-MW'!$A$3:$F$40,6,FALSE))*(IV77/100)))</f>
        <v/>
      </c>
      <c r="JB77" s="25" t="str">
        <f>IF(Compositions!AF142="","",(Compositions!AF142*(VLOOKUP(Compositions!AE142,'HHV-LHV-MW'!$A$3:$F$40,6,FALSE))))</f>
        <v/>
      </c>
      <c r="JC77" s="298" t="str">
        <f>IF(Compositions!AF142="","",IF(OR(Compositions!$AF$118="wt%",Compositions!$AF$118=""),Compositions!AF142,(IF(JB77="","",((JB77/$JB$78)*100)))))</f>
        <v/>
      </c>
      <c r="JD77" s="185" t="str">
        <f>IF(JC77="","",(IF(OR(Compositions!AE142="Hydrogen",Compositions!AE142="Helium",Compositions!AE142="Water",Compositions!AE142="Carbon Monoxide",Compositions!AE142="Nitrogen",Compositions!AE142="Oxygen",Compositions!AE142="Hydrogen Sulfide",Compositions!AE142="Argon",Compositions!AE142="Carbon Dioxide",Compositions!AE142="Carbon Disulfide"),0,JC77)))</f>
        <v/>
      </c>
      <c r="JE77" s="187" t="str">
        <f>IF(Compositions!AF142="","",((IV77/100)*((VLOOKUP(Compositions!AE142,'HHV-LHV-MW'!$A$3:$G$40,7,FALSE)))))</f>
        <v/>
      </c>
      <c r="JF77" s="187" t="str">
        <f>IF(IV77="","",(IF(OR(Compositions!AE142="Hydrogen",Compositions!AE142="Carbon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Dioxide",Compositions!AE142="Methane",Compositions!AE142="Ethane"),0,(IV77/100))))</f>
        <v/>
      </c>
      <c r="JG77" s="205" t="str">
        <f>IF(IV77="","",(IF(OR($JF$78=0,$JF$78=""),0,      ((VLOOKUP(Compositions!AE142,'HHV-LHV-MW'!$A$3:$F$40,6,FALSE))*(JF77/$JF$78)))))</f>
        <v/>
      </c>
      <c r="JH77" s="28" t="str">
        <f>IF(Compositions!AG142="","",IF(Compositions!$AG$118="mol%",Compositions!AG142,JI77))</f>
        <v/>
      </c>
      <c r="JI77" s="28" t="str">
        <f t="shared" si="46"/>
        <v/>
      </c>
      <c r="JJ77" s="28" t="str">
        <f>IF(Compositions!AG142="","",(Compositions!AG142/(VLOOKUP(Compositions!AE142,'HHV-LHV-MW'!$A$3:$F$40,6,FALSE))))</f>
        <v/>
      </c>
      <c r="JK77" s="26" t="str">
        <f>IF(JH77="","",((VLOOKUP(Compositions!AE142,'HHV-LHV-MW'!$A$3:$F$40,4,FALSE))*(JH77/100)))</f>
        <v/>
      </c>
      <c r="JL77" s="26" t="str">
        <f>IF(JH77="","",((VLOOKUP(Compositions!AE142,'HHV-LHV-MW'!$A$3:$F$40,5,FALSE))*(JH77/100)))</f>
        <v/>
      </c>
      <c r="JM77" s="26" t="str">
        <f>IF(JH77="","",((VLOOKUP(Compositions!AE142,'HHV-LHV-MW'!$A$3:$F$40,6,FALSE))*(JH77/100)))</f>
        <v/>
      </c>
      <c r="JN77" s="26" t="str">
        <f>IF(Compositions!AG142="","",(Compositions!AG142*(VLOOKUP(Compositions!AE142,'HHV-LHV-MW'!$A$3:$F$40,6,FALSE))))</f>
        <v/>
      </c>
      <c r="JO77" s="297" t="str">
        <f>IF(Compositions!AG142="","",IF(OR(Compositions!$AG$118="wt%",Compositions!$AG$118=""),Compositions!AG142,(IF(JN77="","",((JN77/$JN$78)*100)))))</f>
        <v/>
      </c>
      <c r="JP77" s="39" t="str">
        <f>IF(JO77="","",(IF(OR(Compositions!AE142="Hydrogen",Compositions!AE142="Helium",Compositions!AE142="Water",Compositions!AE142="Carbon Monoxide",Compositions!AE142="Nitrogen",Compositions!AE142="Oxygen",Compositions!AE142="Hydrogen Sulfide",Compositions!AE142="Argon",Compositions!AE142="Carbon Dioxide",Compositions!AE142="Carbon Disulfide"),0,JO77)))</f>
        <v/>
      </c>
      <c r="JQ77" s="186" t="str">
        <f>IF(Compositions!AG142="","",((JH77/100)*((VLOOKUP(Compositions!AE142,'HHV-LHV-MW'!$A$3:$G$40,7,FALSE)))))</f>
        <v/>
      </c>
      <c r="JR77" s="186" t="str">
        <f>IF(JH77="","",(IF(OR(Compositions!AE142="Hydrogen",Compositions!AE142="Carbon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Dioxide",Compositions!AE142="Methane",Compositions!AE142="Ethane"),0,(JH77/100))))</f>
        <v/>
      </c>
      <c r="JS77" s="39" t="str">
        <f>IF(JH77="","",(IF(OR($JR$78=0,$JR$78=""),0,      ((VLOOKUP(Compositions!AE142,'HHV-LHV-MW'!$A$3:$F$40,6,FALSE))*(JR77/$JR$78)))))</f>
        <v/>
      </c>
      <c r="JT77" s="27" t="str">
        <f>IF(Compositions!AH142="","",IF(Compositions!$AH$118="mol%",Compositions!AH142,JU77))</f>
        <v/>
      </c>
      <c r="JU77" s="27" t="str">
        <f t="shared" si="47"/>
        <v/>
      </c>
      <c r="JV77" s="27" t="str">
        <f>IF(Compositions!AH142="","",(Compositions!AH142/(VLOOKUP(Compositions!AE142,'HHV-LHV-MW'!$A$3:$F$40,6,FALSE))))</f>
        <v/>
      </c>
      <c r="JW77" s="25" t="str">
        <f>IF(JT77="","",((VLOOKUP(Compositions!AE142,'HHV-LHV-MW'!$A$3:$F$40,4,FALSE))*(JT77/100)))</f>
        <v/>
      </c>
      <c r="JX77" s="25" t="str">
        <f>IF(JT77="","",((VLOOKUP(Compositions!AE142,'HHV-LHV-MW'!$A$3:$F$40,5,FALSE))*(JT77/100)))</f>
        <v/>
      </c>
      <c r="JY77" s="25" t="str">
        <f>IF(JT77="","",((VLOOKUP(Compositions!AE142,'HHV-LHV-MW'!$A$3:$F$40,6,FALSE))*(JT77/100)))</f>
        <v/>
      </c>
      <c r="JZ77" s="25" t="str">
        <f>IF(Compositions!AH142="","",(Compositions!AH142*(VLOOKUP(Compositions!AE142,'HHV-LHV-MW'!$A$3:$F$40,6,FALSE))))</f>
        <v/>
      </c>
      <c r="KA77" s="298" t="str">
        <f>IF(Compositions!AH142="","",IF(OR(Compositions!$AH$118="wt%",Compositions!$AH$118=""),Compositions!AH142,(IF(JZ77="","",((JZ77/$JZ$78)*100)))))</f>
        <v/>
      </c>
      <c r="KB77" s="185" t="str">
        <f>IF(KA77="","",(IF(OR(Compositions!AE142="Hydrogen",Compositions!AE142="Helium",Compositions!AE142="Water",Compositions!AE142="Carbon Monoxide",Compositions!AE142="Nitrogen",Compositions!AE142="Oxygen",Compositions!AE142="Hydrogen Sulfide",Compositions!AE142="Argon",Compositions!AE142="Carbon Dioxide",Compositions!AE142="Carbon Disulfide"),0,KA77)))</f>
        <v/>
      </c>
      <c r="KC77" s="187" t="str">
        <f>IF(Compositions!AH142="","",((JT77/100)*((VLOOKUP(Compositions!AE142,'HHV-LHV-MW'!$A$3:$G$40,7,FALSE)))))</f>
        <v/>
      </c>
      <c r="KD77" s="187" t="str">
        <f>IF(JT77="","",(IF(OR(Compositions!AE142="Hydrogen",Compositions!AE142="Carbon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Dioxide",Compositions!AE142="Methane",Compositions!AE142="Ethane"),0,(JT77/100))))</f>
        <v/>
      </c>
      <c r="KE77" s="205" t="str">
        <f>IF(JT77="","",(IF(OR($KD$78=0,$KD$78=""),0,      ((VLOOKUP(Compositions!AE142,'HHV-LHV-MW'!$A$3:$F$40,6,FALSE))*(KD77/$KD$78)))))</f>
        <v/>
      </c>
      <c r="KF77" s="28" t="str">
        <f>IF(Compositions!AI142="","",IF(Compositions!$AI$118="mol%",Compositions!AI142,KG77))</f>
        <v/>
      </c>
      <c r="KG77" s="28" t="str">
        <f t="shared" si="48"/>
        <v/>
      </c>
      <c r="KH77" s="28" t="str">
        <f>IF(Compositions!AI142="","",(Compositions!AI142/(VLOOKUP(Compositions!AE142,'HHV-LHV-MW'!$A$3:$F$40,6,FALSE))))</f>
        <v/>
      </c>
      <c r="KI77" s="26" t="str">
        <f>IF(KF77="","",((VLOOKUP(Compositions!AE142,'HHV-LHV-MW'!$A$3:$F$40,4,FALSE))*(KF77/100)))</f>
        <v/>
      </c>
      <c r="KJ77" s="26" t="str">
        <f>IF(KF77="","",((VLOOKUP(Compositions!AE142,'HHV-LHV-MW'!$A$3:$F$40,5,FALSE))*(KF77/100)))</f>
        <v/>
      </c>
      <c r="KK77" s="26" t="str">
        <f>IF(KF77="","",((VLOOKUP(Compositions!AE142,'HHV-LHV-MW'!$A$3:$F$40,6,FALSE))*(KF77/100)))</f>
        <v/>
      </c>
      <c r="KL77" s="26" t="str">
        <f>IF(Compositions!AI142="","",(Compositions!AI142*(VLOOKUP(Compositions!AE142,'HHV-LHV-MW'!$A$3:$F$40,6,FALSE))))</f>
        <v/>
      </c>
      <c r="KM77" s="297" t="str">
        <f>IF(Compositions!AI142="","",IF(OR(Compositions!$AI$118="wt%",Compositions!$AI$118=""),Compositions!AI142,(IF(KL77="","",((KL77/$KL$78)*100)))))</f>
        <v/>
      </c>
      <c r="KN77" s="39" t="str">
        <f>IF(KM77="","",(IF(OR(Compositions!AE142="Hydrogen",Compositions!AE142="Helium",Compositions!AE142="Water",Compositions!AE142="Carbon Monoxide",Compositions!AE142="Nitrogen",Compositions!AE142="Oxygen",Compositions!AE142="Hydrogen Sulfide",Compositions!AE142="Argon",Compositions!AE142="Carbon Dioxide",Compositions!AE142="Carbon Disulfide"),0,KM77)))</f>
        <v/>
      </c>
      <c r="KO77" s="186" t="str">
        <f>IF(Compositions!AI142="","",((KF77/100)*((VLOOKUP(Compositions!AE142,'HHV-LHV-MW'!$A$3:$G$40,7,FALSE)))))</f>
        <v/>
      </c>
      <c r="KP77" s="186" t="str">
        <f>IF(KF77="","",(IF(OR(Compositions!AE142="Hydrogen",Compositions!AE142="Carbon Disulfide",Compositions!AE142="Helium",Compositions!AE142="Water",Compositions!AE142="Carbon Monoxide",Compositions!AE142="Nitrogen",Compositions!AE142="Oxygen",Compositions!AE142="Hydrogen Sulfide",Compositions!AE142="Argon",Compositions!AE142="Carbon Dioxide",Compositions!AE142="Methane",Compositions!AE142="Ethane"),0,(KF77/100))))</f>
        <v/>
      </c>
      <c r="KQ77" s="39" t="str">
        <f>IF(KF77="","",(IF(OR($KP$78=0,$KP$78=""),0,      ((VLOOKUP(Compositions!AE142,'HHV-LHV-MW'!$A$3:$F$40,6,FALSE))*(KP77/$KP$78)))))</f>
        <v/>
      </c>
      <c r="KS77" s="27" t="str">
        <f>IF(Compositions!AL142="","",IF(Compositions!$AL$118="mol%",Compositions!AL142,KT77))</f>
        <v/>
      </c>
      <c r="KT77" s="27" t="str">
        <f t="shared" si="49"/>
        <v/>
      </c>
      <c r="KU77" s="27" t="str">
        <f>IF(Compositions!AL142="","",(Compositions!AL142/(VLOOKUP(Compositions!AK142,'HHV-LHV-MW'!$A$3:$F$40,6,FALSE))))</f>
        <v/>
      </c>
      <c r="KV77" s="185" t="str">
        <f>IF(KS77="","",((VLOOKUP(Compositions!AK142,'HHV-LHV-MW'!$A$3:$F$40,4,FALSE))*(KS77/100)))</f>
        <v/>
      </c>
      <c r="KW77" s="185" t="str">
        <f>IF(KS77="","",((VLOOKUP(Compositions!AK142,'HHV-LHV-MW'!$A$3:$F$40,5,FALSE))*(KS77/100)))</f>
        <v/>
      </c>
      <c r="KX77" s="185" t="str">
        <f>IF(KS77="","",((VLOOKUP(Compositions!AK142,'HHV-LHV-MW'!$A$3:$F$40,6,FALSE))*(KS77/100)))</f>
        <v/>
      </c>
      <c r="KY77" s="185" t="str">
        <f>IF(Compositions!AL142="","",(Compositions!AL142*(VLOOKUP(Compositions!AK142,'HHV-LHV-MW'!$A$3:$F$40,6,FALSE))))</f>
        <v/>
      </c>
      <c r="KZ77" s="298" t="str">
        <f>IF(Compositions!AL142="","",IF(OR(Compositions!$AL$118="wt%",Compositions!$AL$118=""),Compositions!AL142,(IF(KY77="","",((KY77/$KY$78)*100)))))</f>
        <v/>
      </c>
      <c r="LA77" s="185" t="str">
        <f>IF(KZ77="","",(IF(OR(Compositions!AK142="Hydrogen",Compositions!AK142="Helium",Compositions!AK142="Water",Compositions!AK142="Carbon Monoxide",Compositions!AK142="Nitrogen",Compositions!AK142="Oxygen",Compositions!AK142="Hydrogen Sulfide",Compositions!AK142="Argon",Compositions!AK142="Carbon Dioxide",Compositions!AK142="Carbon Disulfide"),0,KZ77)))</f>
        <v/>
      </c>
      <c r="LB77" s="187" t="str">
        <f>IF(Compositions!AL142="","",((KS77/100)*((VLOOKUP(Compositions!AK142,'HHV-LHV-MW'!$A$3:$G$40,7,FALSE)))))</f>
        <v/>
      </c>
      <c r="LC77" s="187" t="str">
        <f>IF(KS77="","",(IF(OR(Compositions!AK142="Hydrogen",Compositions!AK142="Carbon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Dioxide",Compositions!AK142="Methane",Compositions!AK142="Ethane"),0,(KS77/100))))</f>
        <v/>
      </c>
      <c r="LD77" s="205" t="str">
        <f>IF(KS77="","",(IF(OR($LC$78=0,$LC$78=""),0,      ((VLOOKUP(Compositions!AK142,'HHV-LHV-MW'!$A$3:$F$40,6,FALSE))*(LC77/$LC$78)))))</f>
        <v/>
      </c>
      <c r="LE77" s="28" t="str">
        <f>IF(Compositions!AM142="","",IF(Compositions!$AM$118="mol%",Compositions!AM142,LF77))</f>
        <v/>
      </c>
      <c r="LF77" s="28" t="str">
        <f t="shared" si="50"/>
        <v/>
      </c>
      <c r="LG77" s="28" t="str">
        <f>IF(Compositions!AM142="","",(Compositions!AM142/(VLOOKUP(Compositions!AK142,'HHV-LHV-MW'!$A$3:$F$40,6,FALSE))))</f>
        <v/>
      </c>
      <c r="LH77" s="184" t="str">
        <f>IF(LE77="","",((VLOOKUP(Compositions!AK142,'HHV-LHV-MW'!$A$3:$F$40,4,FALSE))*(LE77/100)))</f>
        <v/>
      </c>
      <c r="LI77" s="184" t="str">
        <f>IF(LE77="","",((VLOOKUP(Compositions!AK142,'HHV-LHV-MW'!$A$3:$F$40,5,FALSE))*(LE77/100)))</f>
        <v/>
      </c>
      <c r="LJ77" s="184" t="str">
        <f>IF(LE77="","",((VLOOKUP(Compositions!AK142,'HHV-LHV-MW'!$A$3:$F$40,6,FALSE))*(LE77/100)))</f>
        <v/>
      </c>
      <c r="LK77" s="184" t="str">
        <f>IF(Compositions!AM142="","",(Compositions!AM142*(VLOOKUP(Compositions!AK142,'HHV-LHV-MW'!$A$3:$F$40,6,FALSE))))</f>
        <v/>
      </c>
      <c r="LL77" s="297" t="str">
        <f>IF(Compositions!AM142="","",IF(OR(Compositions!$AM$118="wt%",Compositions!$AM$118=""),Compositions!AM142,(IF(LK77="","",((LK77/$LK$78)*100)))))</f>
        <v/>
      </c>
      <c r="LM77" s="39" t="str">
        <f>IF(LL77="","",(IF(OR(Compositions!AK142="Hydrogen",Compositions!AK142="Helium",Compositions!AK142="Water",Compositions!AK142="Carbon Monoxide",Compositions!AK142="Nitrogen",Compositions!AK142="Oxygen",Compositions!AK142="Hydrogen Sulfide",Compositions!AK142="Argon",Compositions!AK142="Carbon Dioxide",Compositions!AK142="Carbon Disulfide"),0,LL77)))</f>
        <v/>
      </c>
      <c r="LN77" s="186" t="str">
        <f>IF(Compositions!AM142="","",((LE77/100)*((VLOOKUP(Compositions!AK142,'HHV-LHV-MW'!$A$3:$G$40,7,FALSE)))))</f>
        <v/>
      </c>
      <c r="LO77" s="186" t="str">
        <f>IF(LE77="","",(IF(OR(Compositions!AK142="Hydrogen",Compositions!AK142="Carbon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Dioxide",Compositions!AK142="Methane",Compositions!AK142="Ethane"),0,(LE77/100))))</f>
        <v/>
      </c>
      <c r="LP77" s="39" t="str">
        <f>IF(LE77="","",(IF(OR($LO$78=0,$LO$78=""),0,     ((VLOOKUP(Compositions!AK142,'HHV-LHV-MW'!$A$3:$F$40,6,FALSE))*(LO77/$LO$78)))))</f>
        <v/>
      </c>
      <c r="LQ77" s="27" t="str">
        <f>IF(Compositions!AN142="","",IF(Compositions!$AN$118="mol%",Compositions!AN142,LR77))</f>
        <v/>
      </c>
      <c r="LR77" s="27" t="str">
        <f t="shared" si="51"/>
        <v/>
      </c>
      <c r="LS77" s="27" t="str">
        <f>IF(Compositions!AN142="","",(Compositions!AN142/(VLOOKUP(Compositions!AK142,'HHV-LHV-MW'!$A$3:$F$40,6,FALSE))))</f>
        <v/>
      </c>
      <c r="LT77" s="185" t="str">
        <f>IF(LQ77="","",((VLOOKUP(Compositions!AK142,'HHV-LHV-MW'!$A$3:$F$40,4,FALSE))*(LQ77/100)))</f>
        <v/>
      </c>
      <c r="LU77" s="185" t="str">
        <f>IF(LQ77="","",((VLOOKUP(Compositions!AK142,'HHV-LHV-MW'!$A$3:$F$40,5,FALSE))*(LQ77/100)))</f>
        <v/>
      </c>
      <c r="LV77" s="185" t="str">
        <f>IF(LQ77="","",((VLOOKUP(Compositions!AK142,'HHV-LHV-MW'!$A$3:$F$40,6,FALSE))*(LQ77/100)))</f>
        <v/>
      </c>
      <c r="LW77" s="185" t="str">
        <f>IF(Compositions!AN142="","",(Compositions!AN142*(VLOOKUP(Compositions!AK142,'HHV-LHV-MW'!$A$3:$F$40,6,FALSE))))</f>
        <v/>
      </c>
      <c r="LX77" s="298" t="str">
        <f>IF(Compositions!AN142="","",IF(OR(Compositions!$AN$118="wt%",Compositions!$AN$118=""),Compositions!AN142,(IF(LW77="","",((LW77/$LW$78)*100)))))</f>
        <v/>
      </c>
      <c r="LY77" s="185" t="str">
        <f>IF(LX77="","",(IF(OR(Compositions!AK142="Hydrogen",Compositions!AK142="Helium",Compositions!AK142="Water",Compositions!AK142="Carbon Monoxide",Compositions!AK142="Nitrogen",Compositions!AK142="Oxygen",Compositions!AK142="Hydrogen Sulfide",Compositions!AK142="Argon",Compositions!AK142="Carbon Dioxide",Compositions!AK142="Carbon Disulfide"),0,LX77)))</f>
        <v/>
      </c>
      <c r="LZ77" s="187" t="str">
        <f>IF(Compositions!AN142="","",((LQ77/100)*((VLOOKUP(Compositions!AK142,'HHV-LHV-MW'!$A$3:$G$40,7,FALSE)))))</f>
        <v/>
      </c>
      <c r="MA77" s="187" t="str">
        <f>IF(LQ77="","",(IF(OR(Compositions!AK142="Hydrogen",Compositions!AK142="Carbon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Dioxide",Compositions!AK142="Methane",Compositions!AK142="Ethane"),0,(LQ77/100))))</f>
        <v/>
      </c>
      <c r="MB77" s="205" t="str">
        <f>IF(LQ77="","",(IF(OR($MA$78=0,$MA$78=""),0,     ((VLOOKUP(Compositions!AK142,'HHV-LHV-MW'!$A$3:$F$40,6,FALSE))*(MA77/$MA$78)))))</f>
        <v/>
      </c>
      <c r="MC77" s="28" t="str">
        <f>IF(Compositions!AO142="","",IF(Compositions!$AO$118="mol%",Compositions!AO142,MD77))</f>
        <v/>
      </c>
      <c r="MD77" s="28" t="str">
        <f t="shared" si="52"/>
        <v/>
      </c>
      <c r="ME77" s="28" t="str">
        <f>IF(Compositions!AO142="","",(Compositions!AO142/(VLOOKUP(Compositions!AK142,'HHV-LHV-MW'!$A$3:$F$40,6,FALSE))))</f>
        <v/>
      </c>
      <c r="MF77" s="184" t="str">
        <f>IF(MC77="","",((VLOOKUP(Compositions!AK142,'HHV-LHV-MW'!$A$3:$F$40,4,FALSE))*(MC77/100)))</f>
        <v/>
      </c>
      <c r="MG77" s="184" t="str">
        <f>IF(MC77="","",((VLOOKUP(Compositions!AK142,'HHV-LHV-MW'!$A$3:$F$40,5,FALSE))*(MC77/100)))</f>
        <v/>
      </c>
      <c r="MH77" s="184" t="str">
        <f>IF(MC77="","",((VLOOKUP(Compositions!AK142,'HHV-LHV-MW'!$A$3:$F$40,6,FALSE))*(MC77/100)))</f>
        <v/>
      </c>
      <c r="MI77" s="184" t="str">
        <f>IF(Compositions!AO142="","",(Compositions!AO142*(VLOOKUP(Compositions!AK142,'HHV-LHV-MW'!$A$3:$F$40,6,FALSE))))</f>
        <v/>
      </c>
      <c r="MJ77" s="297" t="str">
        <f>IF(Compositions!AO142="","",IF(OR(Compositions!$AO$118="wt%",Compositions!$AO$118=""),Compositions!AO142,(IF(MI77="","",((MI77/$MI$78)*100)))))</f>
        <v/>
      </c>
      <c r="MK77" s="39" t="str">
        <f>IF(MJ77="","",(IF(OR(Compositions!AK142="Hydrogen",Compositions!AK142="Helium",Compositions!AK142="Water",Compositions!AK142="Carbon Monoxide",Compositions!AK142="Nitrogen",Compositions!AK142="Oxygen",Compositions!AK142="Hydrogen Sulfide",Compositions!AK142="Argon",Compositions!AK142="Carbon Dioxide",Compositions!AK142="Carbon Disulfide"),0,MJ77)))</f>
        <v/>
      </c>
      <c r="ML77" s="186" t="str">
        <f>IF(Compositions!AO142="","",((MC77/100)*((VLOOKUP(Compositions!AK142,'HHV-LHV-MW'!$A$3:$G$40,7,FALSE)))))</f>
        <v/>
      </c>
      <c r="MM77" s="186" t="str">
        <f>IF(MC77="","",(IF(OR(Compositions!AK142="Hydrogen",Compositions!AK142="Carbon Disulfide",Compositions!AK142="Helium",Compositions!AK142="Water",Compositions!AK142="Carbon Monoxide",Compositions!AK142="Nitrogen",Compositions!AK142="Oxygen",Compositions!AK142="Hydrogen Sulfide",Compositions!AK142="Argon",Compositions!AK142="Carbon Dioxide",Compositions!AK142="Methane",Compositions!AK142="Ethane"),0,(MC77/100))))</f>
        <v/>
      </c>
      <c r="MN77" s="39" t="str">
        <f>IF(MC77="","",(IF(OR($MM$78=0,$MM$78=""),0,     ((VLOOKUP(Compositions!AK142,'HHV-LHV-MW'!$A$3:$F$40,6,FALSE))*(MM77/$MM$78)))))</f>
        <v/>
      </c>
      <c r="MP77" s="27" t="str">
        <f>IF(Compositions!AR142="","",IF(Compositions!$AR$118="mol%",Compositions!AR142,MQ77))</f>
        <v/>
      </c>
      <c r="MQ77" s="27" t="str">
        <f t="shared" si="53"/>
        <v/>
      </c>
      <c r="MR77" s="27" t="str">
        <f>IF(Compositions!AR142="","",(Compositions!AR142/(VLOOKUP(Compositions!AQ142,'HHV-LHV-MW'!$A$3:$F$40,6,FALSE))))</f>
        <v/>
      </c>
      <c r="MS77" s="185" t="str">
        <f>IF(MP77="","",((VLOOKUP(Compositions!AQ142,'HHV-LHV-MW'!$A$3:$F$40,4,FALSE))*(MP77/100)))</f>
        <v/>
      </c>
      <c r="MT77" s="185" t="str">
        <f>IF(MP77="","",((VLOOKUP(Compositions!AQ142,'HHV-LHV-MW'!$A$3:$F$40,5,FALSE))*(MP77/100)))</f>
        <v/>
      </c>
      <c r="MU77" s="185" t="str">
        <f>IF(MP77="","",((VLOOKUP(Compositions!AQ142,'HHV-LHV-MW'!$A$3:$F$40,6,FALSE))*(MP77/100)))</f>
        <v/>
      </c>
      <c r="MV77" s="185" t="str">
        <f>IF(Compositions!AR142="","",(Compositions!AR142*(VLOOKUP(Compositions!AQ142,'HHV-LHV-MW'!$A$3:$F$40,6,FALSE))))</f>
        <v/>
      </c>
      <c r="MW77" s="298" t="str">
        <f>IF(Compositions!AR142="","",IF(OR(Compositions!$AR$118="wt%",Compositions!$AR$118=""),Compositions!AR142,(IF(MV77="","",((MV77/$MV$78)*100)))))</f>
        <v/>
      </c>
      <c r="MX77" s="185" t="str">
        <f>IF(MW77="","",(IF(OR(Compositions!AQ142="Hydrogen",Compositions!AQ142="Helium",Compositions!AQ142="Water",Compositions!AQ142="Carbon Monoxide",Compositions!AQ142="Nitrogen",Compositions!AQ142="Oxygen",Compositions!AQ142="Hydrogen Sulfide",Compositions!AQ142="Argon",Compositions!AQ142="Carbon Dioxide",Compositions!AQ142="Carbon Disulfide"),0,MW77)))</f>
        <v/>
      </c>
      <c r="MY77" s="187" t="str">
        <f>IF(Compositions!AR142="","",((MP77/100)*((VLOOKUP(Compositions!AQ142,'HHV-LHV-MW'!$A$3:$G$40,7,FALSE)))))</f>
        <v/>
      </c>
      <c r="MZ77" s="187" t="str">
        <f>IF(MP77="","",(IF(OR(Compositions!AQ142="Hydrogen",Compositions!AQ142="Carbon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Dioxide",Compositions!AQ142="Methane",Compositions!AQ142="Ethane"),0,(MP77/100))))</f>
        <v/>
      </c>
      <c r="NA77" s="205" t="str">
        <f>IF(MP77="","",(IF(OR($MZ$78=0,$MZ$78=""),0,     ((VLOOKUP(Compositions!AQ142,'HHV-LHV-MW'!$A$3:$F$40,6,FALSE))*(MZ77/$MZ$78)))))</f>
        <v/>
      </c>
      <c r="NB77" s="28" t="str">
        <f>IF(Compositions!AS142="","",IF(Compositions!$AS$118="mol%",Compositions!AS142,NC77))</f>
        <v/>
      </c>
      <c r="NC77" s="28" t="str">
        <f t="shared" si="54"/>
        <v/>
      </c>
      <c r="ND77" s="28" t="str">
        <f>IF(Compositions!AS142="","",(Compositions!AS142/(VLOOKUP(Compositions!AQ142,'HHV-LHV-MW'!$A$3:$F$40,6,FALSE))))</f>
        <v/>
      </c>
      <c r="NE77" s="184" t="str">
        <f>IF(NB77="","",((VLOOKUP(Compositions!AQ142,'HHV-LHV-MW'!$A$3:$F$40,4,FALSE))*(NB77/100)))</f>
        <v/>
      </c>
      <c r="NF77" s="184" t="str">
        <f>IF(NB77="","",((VLOOKUP(Compositions!AQ142,'HHV-LHV-MW'!$A$3:$F$40,5,FALSE))*(NB77/100)))</f>
        <v/>
      </c>
      <c r="NG77" s="184" t="str">
        <f>IF(NB77="","",((VLOOKUP(Compositions!AQ142,'HHV-LHV-MW'!$A$3:$F$40,6,FALSE))*(NB77/100)))</f>
        <v/>
      </c>
      <c r="NH77" s="184" t="str">
        <f>IF(Compositions!AS142="","",(Compositions!AS142*(VLOOKUP(Compositions!AQ142,'HHV-LHV-MW'!$A$3:$F$40,6,FALSE))))</f>
        <v/>
      </c>
      <c r="NI77" s="297" t="str">
        <f>IF(Compositions!AS142="","",IF(OR(Compositions!$AS$118="wt%",Compositions!$AS$118=""),Compositions!AS142,(IF(NH77="","",((NH77/$NH$78)*100)))))</f>
        <v/>
      </c>
      <c r="NJ77" s="39" t="str">
        <f>IF(NI77="","",(IF(OR(Compositions!AQ142="Hydrogen",Compositions!AQ142="Helium",Compositions!AQ142="Water",Compositions!AQ142="Carbon Monoxide",Compositions!AQ142="Nitrogen",Compositions!AQ142="Oxygen",Compositions!AQ142="Hydrogen Sulfide",Compositions!AQ142="Argon",Compositions!AQ142="Carbon Dioxide",Compositions!AQ142="Carbon Disulfide"),0,NI77)))</f>
        <v/>
      </c>
      <c r="NK77" s="186" t="str">
        <f>IF(Compositions!AS142="","",((NB77/100)*((VLOOKUP(Compositions!AQ142,'HHV-LHV-MW'!$A$3:$G$40,7,FALSE)))))</f>
        <v/>
      </c>
      <c r="NL77" s="186" t="str">
        <f>IF(NB77="","",(IF(OR(Compositions!AQ142="Hydrogen",Compositions!AQ142="Carbon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Dioxide",Compositions!AQ142="Methane",Compositions!AQ142="Ethane"),0,(NB77/100))))</f>
        <v/>
      </c>
      <c r="NM77" s="39" t="str">
        <f>IF(NB77="","",(IF(OR($NL$78=0,$NL$78=""),0,     ((VLOOKUP(Compositions!AQ142,'HHV-LHV-MW'!$A$3:$F$40,6,FALSE))*(NL77/$NL$78)))))</f>
        <v/>
      </c>
      <c r="NN77" s="27" t="str">
        <f>IF(Compositions!AT142="","",IF(Compositions!$AT$118="mol%",Compositions!AT142,NO77))</f>
        <v/>
      </c>
      <c r="NO77" s="27" t="str">
        <f t="shared" si="55"/>
        <v/>
      </c>
      <c r="NP77" s="27" t="str">
        <f>IF(Compositions!AT142="","",(Compositions!AT142/(VLOOKUP(Compositions!AQ142,'HHV-LHV-MW'!$A$3:$F$40,6,FALSE))))</f>
        <v/>
      </c>
      <c r="NQ77" s="185" t="str">
        <f>IF(NN77="","",((VLOOKUP(Compositions!AQ142,'HHV-LHV-MW'!$A$3:$F$40,4,FALSE))*(NN77/100)))</f>
        <v/>
      </c>
      <c r="NR77" s="185" t="str">
        <f>IF(NN77="","",((VLOOKUP(Compositions!AQ142,'HHV-LHV-MW'!$A$3:$F$40,5,FALSE))*(NN77/100)))</f>
        <v/>
      </c>
      <c r="NS77" s="185" t="str">
        <f>IF(NN77="","",((VLOOKUP(Compositions!AQ142,'HHV-LHV-MW'!$A$3:$F$40,6,FALSE))*(NN77/100)))</f>
        <v/>
      </c>
      <c r="NT77" s="185" t="str">
        <f>IF(Compositions!AT142="","",(Compositions!AT142*(VLOOKUP(Compositions!AQ142,'HHV-LHV-MW'!$A$3:$F$40,6,FALSE))))</f>
        <v/>
      </c>
      <c r="NU77" s="298" t="str">
        <f>IF(Compositions!AT142="","",IF(OR(Compositions!$AT$118="wt%",Compositions!$AT$118=""),Compositions!AT142,(IF(NT77="","",((NT77/$NT$78)*100)))))</f>
        <v/>
      </c>
      <c r="NV77" s="185" t="str">
        <f>IF(NU77="","",(IF(OR(Compositions!AQ142="Hydrogen",Compositions!AQ142="Helium",Compositions!AQ142="Water",Compositions!AQ142="Carbon Monoxide",Compositions!AQ142="Nitrogen",Compositions!AQ142="Oxygen",Compositions!AQ142="Hydrogen Sulfide",Compositions!AQ142="Argon",Compositions!AQ142="Carbon Dioxide",Compositions!AQ142="Carbon Disulfide"),0,NU77)))</f>
        <v/>
      </c>
      <c r="NW77" s="187" t="str">
        <f>IF(Compositions!AT142="","",((NN77/100)*((VLOOKUP(Compositions!AQ142,'HHV-LHV-MW'!$A$3:$G$40,7,FALSE)))))</f>
        <v/>
      </c>
      <c r="NX77" s="187" t="str">
        <f>IF(NN77="","",(IF(OR(Compositions!AQ142="Hydrogen",Compositions!AQ142="Carbon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Dioxide",Compositions!AQ142="Methane",Compositions!AQ142="Ethane"),0,(NN77/100))))</f>
        <v/>
      </c>
      <c r="NY77" s="205" t="str">
        <f>IF(NN77="","",(IF(OR($NX$78=0,$NX$78=""),0,     ((VLOOKUP(Compositions!AQ142,'HHV-LHV-MW'!$A$3:$F$40,6,FALSE))*(NX77/$NX$78)))))</f>
        <v/>
      </c>
      <c r="NZ77" s="28" t="str">
        <f>IF(Compositions!AU142="","",IF(Compositions!$AU$118="mol%",Compositions!AU142,OA77))</f>
        <v/>
      </c>
      <c r="OA77" s="28" t="str">
        <f t="shared" si="56"/>
        <v/>
      </c>
      <c r="OB77" s="28" t="str">
        <f>IF(Compositions!AU142="","",(Compositions!AU142/(VLOOKUP(Compositions!AQ142,'HHV-LHV-MW'!$A$3:$F$40,6,FALSE))))</f>
        <v/>
      </c>
      <c r="OC77" s="184" t="str">
        <f>IF(NZ77="","",((VLOOKUP(Compositions!AQ142,'HHV-LHV-MW'!$A$3:$F$40,4,FALSE))*(NZ77/100)))</f>
        <v/>
      </c>
      <c r="OD77" s="184" t="str">
        <f>IF(NZ77="","",((VLOOKUP(Compositions!AQ142,'HHV-LHV-MW'!$A$3:$F$40,5,FALSE))*(NZ77/100)))</f>
        <v/>
      </c>
      <c r="OE77" s="184" t="str">
        <f>IF(NZ77="","",((VLOOKUP(Compositions!AQ142,'HHV-LHV-MW'!$A$3:$F$40,6,FALSE))*(NZ77/100)))</f>
        <v/>
      </c>
      <c r="OF77" s="184" t="str">
        <f>IF(Compositions!AU142="","",(Compositions!AU142*(VLOOKUP(Compositions!AQ142,'HHV-LHV-MW'!$A$3:$F$40,6,FALSE))))</f>
        <v/>
      </c>
      <c r="OG77" s="297" t="str">
        <f>IF(Compositions!AU142="","",IF(OR(Compositions!$AU$118="wt%",Compositions!$AU$118=""),Compositions!AU142,(IF(OF77="","",((OF77/$OF$78)*100)))))</f>
        <v/>
      </c>
      <c r="OH77" s="39" t="str">
        <f>IF(OG77="","",(IF(OR(Compositions!AQ142="Hydrogen",Compositions!AQ142="Helium",Compositions!AQ142="Water",Compositions!AQ142="Carbon Monoxide",Compositions!AQ142="Nitrogen",Compositions!AQ142="Oxygen",Compositions!AQ142="Hydrogen Sulfide",Compositions!AQ142="Argon",Compositions!AQ142="Carbon Dioxide",Compositions!AQ142="Carbon Disulfide"),0,OG77)))</f>
        <v/>
      </c>
      <c r="OI77" s="186" t="str">
        <f>IF(Compositions!AU142="","",((NZ77/100)*((VLOOKUP(Compositions!AQ142,'HHV-LHV-MW'!$A$3:$G$40,7,FALSE)))))</f>
        <v/>
      </c>
      <c r="OJ77" s="186" t="str">
        <f>IF(NZ77="","",(IF(OR(Compositions!AQ142="Hydrogen",Compositions!AQ142="Carbon Disulfide",Compositions!AQ142="Helium",Compositions!AQ142="Water",Compositions!AQ142="Carbon Monoxide",Compositions!AQ142="Nitrogen",Compositions!AQ142="Oxygen",Compositions!AQ142="Hydrogen Sulfide",Compositions!AQ142="Argon",Compositions!AQ142="Carbon Dioxide",Compositions!AQ142="Methane",Compositions!AQ142="Ethane"),0,(NZ77/100))))</f>
        <v/>
      </c>
      <c r="OK77" s="39" t="str">
        <f>IF(NZ77="","",(IF(OR($OJ$78=0,$OJ$78=""),0,     ((VLOOKUP(Compositions!AQ142,'HHV-LHV-MW'!$A$3:$F$40,6,FALSE))*(OJ77/$OJ$78)))))</f>
        <v/>
      </c>
      <c r="ON77" s="27" t="str">
        <f>IF(Compositions!AX142="","",IF(Compositions!$AX$118="mol%",Compositions!AX142,OO77))</f>
        <v/>
      </c>
      <c r="OO77" s="27" t="str">
        <f t="shared" si="57"/>
        <v/>
      </c>
      <c r="OP77" s="27" t="str">
        <f>IF(Compositions!AX142="","",(Compositions!AX142/(VLOOKUP(Compositions!AW142,'HHV-LHV-MW'!$A$3:$F$40,6,FALSE))))</f>
        <v/>
      </c>
      <c r="OQ77" s="185" t="str">
        <f>IF(ON77="","",((VLOOKUP(Compositions!AW142,'HHV-LHV-MW'!$A$3:$F$40,4,FALSE))*(ON77/100)))</f>
        <v/>
      </c>
      <c r="OR77" s="185" t="str">
        <f>IF(ON77="","",((VLOOKUP(Compositions!AW142,'HHV-LHV-MW'!$A$3:$F$40,5,FALSE))*(ON77/100)))</f>
        <v/>
      </c>
      <c r="OS77" s="185" t="str">
        <f>IF(ON77="","",((VLOOKUP(Compositions!AW142,'HHV-LHV-MW'!$A$3:$F$40,6,FALSE))*(ON77/100)))</f>
        <v/>
      </c>
      <c r="OT77" s="185" t="str">
        <f>IF(Compositions!AX142="","",(Compositions!AX142*(VLOOKUP(Compositions!AW142,'HHV-LHV-MW'!$A$3:$F$40,6,FALSE))))</f>
        <v/>
      </c>
      <c r="OU77" s="298" t="str">
        <f>IF(Compositions!AX142="","",IF(OR(Compositions!$AX$118="wt%",Compositions!$AX$118=""),Compositions!AX142,(IF(OT77="","",((OT77/$OT$78)*100)))))</f>
        <v/>
      </c>
      <c r="OV77" s="185" t="str">
        <f>IF(OU77="","",(IF(OR(Compositions!AW142="Hydrogen",Compositions!AW142="Helium",Compositions!AW142="Water",Compositions!AW142="Carbon Monoxide",Compositions!AW142="Nitrogen",Compositions!AW142="Oxygen",Compositions!AW142="Hydrogen Sulfide",Compositions!AW142="Argon",Compositions!AW142="Carbon Dioxide",Compositions!AW142="Carbon Disulfide"),0,OU77)))</f>
        <v/>
      </c>
      <c r="OW77" s="187" t="str">
        <f>IF(Compositions!AX142="","",((ON77/100)*((VLOOKUP(Compositions!AW142,'HHV-LHV-MW'!$A$3:$G$40,7,FALSE)))))</f>
        <v/>
      </c>
      <c r="OX77" s="187" t="str">
        <f>IF(ON77="","",(IF(OR(Compositions!AW142="Hydrogen",Compositions!AW142="Carbon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Dioxide",Compositions!AW142="Methane",Compositions!AW142="Ethane"),0,(ON77/100))))</f>
        <v/>
      </c>
      <c r="OY77" s="205" t="str">
        <f>IF(ON77="","",(IF(OR($OX$78=0,$OX$78=""),0,     ((VLOOKUP(Compositions!AW142,'HHV-LHV-MW'!$A$3:$F$40,6,FALSE))*(OX77/$OX$78)))))</f>
        <v/>
      </c>
      <c r="OZ77" s="28" t="str">
        <f>IF(Compositions!AY142="","",IF(Compositions!$AY$118="mol%",Compositions!AY142,PA77))</f>
        <v/>
      </c>
      <c r="PA77" s="28" t="str">
        <f t="shared" si="64"/>
        <v/>
      </c>
      <c r="PB77" s="28" t="str">
        <f>IF(Compositions!AY142="","",(Compositions!AY142/(VLOOKUP(Compositions!AW142,'HHV-LHV-MW'!$A$3:$F$40,6,FALSE))))</f>
        <v/>
      </c>
      <c r="PC77" s="184" t="str">
        <f>IF(OZ77="","",((VLOOKUP(Compositions!AW142,'HHV-LHV-MW'!$A$3:$F$40,4,FALSE))*(OZ77/100)))</f>
        <v/>
      </c>
      <c r="PD77" s="184" t="str">
        <f>IF(OZ77="","",((VLOOKUP(Compositions!AW142,'HHV-LHV-MW'!$A$3:$F$40,5,FALSE))*(OZ77/100)))</f>
        <v/>
      </c>
      <c r="PE77" s="184" t="str">
        <f>IF(OZ77="","",((VLOOKUP(Compositions!AW142,'HHV-LHV-MW'!$A$3:$F$40,6,FALSE))*(OZ77/100)))</f>
        <v/>
      </c>
      <c r="PF77" s="184" t="str">
        <f>IF(Compositions!AY142="","",(Compositions!AY142*(VLOOKUP(Compositions!AW142,'HHV-LHV-MW'!$A$3:$F$40,6,FALSE))))</f>
        <v/>
      </c>
      <c r="PG77" s="297" t="str">
        <f>IF(Compositions!AY142="","",IF(OR(Compositions!$AY$118="wt%",Compositions!$AY$118=""),Compositions!AY142,(IF(PF77="","",((PF77/$PF$78)*100)))))</f>
        <v/>
      </c>
      <c r="PH77" s="39" t="str">
        <f>IF(PG77="","",(IF(OR(Compositions!AW142="Hydrogen",Compositions!AW142="Helium",Compositions!AW142="Water",Compositions!AW142="Carbon Monoxide",Compositions!AW142="Nitrogen",Compositions!AW142="Oxygen",Compositions!AW142="Hydrogen Sulfide",Compositions!AW142="Argon",Compositions!AW142="Carbon Dioxide",Compositions!AW142="Carbon Disulfide"),0,PG77)))</f>
        <v/>
      </c>
      <c r="PI77" s="186" t="str">
        <f>IF(Compositions!AY142="","",((OZ77/100)*((VLOOKUP(Compositions!AW142,'HHV-LHV-MW'!$A$3:$G$40,7,FALSE)))))</f>
        <v/>
      </c>
      <c r="PJ77" s="186" t="str">
        <f>IF(OZ77="","",(IF(OR(Compositions!AW142="Hydrogen",Compositions!AW142="Carbon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Dioxide",Compositions!AW142="Methane",Compositions!AW142="Ethane"),0,(OZ77/100))))</f>
        <v/>
      </c>
      <c r="PK77" s="39" t="str">
        <f>IF(OZ77="","",(IF(OR($PJ$78=0,$PJ$78=""),0,     ((VLOOKUP(Compositions!AW142,'HHV-LHV-MW'!$A$3:$F$40,6,FALSE))*(PJ77/$PJ$78)))))</f>
        <v/>
      </c>
      <c r="PL77" s="27" t="str">
        <f>IF(Compositions!AZ142="","",IF(Compositions!$AZ$118="mol%",Compositions!AZ142,PM77))</f>
        <v/>
      </c>
      <c r="PM77" s="27" t="str">
        <f t="shared" si="58"/>
        <v/>
      </c>
      <c r="PN77" s="27" t="str">
        <f>IF(Compositions!AZ142="","",(Compositions!AZ142/(VLOOKUP(Compositions!AW142,'HHV-LHV-MW'!$A$3:$F$40,6,FALSE))))</f>
        <v/>
      </c>
      <c r="PO77" s="185" t="str">
        <f>IF(PL77="","",((VLOOKUP(Compositions!AW142,'HHV-LHV-MW'!$A$3:$F$40,4,FALSE))*(PL77/100)))</f>
        <v/>
      </c>
      <c r="PP77" s="185" t="str">
        <f>IF(PL77="","",((VLOOKUP(Compositions!AW142,'HHV-LHV-MW'!$A$3:$F$40,5,FALSE))*(PL77/100)))</f>
        <v/>
      </c>
      <c r="PQ77" s="185" t="str">
        <f>IF(PL77="","",((VLOOKUP(Compositions!AW142,'HHV-LHV-MW'!$A$3:$F$40,6,FALSE))*(PL77/100)))</f>
        <v/>
      </c>
      <c r="PR77" s="185" t="str">
        <f>IF(Compositions!AZ142="","",(Compositions!AZ142*(VLOOKUP(Compositions!AW142,'HHV-LHV-MW'!$A$3:$F$40,6,FALSE))))</f>
        <v/>
      </c>
      <c r="PS77" s="298" t="str">
        <f>IF(Compositions!AZ142="","",IF(OR(Compositions!$AZ$118="wt%",Compositions!$AZ$118=""),Compositions!AZ142,(IF(PR77="","",((PR77/$PR$78)*100)))))</f>
        <v/>
      </c>
      <c r="PT77" s="185" t="str">
        <f>IF(PS77="","",(IF(OR(Compositions!AW142="Hydrogen",Compositions!AW142="Helium",Compositions!AW142="Water",Compositions!AW142="Carbon Monoxide",Compositions!AW142="Nitrogen",Compositions!AW142="Oxygen",Compositions!AW142="Hydrogen Sulfide",Compositions!AW142="Argon",Compositions!AW142="Carbon Dioxide",Compositions!AW142="Carbon Disulfide"),0,PS77)))</f>
        <v/>
      </c>
      <c r="PU77" s="187" t="str">
        <f>IF(Compositions!AZ142="","",((PL77/100)*((VLOOKUP(Compositions!AW142,'HHV-LHV-MW'!$A$3:$G$40,7,FALSE)))))</f>
        <v/>
      </c>
      <c r="PV77" s="187" t="str">
        <f>IF(PL77="","",(IF(OR(Compositions!AW142="Hydrogen",Compositions!AW142="Carbon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Dioxide",Compositions!AW142="Methane",Compositions!AW142="Ethane"),0,(PL77/100))))</f>
        <v/>
      </c>
      <c r="PW77" s="205" t="str">
        <f>IF(PL77="","",(IF(OR($PV$78=0,$PV$78=""),0,     ((VLOOKUP(Compositions!AW142,'HHV-LHV-MW'!$A$3:$F$40,6,FALSE))*(PV77/$PV$78)))))</f>
        <v/>
      </c>
      <c r="PX77" s="28" t="str">
        <f>IF(Compositions!BA142="","",IF(Compositions!$BA$118="mol%",Compositions!BA142,PY77))</f>
        <v/>
      </c>
      <c r="PY77" s="28" t="str">
        <f t="shared" si="59"/>
        <v/>
      </c>
      <c r="PZ77" s="28" t="str">
        <f>IF(Compositions!BA142="","",(Compositions!BA142/(VLOOKUP(Compositions!AW142,'HHV-LHV-MW'!$A$3:$F$40,6,FALSE))))</f>
        <v/>
      </c>
      <c r="QA77" s="184" t="str">
        <f>IF(PX77="","",((VLOOKUP(Compositions!AW142,'HHV-LHV-MW'!$A$3:$F$40,4,FALSE))*(PX77/100)))</f>
        <v/>
      </c>
      <c r="QB77" s="184" t="str">
        <f>IF(PX77="","",((VLOOKUP(Compositions!AW142,'HHV-LHV-MW'!$A$3:$F$40,5,FALSE))*(PX77/100)))</f>
        <v/>
      </c>
      <c r="QC77" s="184" t="str">
        <f>IF(PX77="","",((VLOOKUP(Compositions!AW142,'HHV-LHV-MW'!$A$3:$F$40,6,FALSE))*(PX77/100)))</f>
        <v/>
      </c>
      <c r="QD77" s="184" t="str">
        <f>IF(Compositions!BA142="","",(Compositions!BA142*(VLOOKUP(Compositions!AW142,'HHV-LHV-MW'!$A$3:$F$40,6,FALSE))))</f>
        <v/>
      </c>
      <c r="QE77" s="297" t="str">
        <f>IF(Compositions!BA142="","",IF(OR(Compositions!$BA$118="wt%",Compositions!$BA$118=""),Compositions!BA142,(IF(QD77="","",((QD77/$QD$78)*100)))))</f>
        <v/>
      </c>
      <c r="QF77" s="39" t="str">
        <f>IF(QE77="","",(IF(OR(Compositions!AW142="Hydrogen",Compositions!AW142="Helium",Compositions!AW142="Water",Compositions!AW142="Carbon Monoxide",Compositions!AW142="Nitrogen",Compositions!AW142="Oxygen",Compositions!AW142="Hydrogen Sulfide",Compositions!AW142="Argon",Compositions!AW142="Carbon Dioxide",Compositions!AW142="Carbon Disulfide"),0,QE77)))</f>
        <v/>
      </c>
      <c r="QG77" s="186" t="str">
        <f>IF(Compositions!BA142="","",((PX77/100)*((VLOOKUP(Compositions!AW142,'HHV-LHV-MW'!$A$3:$G$40,7,FALSE)))))</f>
        <v/>
      </c>
      <c r="QH77" s="186" t="str">
        <f>IF(PX77="","",(IF(OR(Compositions!AW142="Hydrogen",Compositions!AW142="Carbon Disulfide",Compositions!AW142="Helium",Compositions!AW142="Water",Compositions!AW142="Carbon Monoxide",Compositions!AW142="Nitrogen",Compositions!AW142="Oxygen",Compositions!AW142="Hydrogen Sulfide",Compositions!AW142="Argon",Compositions!AW142="Carbon Dioxide",Compositions!AW142="Methane",Compositions!AW142="Ethane"),0,(PX77/100))))</f>
        <v/>
      </c>
      <c r="QI77" s="39" t="str">
        <f>IF(PX77="","",(IF(OR($QH$78=0,$QH$78=""),0,     ((VLOOKUP(Compositions!AW142,'HHV-LHV-MW'!$A$3:$F$40,6,FALSE))*(QH77/$QH$78)))))</f>
        <v/>
      </c>
      <c r="QK77" s="27" t="str">
        <f>IF(Compositions!BD142="","",IF(Compositions!$BD$118="mol%",Compositions!BD142,QL77))</f>
        <v/>
      </c>
      <c r="QL77" s="27" t="str">
        <f t="shared" si="60"/>
        <v/>
      </c>
      <c r="QM77" s="27" t="str">
        <f>IF(Compositions!BD142="","",(Compositions!BD142/(VLOOKUP(Compositions!BC142,'HHV-LHV-MW'!$A$3:$F$40,6,FALSE))))</f>
        <v/>
      </c>
      <c r="QN77" s="185" t="str">
        <f>IF(QK77="","",((VLOOKUP(Compositions!BC142,'HHV-LHV-MW'!$A$3:$F$40,4,FALSE))*(QK77/100)))</f>
        <v/>
      </c>
      <c r="QO77" s="185" t="str">
        <f>IF(QK77="","",((VLOOKUP(Compositions!BC142,'HHV-LHV-MW'!$A$3:$F$40,5,FALSE))*(QK77/100)))</f>
        <v/>
      </c>
      <c r="QP77" s="185" t="str">
        <f>IF(QK77="","",((VLOOKUP(Compositions!BC142,'HHV-LHV-MW'!$A$3:$F$40,6,FALSE))*(QK77/100)))</f>
        <v/>
      </c>
      <c r="QQ77" s="185" t="str">
        <f>IF(Compositions!BD142="","",(Compositions!BD142*(VLOOKUP(Compositions!BC142,'HHV-LHV-MW'!$A$3:$F$40,6,FALSE))))</f>
        <v/>
      </c>
      <c r="QR77" s="298" t="str">
        <f>IF(Compositions!BD142="","",IF(OR(Compositions!$BD$118="wt%",Compositions!$BD$118=""),Compositions!BD142,(IF(QQ77="","",((QQ77/$QQ$78)*100)))))</f>
        <v/>
      </c>
      <c r="QS77" s="185" t="str">
        <f>IF(QR77="","",(IF(OR(Compositions!BC142="Hydrogen",Compositions!BC142="Helium",Compositions!BC142="Water",Compositions!BC142="Carbon Monoxide",Compositions!BC142="Nitrogen",Compositions!BC142="Oxygen",Compositions!BC142="Hydrogen Sulfide",Compositions!BC142="Argon",Compositions!BC142="Carbon Dioxide",Compositions!BC142="Carbon Disulfide"),0,QR77)))</f>
        <v/>
      </c>
      <c r="QT77" s="187" t="str">
        <f>IF(Compositions!BD142="","",((QK77/100)*((VLOOKUP(Compositions!BC142,'HHV-LHV-MW'!$A$3:$G$40,7,FALSE)))))</f>
        <v/>
      </c>
      <c r="QU77" s="187" t="str">
        <f>IF(QK77="","",(IF(OR(Compositions!BC142="Hydrogen",Compositions!BC142="Carbon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Dioxide",Compositions!BC142="Methane",Compositions!BC142="Ethane"),0,(QK77/100))))</f>
        <v/>
      </c>
      <c r="QV77" s="205" t="str">
        <f>IF(QK77="","",(IF(OR($QU$78=0,$QU$78=""),0,     ((VLOOKUP(Compositions!BC142,'HHV-LHV-MW'!$A$3:$F$40,6,FALSE))*(QU77/$QU$78)))))</f>
        <v/>
      </c>
      <c r="QW77" s="28" t="str">
        <f>IF(Compositions!BE142="","",IF(Compositions!$BE$118="mol%",Compositions!BE142,QX77))</f>
        <v/>
      </c>
      <c r="QX77" s="28" t="str">
        <f t="shared" si="61"/>
        <v/>
      </c>
      <c r="QY77" s="28" t="str">
        <f>IF(Compositions!BE142="","",(Compositions!BE142/(VLOOKUP(Compositions!BC142,'HHV-LHV-MW'!$A$3:$F$40,6,FALSE))))</f>
        <v/>
      </c>
      <c r="QZ77" s="184" t="str">
        <f>IF(QW77="","",((VLOOKUP(Compositions!BC142,'HHV-LHV-MW'!$A$3:$F$40,4,FALSE))*(QW77/100)))</f>
        <v/>
      </c>
      <c r="RA77" s="184" t="str">
        <f>IF(QW77="","",((VLOOKUP(Compositions!BC142,'HHV-LHV-MW'!$A$3:$F$40,5,FALSE))*(QW77/100)))</f>
        <v/>
      </c>
      <c r="RB77" s="184" t="str">
        <f>IF(QW77="","",((VLOOKUP(Compositions!BC142,'HHV-LHV-MW'!$A$3:$F$40,6,FALSE))*(QW77/100)))</f>
        <v/>
      </c>
      <c r="RC77" s="184" t="str">
        <f>IF(Compositions!BE142="","",(Compositions!BE142*(VLOOKUP(Compositions!BC142,'HHV-LHV-MW'!$A$3:$F$40,6,FALSE))))</f>
        <v/>
      </c>
      <c r="RD77" s="297" t="str">
        <f>IF(Compositions!BE142="","",IF(OR(Compositions!$BE$118="wt%",Compositions!$BE$118=""),Compositions!BE142,(IF(RC77="","",((RC77/$RC$78)*100)))))</f>
        <v/>
      </c>
      <c r="RE77" s="39" t="str">
        <f>IF(RD77="","",(IF(OR(Compositions!BC142="Hydrogen",Compositions!BC142="Helium",Compositions!BC142="Water",Compositions!BC142="Carbon Monoxide",Compositions!BC142="Nitrogen",Compositions!BC142="Oxygen",Compositions!BC142="Hydrogen Sulfide",Compositions!BC142="Argon",Compositions!BC142="Carbon Dioxide",Compositions!BC142="Carbon Disulfide"),0,RD77)))</f>
        <v/>
      </c>
      <c r="RF77" s="186" t="str">
        <f>IF(Compositions!BE142="","",((QW77/100)*((VLOOKUP(Compositions!BC142,'HHV-LHV-MW'!$A$3:$G$40,7,FALSE)))))</f>
        <v/>
      </c>
      <c r="RG77" s="186" t="str">
        <f>IF(QW77="","",(IF(OR(Compositions!BC142="Hydrogen",Compositions!BC142="Carbon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Dioxide",Compositions!BC142="Methane",Compositions!BC142="Ethane"),0,(QW77/100))))</f>
        <v/>
      </c>
      <c r="RH77" s="39" t="str">
        <f>IF(QW77="","",(IF(OR($RG$78=0,$RG$78=""),0,     ((VLOOKUP(Compositions!BC142,'HHV-LHV-MW'!$A$3:$F$40,6,FALSE))*(RG77/$RG$78)))))</f>
        <v/>
      </c>
      <c r="RI77" s="27" t="str">
        <f>IF(Compositions!BF142="","",IF(Compositions!$BF$118="mol%",Compositions!BF142,RJ77))</f>
        <v/>
      </c>
      <c r="RJ77" s="27" t="str">
        <f t="shared" si="62"/>
        <v/>
      </c>
      <c r="RK77" s="27" t="str">
        <f>IF(Compositions!BF142="","",(Compositions!BF142/(VLOOKUP(Compositions!BC142,'HHV-LHV-MW'!$A$3:$F$40,6,FALSE))))</f>
        <v/>
      </c>
      <c r="RL77" s="185" t="str">
        <f>IF(RI77="","",((VLOOKUP(Compositions!BC142,'HHV-LHV-MW'!$A$3:$F$40,4,FALSE))*(RI77/100)))</f>
        <v/>
      </c>
      <c r="RM77" s="185" t="str">
        <f>IF(RI77="","",((VLOOKUP(Compositions!BC142,'HHV-LHV-MW'!$A$3:$F$40,5,FALSE))*(RI77/100)))</f>
        <v/>
      </c>
      <c r="RN77" s="185" t="str">
        <f>IF(RI77="","",((VLOOKUP(Compositions!BC142,'HHV-LHV-MW'!$A$3:$F$40,6,FALSE))*(RI77/100)))</f>
        <v/>
      </c>
      <c r="RO77" s="185" t="str">
        <f>IF(Compositions!BF142="","",(Compositions!BF142*(VLOOKUP(Compositions!BC142,'HHV-LHV-MW'!$A$3:$F$40,6,FALSE))))</f>
        <v/>
      </c>
      <c r="RP77" s="298" t="str">
        <f>IF(Compositions!BF142="","",IF(OR(Compositions!$BF$118="wt%",Compositions!$BF$118=""),Compositions!BF142,(IF(RO77="","",((RO77/$RO$78)*100)))))</f>
        <v/>
      </c>
      <c r="RQ77" s="185" t="str">
        <f>IF(RP77="","",(IF(OR(Compositions!BC142="Hydrogen",Compositions!BC142="Helium",Compositions!BC142="Water",Compositions!BC142="Carbon Monoxide",Compositions!BC142="Nitrogen",Compositions!BC142="Oxygen",Compositions!BC142="Hydrogen Sulfide",Compositions!BC142="Argon",Compositions!BC142="Carbon Dioxide",Compositions!BC142="Carbon Disulfide"),0,RP77)))</f>
        <v/>
      </c>
      <c r="RR77" s="187" t="str">
        <f>IF(Compositions!BF142="","",((RI77/100)*((VLOOKUP(Compositions!BC142,'HHV-LHV-MW'!$A$3:$G$40,7,FALSE)))))</f>
        <v/>
      </c>
      <c r="RS77" s="187" t="str">
        <f>IF(RI77="","",(IF(OR(Compositions!BC142="Hydrogen",Compositions!BC142="Carbon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Dioxide",Compositions!BC142="Methane",Compositions!BC142="Ethane"),0,(RI77/100))))</f>
        <v/>
      </c>
      <c r="RT77" s="205" t="str">
        <f>IF(RI77="","",(IF(OR($RS$78=0,$RS$78=""),0,     ((VLOOKUP(Compositions!BC142,'HHV-LHV-MW'!$A$3:$F$40,6,FALSE))*(RS77/$RS$78)))))</f>
        <v/>
      </c>
      <c r="RU77" s="28" t="str">
        <f>IF(Compositions!BG142="","",IF(Compositions!$BG$118="mol%",Compositions!BG142,RV77))</f>
        <v/>
      </c>
      <c r="RV77" s="28" t="str">
        <f>IF(RW77="","",((RW77/$RW$78)*100))</f>
        <v/>
      </c>
      <c r="RW77" s="28" t="str">
        <f>IF(Compositions!BG142="","",(Compositions!BG142/(VLOOKUP(Compositions!BC142,'HHV-LHV-MW'!$A$3:$F$40,6,FALSE))))</f>
        <v/>
      </c>
      <c r="RX77" s="184" t="str">
        <f>IF(RU77="","",((VLOOKUP(Compositions!BC142,'HHV-LHV-MW'!$A$3:$F$40,4,FALSE))*(RU77/100)))</f>
        <v/>
      </c>
      <c r="RY77" s="184" t="str">
        <f>IF(RU77="","",((VLOOKUP(Compositions!BC142,'HHV-LHV-MW'!$A$3:$F$40,5,FALSE))*(RU77/100)))</f>
        <v/>
      </c>
      <c r="RZ77" s="184" t="str">
        <f>IF(RU77="","",((VLOOKUP(Compositions!BC142,'HHV-LHV-MW'!$A$3:$F$40,6,FALSE))*(RU77/100)))</f>
        <v/>
      </c>
      <c r="SA77" s="184" t="str">
        <f>IF(Compositions!BG142="","",(Compositions!BG142*(VLOOKUP(Compositions!BC142,'HHV-LHV-MW'!$A$3:$F$40,6,FALSE))))</f>
        <v/>
      </c>
      <c r="SB77" s="297" t="str">
        <f>IF(Compositions!BG142="","",IF(OR(Compositions!$BG$118="wt%",Compositions!$BG$118=""),Compositions!BG142,(IF(SA77="","",((SA77/$SA$78)*100)))))</f>
        <v/>
      </c>
      <c r="SC77" s="39" t="str">
        <f>IF(SB77="","",(IF(OR(Compositions!BC142="Hydrogen",Compositions!BC142="Helium",Compositions!BC142="Water",Compositions!BC142="Carbon Monoxide",Compositions!BC142="Nitrogen",Compositions!BC142="Oxygen",Compositions!BC142="Hydrogen Sulfide",Compositions!BC142="Argon",Compositions!BC142="Carbon Dioxide",Compositions!BC142="Carbon Disulfide"),0,SB77)))</f>
        <v/>
      </c>
      <c r="SD77" s="186" t="str">
        <f>IF(Compositions!BG142="","",((RU77/100)*((VLOOKUP(Compositions!BC142,'HHV-LHV-MW'!$A$3:$G$40,7,FALSE)))))</f>
        <v/>
      </c>
      <c r="SE77" s="186" t="str">
        <f>IF(RU77="","",(IF(OR(Compositions!BC142="Hydrogen",Compositions!BC142="Carbon Disulfide",Compositions!BC142="Helium",Compositions!BC142="Water",Compositions!BC142="Carbon Monoxide",Compositions!BC142="Nitrogen",Compositions!BC142="Oxygen",Compositions!BC142="Hydrogen Sulfide",Compositions!BC142="Argon",Compositions!BC142="Carbon Dioxide",Compositions!BC142="Methane",Compositions!BC142="Ethane"),0,(RU77/100))))</f>
        <v/>
      </c>
      <c r="SF77" s="39" t="str">
        <f>IF(RU77="","",(IF(OR($SE$78=0,$SE$78=""),0,     ((VLOOKUP(Compositions!BC142,'HHV-LHV-MW'!$A$3:$F$40,6,FALSE))*(SE77/$SE$78)))))</f>
        <v/>
      </c>
    </row>
    <row r="78" spans="1:500" ht="15.6">
      <c r="A78" s="173" t="s">
        <v>216</v>
      </c>
      <c r="B78" s="19" t="s">
        <v>215</v>
      </c>
      <c r="C78" s="20">
        <v>2</v>
      </c>
      <c r="D78" s="20">
        <v>1.3028999999999999</v>
      </c>
      <c r="E78" s="20">
        <v>1.2568999999999999</v>
      </c>
      <c r="F78" s="20">
        <v>26.037880000000001</v>
      </c>
      <c r="G78" s="20">
        <v>0</v>
      </c>
      <c r="H78" s="170"/>
      <c r="I78" s="170"/>
      <c r="K78" s="29">
        <f>SUMIF(K55:K77,"&lt;&gt;#N/A")</f>
        <v>0</v>
      </c>
      <c r="L78" s="29">
        <f>SUMIF(L55:L77,"&lt;&gt;#N/A")</f>
        <v>0</v>
      </c>
      <c r="M78" s="29">
        <f>SUMIF(M55:M77,"&lt;&gt;#N/A")</f>
        <v>0</v>
      </c>
      <c r="N78" s="30" t="str">
        <f>IF(N55="","",SUMIF(N55:N77,"&lt;&gt;#N/A")/$M$3)</f>
        <v/>
      </c>
      <c r="O78" s="30" t="str">
        <f>IF(O55="","",SUMIF(O55:O77,"&lt;&gt;#N/A")/$M$3)</f>
        <v/>
      </c>
      <c r="P78" s="30" t="str">
        <f>IF(P55="","",SUMIF(P55:P77,"&lt;&gt;#N/A"))</f>
        <v/>
      </c>
      <c r="Q78" s="30" t="str">
        <f t="shared" ref="Q78:S78" si="65">IF(Q55="","",SUMIF(Q55:Q77,"&lt;&gt;#N/A"))</f>
        <v/>
      </c>
      <c r="R78" s="30" t="str">
        <f t="shared" si="65"/>
        <v/>
      </c>
      <c r="S78" s="30" t="str">
        <f t="shared" si="65"/>
        <v/>
      </c>
      <c r="T78" s="30" t="str">
        <f>IF(T55="","",SUMIF(T55:T77,"&lt;&gt;#N/A"))</f>
        <v/>
      </c>
      <c r="U78" s="30" t="str">
        <f>IF(U55="","",SUMIF(U55:U77,"&lt;&gt;#N/A"))</f>
        <v/>
      </c>
      <c r="V78" s="30" t="str">
        <f>IF(V55="","",SUMIF(V55:V77,"&lt;&gt;#N/A"))</f>
        <v/>
      </c>
      <c r="W78" s="31">
        <f>SUMIF(W55:W77,"&lt;&gt;#N/A")</f>
        <v>0</v>
      </c>
      <c r="X78" s="31">
        <f>SUMIF(X55:X77,"&lt;&gt;#N/A")</f>
        <v>0</v>
      </c>
      <c r="Y78" s="31">
        <f>SUMIF(Y55:Y77,"&lt;&gt;#N/A")</f>
        <v>0</v>
      </c>
      <c r="Z78" s="32" t="str">
        <f>IF(Z55="","",SUMIF(Z55:Z77,"&lt;&gt;#N/A")/$M$3)</f>
        <v/>
      </c>
      <c r="AA78" s="32" t="str">
        <f>IF(AA55="","",SUMIF(AA55:AA77,"&lt;&gt;#N/A")/$M$3)</f>
        <v/>
      </c>
      <c r="AB78" s="32" t="str">
        <f>IF(AB55="","",SUMIF(AB55:AB77,"&lt;&gt;#N/A"))</f>
        <v/>
      </c>
      <c r="AC78" s="32" t="str">
        <f t="shared" ref="AC78:AE78" si="66">IF(AC55="","",SUMIF(AC55:AC77,"&lt;&gt;#N/A"))</f>
        <v/>
      </c>
      <c r="AD78" s="32" t="str">
        <f t="shared" si="66"/>
        <v/>
      </c>
      <c r="AE78" s="32" t="str">
        <f t="shared" si="66"/>
        <v/>
      </c>
      <c r="AF78" s="32" t="str">
        <f>IF(AF55="","",SUMIF(AF55:AF77,"&lt;&gt;#N/A"))</f>
        <v/>
      </c>
      <c r="AG78" s="32" t="str">
        <f>IF(AG55="","",SUMIF(AG55:AG77,"&lt;&gt;#N/A"))</f>
        <v/>
      </c>
      <c r="AH78" s="32" t="str">
        <f>IF(AH55="","",SUMIF(AH55:AH77,"&lt;&gt;#N/A"))</f>
        <v/>
      </c>
      <c r="AI78" s="29">
        <f>SUMIF(AI55:AI77,"&lt;&gt;#N/A")</f>
        <v>0</v>
      </c>
      <c r="AJ78" s="29">
        <f>SUMIF(AJ55:AJ77,"&lt;&gt;#N/A")</f>
        <v>0</v>
      </c>
      <c r="AK78" s="29">
        <f>SUMIF(AK55:AK77,"&lt;&gt;#N/A")</f>
        <v>0</v>
      </c>
      <c r="AL78" s="30" t="str">
        <f>IF(AL55="","",SUMIF(AL55:AL77,"&lt;&gt;#N/A")/$M$3)</f>
        <v/>
      </c>
      <c r="AM78" s="30" t="str">
        <f>IF(AM55="","",SUMIF(AM55:AM77,"&lt;&gt;#N/A")/$M$3)</f>
        <v/>
      </c>
      <c r="AN78" s="30" t="str">
        <f t="shared" ref="AN78:AQ78" si="67">IF(AN55="","",SUMIF(AN55:AN77,"&lt;&gt;#N/A"))</f>
        <v/>
      </c>
      <c r="AO78" s="30" t="str">
        <f t="shared" si="67"/>
        <v/>
      </c>
      <c r="AP78" s="30" t="str">
        <f t="shared" si="67"/>
        <v/>
      </c>
      <c r="AQ78" s="30" t="str">
        <f t="shared" si="67"/>
        <v/>
      </c>
      <c r="AR78" s="30" t="str">
        <f>IF(AR55="","",SUMIF(AR55:AR77,"&lt;&gt;#N/A"))</f>
        <v/>
      </c>
      <c r="AS78" s="30" t="str">
        <f>IF(AS55="","",SUMIF(AS55:AS77,"&lt;&gt;#N/A"))</f>
        <v/>
      </c>
      <c r="AT78" s="30" t="str">
        <f>IF(AT55="","",SUMIF(AT55:AT77,"&lt;&gt;#N/A"))</f>
        <v/>
      </c>
      <c r="AU78" s="31">
        <f>SUMIF(AU55:AU77,"&lt;&gt;#N/A")</f>
        <v>0</v>
      </c>
      <c r="AV78" s="31">
        <f>SUMIF(AV55:AV77,"&lt;&gt;#N/A")</f>
        <v>0</v>
      </c>
      <c r="AW78" s="31">
        <f>SUMIF(AW55:AW77,"&lt;&gt;#N/A")</f>
        <v>0</v>
      </c>
      <c r="AX78" s="32" t="str">
        <f>IF(AX55="","",SUMIF(AX55:AX77,"&lt;&gt;#N/A")/$M$3)</f>
        <v/>
      </c>
      <c r="AY78" s="32" t="str">
        <f>IF(AY55="","",SUMIF(AY55:AY77,"&lt;&gt;#N/A")/$M$3)</f>
        <v/>
      </c>
      <c r="AZ78" s="32" t="str">
        <f t="shared" ref="AZ78:BB78" si="68">IF(AZ55="","",SUMIF(AZ55:AZ77,"&lt;&gt;#N/A"))</f>
        <v/>
      </c>
      <c r="BA78" s="32" t="str">
        <f t="shared" si="68"/>
        <v/>
      </c>
      <c r="BB78" s="32" t="str">
        <f t="shared" si="68"/>
        <v/>
      </c>
      <c r="BC78" s="32" t="str">
        <f>IF(BC55="","",SUMIF(BC55:BC77,"&lt;&gt;#N/A"))</f>
        <v/>
      </c>
      <c r="BD78" s="32" t="str">
        <f>IF(BD55="","",SUMIF(BD55:BD77,"&lt;&gt;#N/A"))</f>
        <v/>
      </c>
      <c r="BE78" s="32" t="str">
        <f>IF(BE55="","",SUMIF(BE55:BE77,"&lt;&gt;#N/A"))</f>
        <v/>
      </c>
      <c r="BF78" s="32" t="str">
        <f>IF(BF55="","",SUMIF(BF55:BF77,"&lt;&gt;#N/A"))</f>
        <v/>
      </c>
      <c r="BH78" s="29">
        <f>SUMIF(BH55:BH77,"&lt;&gt;#N/A")</f>
        <v>0</v>
      </c>
      <c r="BI78" s="29">
        <f>SUMIF(BI55:BI77,"&lt;&gt;#N/A")</f>
        <v>0</v>
      </c>
      <c r="BJ78" s="29">
        <f>SUMIF(BJ55:BJ77,"&lt;&gt;#N/A")</f>
        <v>0</v>
      </c>
      <c r="BK78" s="30" t="str">
        <f>IF(BK55="","",SUMIF(BK55:BK77,"&lt;&gt;#N/A")/$M$3)</f>
        <v/>
      </c>
      <c r="BL78" s="30" t="str">
        <f>IF(BL55="","",SUMIF(BL55:BL77,"&lt;&gt;#N/A")/$M$3)</f>
        <v/>
      </c>
      <c r="BM78" s="30" t="str">
        <f>IF(BM55="","",SUMIF(BM55:BM77,"&lt;&gt;#N/A"))</f>
        <v/>
      </c>
      <c r="BN78" s="30" t="str">
        <f t="shared" ref="BN78:BP78" si="69">IF(BN55="","",SUMIF(BN55:BN77,"&lt;&gt;#N/A"))</f>
        <v/>
      </c>
      <c r="BO78" s="30" t="str">
        <f t="shared" si="69"/>
        <v/>
      </c>
      <c r="BP78" s="30" t="str">
        <f t="shared" si="69"/>
        <v/>
      </c>
      <c r="BQ78" s="30" t="str">
        <f>IF(BQ55="","",SUMIF(BQ55:BQ77,"&lt;&gt;#N/A"))</f>
        <v/>
      </c>
      <c r="BR78" s="30" t="str">
        <f>IF(BR55="","",SUMIF(BR55:BR77,"&lt;&gt;#N/A"))</f>
        <v/>
      </c>
      <c r="BS78" s="30" t="str">
        <f>IF(BS55="","",SUMIF(BS55:BS77,"&lt;&gt;#N/A"))</f>
        <v/>
      </c>
      <c r="BT78" s="31">
        <f>SUMIF(BT55:BT77,"&lt;&gt;#N/A")</f>
        <v>0</v>
      </c>
      <c r="BU78" s="31">
        <f>SUMIF(BU55:BU77,"&lt;&gt;#N/A")</f>
        <v>0</v>
      </c>
      <c r="BV78" s="31">
        <f>SUMIF(BV55:BV77,"&lt;&gt;#N/A")</f>
        <v>0</v>
      </c>
      <c r="BW78" s="32" t="str">
        <f>IF(BW55="","",SUMIF(BW55:BW77,"&lt;&gt;#N/A")/$M$3)</f>
        <v/>
      </c>
      <c r="BX78" s="32" t="str">
        <f>IF(BX55="","",SUMIF(BX55:BX77,"&lt;&gt;#N/A")/$M$3)</f>
        <v/>
      </c>
      <c r="BY78" s="32" t="str">
        <f>IF(BY55="","",SUMIF(BY55:BY77,"&lt;&gt;#N/A"))</f>
        <v/>
      </c>
      <c r="BZ78" s="32" t="str">
        <f t="shared" ref="BZ78:CB78" si="70">IF(BZ55="","",SUMIF(BZ55:BZ77,"&lt;&gt;#N/A"))</f>
        <v/>
      </c>
      <c r="CA78" s="32" t="str">
        <f t="shared" si="70"/>
        <v/>
      </c>
      <c r="CB78" s="32" t="str">
        <f t="shared" si="70"/>
        <v/>
      </c>
      <c r="CC78" s="32" t="str">
        <f>IF(CC55="","",SUMIF(CC55:CC77,"&lt;&gt;#N/A"))</f>
        <v/>
      </c>
      <c r="CD78" s="32" t="str">
        <f>IF(CD55="","",SUMIF(CD55:CD77,"&lt;&gt;#N/A"))</f>
        <v/>
      </c>
      <c r="CE78" s="32" t="str">
        <f>IF(CE55="","",SUMIF(CE55:CE77,"&lt;&gt;#N/A"))</f>
        <v/>
      </c>
      <c r="CF78" s="29">
        <f>SUMIF(CF55:CF77,"&lt;&gt;#N/A")</f>
        <v>0</v>
      </c>
      <c r="CG78" s="29">
        <f>SUMIF(CG55:CG77,"&lt;&gt;#N/A")</f>
        <v>0</v>
      </c>
      <c r="CH78" s="29">
        <f>SUMIF(CH55:CH77,"&lt;&gt;#N/A")</f>
        <v>0</v>
      </c>
      <c r="CI78" s="30" t="str">
        <f>IF(CI55="","",SUMIF(CI55:CI77,"&lt;&gt;#N/A")/$M$3)</f>
        <v/>
      </c>
      <c r="CJ78" s="30" t="str">
        <f>IF(CJ55="","",SUMIF(CJ55:CJ77,"&lt;&gt;#N/A")/$M$3)</f>
        <v/>
      </c>
      <c r="CK78" s="30" t="str">
        <f>IF(CK55="","",SUMIF(CK55:CK77,"&lt;&gt;#N/A"))</f>
        <v/>
      </c>
      <c r="CL78" s="30" t="str">
        <f t="shared" ref="CL78:CN78" si="71">IF(CL55="","",SUMIF(CL55:CL77,"&lt;&gt;#N/A"))</f>
        <v/>
      </c>
      <c r="CM78" s="30" t="str">
        <f t="shared" si="71"/>
        <v/>
      </c>
      <c r="CN78" s="30" t="str">
        <f t="shared" si="71"/>
        <v/>
      </c>
      <c r="CO78" s="30" t="str">
        <f>IF(CO55="","",SUMIF(CO55:CO77,"&lt;&gt;#N/A"))</f>
        <v/>
      </c>
      <c r="CP78" s="30" t="str">
        <f>IF(CP55="","",SUMIF(CP55:CP77,"&lt;&gt;#N/A"))</f>
        <v/>
      </c>
      <c r="CQ78" s="30" t="str">
        <f>IF(CQ55="","",SUMIF(CQ55:CQ77,"&lt;&gt;#N/A"))</f>
        <v/>
      </c>
      <c r="CR78" s="31">
        <f>SUMIF(CR55:CR77,"&lt;&gt;#N/A")</f>
        <v>0</v>
      </c>
      <c r="CS78" s="31">
        <f>SUMIF(CS55:CS77,"&lt;&gt;#N/A")</f>
        <v>0</v>
      </c>
      <c r="CT78" s="31">
        <f>SUMIF(CT55:CT77,"&lt;&gt;#N/A")</f>
        <v>0</v>
      </c>
      <c r="CU78" s="32" t="str">
        <f>IF(CU55="","",SUMIF(CU55:CU77,"&lt;&gt;#N/A")/$M$3)</f>
        <v/>
      </c>
      <c r="CV78" s="32" t="str">
        <f>IF(CV55="","",SUMIF(CV55:CV77,"&lt;&gt;#N/A")/$M$3)</f>
        <v/>
      </c>
      <c r="CW78" s="32" t="str">
        <f>IF(CW55="","",SUMIF(CW55:CW77,"&lt;&gt;#N/A"))</f>
        <v/>
      </c>
      <c r="CX78" s="32" t="str">
        <f t="shared" ref="CX78:CZ78" si="72">IF(CX55="","",SUMIF(CX55:CX77,"&lt;&gt;#N/A"))</f>
        <v/>
      </c>
      <c r="CY78" s="32" t="str">
        <f t="shared" si="72"/>
        <v/>
      </c>
      <c r="CZ78" s="32" t="str">
        <f t="shared" si="72"/>
        <v/>
      </c>
      <c r="DA78" s="32" t="str">
        <f>IF(DA55="","",SUMIF(DA55:DA77,"&lt;&gt;#N/A"))</f>
        <v/>
      </c>
      <c r="DB78" s="32" t="str">
        <f>IF(DB55="","",SUMIF(DB55:DB77,"&lt;&gt;#N/A"))</f>
        <v/>
      </c>
      <c r="DC78" s="32" t="str">
        <f>IF(DC55="","",SUMIF(DC55:DC77,"&lt;&gt;#N/A"))</f>
        <v/>
      </c>
      <c r="DE78" s="29">
        <f>SUMIF(DE55:DE77,"&lt;&gt;#N/A")</f>
        <v>0</v>
      </c>
      <c r="DF78" s="29">
        <f>SUMIF(DF55:DF77,"&lt;&gt;#N/A")</f>
        <v>0</v>
      </c>
      <c r="DG78" s="29">
        <f>SUMIF(DG55:DG77,"&lt;&gt;#N/A")</f>
        <v>0</v>
      </c>
      <c r="DH78" s="30" t="str">
        <f>IF(DH55="","",SUMIF(DH55:DH77,"&lt;&gt;#N/A")/$M$3)</f>
        <v/>
      </c>
      <c r="DI78" s="30" t="str">
        <f>IF(DI55="","",SUMIF(DI55:DI77,"&lt;&gt;#N/A")/$M$3)</f>
        <v/>
      </c>
      <c r="DJ78" s="30" t="str">
        <f>IF(DJ55="","",SUMIF(DJ55:DJ77,"&lt;&gt;#N/A"))</f>
        <v/>
      </c>
      <c r="DK78" s="30" t="str">
        <f t="shared" ref="DK78:DM78" si="73">IF(DK55="","",SUMIF(DK55:DK77,"&lt;&gt;#N/A"))</f>
        <v/>
      </c>
      <c r="DL78" s="30" t="str">
        <f t="shared" si="73"/>
        <v/>
      </c>
      <c r="DM78" s="30" t="str">
        <f t="shared" si="73"/>
        <v/>
      </c>
      <c r="DN78" s="30" t="str">
        <f>IF(DN55="","",SUMIF(DN55:DN77,"&lt;&gt;#N/A"))</f>
        <v/>
      </c>
      <c r="DO78" s="30" t="str">
        <f>IF(DO55="","",SUMIF(DO55:DO77,"&lt;&gt;#N/A"))</f>
        <v/>
      </c>
      <c r="DP78" s="30" t="str">
        <f>IF(DP55="","",SUMIF(DP55:DP77,"&lt;&gt;#N/A"))</f>
        <v/>
      </c>
      <c r="DQ78" s="31">
        <f>SUMIF(DQ55:DQ77,"&lt;&gt;#N/A")</f>
        <v>0</v>
      </c>
      <c r="DR78" s="31">
        <f>SUMIF(DR55:DR77,"&lt;&gt;#N/A")</f>
        <v>0</v>
      </c>
      <c r="DS78" s="31">
        <f>SUMIF(DS55:DS77,"&lt;&gt;#N/A")</f>
        <v>0</v>
      </c>
      <c r="DT78" s="32" t="str">
        <f>IF(DT55="","",SUMIF(DT55:DT77,"&lt;&gt;#N/A")/$M$3)</f>
        <v/>
      </c>
      <c r="DU78" s="32" t="str">
        <f>IF(DU55="","",SUMIF(DU55:DU77,"&lt;&gt;#N/A")/$M$3)</f>
        <v/>
      </c>
      <c r="DV78" s="32" t="str">
        <f>IF(DV55="","",SUMIF(DV55:DV77,"&lt;&gt;#N/A"))</f>
        <v/>
      </c>
      <c r="DW78" s="32" t="str">
        <f t="shared" ref="DW78:DY78" si="74">IF(DW55="","",SUMIF(DW55:DW77,"&lt;&gt;#N/A"))</f>
        <v/>
      </c>
      <c r="DX78" s="32" t="str">
        <f t="shared" si="74"/>
        <v/>
      </c>
      <c r="DY78" s="32" t="str">
        <f t="shared" si="74"/>
        <v/>
      </c>
      <c r="DZ78" s="32" t="str">
        <f>IF(DZ55="","",SUMIF(DZ55:DZ77,"&lt;&gt;#N/A"))</f>
        <v/>
      </c>
      <c r="EA78" s="32" t="str">
        <f>IF(EA55="","",SUMIF(EA55:EA77,"&lt;&gt;#N/A"))</f>
        <v/>
      </c>
      <c r="EB78" s="32" t="str">
        <f>IF(EB55="","",SUMIF(EB55:EB77,"&lt;&gt;#N/A"))</f>
        <v/>
      </c>
      <c r="EC78" s="29">
        <f>SUMIF(EC55:EC77,"&lt;&gt;#N/A")</f>
        <v>0</v>
      </c>
      <c r="ED78" s="29">
        <f>SUMIF(ED55:ED77,"&lt;&gt;#N/A")</f>
        <v>0</v>
      </c>
      <c r="EE78" s="29">
        <f>SUMIF(EE55:EE77,"&lt;&gt;#N/A")</f>
        <v>0</v>
      </c>
      <c r="EF78" s="30" t="str">
        <f>IF(EF55="","",SUMIF(EF55:EF77,"&lt;&gt;#N/A")/$M$3)</f>
        <v/>
      </c>
      <c r="EG78" s="30" t="str">
        <f>IF(EG55="","",SUMIF(EG55:EG77,"&lt;&gt;#N/A")/$M$3)</f>
        <v/>
      </c>
      <c r="EH78" s="30" t="str">
        <f>IF(EH55="","",SUMIF(EH55:EH77,"&lt;&gt;#N/A"))</f>
        <v/>
      </c>
      <c r="EI78" s="30" t="str">
        <f t="shared" ref="EI78:EK78" si="75">IF(EI55="","",SUMIF(EI55:EI77,"&lt;&gt;#N/A"))</f>
        <v/>
      </c>
      <c r="EJ78" s="30" t="str">
        <f t="shared" si="75"/>
        <v/>
      </c>
      <c r="EK78" s="30" t="str">
        <f t="shared" si="75"/>
        <v/>
      </c>
      <c r="EL78" s="30" t="str">
        <f>IF(EL55="","",SUMIF(EL55:EL77,"&lt;&gt;#N/A"))</f>
        <v/>
      </c>
      <c r="EM78" s="30" t="str">
        <f>IF(EM55="","",SUMIF(EM55:EM77,"&lt;&gt;#N/A"))</f>
        <v/>
      </c>
      <c r="EN78" s="30" t="str">
        <f>IF(EN55="","",SUMIF(EN55:EN77,"&lt;&gt;#N/A"))</f>
        <v/>
      </c>
      <c r="EO78" s="31">
        <f>SUMIF(EO55:EO77,"&lt;&gt;#N/A")</f>
        <v>0</v>
      </c>
      <c r="EP78" s="31">
        <f>SUMIF(EP55:EP77,"&lt;&gt;#N/A")</f>
        <v>0</v>
      </c>
      <c r="EQ78" s="31">
        <f>SUMIF(EQ55:EQ77,"&lt;&gt;#N/A")</f>
        <v>0</v>
      </c>
      <c r="ER78" s="32" t="str">
        <f>IF(ER55="","",SUMIF(ER55:ER77,"&lt;&gt;#N/A")/$M$3)</f>
        <v/>
      </c>
      <c r="ES78" s="32" t="str">
        <f>IF(ES55="","",SUMIF(ES55:ES77,"&lt;&gt;#N/A")/$M$3)</f>
        <v/>
      </c>
      <c r="ET78" s="32" t="str">
        <f>IF(ET55="","",SUMIF(ET55:ET77,"&lt;&gt;#N/A"))</f>
        <v/>
      </c>
      <c r="EU78" s="32" t="str">
        <f t="shared" ref="EU78:EW78" si="76">IF(EU55="","",SUMIF(EU55:EU77,"&lt;&gt;#N/A"))</f>
        <v/>
      </c>
      <c r="EV78" s="32" t="str">
        <f t="shared" si="76"/>
        <v/>
      </c>
      <c r="EW78" s="32" t="str">
        <f t="shared" si="76"/>
        <v/>
      </c>
      <c r="EX78" s="32" t="str">
        <f>IF(EX55="","",SUMIF(EX55:EX77,"&lt;&gt;#N/A"))</f>
        <v/>
      </c>
      <c r="EY78" s="32" t="str">
        <f>IF(EY55="","",SUMIF(EY55:EY77,"&lt;&gt;#N/A"))</f>
        <v/>
      </c>
      <c r="EZ78" s="32" t="str">
        <f>IF(EZ55="","",SUMIF(EZ55:EZ77,"&lt;&gt;#N/A"))</f>
        <v/>
      </c>
      <c r="FB78" s="29">
        <f>SUMIF(FB55:FB77,"&lt;&gt;#N/A")</f>
        <v>0</v>
      </c>
      <c r="FC78" s="29">
        <f>SUMIF(FC55:FC77,"&lt;&gt;#N/A")</f>
        <v>0</v>
      </c>
      <c r="FD78" s="29">
        <f>SUMIF(FD55:FD77,"&lt;&gt;#N/A")</f>
        <v>0</v>
      </c>
      <c r="FE78" s="30" t="str">
        <f>IF(FE55="","",SUMIF(FE55:FE77,"&lt;&gt;#N/A")/$M$3)</f>
        <v/>
      </c>
      <c r="FF78" s="30" t="str">
        <f>IF(FF55="","",SUMIF(FF55:FF77,"&lt;&gt;#N/A")/$M$3)</f>
        <v/>
      </c>
      <c r="FG78" s="30" t="str">
        <f>IF(FG55="","",SUMIF(FG55:FG77,"&lt;&gt;#N/A"))</f>
        <v/>
      </c>
      <c r="FH78" s="30" t="str">
        <f t="shared" ref="FH78:FJ78" si="77">IF(FH55="","",SUMIF(FH55:FH77,"&lt;&gt;#N/A"))</f>
        <v/>
      </c>
      <c r="FI78" s="30" t="str">
        <f t="shared" si="77"/>
        <v/>
      </c>
      <c r="FJ78" s="30" t="str">
        <f t="shared" si="77"/>
        <v/>
      </c>
      <c r="FK78" s="30" t="str">
        <f>IF(FK55="","",SUMIF(FK55:FK77,"&lt;&gt;#N/A"))</f>
        <v/>
      </c>
      <c r="FL78" s="30" t="str">
        <f>IF(FL55="","",SUMIF(FL55:FL77,"&lt;&gt;#N/A"))</f>
        <v/>
      </c>
      <c r="FM78" s="30" t="str">
        <f>IF(FM55="","",SUMIF(FM55:FM77,"&lt;&gt;#N/A"))</f>
        <v/>
      </c>
      <c r="FN78" s="31">
        <f>SUMIF(FN55:FN77,"&lt;&gt;#N/A")</f>
        <v>0</v>
      </c>
      <c r="FO78" s="31">
        <f>SUMIF(FO55:FO77,"&lt;&gt;#N/A")</f>
        <v>0</v>
      </c>
      <c r="FP78" s="31">
        <f>SUMIF(FP55:FP77,"&lt;&gt;#N/A")</f>
        <v>0</v>
      </c>
      <c r="FQ78" s="32" t="str">
        <f>IF(FQ55="","",SUMIF(FQ55:FQ77,"&lt;&gt;#N/A")/$M$3)</f>
        <v/>
      </c>
      <c r="FR78" s="32" t="str">
        <f>IF(FR55="","",SUMIF(FR55:FR77,"&lt;&gt;#N/A")/$M$3)</f>
        <v/>
      </c>
      <c r="FS78" s="32" t="str">
        <f>IF(FS55="","",SUMIF(FS55:FS77,"&lt;&gt;#N/A"))</f>
        <v/>
      </c>
      <c r="FT78" s="32" t="str">
        <f t="shared" ref="FT78:FV78" si="78">IF(FT55="","",SUMIF(FT55:FT77,"&lt;&gt;#N/A"))</f>
        <v/>
      </c>
      <c r="FU78" s="32" t="str">
        <f t="shared" si="78"/>
        <v/>
      </c>
      <c r="FV78" s="32" t="str">
        <f t="shared" si="78"/>
        <v/>
      </c>
      <c r="FW78" s="32" t="str">
        <f>IF(FW55="","",SUMIF(FW55:FW77,"&lt;&gt;#N/A"))</f>
        <v/>
      </c>
      <c r="FX78" s="32" t="str">
        <f>IF(FX55="","",SUMIF(FX55:FX77,"&lt;&gt;#N/A"))</f>
        <v/>
      </c>
      <c r="FY78" s="32" t="str">
        <f>IF(FY55="","",SUMIF(FY55:FY77,"&lt;&gt;#N/A"))</f>
        <v/>
      </c>
      <c r="FZ78" s="29">
        <f>SUMIF(FZ55:FZ77,"&lt;&gt;#N/A")</f>
        <v>0</v>
      </c>
      <c r="GA78" s="29">
        <f>SUMIF(GA55:GA77,"&lt;&gt;#N/A")</f>
        <v>0</v>
      </c>
      <c r="GB78" s="29">
        <f>SUMIF(GB55:GB77,"&lt;&gt;#N/A")</f>
        <v>0</v>
      </c>
      <c r="GC78" s="30" t="str">
        <f>IF(GC55="","",SUMIF(GC55:GC77,"&lt;&gt;#N/A")/$M$3)</f>
        <v/>
      </c>
      <c r="GD78" s="30" t="str">
        <f>IF(GD55="","",SUMIF(GD55:GD77,"&lt;&gt;#N/A")/$M$3)</f>
        <v/>
      </c>
      <c r="GE78" s="30" t="str">
        <f>IF(GE55="","",SUMIF(GE55:GE77,"&lt;&gt;#N/A"))</f>
        <v/>
      </c>
      <c r="GF78" s="30" t="str">
        <f t="shared" ref="GF78:GH78" si="79">IF(GF55="","",SUMIF(GF55:GF77,"&lt;&gt;#N/A"))</f>
        <v/>
      </c>
      <c r="GG78" s="30" t="str">
        <f t="shared" si="79"/>
        <v/>
      </c>
      <c r="GH78" s="30" t="str">
        <f t="shared" si="79"/>
        <v/>
      </c>
      <c r="GI78" s="30" t="str">
        <f>IF(GI55="","",SUMIF(GI55:GI77,"&lt;&gt;#N/A"))</f>
        <v/>
      </c>
      <c r="GJ78" s="30" t="str">
        <f>IF(GJ55="","",SUMIF(GJ55:GJ77,"&lt;&gt;#N/A"))</f>
        <v/>
      </c>
      <c r="GK78" s="30" t="str">
        <f>IF(GK55="","",SUMIF(GK55:GK77,"&lt;&gt;#N/A"))</f>
        <v/>
      </c>
      <c r="GL78" s="31">
        <f>SUMIF(GL55:GL77,"&lt;&gt;#N/A")</f>
        <v>0</v>
      </c>
      <c r="GM78" s="31">
        <f>SUMIF(GM55:GM77,"&lt;&gt;#N/A")</f>
        <v>0</v>
      </c>
      <c r="GN78" s="31">
        <f>SUMIF(GN55:GN77,"&lt;&gt;#N/A")</f>
        <v>0</v>
      </c>
      <c r="GO78" s="32" t="str">
        <f>IF(GO55="","",SUMIF(GO55:GO77,"&lt;&gt;#N/A")/$M$3)</f>
        <v/>
      </c>
      <c r="GP78" s="32" t="str">
        <f>IF(GP55="","",SUMIF(GP55:GP77,"&lt;&gt;#N/A")/$M$3)</f>
        <v/>
      </c>
      <c r="GQ78" s="32" t="str">
        <f>IF(GQ55="","",SUMIF(GQ55:GQ77,"&lt;&gt;#N/A"))</f>
        <v/>
      </c>
      <c r="GR78" s="32" t="str">
        <f t="shared" ref="GR78:GT78" si="80">IF(GR55="","",SUMIF(GR55:GR77,"&lt;&gt;#N/A"))</f>
        <v/>
      </c>
      <c r="GS78" s="32" t="str">
        <f t="shared" si="80"/>
        <v/>
      </c>
      <c r="GT78" s="32" t="str">
        <f t="shared" si="80"/>
        <v/>
      </c>
      <c r="GU78" s="32" t="str">
        <f>IF(GU55="","",SUMIF(GU55:GU77,"&lt;&gt;#N/A"))</f>
        <v/>
      </c>
      <c r="GV78" s="32" t="str">
        <f>IF(GV55="","",SUMIF(GV55:GV77,"&lt;&gt;#N/A"))</f>
        <v/>
      </c>
      <c r="GW78" s="32" t="str">
        <f>IF(GW55="","",SUMIF(GW55:GW77,"&lt;&gt;#N/A"))</f>
        <v/>
      </c>
      <c r="GY78" s="29">
        <f>SUMIF(GY55:GY77,"&lt;&gt;#N/A")</f>
        <v>0</v>
      </c>
      <c r="GZ78" s="29">
        <f>SUMIF(GZ55:GZ77,"&lt;&gt;#N/A")</f>
        <v>0</v>
      </c>
      <c r="HA78" s="29">
        <f>SUMIF(HA55:HA77,"&lt;&gt;#N/A")</f>
        <v>0</v>
      </c>
      <c r="HB78" s="30" t="str">
        <f>IF(HB55="","",SUMIF(HB55:HB77,"&lt;&gt;#N/A")/$M$3)</f>
        <v/>
      </c>
      <c r="HC78" s="30" t="str">
        <f>IF(HC55="","",SUMIF(HC55:HC77,"&lt;&gt;#N/A")/$M$3)</f>
        <v/>
      </c>
      <c r="HD78" s="30" t="str">
        <f>IF(HD55="","",SUMIF(HD55:HD77,"&lt;&gt;#N/A"))</f>
        <v/>
      </c>
      <c r="HE78" s="30" t="str">
        <f t="shared" ref="HE78:HG78" si="81">IF(HE55="","",SUMIF(HE55:HE77,"&lt;&gt;#N/A"))</f>
        <v/>
      </c>
      <c r="HF78" s="30" t="str">
        <f t="shared" si="81"/>
        <v/>
      </c>
      <c r="HG78" s="30" t="str">
        <f t="shared" si="81"/>
        <v/>
      </c>
      <c r="HH78" s="30" t="str">
        <f>IF(HH55="","",SUMIF(HH55:HH77,"&lt;&gt;#N/A"))</f>
        <v/>
      </c>
      <c r="HI78" s="30" t="str">
        <f>IF(HI55="","",SUMIF(HI55:HI77,"&lt;&gt;#N/A"))</f>
        <v/>
      </c>
      <c r="HJ78" s="30" t="str">
        <f>IF(HJ55="","",SUMIF(HJ55:HJ77,"&lt;&gt;#N/A"))</f>
        <v/>
      </c>
      <c r="HK78" s="31">
        <f>SUMIF(HK55:HK77,"&lt;&gt;#N/A")</f>
        <v>0</v>
      </c>
      <c r="HL78" s="31">
        <f>SUMIF(HL55:HL77,"&lt;&gt;#N/A")</f>
        <v>0</v>
      </c>
      <c r="HM78" s="31">
        <f>SUMIF(HM55:HM77,"&lt;&gt;#N/A")</f>
        <v>0</v>
      </c>
      <c r="HN78" s="32" t="str">
        <f>IF(HN55="","",SUMIF(HN55:HN77,"&lt;&gt;#N/A")/$M$3)</f>
        <v/>
      </c>
      <c r="HO78" s="32" t="str">
        <f>IF(HO55="","",SUMIF(HO55:HO77,"&lt;&gt;#N/A")/$M$3)</f>
        <v/>
      </c>
      <c r="HP78" s="32" t="str">
        <f>IF(HP55="","",SUMIF(HP55:HP77,"&lt;&gt;#N/A"))</f>
        <v/>
      </c>
      <c r="HQ78" s="32" t="str">
        <f t="shared" ref="HQ78:HS78" si="82">IF(HQ55="","",SUMIF(HQ55:HQ77,"&lt;&gt;#N/A"))</f>
        <v/>
      </c>
      <c r="HR78" s="32" t="str">
        <f t="shared" si="82"/>
        <v/>
      </c>
      <c r="HS78" s="32" t="str">
        <f t="shared" si="82"/>
        <v/>
      </c>
      <c r="HT78" s="32" t="str">
        <f>IF(HT55="","",SUMIF(HT55:HT77,"&lt;&gt;#N/A"))</f>
        <v/>
      </c>
      <c r="HU78" s="32" t="str">
        <f>IF(HU55="","",SUMIF(HU55:HU77,"&lt;&gt;#N/A"))</f>
        <v/>
      </c>
      <c r="HV78" s="32" t="str">
        <f>IF(HV55="","",SUMIF(HV55:HV77,"&lt;&gt;#N/A"))</f>
        <v/>
      </c>
      <c r="HW78" s="29">
        <f>SUMIF(HW55:HW77,"&lt;&gt;#N/A")</f>
        <v>0</v>
      </c>
      <c r="HX78" s="29">
        <f>SUMIF(HX55:HX77,"&lt;&gt;#N/A")</f>
        <v>0</v>
      </c>
      <c r="HY78" s="29">
        <f>SUMIF(HY55:HY77,"&lt;&gt;#N/A")</f>
        <v>0</v>
      </c>
      <c r="HZ78" s="30" t="str">
        <f>IF(HZ55="","",SUMIF(HZ55:HZ77,"&lt;&gt;#N/A")/$M$3)</f>
        <v/>
      </c>
      <c r="IA78" s="30" t="str">
        <f>IF(IA55="","",SUMIF(IA55:IA77,"&lt;&gt;#N/A")/$M$3)</f>
        <v/>
      </c>
      <c r="IB78" s="30" t="str">
        <f>IF(IB55="","",SUMIF(IB55:IB77,"&lt;&gt;#N/A"))</f>
        <v/>
      </c>
      <c r="IC78" s="30" t="str">
        <f t="shared" ref="IC78:IE78" si="83">IF(IC55="","",SUMIF(IC55:IC77,"&lt;&gt;#N/A"))</f>
        <v/>
      </c>
      <c r="ID78" s="30" t="str">
        <f t="shared" si="83"/>
        <v/>
      </c>
      <c r="IE78" s="30" t="str">
        <f t="shared" si="83"/>
        <v/>
      </c>
      <c r="IF78" s="30" t="str">
        <f>IF(IF55="","",SUMIF(IF55:IF77,"&lt;&gt;#N/A"))</f>
        <v/>
      </c>
      <c r="IG78" s="30" t="str">
        <f>IF(IG55="","",SUMIF(IG55:IG77,"&lt;&gt;#N/A"))</f>
        <v/>
      </c>
      <c r="IH78" s="30" t="str">
        <f>IF(IH55="","",SUMIF(IH55:IH77,"&lt;&gt;#N/A"))</f>
        <v/>
      </c>
      <c r="II78" s="31">
        <f>SUMIF(II55:II77,"&lt;&gt;#N/A")</f>
        <v>0</v>
      </c>
      <c r="IJ78" s="31">
        <f>SUMIF(IJ55:IJ77,"&lt;&gt;#N/A")</f>
        <v>0</v>
      </c>
      <c r="IK78" s="31">
        <f>SUMIF(IK55:IK77,"&lt;&gt;#N/A")</f>
        <v>0</v>
      </c>
      <c r="IL78" s="32" t="str">
        <f>IF(IL55="","",SUMIF(IL55:IL77,"&lt;&gt;#N/A")/$M$3)</f>
        <v/>
      </c>
      <c r="IM78" s="32" t="str">
        <f>IF(IM55="","",SUMIF(IM55:IM77,"&lt;&gt;#N/A")/$M$3)</f>
        <v/>
      </c>
      <c r="IN78" s="32" t="str">
        <f>IF(IN55="","",SUMIF(IN55:IN77,"&lt;&gt;#N/A"))</f>
        <v/>
      </c>
      <c r="IO78" s="32" t="str">
        <f t="shared" ref="IO78:IQ78" si="84">IF(IO55="","",SUMIF(IO55:IO77,"&lt;&gt;#N/A"))</f>
        <v/>
      </c>
      <c r="IP78" s="32" t="str">
        <f t="shared" si="84"/>
        <v/>
      </c>
      <c r="IQ78" s="32" t="str">
        <f t="shared" si="84"/>
        <v/>
      </c>
      <c r="IR78" s="32" t="str">
        <f>IF(IR55="","",SUMIF(IR55:IR77,"&lt;&gt;#N/A"))</f>
        <v/>
      </c>
      <c r="IS78" s="32" t="str">
        <f>IF(IS55="","",SUMIF(IS55:IS77,"&lt;&gt;#N/A"))</f>
        <v/>
      </c>
      <c r="IT78" s="32" t="str">
        <f>IF(IT55="","",SUMIF(IT55:IT77,"&lt;&gt;#N/A"))</f>
        <v/>
      </c>
      <c r="IV78" s="29">
        <f>SUMIF(IV55:IV77,"&lt;&gt;#N/A")</f>
        <v>0</v>
      </c>
      <c r="IW78" s="29">
        <f>SUMIF(IW55:IW77,"&lt;&gt;#N/A")</f>
        <v>0</v>
      </c>
      <c r="IX78" s="29">
        <f>SUMIF(IX55:IX77,"&lt;&gt;#N/A")</f>
        <v>0</v>
      </c>
      <c r="IY78" s="30" t="str">
        <f>IF(IY55="","",SUMIF(IY55:IY77,"&lt;&gt;#N/A")/$M$3)</f>
        <v/>
      </c>
      <c r="IZ78" s="30" t="str">
        <f>IF(IZ55="","",SUMIF(IZ55:IZ77,"&lt;&gt;#N/A")/$M$3)</f>
        <v/>
      </c>
      <c r="JA78" s="30" t="str">
        <f>IF(JA55="","",SUMIF(JA55:JA77,"&lt;&gt;#N/A"))</f>
        <v/>
      </c>
      <c r="JB78" s="30" t="str">
        <f t="shared" ref="JB78:JD78" si="85">IF(JB55="","",SUMIF(JB55:JB77,"&lt;&gt;#N/A"))</f>
        <v/>
      </c>
      <c r="JC78" s="30" t="str">
        <f t="shared" si="85"/>
        <v/>
      </c>
      <c r="JD78" s="30" t="str">
        <f t="shared" si="85"/>
        <v/>
      </c>
      <c r="JE78" s="30" t="str">
        <f>IF(JE55="","",SUMIF(JE55:JE77,"&lt;&gt;#N/A"))</f>
        <v/>
      </c>
      <c r="JF78" s="30" t="str">
        <f>IF(JF55="","",SUMIF(JF55:JF77,"&lt;&gt;#N/A"))</f>
        <v/>
      </c>
      <c r="JG78" s="30" t="str">
        <f>IF(JG55="","",SUMIF(JG55:JG77,"&lt;&gt;#N/A"))</f>
        <v/>
      </c>
      <c r="JH78" s="31">
        <f>SUMIF(JH55:JH77,"&lt;&gt;#N/A")</f>
        <v>0</v>
      </c>
      <c r="JI78" s="31">
        <f>SUMIF(JI55:JI77,"&lt;&gt;#N/A")</f>
        <v>0</v>
      </c>
      <c r="JJ78" s="31">
        <f>SUMIF(JJ55:JJ77,"&lt;&gt;#N/A")</f>
        <v>0</v>
      </c>
      <c r="JK78" s="32" t="str">
        <f>IF(JK55="","",SUMIF(JK55:JK77,"&lt;&gt;#N/A")/$M$3)</f>
        <v/>
      </c>
      <c r="JL78" s="32" t="str">
        <f>IF(JL55="","",SUMIF(JL55:JL77,"&lt;&gt;#N/A")/$M$3)</f>
        <v/>
      </c>
      <c r="JM78" s="32" t="str">
        <f>IF(JM55="","",SUMIF(JM55:JM77,"&lt;&gt;#N/A"))</f>
        <v/>
      </c>
      <c r="JN78" s="32" t="str">
        <f t="shared" ref="JN78:JP78" si="86">IF(JN55="","",SUMIF(JN55:JN77,"&lt;&gt;#N/A"))</f>
        <v/>
      </c>
      <c r="JO78" s="32" t="str">
        <f t="shared" si="86"/>
        <v/>
      </c>
      <c r="JP78" s="32" t="str">
        <f t="shared" si="86"/>
        <v/>
      </c>
      <c r="JQ78" s="32" t="str">
        <f>IF(JQ55="","",SUMIF(JQ55:JQ77,"&lt;&gt;#N/A"))</f>
        <v/>
      </c>
      <c r="JR78" s="32" t="str">
        <f>IF(JR55="","",SUMIF(JR55:JR77,"&lt;&gt;#N/A"))</f>
        <v/>
      </c>
      <c r="JS78" s="32" t="str">
        <f>IF(JS55="","",SUMIF(JS55:JS77,"&lt;&gt;#N/A"))</f>
        <v/>
      </c>
      <c r="JT78" s="29">
        <f>SUMIF(JT55:JT77,"&lt;&gt;#N/A")</f>
        <v>0</v>
      </c>
      <c r="JU78" s="29">
        <f>SUMIF(JU55:JU77,"&lt;&gt;#N/A")</f>
        <v>0</v>
      </c>
      <c r="JV78" s="29">
        <f>SUMIF(JV55:JV77,"&lt;&gt;#N/A")</f>
        <v>0</v>
      </c>
      <c r="JW78" s="30" t="str">
        <f>IF(JW55="","",SUMIF(JW55:JW77,"&lt;&gt;#N/A")/$M$3)</f>
        <v/>
      </c>
      <c r="JX78" s="30" t="str">
        <f>IF(JX55="","",SUMIF(JX55:JX77,"&lt;&gt;#N/A")/$M$3)</f>
        <v/>
      </c>
      <c r="JY78" s="30" t="str">
        <f>IF(JY55="","",SUMIF(JY55:JY77,"&lt;&gt;#N/A"))</f>
        <v/>
      </c>
      <c r="JZ78" s="30" t="str">
        <f t="shared" ref="JZ78:KB78" si="87">IF(JZ55="","",SUMIF(JZ55:JZ77,"&lt;&gt;#N/A"))</f>
        <v/>
      </c>
      <c r="KA78" s="30" t="str">
        <f t="shared" si="87"/>
        <v/>
      </c>
      <c r="KB78" s="30" t="str">
        <f t="shared" si="87"/>
        <v/>
      </c>
      <c r="KC78" s="30" t="str">
        <f>IF(KC55="","",SUMIF(KC55:KC77,"&lt;&gt;#N/A"))</f>
        <v/>
      </c>
      <c r="KD78" s="30" t="str">
        <f>IF(KD55="","",SUMIF(KD55:KD77,"&lt;&gt;#N/A"))</f>
        <v/>
      </c>
      <c r="KE78" s="30" t="str">
        <f>IF(KE55="","",SUMIF(KE55:KE77,"&lt;&gt;#N/A"))</f>
        <v/>
      </c>
      <c r="KF78" s="31">
        <f>SUMIF(KF55:KF77,"&lt;&gt;#N/A")</f>
        <v>0</v>
      </c>
      <c r="KG78" s="31">
        <f>SUMIF(KG55:KG77,"&lt;&gt;#N/A")</f>
        <v>0</v>
      </c>
      <c r="KH78" s="31">
        <f>SUMIF(KH55:KH77,"&lt;&gt;#N/A")</f>
        <v>0</v>
      </c>
      <c r="KI78" s="32" t="str">
        <f>IF(KI55="","",SUMIF(KI55:KI77,"&lt;&gt;#N/A")/$M$3)</f>
        <v/>
      </c>
      <c r="KJ78" s="32" t="str">
        <f>IF(KJ55="","",SUMIF(KJ55:KJ77,"&lt;&gt;#N/A")/$M$3)</f>
        <v/>
      </c>
      <c r="KK78" s="32" t="str">
        <f>IF(KK55="","",SUMIF(KK55:KK77,"&lt;&gt;#N/A"))</f>
        <v/>
      </c>
      <c r="KL78" s="32" t="str">
        <f t="shared" ref="KL78:KN78" si="88">IF(KL55="","",SUMIF(KL55:KL77,"&lt;&gt;#N/A"))</f>
        <v/>
      </c>
      <c r="KM78" s="32" t="str">
        <f t="shared" si="88"/>
        <v/>
      </c>
      <c r="KN78" s="32" t="str">
        <f t="shared" si="88"/>
        <v/>
      </c>
      <c r="KO78" s="32" t="str">
        <f>IF(KO55="","",SUMIF(KO55:KO77,"&lt;&gt;#N/A"))</f>
        <v/>
      </c>
      <c r="KP78" s="32" t="str">
        <f>IF(KP55="","",SUMIF(KP55:KP77,"&lt;&gt;#N/A"))</f>
        <v/>
      </c>
      <c r="KQ78" s="32" t="str">
        <f>IF(KQ55="","",SUMIF(KQ55:KQ77,"&lt;&gt;#N/A"))</f>
        <v/>
      </c>
      <c r="KS78" s="29">
        <f>SUMIF(KS55:KS77,"&lt;&gt;#N/A")</f>
        <v>0</v>
      </c>
      <c r="KT78" s="29">
        <f>SUMIF(KT55:KT77,"&lt;&gt;#N/A")</f>
        <v>0</v>
      </c>
      <c r="KU78" s="29">
        <f>SUMIF(KU55:KU77,"&lt;&gt;#N/A")</f>
        <v>0</v>
      </c>
      <c r="KV78" s="30" t="str">
        <f>IF(KV55="","",SUMIF(KV55:KV77,"&lt;&gt;#N/A")/$M$3)</f>
        <v/>
      </c>
      <c r="KW78" s="30" t="str">
        <f>IF(KW55="","",SUMIF(KW55:KW77,"&lt;&gt;#N/A")/$M$3)</f>
        <v/>
      </c>
      <c r="KX78" s="30" t="str">
        <f>IF(KX55="","",SUMIF(KX55:KX77,"&lt;&gt;#N/A"))</f>
        <v/>
      </c>
      <c r="KY78" s="30" t="str">
        <f t="shared" ref="KY78:LA78" si="89">IF(KY55="","",SUMIF(KY55:KY77,"&lt;&gt;#N/A"))</f>
        <v/>
      </c>
      <c r="KZ78" s="30" t="str">
        <f t="shared" si="89"/>
        <v/>
      </c>
      <c r="LA78" s="30" t="str">
        <f t="shared" si="89"/>
        <v/>
      </c>
      <c r="LB78" s="30" t="str">
        <f>IF(LB55="","",SUMIF(LB55:LB77,"&lt;&gt;#N/A"))</f>
        <v/>
      </c>
      <c r="LC78" s="30" t="str">
        <f>IF(LC55="","",SUMIF(LC55:LC77,"&lt;&gt;#N/A"))</f>
        <v/>
      </c>
      <c r="LD78" s="30" t="str">
        <f>IF(LD55="","",SUMIF(LD55:LD77,"&lt;&gt;#N/A"))</f>
        <v/>
      </c>
      <c r="LE78" s="31">
        <f>SUMIF(LE55:LE77,"&lt;&gt;#N/A")</f>
        <v>0</v>
      </c>
      <c r="LF78" s="31">
        <f>SUMIF(LF55:LF77,"&lt;&gt;#N/A")</f>
        <v>0</v>
      </c>
      <c r="LG78" s="31">
        <f>SUMIF(LG55:LG77,"&lt;&gt;#N/A")</f>
        <v>0</v>
      </c>
      <c r="LH78" s="32" t="str">
        <f>IF(LH55="","",SUMIF(LH55:LH77,"&lt;&gt;#N/A")/$M$3)</f>
        <v/>
      </c>
      <c r="LI78" s="32" t="str">
        <f>IF(LI55="","",SUMIF(LI55:LI77,"&lt;&gt;#N/A")/$M$3)</f>
        <v/>
      </c>
      <c r="LJ78" s="32" t="str">
        <f>IF(LJ55="","",SUMIF(LJ55:LJ77,"&lt;&gt;#N/A"))</f>
        <v/>
      </c>
      <c r="LK78" s="32" t="str">
        <f t="shared" ref="LK78:LM78" si="90">IF(LK55="","",SUMIF(LK55:LK77,"&lt;&gt;#N/A"))</f>
        <v/>
      </c>
      <c r="LL78" s="32" t="str">
        <f t="shared" si="90"/>
        <v/>
      </c>
      <c r="LM78" s="32" t="str">
        <f t="shared" si="90"/>
        <v/>
      </c>
      <c r="LN78" s="32" t="str">
        <f>IF(LN55="","",SUMIF(LN55:LN77,"&lt;&gt;#N/A"))</f>
        <v/>
      </c>
      <c r="LO78" s="32" t="str">
        <f>IF(LO55="","",SUMIF(LO55:LO77,"&lt;&gt;#N/A"))</f>
        <v/>
      </c>
      <c r="LP78" s="32" t="str">
        <f>IF(LP55="","",SUMIF(LP55:LP77,"&lt;&gt;#N/A"))</f>
        <v/>
      </c>
      <c r="LQ78" s="29">
        <f>SUMIF(LQ55:LQ77,"&lt;&gt;#N/A")</f>
        <v>0</v>
      </c>
      <c r="LR78" s="29">
        <f>SUMIF(LR55:LR77,"&lt;&gt;#N/A")</f>
        <v>0</v>
      </c>
      <c r="LS78" s="29">
        <f>SUMIF(LS55:LS77,"&lt;&gt;#N/A")</f>
        <v>0</v>
      </c>
      <c r="LT78" s="30" t="str">
        <f>IF(LT55="","",SUMIF(LT55:LT77,"&lt;&gt;#N/A")/$M$3)</f>
        <v/>
      </c>
      <c r="LU78" s="30" t="str">
        <f>IF(LU55="","",SUMIF(LU55:LU77,"&lt;&gt;#N/A")/$M$3)</f>
        <v/>
      </c>
      <c r="LV78" s="30" t="str">
        <f>IF(LV55="","",SUMIF(LV55:LV77,"&lt;&gt;#N/A"))</f>
        <v/>
      </c>
      <c r="LW78" s="30" t="str">
        <f t="shared" ref="LW78:LY78" si="91">IF(LW55="","",SUMIF(LW55:LW77,"&lt;&gt;#N/A"))</f>
        <v/>
      </c>
      <c r="LX78" s="30" t="str">
        <f t="shared" si="91"/>
        <v/>
      </c>
      <c r="LY78" s="30" t="str">
        <f t="shared" si="91"/>
        <v/>
      </c>
      <c r="LZ78" s="30" t="str">
        <f>IF(LZ55="","",SUMIF(LZ55:LZ77,"&lt;&gt;#N/A"))</f>
        <v/>
      </c>
      <c r="MA78" s="30" t="str">
        <f>IF(MA55="","",SUMIF(MA55:MA77,"&lt;&gt;#N/A"))</f>
        <v/>
      </c>
      <c r="MB78" s="30" t="str">
        <f>IF(MB55="","",SUMIF(MB55:MB77,"&lt;&gt;#N/A"))</f>
        <v/>
      </c>
      <c r="MC78" s="31">
        <f>SUMIF(MC55:MC77,"&lt;&gt;#N/A")</f>
        <v>0</v>
      </c>
      <c r="MD78" s="31">
        <f>SUMIF(MD55:MD77,"&lt;&gt;#N/A")</f>
        <v>0</v>
      </c>
      <c r="ME78" s="31">
        <f>SUMIF(ME55:ME77,"&lt;&gt;#N/A")</f>
        <v>0</v>
      </c>
      <c r="MF78" s="32" t="str">
        <f>IF(MF55="","",SUMIF(MF55:MF77,"&lt;&gt;#N/A")/$M$3)</f>
        <v/>
      </c>
      <c r="MG78" s="32" t="str">
        <f>IF(MG55="","",SUMIF(MG55:MG77,"&lt;&gt;#N/A")/$M$3)</f>
        <v/>
      </c>
      <c r="MH78" s="32" t="str">
        <f>IF(MH55="","",SUMIF(MH55:MH77,"&lt;&gt;#N/A"))</f>
        <v/>
      </c>
      <c r="MI78" s="32" t="str">
        <f t="shared" ref="MI78:MK78" si="92">IF(MI55="","",SUMIF(MI55:MI77,"&lt;&gt;#N/A"))</f>
        <v/>
      </c>
      <c r="MJ78" s="32" t="str">
        <f t="shared" si="92"/>
        <v/>
      </c>
      <c r="MK78" s="32" t="str">
        <f t="shared" si="92"/>
        <v/>
      </c>
      <c r="ML78" s="32" t="str">
        <f>IF(ML55="","",SUMIF(ML55:ML77,"&lt;&gt;#N/A"))</f>
        <v/>
      </c>
      <c r="MM78" s="32" t="str">
        <f>IF(MM55="","",SUMIF(MM55:MM77,"&lt;&gt;#N/A"))</f>
        <v/>
      </c>
      <c r="MN78" s="32" t="str">
        <f>IF(MN55="","",SUMIF(MN55:MN77,"&lt;&gt;#N/A"))</f>
        <v/>
      </c>
      <c r="MP78" s="29">
        <f>SUMIF(MP55:MP77,"&lt;&gt;#N/A")</f>
        <v>0</v>
      </c>
      <c r="MQ78" s="29">
        <f>SUMIF(MQ55:MQ77,"&lt;&gt;#N/A")</f>
        <v>0</v>
      </c>
      <c r="MR78" s="29">
        <f>SUMIF(MR55:MR77,"&lt;&gt;#N/A")</f>
        <v>0</v>
      </c>
      <c r="MS78" s="30" t="str">
        <f>IF(MS55="","",SUMIF(MS55:MS77,"&lt;&gt;#N/A")/$M$3)</f>
        <v/>
      </c>
      <c r="MT78" s="30" t="str">
        <f>IF(MT55="","",SUMIF(MT55:MT77,"&lt;&gt;#N/A")/$M$3)</f>
        <v/>
      </c>
      <c r="MU78" s="30" t="str">
        <f>IF(MU55="","",SUMIF(MU55:MU77,"&lt;&gt;#N/A"))</f>
        <v/>
      </c>
      <c r="MV78" s="30" t="str">
        <f t="shared" ref="MV78:MX78" si="93">IF(MV55="","",SUMIF(MV55:MV77,"&lt;&gt;#N/A"))</f>
        <v/>
      </c>
      <c r="MW78" s="30" t="str">
        <f t="shared" si="93"/>
        <v/>
      </c>
      <c r="MX78" s="30" t="str">
        <f t="shared" si="93"/>
        <v/>
      </c>
      <c r="MY78" s="30" t="str">
        <f>IF(MY55="","",SUMIF(MY55:MY77,"&lt;&gt;#N/A"))</f>
        <v/>
      </c>
      <c r="MZ78" s="30" t="str">
        <f>IF(MZ55="","",SUMIF(MZ55:MZ77,"&lt;&gt;#N/A"))</f>
        <v/>
      </c>
      <c r="NA78" s="30" t="str">
        <f>IF(NA55="","",SUMIF(NA55:NA77,"&lt;&gt;#N/A"))</f>
        <v/>
      </c>
      <c r="NB78" s="31">
        <f>SUMIF(NB55:NB77,"&lt;&gt;#N/A")</f>
        <v>0</v>
      </c>
      <c r="NC78" s="31">
        <f>SUMIF(NC55:NC77,"&lt;&gt;#N/A")</f>
        <v>0</v>
      </c>
      <c r="ND78" s="31">
        <f>SUMIF(ND55:ND77,"&lt;&gt;#N/A")</f>
        <v>0</v>
      </c>
      <c r="NE78" s="32" t="str">
        <f>IF(NE55="","",SUMIF(NE55:NE77,"&lt;&gt;#N/A")/$M$3)</f>
        <v/>
      </c>
      <c r="NF78" s="32" t="str">
        <f>IF(NF55="","",SUMIF(NF55:NF77,"&lt;&gt;#N/A")/$M$3)</f>
        <v/>
      </c>
      <c r="NG78" s="32" t="str">
        <f>IF(NG55="","",SUMIF(NG55:NG77,"&lt;&gt;#N/A"))</f>
        <v/>
      </c>
      <c r="NH78" s="32" t="str">
        <f t="shared" ref="NH78:NJ78" si="94">IF(NH55="","",SUMIF(NH55:NH77,"&lt;&gt;#N/A"))</f>
        <v/>
      </c>
      <c r="NI78" s="32" t="str">
        <f t="shared" si="94"/>
        <v/>
      </c>
      <c r="NJ78" s="32" t="str">
        <f t="shared" si="94"/>
        <v/>
      </c>
      <c r="NK78" s="32" t="str">
        <f>IF(NK55="","",SUMIF(NK55:NK77,"&lt;&gt;#N/A"))</f>
        <v/>
      </c>
      <c r="NL78" s="32" t="str">
        <f>IF(NL55="","",SUMIF(NL55:NL77,"&lt;&gt;#N/A"))</f>
        <v/>
      </c>
      <c r="NM78" s="32" t="str">
        <f>IF(NM55="","",SUMIF(NM55:NM77,"&lt;&gt;#N/A"))</f>
        <v/>
      </c>
      <c r="NN78" s="29">
        <f>SUMIF(NN55:NN77,"&lt;&gt;#N/A")</f>
        <v>0</v>
      </c>
      <c r="NO78" s="29">
        <f>SUMIF(NO55:NO77,"&lt;&gt;#N/A")</f>
        <v>0</v>
      </c>
      <c r="NP78" s="29">
        <f>SUMIF(NP55:NP77,"&lt;&gt;#N/A")</f>
        <v>0</v>
      </c>
      <c r="NQ78" s="30" t="str">
        <f>IF(NQ55="","",SUMIF(NQ55:NQ77,"&lt;&gt;#N/A")/$M$3)</f>
        <v/>
      </c>
      <c r="NR78" s="30" t="str">
        <f>IF(NR55="","",SUMIF(NR55:NR77,"&lt;&gt;#N/A")/$M$3)</f>
        <v/>
      </c>
      <c r="NS78" s="30" t="str">
        <f>IF(NS55="","",SUMIF(NS55:NS77,"&lt;&gt;#N/A"))</f>
        <v/>
      </c>
      <c r="NT78" s="30" t="str">
        <f t="shared" ref="NT78:NV78" si="95">IF(NT55="","",SUMIF(NT55:NT77,"&lt;&gt;#N/A"))</f>
        <v/>
      </c>
      <c r="NU78" s="30" t="str">
        <f t="shared" si="95"/>
        <v/>
      </c>
      <c r="NV78" s="30" t="str">
        <f t="shared" si="95"/>
        <v/>
      </c>
      <c r="NW78" s="30" t="str">
        <f>IF(NW55="","",SUMIF(NW55:NW77,"&lt;&gt;#N/A"))</f>
        <v/>
      </c>
      <c r="NX78" s="30" t="str">
        <f>IF(NX55="","",SUMIF(NX55:NX77,"&lt;&gt;#N/A"))</f>
        <v/>
      </c>
      <c r="NY78" s="30" t="str">
        <f>IF(NY55="","",SUMIF(NY55:NY77,"&lt;&gt;#N/A"))</f>
        <v/>
      </c>
      <c r="NZ78" s="31">
        <f>SUMIF(NZ55:NZ77,"&lt;&gt;#N/A")</f>
        <v>0</v>
      </c>
      <c r="OA78" s="31">
        <f>SUMIF(OA55:OA77,"&lt;&gt;#N/A")</f>
        <v>0</v>
      </c>
      <c r="OB78" s="31">
        <f>SUMIF(OB55:OB77,"&lt;&gt;#N/A")</f>
        <v>0</v>
      </c>
      <c r="OC78" s="32" t="str">
        <f>IF(OC55="","",SUMIF(OC55:OC77,"&lt;&gt;#N/A")/$M$3)</f>
        <v/>
      </c>
      <c r="OD78" s="32" t="str">
        <f>IF(OD55="","",SUMIF(OD55:OD77,"&lt;&gt;#N/A")/$M$3)</f>
        <v/>
      </c>
      <c r="OE78" s="32" t="str">
        <f>IF(OE55="","",SUMIF(OE55:OE77,"&lt;&gt;#N/A"))</f>
        <v/>
      </c>
      <c r="OF78" s="32" t="str">
        <f t="shared" ref="OF78:OH78" si="96">IF(OF55="","",SUMIF(OF55:OF77,"&lt;&gt;#N/A"))</f>
        <v/>
      </c>
      <c r="OG78" s="32" t="str">
        <f t="shared" si="96"/>
        <v/>
      </c>
      <c r="OH78" s="32" t="str">
        <f t="shared" si="96"/>
        <v/>
      </c>
      <c r="OI78" s="32" t="str">
        <f>IF(OI55="","",SUMIF(OI55:OI77,"&lt;&gt;#N/A"))</f>
        <v/>
      </c>
      <c r="OJ78" s="32" t="str">
        <f>IF(OJ55="","",SUMIF(OJ55:OJ77,"&lt;&gt;#N/A"))</f>
        <v/>
      </c>
      <c r="OK78" s="32" t="str">
        <f>IF(OK55="","",SUMIF(OK55:OK77,"&lt;&gt;#N/A"))</f>
        <v/>
      </c>
      <c r="ON78" s="29">
        <f>SUMIF(ON55:ON77,"&lt;&gt;#N/A")</f>
        <v>0</v>
      </c>
      <c r="OO78" s="29">
        <f>SUMIF(OO55:OO77,"&lt;&gt;#N/A")</f>
        <v>0</v>
      </c>
      <c r="OP78" s="29">
        <f>SUMIF(OP55:OP77,"&lt;&gt;#N/A")</f>
        <v>0</v>
      </c>
      <c r="OQ78" s="30" t="str">
        <f>IF(OQ55="","",SUMIF(OQ55:OQ77,"&lt;&gt;#N/A")/$M$3)</f>
        <v/>
      </c>
      <c r="OR78" s="30" t="str">
        <f>IF(OR55="","",SUMIF(OR55:OR77,"&lt;&gt;#N/A")/$M$3)</f>
        <v/>
      </c>
      <c r="OS78" s="30" t="str">
        <f>IF(OS55="","",SUMIF(OS55:OS77,"&lt;&gt;#N/A"))</f>
        <v/>
      </c>
      <c r="OT78" s="30" t="str">
        <f t="shared" ref="OT78:OV78" si="97">IF(OT55="","",SUMIF(OT55:OT77,"&lt;&gt;#N/A"))</f>
        <v/>
      </c>
      <c r="OU78" s="30" t="str">
        <f t="shared" si="97"/>
        <v/>
      </c>
      <c r="OV78" s="30" t="str">
        <f t="shared" si="97"/>
        <v/>
      </c>
      <c r="OW78" s="30" t="str">
        <f>IF(OW55="","",SUMIF(OW55:OW77,"&lt;&gt;#N/A"))</f>
        <v/>
      </c>
      <c r="OX78" s="30" t="str">
        <f>IF(OX55="","",SUMIF(OX55:OX77,"&lt;&gt;#N/A"))</f>
        <v/>
      </c>
      <c r="OY78" s="30" t="str">
        <f>IF(OY55="","",SUMIF(OY55:OY77,"&lt;&gt;#N/A"))</f>
        <v/>
      </c>
      <c r="OZ78" s="31">
        <f>SUMIF(OZ55:OZ77,"&lt;&gt;#N/A")</f>
        <v>0</v>
      </c>
      <c r="PA78" s="31">
        <f>SUMIF(PA55:PA77,"&lt;&gt;#N/A")</f>
        <v>0</v>
      </c>
      <c r="PB78" s="31">
        <f>SUMIF(PB55:PB77,"&lt;&gt;#N/A")</f>
        <v>0</v>
      </c>
      <c r="PC78" s="32" t="str">
        <f>IF(PC55="","",SUMIF(PC55:PC77,"&lt;&gt;#N/A")/$M$3)</f>
        <v/>
      </c>
      <c r="PD78" s="32" t="str">
        <f>IF(PD55="","",SUMIF(PD55:PD77,"&lt;&gt;#N/A")/$M$3)</f>
        <v/>
      </c>
      <c r="PE78" s="32" t="str">
        <f>IF(PE55="","",SUMIF(PE55:PE77,"&lt;&gt;#N/A"))</f>
        <v/>
      </c>
      <c r="PF78" s="32" t="str">
        <f t="shared" ref="PF78:PH78" si="98">IF(PF55="","",SUMIF(PF55:PF77,"&lt;&gt;#N/A"))</f>
        <v/>
      </c>
      <c r="PG78" s="32" t="str">
        <f t="shared" si="98"/>
        <v/>
      </c>
      <c r="PH78" s="32" t="str">
        <f t="shared" si="98"/>
        <v/>
      </c>
      <c r="PI78" s="32" t="str">
        <f>IF(PI55="","",SUMIF(PI55:PI77,"&lt;&gt;#N/A"))</f>
        <v/>
      </c>
      <c r="PJ78" s="32" t="str">
        <f>IF(PJ55="","",SUMIF(PJ55:PJ77,"&lt;&gt;#N/A"))</f>
        <v/>
      </c>
      <c r="PK78" s="32" t="str">
        <f>IF(PK55="","",SUMIF(PK55:PK77,"&lt;&gt;#N/A"))</f>
        <v/>
      </c>
      <c r="PL78" s="29">
        <f>SUMIF(PL55:PL77,"&lt;&gt;#N/A")</f>
        <v>0</v>
      </c>
      <c r="PM78" s="29">
        <f>SUMIF(PM55:PM77,"&lt;&gt;#N/A")</f>
        <v>0</v>
      </c>
      <c r="PN78" s="29">
        <f>SUMIF(PN55:PN77,"&lt;&gt;#N/A")</f>
        <v>0</v>
      </c>
      <c r="PO78" s="30" t="str">
        <f>IF(PO55="","",SUMIF(PO55:PO77,"&lt;&gt;#N/A")/$M$3)</f>
        <v/>
      </c>
      <c r="PP78" s="30" t="str">
        <f>IF(PP55="","",SUMIF(PP55:PP77,"&lt;&gt;#N/A")/$M$3)</f>
        <v/>
      </c>
      <c r="PQ78" s="30" t="str">
        <f>IF(PQ55="","",SUMIF(PQ55:PQ77,"&lt;&gt;#N/A"))</f>
        <v/>
      </c>
      <c r="PR78" s="30" t="str">
        <f t="shared" ref="PR78:PT78" si="99">IF(PR55="","",SUMIF(PR55:PR77,"&lt;&gt;#N/A"))</f>
        <v/>
      </c>
      <c r="PS78" s="30" t="str">
        <f t="shared" si="99"/>
        <v/>
      </c>
      <c r="PT78" s="30" t="str">
        <f t="shared" si="99"/>
        <v/>
      </c>
      <c r="PU78" s="30" t="str">
        <f>IF(PU55="","",SUMIF(PU55:PU77,"&lt;&gt;#N/A"))</f>
        <v/>
      </c>
      <c r="PV78" s="30" t="str">
        <f>IF(PV55="","",SUMIF(PV55:PV77,"&lt;&gt;#N/A"))</f>
        <v/>
      </c>
      <c r="PW78" s="30" t="str">
        <f>IF(PW55="","",SUMIF(PW55:PW77,"&lt;&gt;#N/A"))</f>
        <v/>
      </c>
      <c r="PX78" s="31">
        <f>SUMIF(PX55:PX77,"&lt;&gt;#N/A")</f>
        <v>0</v>
      </c>
      <c r="PY78" s="31">
        <f>SUMIF(PY55:PY77,"&lt;&gt;#N/A")</f>
        <v>0</v>
      </c>
      <c r="PZ78" s="31">
        <f>SUMIF(PZ55:PZ77,"&lt;&gt;#N/A")</f>
        <v>0</v>
      </c>
      <c r="QA78" s="32" t="str">
        <f>IF(QA55="","",SUMIF(QA55:QA77,"&lt;&gt;#N/A")/$M$3)</f>
        <v/>
      </c>
      <c r="QB78" s="32" t="str">
        <f>IF(QB55="","",SUMIF(QB55:QB77,"&lt;&gt;#N/A")/$M$3)</f>
        <v/>
      </c>
      <c r="QC78" s="32" t="str">
        <f>IF(QC55="","",SUMIF(QC55:QC77,"&lt;&gt;#N/A"))</f>
        <v/>
      </c>
      <c r="QD78" s="32" t="str">
        <f t="shared" ref="QD78:QF78" si="100">IF(QD55="","",SUMIF(QD55:QD77,"&lt;&gt;#N/A"))</f>
        <v/>
      </c>
      <c r="QE78" s="32" t="str">
        <f t="shared" si="100"/>
        <v/>
      </c>
      <c r="QF78" s="32" t="str">
        <f t="shared" si="100"/>
        <v/>
      </c>
      <c r="QG78" s="32" t="str">
        <f>IF(QG55="","",SUMIF(QG55:QG77,"&lt;&gt;#N/A"))</f>
        <v/>
      </c>
      <c r="QH78" s="32" t="str">
        <f>IF(QH55="","",SUMIF(QH55:QH77,"&lt;&gt;#N/A"))</f>
        <v/>
      </c>
      <c r="QI78" s="32" t="str">
        <f>IF(QI55="","",SUMIF(QI55:QI77,"&lt;&gt;#N/A"))</f>
        <v/>
      </c>
      <c r="QK78" s="29">
        <f>SUMIF(QK55:QK77,"&lt;&gt;#N/A")</f>
        <v>0</v>
      </c>
      <c r="QL78" s="29">
        <f>SUMIF(QL55:QL77,"&lt;&gt;#N/A")</f>
        <v>0</v>
      </c>
      <c r="QM78" s="29">
        <f>SUMIF(QM55:QM77,"&lt;&gt;#N/A")</f>
        <v>0</v>
      </c>
      <c r="QN78" s="30" t="str">
        <f>IF(QN55="","",SUMIF(QN55:QN77,"&lt;&gt;#N/A")/$M$3)</f>
        <v/>
      </c>
      <c r="QO78" s="30" t="str">
        <f>IF(QO55="","",SUMIF(QO55:QO77,"&lt;&gt;#N/A")/$M$3)</f>
        <v/>
      </c>
      <c r="QP78" s="30" t="str">
        <f>IF(QP55="","",SUMIF(QP55:QP77,"&lt;&gt;#N/A"))</f>
        <v/>
      </c>
      <c r="QQ78" s="30" t="str">
        <f t="shared" ref="QQ78:QS78" si="101">IF(QQ55="","",SUMIF(QQ55:QQ77,"&lt;&gt;#N/A"))</f>
        <v/>
      </c>
      <c r="QR78" s="30" t="str">
        <f t="shared" si="101"/>
        <v/>
      </c>
      <c r="QS78" s="30" t="str">
        <f t="shared" si="101"/>
        <v/>
      </c>
      <c r="QT78" s="30" t="str">
        <f>IF(QT55="","",SUMIF(QT55:QT77,"&lt;&gt;#N/A"))</f>
        <v/>
      </c>
      <c r="QU78" s="30" t="str">
        <f>IF(QU55="","",SUMIF(QU55:QU77,"&lt;&gt;#N/A"))</f>
        <v/>
      </c>
      <c r="QV78" s="30" t="str">
        <f>IF(QV55="","",SUMIF(QV55:QV77,"&lt;&gt;#N/A"))</f>
        <v/>
      </c>
      <c r="QW78" s="31">
        <f>SUMIF(QW55:QW77,"&lt;&gt;#N/A")</f>
        <v>0</v>
      </c>
      <c r="QX78" s="31">
        <f>SUMIF(QX55:QX77,"&lt;&gt;#N/A")</f>
        <v>0</v>
      </c>
      <c r="QY78" s="31">
        <f>SUMIF(QY55:QY77,"&lt;&gt;#N/A")</f>
        <v>0</v>
      </c>
      <c r="QZ78" s="32" t="str">
        <f>IF(QZ55="","",SUMIF(QZ55:QZ77,"&lt;&gt;#N/A")/$M$3)</f>
        <v/>
      </c>
      <c r="RA78" s="32" t="str">
        <f>IF(RA55="","",SUMIF(RA55:RA77,"&lt;&gt;#N/A")/$M$3)</f>
        <v/>
      </c>
      <c r="RB78" s="32" t="str">
        <f>IF(RB55="","",SUMIF(RB55:RB77,"&lt;&gt;#N/A"))</f>
        <v/>
      </c>
      <c r="RC78" s="32" t="str">
        <f t="shared" ref="RC78:RE78" si="102">IF(RC55="","",SUMIF(RC55:RC77,"&lt;&gt;#N/A"))</f>
        <v/>
      </c>
      <c r="RD78" s="32" t="str">
        <f t="shared" si="102"/>
        <v/>
      </c>
      <c r="RE78" s="32" t="str">
        <f t="shared" si="102"/>
        <v/>
      </c>
      <c r="RF78" s="32" t="str">
        <f>IF(RF55="","",SUMIF(RF55:RF77,"&lt;&gt;#N/A"))</f>
        <v/>
      </c>
      <c r="RG78" s="32" t="str">
        <f>IF(RG55="","",SUMIF(RG55:RG77,"&lt;&gt;#N/A"))</f>
        <v/>
      </c>
      <c r="RH78" s="32" t="str">
        <f>IF(RH55="","",SUMIF(RH55:RH77,"&lt;&gt;#N/A"))</f>
        <v/>
      </c>
      <c r="RI78" s="29">
        <f>SUMIF(RI55:RI77,"&lt;&gt;#N/A")</f>
        <v>0</v>
      </c>
      <c r="RJ78" s="29">
        <f>SUMIF(RJ55:RJ77,"&lt;&gt;#N/A")</f>
        <v>0</v>
      </c>
      <c r="RK78" s="29">
        <f>SUMIF(RK55:RK77,"&lt;&gt;#N/A")</f>
        <v>0</v>
      </c>
      <c r="RL78" s="30" t="str">
        <f>IF(RL55="","",SUMIF(RL55:RL77,"&lt;&gt;#N/A")/$M$3)</f>
        <v/>
      </c>
      <c r="RM78" s="30" t="str">
        <f>IF(RM55="","",SUMIF(RM55:RM77,"&lt;&gt;#N/A")/$M$3)</f>
        <v/>
      </c>
      <c r="RN78" s="30" t="str">
        <f>IF(RN55="","",SUMIF(RN55:RN77,"&lt;&gt;#N/A"))</f>
        <v/>
      </c>
      <c r="RO78" s="30" t="str">
        <f t="shared" ref="RO78:RQ78" si="103">IF(RO55="","",SUMIF(RO55:RO77,"&lt;&gt;#N/A"))</f>
        <v/>
      </c>
      <c r="RP78" s="30" t="str">
        <f t="shared" si="103"/>
        <v/>
      </c>
      <c r="RQ78" s="30" t="str">
        <f t="shared" si="103"/>
        <v/>
      </c>
      <c r="RR78" s="30" t="str">
        <f>IF(RR55="","",SUMIF(RR55:RR77,"&lt;&gt;#N/A"))</f>
        <v/>
      </c>
      <c r="RS78" s="30" t="str">
        <f>IF(RS55="","",SUMIF(RS55:RS77,"&lt;&gt;#N/A"))</f>
        <v/>
      </c>
      <c r="RT78" s="30" t="str">
        <f>IF(RT55="","",SUMIF(RT55:RT77,"&lt;&gt;#N/A"))</f>
        <v/>
      </c>
      <c r="RU78" s="31">
        <f>SUMIF(RU55:RU77,"&lt;&gt;#N/A")</f>
        <v>0</v>
      </c>
      <c r="RV78" s="31">
        <f>SUMIF(RV55:RV77,"&lt;&gt;#N/A")</f>
        <v>0</v>
      </c>
      <c r="RW78" s="31">
        <f>SUMIF(RW55:RW77,"&lt;&gt;#N/A")</f>
        <v>0</v>
      </c>
      <c r="RX78" s="32" t="str">
        <f>IF(RX55="","",SUMIF(RX55:RX77,"&lt;&gt;#N/A")/$M$3)</f>
        <v/>
      </c>
      <c r="RY78" s="32" t="str">
        <f>IF(RY55="","",SUMIF(RY55:RY77,"&lt;&gt;#N/A")/$M$3)</f>
        <v/>
      </c>
      <c r="RZ78" s="32" t="str">
        <f>IF(RZ55="","",SUMIF(RZ55:RZ77,"&lt;&gt;#N/A"))</f>
        <v/>
      </c>
      <c r="SA78" s="32" t="str">
        <f t="shared" ref="SA78:SC78" si="104">IF(SA55="","",SUMIF(SA55:SA77,"&lt;&gt;#N/A"))</f>
        <v/>
      </c>
      <c r="SB78" s="32" t="str">
        <f t="shared" si="104"/>
        <v/>
      </c>
      <c r="SC78" s="32" t="str">
        <f t="shared" si="104"/>
        <v/>
      </c>
      <c r="SD78" s="32" t="str">
        <f>IF(SD55="","",SUMIF(SD55:SD77,"&lt;&gt;#N/A"))</f>
        <v/>
      </c>
      <c r="SE78" s="32" t="str">
        <f>IF(SE55="","",SUMIF(SE55:SE77,"&lt;&gt;#N/A"))</f>
        <v/>
      </c>
      <c r="SF78" s="32" t="str">
        <f>IF(SF55="","",SUMIF(SF55:SF77,"&lt;&gt;#N/A"))</f>
        <v/>
      </c>
    </row>
    <row r="79" spans="1:500" ht="15.6">
      <c r="A79" s="173" t="s">
        <v>218</v>
      </c>
      <c r="B79" s="19" t="s">
        <v>217</v>
      </c>
      <c r="C79" s="20">
        <v>2</v>
      </c>
      <c r="D79" s="20">
        <v>1.4126000000000001</v>
      </c>
      <c r="E79" s="20">
        <v>1.3231999999999999</v>
      </c>
      <c r="F79" s="20">
        <v>28.05376</v>
      </c>
      <c r="G79" s="20">
        <v>0</v>
      </c>
      <c r="H79" s="170"/>
      <c r="I79" s="170"/>
    </row>
    <row r="80" spans="1:500" ht="15.6">
      <c r="A80" s="173" t="s">
        <v>219</v>
      </c>
      <c r="B80" s="19" t="s">
        <v>207</v>
      </c>
      <c r="C80" s="20">
        <v>3</v>
      </c>
      <c r="D80" s="20">
        <v>2.0598999999999998</v>
      </c>
      <c r="E80" s="20">
        <v>1.9260999999999999</v>
      </c>
      <c r="F80" s="20">
        <v>42.080640000000002</v>
      </c>
      <c r="G80" s="20">
        <v>0</v>
      </c>
      <c r="H80" s="170"/>
      <c r="I80" s="170"/>
    </row>
    <row r="81" spans="1:9" ht="15.6">
      <c r="A81" s="173" t="s">
        <v>221</v>
      </c>
      <c r="B81" s="19" t="s">
        <v>220</v>
      </c>
      <c r="C81" s="20">
        <v>6</v>
      </c>
      <c r="D81" s="20">
        <v>3.3041</v>
      </c>
      <c r="E81" s="20">
        <v>3.1695000000000002</v>
      </c>
      <c r="F81" s="20">
        <v>78.113640000000004</v>
      </c>
      <c r="G81" s="20">
        <v>0</v>
      </c>
      <c r="H81" s="170"/>
      <c r="I81" s="170"/>
    </row>
    <row r="82" spans="1:9" ht="15.6">
      <c r="A82" s="173" t="s">
        <v>222</v>
      </c>
      <c r="B82" s="19" t="s">
        <v>186</v>
      </c>
      <c r="C82" s="20">
        <v>4</v>
      </c>
      <c r="D82" s="20">
        <v>2.8727999999999998</v>
      </c>
      <c r="E82" s="20">
        <v>2.653</v>
      </c>
      <c r="F82" s="20">
        <v>58.123399999999997</v>
      </c>
      <c r="G82" s="20">
        <v>0</v>
      </c>
      <c r="H82" s="170"/>
      <c r="I82" s="170"/>
    </row>
    <row r="83" spans="1:9" ht="15.6">
      <c r="A83" s="173" t="s">
        <v>223</v>
      </c>
      <c r="B83" s="19" t="s">
        <v>189</v>
      </c>
      <c r="C83" s="20">
        <v>5</v>
      </c>
      <c r="D83" s="20">
        <v>3.5011000000000001</v>
      </c>
      <c r="E83" s="20">
        <v>3.2669999999999999</v>
      </c>
      <c r="F83" s="20">
        <v>72.150279999999995</v>
      </c>
      <c r="G83" s="20">
        <v>0</v>
      </c>
      <c r="H83" s="170"/>
      <c r="I83" s="170"/>
    </row>
    <row r="84" spans="1:9" ht="15.6">
      <c r="A84" s="173" t="s">
        <v>224</v>
      </c>
      <c r="B84" s="19" t="s">
        <v>192</v>
      </c>
      <c r="C84" s="20">
        <v>6</v>
      </c>
      <c r="D84" s="20">
        <v>4.1143000000000001</v>
      </c>
      <c r="E84" s="20">
        <v>3.879</v>
      </c>
      <c r="F84" s="20">
        <v>86.177160000000001</v>
      </c>
      <c r="G84" s="20">
        <v>0</v>
      </c>
      <c r="H84" s="170"/>
      <c r="I84" s="170"/>
    </row>
  </sheetData>
  <mergeCells count="718">
    <mergeCell ref="H1:H2"/>
    <mergeCell ref="KS50:MN50"/>
    <mergeCell ref="KS51:LD51"/>
    <mergeCell ref="LE51:LP51"/>
    <mergeCell ref="LQ51:MB51"/>
    <mergeCell ref="MC51:MN51"/>
    <mergeCell ref="BH50:DC50"/>
    <mergeCell ref="BH51:BS51"/>
    <mergeCell ref="BT51:CE51"/>
    <mergeCell ref="CF51:CQ51"/>
    <mergeCell ref="CR51:DC51"/>
    <mergeCell ref="DE50:EZ50"/>
    <mergeCell ref="DE51:DP51"/>
    <mergeCell ref="DQ51:EB51"/>
    <mergeCell ref="EC51:EN51"/>
    <mergeCell ref="EO51:EZ51"/>
    <mergeCell ref="GY6:IM6"/>
    <mergeCell ref="IL9:IL10"/>
    <mergeCell ref="IM9:IM10"/>
    <mergeCell ref="JV9:JV10"/>
    <mergeCell ref="JT7:JX7"/>
    <mergeCell ref="IJ9:IJ10"/>
    <mergeCell ref="IK9:IK10"/>
    <mergeCell ref="HN9:HN10"/>
    <mergeCell ref="MP50:OK50"/>
    <mergeCell ref="MP51:NA51"/>
    <mergeCell ref="NB51:NM51"/>
    <mergeCell ref="NN51:NY51"/>
    <mergeCell ref="NZ51:OK51"/>
    <mergeCell ref="K50:BF50"/>
    <mergeCell ref="K51:V51"/>
    <mergeCell ref="W51:AH51"/>
    <mergeCell ref="AI51:AT51"/>
    <mergeCell ref="AU51:BF51"/>
    <mergeCell ref="FB50:GW50"/>
    <mergeCell ref="FB51:FM51"/>
    <mergeCell ref="FN51:FY51"/>
    <mergeCell ref="FZ51:GK51"/>
    <mergeCell ref="GL51:GW51"/>
    <mergeCell ref="GY50:IT50"/>
    <mergeCell ref="GY51:HJ51"/>
    <mergeCell ref="HK51:HV51"/>
    <mergeCell ref="HW51:IH51"/>
    <mergeCell ref="II51:IT51"/>
    <mergeCell ref="IV50:KQ50"/>
    <mergeCell ref="IV51:JG51"/>
    <mergeCell ref="JH51:JS51"/>
    <mergeCell ref="JT51:KE51"/>
    <mergeCell ref="QK50:SF50"/>
    <mergeCell ref="RU51:SF51"/>
    <mergeCell ref="RI51:RT51"/>
    <mergeCell ref="QW51:RH51"/>
    <mergeCell ref="QK51:QV51"/>
    <mergeCell ref="ON50:QI50"/>
    <mergeCell ref="ON51:OY51"/>
    <mergeCell ref="OZ51:PK51"/>
    <mergeCell ref="PL51:PW51"/>
    <mergeCell ref="PX51:QI51"/>
    <mergeCell ref="RZ53:RZ54"/>
    <mergeCell ref="SA53:SA54"/>
    <mergeCell ref="SB53:SB54"/>
    <mergeCell ref="SC53:SC54"/>
    <mergeCell ref="SD53:SD54"/>
    <mergeCell ref="SE53:SE54"/>
    <mergeCell ref="SF53:SF54"/>
    <mergeCell ref="QK53:QK54"/>
    <mergeCell ref="RQ53:RQ54"/>
    <mergeCell ref="RR53:RR54"/>
    <mergeCell ref="RS53:RS54"/>
    <mergeCell ref="RT53:RT54"/>
    <mergeCell ref="RU53:RU54"/>
    <mergeCell ref="RV53:RV54"/>
    <mergeCell ref="RW53:RW54"/>
    <mergeCell ref="RX53:RX54"/>
    <mergeCell ref="RY53:RY54"/>
    <mergeCell ref="RH53:RH54"/>
    <mergeCell ref="RI53:RI54"/>
    <mergeCell ref="RO53:RO54"/>
    <mergeCell ref="RP53:RP54"/>
    <mergeCell ref="QY53:QY54"/>
    <mergeCell ref="QZ53:QZ54"/>
    <mergeCell ref="RA53:RA54"/>
    <mergeCell ref="RB53:RB54"/>
    <mergeCell ref="RC53:RC54"/>
    <mergeCell ref="RD53:RD54"/>
    <mergeCell ref="RE53:RE54"/>
    <mergeCell ref="RF53:RF54"/>
    <mergeCell ref="RG53:RG54"/>
    <mergeCell ref="QI53:QI54"/>
    <mergeCell ref="QL53:QL54"/>
    <mergeCell ref="QM53:QM54"/>
    <mergeCell ref="QN53:QN54"/>
    <mergeCell ref="RJ53:RJ54"/>
    <mergeCell ref="RK53:RK54"/>
    <mergeCell ref="RL53:RL54"/>
    <mergeCell ref="RM53:RM54"/>
    <mergeCell ref="RN53:RN54"/>
    <mergeCell ref="QX53:QX54"/>
    <mergeCell ref="PU53:PU54"/>
    <mergeCell ref="PV53:PV54"/>
    <mergeCell ref="PW53:PW54"/>
    <mergeCell ref="PX53:PX54"/>
    <mergeCell ref="PY53:PY54"/>
    <mergeCell ref="PZ53:PZ54"/>
    <mergeCell ref="QA53:QA54"/>
    <mergeCell ref="QB53:QB54"/>
    <mergeCell ref="QC53:QC54"/>
    <mergeCell ref="QO53:QO54"/>
    <mergeCell ref="QP53:QP54"/>
    <mergeCell ref="QQ53:QQ54"/>
    <mergeCell ref="QR53:QR54"/>
    <mergeCell ref="QS53:QS54"/>
    <mergeCell ref="QT53:QT54"/>
    <mergeCell ref="QU53:QU54"/>
    <mergeCell ref="QV53:QV54"/>
    <mergeCell ref="QW53:QW54"/>
    <mergeCell ref="QE53:QE54"/>
    <mergeCell ref="QF53:QF54"/>
    <mergeCell ref="QG53:QG54"/>
    <mergeCell ref="QH53:QH54"/>
    <mergeCell ref="PL53:PL54"/>
    <mergeCell ref="PM53:PM54"/>
    <mergeCell ref="PN53:PN54"/>
    <mergeCell ref="PO53:PO54"/>
    <mergeCell ref="PP53:PP54"/>
    <mergeCell ref="PQ53:PQ54"/>
    <mergeCell ref="PR53:PR54"/>
    <mergeCell ref="PS53:PS54"/>
    <mergeCell ref="PT53:PT54"/>
    <mergeCell ref="PD53:PD54"/>
    <mergeCell ref="PE53:PE54"/>
    <mergeCell ref="PF53:PF54"/>
    <mergeCell ref="PG53:PG54"/>
    <mergeCell ref="PH53:PH54"/>
    <mergeCell ref="PI53:PI54"/>
    <mergeCell ref="PJ53:PJ54"/>
    <mergeCell ref="PK53:PK54"/>
    <mergeCell ref="QD53:QD54"/>
    <mergeCell ref="OI53:OI54"/>
    <mergeCell ref="OJ53:OJ54"/>
    <mergeCell ref="OK53:OK54"/>
    <mergeCell ref="ON53:ON54"/>
    <mergeCell ref="OO53:OO54"/>
    <mergeCell ref="OP53:OP54"/>
    <mergeCell ref="OQ53:OQ54"/>
    <mergeCell ref="OR53:OR54"/>
    <mergeCell ref="PC53:PC54"/>
    <mergeCell ref="NU53:NU54"/>
    <mergeCell ref="NV53:NV54"/>
    <mergeCell ref="NW53:NW54"/>
    <mergeCell ref="NX53:NX54"/>
    <mergeCell ref="PB53:PB54"/>
    <mergeCell ref="NY53:NY54"/>
    <mergeCell ref="NZ53:NZ54"/>
    <mergeCell ref="OA53:OA54"/>
    <mergeCell ref="OB53:OB54"/>
    <mergeCell ref="OC53:OC54"/>
    <mergeCell ref="OD53:OD54"/>
    <mergeCell ref="OE53:OE54"/>
    <mergeCell ref="OF53:OF54"/>
    <mergeCell ref="OG53:OG54"/>
    <mergeCell ref="OS53:OS54"/>
    <mergeCell ref="OT53:OT54"/>
    <mergeCell ref="OU53:OU54"/>
    <mergeCell ref="OV53:OV54"/>
    <mergeCell ref="OW53:OW54"/>
    <mergeCell ref="OX53:OX54"/>
    <mergeCell ref="OY53:OY54"/>
    <mergeCell ref="OZ53:OZ54"/>
    <mergeCell ref="PA53:PA54"/>
    <mergeCell ref="OH53:OH54"/>
    <mergeCell ref="NL53:NL54"/>
    <mergeCell ref="NM53:NM54"/>
    <mergeCell ref="NN53:NN54"/>
    <mergeCell ref="NO53:NO54"/>
    <mergeCell ref="NP53:NP54"/>
    <mergeCell ref="NQ53:NQ54"/>
    <mergeCell ref="NR53:NR54"/>
    <mergeCell ref="NS53:NS54"/>
    <mergeCell ref="NT53:NT54"/>
    <mergeCell ref="MS53:MS54"/>
    <mergeCell ref="MT53:MT54"/>
    <mergeCell ref="MU53:MU54"/>
    <mergeCell ref="MV53:MV54"/>
    <mergeCell ref="NG53:NG54"/>
    <mergeCell ref="NH53:NH54"/>
    <mergeCell ref="NI53:NI54"/>
    <mergeCell ref="NJ53:NJ54"/>
    <mergeCell ref="NK53:NK54"/>
    <mergeCell ref="NF53:NF54"/>
    <mergeCell ref="MW53:MW54"/>
    <mergeCell ref="MX53:MX54"/>
    <mergeCell ref="MY53:MY54"/>
    <mergeCell ref="MZ53:MZ54"/>
    <mergeCell ref="NA53:NA54"/>
    <mergeCell ref="NB53:NB54"/>
    <mergeCell ref="NC53:NC54"/>
    <mergeCell ref="ND53:ND54"/>
    <mergeCell ref="NE53:NE54"/>
    <mergeCell ref="MM53:MM54"/>
    <mergeCell ref="MN53:MN54"/>
    <mergeCell ref="MP53:MP54"/>
    <mergeCell ref="MQ53:MQ54"/>
    <mergeCell ref="MR53:MR54"/>
    <mergeCell ref="LU53:LU54"/>
    <mergeCell ref="LV53:LV54"/>
    <mergeCell ref="LW53:LW54"/>
    <mergeCell ref="LX53:LX54"/>
    <mergeCell ref="LY53:LY54"/>
    <mergeCell ref="LZ53:LZ54"/>
    <mergeCell ref="MA53:MA54"/>
    <mergeCell ref="MB53:MB54"/>
    <mergeCell ref="MC53:MC54"/>
    <mergeCell ref="MD53:MD54"/>
    <mergeCell ref="ME53:ME54"/>
    <mergeCell ref="MF53:MF54"/>
    <mergeCell ref="MG53:MG54"/>
    <mergeCell ref="MH53:MH54"/>
    <mergeCell ref="MI53:MI54"/>
    <mergeCell ref="MJ53:MJ54"/>
    <mergeCell ref="MK53:MK54"/>
    <mergeCell ref="ML53:ML54"/>
    <mergeCell ref="LL53:LL54"/>
    <mergeCell ref="LM53:LM54"/>
    <mergeCell ref="LN53:LN54"/>
    <mergeCell ref="LO53:LO54"/>
    <mergeCell ref="LP53:LP54"/>
    <mergeCell ref="LQ53:LQ54"/>
    <mergeCell ref="LR53:LR54"/>
    <mergeCell ref="LS53:LS54"/>
    <mergeCell ref="LT53:LT54"/>
    <mergeCell ref="LG53:LG54"/>
    <mergeCell ref="LH53:LH54"/>
    <mergeCell ref="LI53:LI54"/>
    <mergeCell ref="LJ53:LJ54"/>
    <mergeCell ref="KS53:KS54"/>
    <mergeCell ref="KT53:KT54"/>
    <mergeCell ref="KU53:KU54"/>
    <mergeCell ref="KV53:KV54"/>
    <mergeCell ref="KW53:KW54"/>
    <mergeCell ref="KX53:KX54"/>
    <mergeCell ref="KY53:KY54"/>
    <mergeCell ref="KZ53:KZ54"/>
    <mergeCell ref="LA53:LA54"/>
    <mergeCell ref="JW9:JW10"/>
    <mergeCell ref="JX9:JX10"/>
    <mergeCell ref="KF9:KF10"/>
    <mergeCell ref="KG9:KG10"/>
    <mergeCell ref="LB53:LB54"/>
    <mergeCell ref="LC53:LC54"/>
    <mergeCell ref="LD53:LD54"/>
    <mergeCell ref="LE53:LE54"/>
    <mergeCell ref="LF53:LF54"/>
    <mergeCell ref="HM9:HM10"/>
    <mergeCell ref="JK9:JK10"/>
    <mergeCell ref="JL9:JL10"/>
    <mergeCell ref="JT9:JT10"/>
    <mergeCell ref="LK53:LK54"/>
    <mergeCell ref="G1:G2"/>
    <mergeCell ref="G45:G46"/>
    <mergeCell ref="T53:T54"/>
    <mergeCell ref="KF7:KJ7"/>
    <mergeCell ref="IV9:IV10"/>
    <mergeCell ref="IW9:IW10"/>
    <mergeCell ref="IX9:IX10"/>
    <mergeCell ref="IY9:IY10"/>
    <mergeCell ref="IZ9:IZ10"/>
    <mergeCell ref="JH9:JH10"/>
    <mergeCell ref="JI9:JI10"/>
    <mergeCell ref="JJ9:JJ10"/>
    <mergeCell ref="IV7:IZ7"/>
    <mergeCell ref="JH7:JL7"/>
    <mergeCell ref="GY7:HC7"/>
    <mergeCell ref="HK7:HO7"/>
    <mergeCell ref="IV6:KJ6"/>
    <mergeCell ref="KI9:KI10"/>
    <mergeCell ref="KJ9:KJ10"/>
    <mergeCell ref="JU9:JU10"/>
    <mergeCell ref="GZ9:GZ10"/>
    <mergeCell ref="HA9:HA10"/>
    <mergeCell ref="HB9:HB10"/>
    <mergeCell ref="HC9:HC10"/>
    <mergeCell ref="HK9:HK10"/>
    <mergeCell ref="IN9:IN10"/>
    <mergeCell ref="DE6:ES6"/>
    <mergeCell ref="ER9:ER10"/>
    <mergeCell ref="ES9:ES10"/>
    <mergeCell ref="EC7:EG7"/>
    <mergeCell ref="EO7:ES7"/>
    <mergeCell ref="HW7:IA7"/>
    <mergeCell ref="II7:IM7"/>
    <mergeCell ref="GY9:GY10"/>
    <mergeCell ref="GB9:GB10"/>
    <mergeCell ref="FZ7:GD7"/>
    <mergeCell ref="GL7:GP7"/>
    <mergeCell ref="FB9:FB10"/>
    <mergeCell ref="FC9:FC10"/>
    <mergeCell ref="FD9:FD10"/>
    <mergeCell ref="FE9:FE10"/>
    <mergeCell ref="FF9:FF10"/>
    <mergeCell ref="FN9:FN10"/>
    <mergeCell ref="FO9:FO10"/>
    <mergeCell ref="FP9:FP10"/>
    <mergeCell ref="FB7:FF7"/>
    <mergeCell ref="FN7:FR7"/>
    <mergeCell ref="HZ9:HZ10"/>
    <mergeCell ref="IA9:IA10"/>
    <mergeCell ref="II9:II10"/>
    <mergeCell ref="FB6:GP6"/>
    <mergeCell ref="GO9:GO10"/>
    <mergeCell ref="GP9:GP10"/>
    <mergeCell ref="GC9:GC10"/>
    <mergeCell ref="GD9:GD10"/>
    <mergeCell ref="GL9:GL10"/>
    <mergeCell ref="GM9:GM10"/>
    <mergeCell ref="GN9:GN10"/>
    <mergeCell ref="FQ9:FQ10"/>
    <mergeCell ref="FR9:FR10"/>
    <mergeCell ref="FZ9:FZ10"/>
    <mergeCell ref="GA9:GA10"/>
    <mergeCell ref="HO9:HO10"/>
    <mergeCell ref="HW9:HW10"/>
    <mergeCell ref="HX9:HX10"/>
    <mergeCell ref="HY9:HY10"/>
    <mergeCell ref="HL9:HL10"/>
    <mergeCell ref="BH6:CV6"/>
    <mergeCell ref="CS9:CS10"/>
    <mergeCell ref="CT9:CT10"/>
    <mergeCell ref="CU9:CU10"/>
    <mergeCell ref="CV9:CV10"/>
    <mergeCell ref="CG9:CG10"/>
    <mergeCell ref="CH9:CH10"/>
    <mergeCell ref="CI9:CI10"/>
    <mergeCell ref="CJ9:CJ10"/>
    <mergeCell ref="CR9:CR10"/>
    <mergeCell ref="BU9:BU10"/>
    <mergeCell ref="BV9:BV10"/>
    <mergeCell ref="BW9:BW10"/>
    <mergeCell ref="BX9:BX10"/>
    <mergeCell ref="CF9:CF10"/>
    <mergeCell ref="BH7:BL7"/>
    <mergeCell ref="BT7:BX7"/>
    <mergeCell ref="CF7:CJ7"/>
    <mergeCell ref="CR7:CV7"/>
    <mergeCell ref="BH9:BH10"/>
    <mergeCell ref="BI9:BI10"/>
    <mergeCell ref="BJ9:BJ10"/>
    <mergeCell ref="BK9:BK10"/>
    <mergeCell ref="BL9:BL10"/>
    <mergeCell ref="O9:O10"/>
    <mergeCell ref="K7:O7"/>
    <mergeCell ref="L9:L10"/>
    <mergeCell ref="K9:K10"/>
    <mergeCell ref="AY9:AY10"/>
    <mergeCell ref="DE9:DE10"/>
    <mergeCell ref="BT9:BT10"/>
    <mergeCell ref="DE7:DI7"/>
    <mergeCell ref="DQ7:DU7"/>
    <mergeCell ref="DF9:DF10"/>
    <mergeCell ref="DG9:DG10"/>
    <mergeCell ref="DH9:DH10"/>
    <mergeCell ref="DI9:DI10"/>
    <mergeCell ref="DQ9:DQ10"/>
    <mergeCell ref="AZ9:AZ10"/>
    <mergeCell ref="CW9:CW10"/>
    <mergeCell ref="P9:P10"/>
    <mergeCell ref="AN9:AN10"/>
    <mergeCell ref="BM9:BM10"/>
    <mergeCell ref="BY9:BY10"/>
    <mergeCell ref="CK9:CK10"/>
    <mergeCell ref="DT9:DT10"/>
    <mergeCell ref="DU9:DU10"/>
    <mergeCell ref="C1:C2"/>
    <mergeCell ref="B1:B2"/>
    <mergeCell ref="A1:A2"/>
    <mergeCell ref="K6:AY6"/>
    <mergeCell ref="AU7:AY7"/>
    <mergeCell ref="AI7:AM7"/>
    <mergeCell ref="W7:AA7"/>
    <mergeCell ref="AI9:AI10"/>
    <mergeCell ref="AJ9:AJ10"/>
    <mergeCell ref="AK9:AK10"/>
    <mergeCell ref="AL9:AL10"/>
    <mergeCell ref="AM9:AM10"/>
    <mergeCell ref="AU9:AU10"/>
    <mergeCell ref="AV9:AV10"/>
    <mergeCell ref="AW9:AW10"/>
    <mergeCell ref="AX9:AX10"/>
    <mergeCell ref="W9:W10"/>
    <mergeCell ref="X9:X10"/>
    <mergeCell ref="Y9:Y10"/>
    <mergeCell ref="Z9:Z10"/>
    <mergeCell ref="AA9:AA10"/>
    <mergeCell ref="M9:M10"/>
    <mergeCell ref="N9:N10"/>
    <mergeCell ref="AB9:AB10"/>
    <mergeCell ref="K53:K54"/>
    <mergeCell ref="L53:L54"/>
    <mergeCell ref="M53:M54"/>
    <mergeCell ref="N53:N54"/>
    <mergeCell ref="O53:O54"/>
    <mergeCell ref="W53:W54"/>
    <mergeCell ref="X53:X54"/>
    <mergeCell ref="Y53:Y54"/>
    <mergeCell ref="Z53:Z54"/>
    <mergeCell ref="R53:R54"/>
    <mergeCell ref="Q53:Q54"/>
    <mergeCell ref="S53:S54"/>
    <mergeCell ref="U53:U54"/>
    <mergeCell ref="V53:V54"/>
    <mergeCell ref="AA53:AA54"/>
    <mergeCell ref="AI53:AI54"/>
    <mergeCell ref="AJ53:AJ54"/>
    <mergeCell ref="AK53:AK54"/>
    <mergeCell ref="AL53:AL54"/>
    <mergeCell ref="AM53:AM54"/>
    <mergeCell ref="AU53:AU54"/>
    <mergeCell ref="AV53:AV54"/>
    <mergeCell ref="AW53:AW54"/>
    <mergeCell ref="AC53:AC54"/>
    <mergeCell ref="AD53:AD54"/>
    <mergeCell ref="AO53:AO54"/>
    <mergeCell ref="AP53:AP54"/>
    <mergeCell ref="AQ53:AQ54"/>
    <mergeCell ref="AE53:AE54"/>
    <mergeCell ref="AF53:AF54"/>
    <mergeCell ref="AG53:AG54"/>
    <mergeCell ref="AH53:AH54"/>
    <mergeCell ref="AR53:AR54"/>
    <mergeCell ref="AS53:AS54"/>
    <mergeCell ref="AT53:AT54"/>
    <mergeCell ref="AX53:AX54"/>
    <mergeCell ref="AY53:AY54"/>
    <mergeCell ref="BH53:BH54"/>
    <mergeCell ref="BI53:BI54"/>
    <mergeCell ref="BJ53:BJ54"/>
    <mergeCell ref="BK53:BK54"/>
    <mergeCell ref="BL53:BL54"/>
    <mergeCell ref="BT53:BT54"/>
    <mergeCell ref="BU53:BU54"/>
    <mergeCell ref="AZ53:AZ54"/>
    <mergeCell ref="BA53:BA54"/>
    <mergeCell ref="BB53:BB54"/>
    <mergeCell ref="BN53:BN54"/>
    <mergeCell ref="BO53:BO54"/>
    <mergeCell ref="BP53:BP54"/>
    <mergeCell ref="BC53:BC54"/>
    <mergeCell ref="BD53:BD54"/>
    <mergeCell ref="BE53:BE54"/>
    <mergeCell ref="BF53:BF54"/>
    <mergeCell ref="BQ53:BQ54"/>
    <mergeCell ref="BR53:BR54"/>
    <mergeCell ref="BS53:BS54"/>
    <mergeCell ref="BV53:BV54"/>
    <mergeCell ref="BW53:BW54"/>
    <mergeCell ref="BX53:BX54"/>
    <mergeCell ref="CF53:CF54"/>
    <mergeCell ref="CG53:CG54"/>
    <mergeCell ref="CH53:CH54"/>
    <mergeCell ref="CI53:CI54"/>
    <mergeCell ref="CJ53:CJ54"/>
    <mergeCell ref="CR53:CR54"/>
    <mergeCell ref="CL53:CL54"/>
    <mergeCell ref="CM53:CM54"/>
    <mergeCell ref="CN53:CN54"/>
    <mergeCell ref="BZ53:BZ54"/>
    <mergeCell ref="CA53:CA54"/>
    <mergeCell ref="CB53:CB54"/>
    <mergeCell ref="CC53:CC54"/>
    <mergeCell ref="CD53:CD54"/>
    <mergeCell ref="CE53:CE54"/>
    <mergeCell ref="CO53:CO54"/>
    <mergeCell ref="CP53:CP54"/>
    <mergeCell ref="CQ53:CQ54"/>
    <mergeCell ref="GT53:GT54"/>
    <mergeCell ref="GQ53:GQ54"/>
    <mergeCell ref="CS53:CS54"/>
    <mergeCell ref="CT53:CT54"/>
    <mergeCell ref="CU53:CU54"/>
    <mergeCell ref="CV53:CV54"/>
    <mergeCell ref="DE53:DE54"/>
    <mergeCell ref="DF53:DF54"/>
    <mergeCell ref="DG53:DG54"/>
    <mergeCell ref="DH53:DH54"/>
    <mergeCell ref="DI53:DI54"/>
    <mergeCell ref="CW53:CW54"/>
    <mergeCell ref="CX53:CX54"/>
    <mergeCell ref="CY53:CY54"/>
    <mergeCell ref="CZ53:CZ54"/>
    <mergeCell ref="DA53:DA54"/>
    <mergeCell ref="DB53:DB54"/>
    <mergeCell ref="DC53:DC54"/>
    <mergeCell ref="DK53:DK54"/>
    <mergeCell ref="DL53:DL54"/>
    <mergeCell ref="DM53:DM54"/>
    <mergeCell ref="EI53:EI54"/>
    <mergeCell ref="EJ53:EJ54"/>
    <mergeCell ref="FZ53:FZ54"/>
    <mergeCell ref="A45:A46"/>
    <mergeCell ref="B45:B46"/>
    <mergeCell ref="C45:C46"/>
    <mergeCell ref="JK53:JK54"/>
    <mergeCell ref="JL53:JL54"/>
    <mergeCell ref="JT53:JT54"/>
    <mergeCell ref="JU53:JU54"/>
    <mergeCell ref="JV53:JV54"/>
    <mergeCell ref="JW53:JW54"/>
    <mergeCell ref="IM53:IM54"/>
    <mergeCell ref="IV53:IV54"/>
    <mergeCell ref="IW53:IW54"/>
    <mergeCell ref="IX53:IX54"/>
    <mergeCell ref="IY53:IY54"/>
    <mergeCell ref="IZ53:IZ54"/>
    <mergeCell ref="JH53:JH54"/>
    <mergeCell ref="JI53:JI54"/>
    <mergeCell ref="JJ53:JJ54"/>
    <mergeCell ref="HW53:HW54"/>
    <mergeCell ref="HX53:HX54"/>
    <mergeCell ref="HY53:HY54"/>
    <mergeCell ref="HZ53:HZ54"/>
    <mergeCell ref="IA53:IA54"/>
    <mergeCell ref="II53:II54"/>
    <mergeCell ref="IN53:IN54"/>
    <mergeCell ref="KK9:KK10"/>
    <mergeCell ref="KK53:KK54"/>
    <mergeCell ref="HD53:HD54"/>
    <mergeCell ref="IB53:IB54"/>
    <mergeCell ref="JA53:JA54"/>
    <mergeCell ref="JY53:JY54"/>
    <mergeCell ref="JM53:JM54"/>
    <mergeCell ref="HP53:HP54"/>
    <mergeCell ref="KH53:KH54"/>
    <mergeCell ref="KI53:KI54"/>
    <mergeCell ref="KJ53:KJ54"/>
    <mergeCell ref="JX53:JX54"/>
    <mergeCell ref="KF53:KF54"/>
    <mergeCell ref="KG53:KG54"/>
    <mergeCell ref="IJ53:IJ54"/>
    <mergeCell ref="IK53:IK54"/>
    <mergeCell ref="IL53:IL54"/>
    <mergeCell ref="HQ53:HQ54"/>
    <mergeCell ref="HR53:HR54"/>
    <mergeCell ref="HS53:HS54"/>
    <mergeCell ref="IC53:IC54"/>
    <mergeCell ref="ID53:ID54"/>
    <mergeCell ref="HT53:HT54"/>
    <mergeCell ref="FK53:FK54"/>
    <mergeCell ref="GZ53:GZ54"/>
    <mergeCell ref="KH9:KH10"/>
    <mergeCell ref="KF51:KQ51"/>
    <mergeCell ref="AB46:AU46"/>
    <mergeCell ref="P53:P54"/>
    <mergeCell ref="AN53:AN54"/>
    <mergeCell ref="BM53:BM54"/>
    <mergeCell ref="CK53:CK54"/>
    <mergeCell ref="DJ53:DJ54"/>
    <mergeCell ref="EH53:EH54"/>
    <mergeCell ref="FG53:FG54"/>
    <mergeCell ref="GE53:GE54"/>
    <mergeCell ref="FS53:FS54"/>
    <mergeCell ref="DV53:DV54"/>
    <mergeCell ref="BY53:BY54"/>
    <mergeCell ref="AB53:AB54"/>
    <mergeCell ref="FE53:FE54"/>
    <mergeCell ref="FF53:FF54"/>
    <mergeCell ref="FN53:FN54"/>
    <mergeCell ref="FO53:FO54"/>
    <mergeCell ref="FP53:FP54"/>
    <mergeCell ref="FQ53:FQ54"/>
    <mergeCell ref="FR53:FR54"/>
    <mergeCell ref="FJ53:FJ54"/>
    <mergeCell ref="DW53:DW54"/>
    <mergeCell ref="DX53:DX54"/>
    <mergeCell ref="DY53:DY54"/>
    <mergeCell ref="EU53:EU54"/>
    <mergeCell ref="EV53:EV54"/>
    <mergeCell ref="EW53:EW54"/>
    <mergeCell ref="EP53:EP54"/>
    <mergeCell ref="EQ53:EQ54"/>
    <mergeCell ref="ER53:ER54"/>
    <mergeCell ref="ES53:ES54"/>
    <mergeCell ref="FB53:FB54"/>
    <mergeCell ref="FC53:FC54"/>
    <mergeCell ref="FD53:FD54"/>
    <mergeCell ref="EX53:EX54"/>
    <mergeCell ref="EY53:EY54"/>
    <mergeCell ref="EZ53:EZ54"/>
    <mergeCell ref="ET53:ET54"/>
    <mergeCell ref="HU53:HU54"/>
    <mergeCell ref="HV53:HV54"/>
    <mergeCell ref="IF53:IF54"/>
    <mergeCell ref="IG53:IG54"/>
    <mergeCell ref="IH53:IH54"/>
    <mergeCell ref="IR53:IR54"/>
    <mergeCell ref="IS53:IS54"/>
    <mergeCell ref="GA53:GA54"/>
    <mergeCell ref="IE53:IE54"/>
    <mergeCell ref="GL53:GL54"/>
    <mergeCell ref="GM53:GM54"/>
    <mergeCell ref="GN53:GN54"/>
    <mergeCell ref="GO53:GO54"/>
    <mergeCell ref="GP53:GP54"/>
    <mergeCell ref="GY53:GY54"/>
    <mergeCell ref="GF53:GF54"/>
    <mergeCell ref="GG53:GG54"/>
    <mergeCell ref="GH53:GH54"/>
    <mergeCell ref="GU53:GU54"/>
    <mergeCell ref="GV53:GV54"/>
    <mergeCell ref="GW53:GW54"/>
    <mergeCell ref="GR53:GR54"/>
    <mergeCell ref="GS53:GS54"/>
    <mergeCell ref="HK53:HK54"/>
    <mergeCell ref="HL53:HL54"/>
    <mergeCell ref="HM53:HM54"/>
    <mergeCell ref="HN53:HN54"/>
    <mergeCell ref="HO53:HO54"/>
    <mergeCell ref="HE53:HE54"/>
    <mergeCell ref="HF53:HF54"/>
    <mergeCell ref="HG53:HG54"/>
    <mergeCell ref="HH53:HH54"/>
    <mergeCell ref="HI53:HI54"/>
    <mergeCell ref="HJ53:HJ54"/>
    <mergeCell ref="HC53:HC54"/>
    <mergeCell ref="DN53:DN54"/>
    <mergeCell ref="DO53:DO54"/>
    <mergeCell ref="DP53:DP54"/>
    <mergeCell ref="DZ53:DZ54"/>
    <mergeCell ref="EA53:EA54"/>
    <mergeCell ref="EB53:EB54"/>
    <mergeCell ref="EL53:EL54"/>
    <mergeCell ref="EM53:EM54"/>
    <mergeCell ref="EN53:EN54"/>
    <mergeCell ref="DS53:DS54"/>
    <mergeCell ref="DT53:DT54"/>
    <mergeCell ref="DU53:DU54"/>
    <mergeCell ref="EC53:EC54"/>
    <mergeCell ref="ED53:ED54"/>
    <mergeCell ref="EE53:EE54"/>
    <mergeCell ref="EF53:EF54"/>
    <mergeCell ref="DQ53:DQ54"/>
    <mergeCell ref="DR53:DR54"/>
    <mergeCell ref="EK53:EK54"/>
    <mergeCell ref="EG53:EG54"/>
    <mergeCell ref="EO53:EO54"/>
    <mergeCell ref="FH53:FH54"/>
    <mergeCell ref="FI53:FI54"/>
    <mergeCell ref="IO53:IO54"/>
    <mergeCell ref="IP53:IP54"/>
    <mergeCell ref="IQ53:IQ54"/>
    <mergeCell ref="JN53:JN54"/>
    <mergeCell ref="JO53:JO54"/>
    <mergeCell ref="JP53:JP54"/>
    <mergeCell ref="FL53:FL54"/>
    <mergeCell ref="FM53:FM54"/>
    <mergeCell ref="FW53:FW54"/>
    <mergeCell ref="FX53:FX54"/>
    <mergeCell ref="FY53:FY54"/>
    <mergeCell ref="GI53:GI54"/>
    <mergeCell ref="GJ53:GJ54"/>
    <mergeCell ref="GK53:GK54"/>
    <mergeCell ref="FT53:FT54"/>
    <mergeCell ref="FU53:FU54"/>
    <mergeCell ref="FV53:FV54"/>
    <mergeCell ref="GB53:GB54"/>
    <mergeCell ref="GC53:GC54"/>
    <mergeCell ref="GD53:GD54"/>
    <mergeCell ref="HA53:HA54"/>
    <mergeCell ref="JB53:JB54"/>
    <mergeCell ref="JC53:JC54"/>
    <mergeCell ref="HB53:HB54"/>
    <mergeCell ref="EQ9:EQ10"/>
    <mergeCell ref="EC9:EC10"/>
    <mergeCell ref="ED9:ED10"/>
    <mergeCell ref="EE9:EE10"/>
    <mergeCell ref="KQ53:KQ54"/>
    <mergeCell ref="JE53:JE54"/>
    <mergeCell ref="JF53:JF54"/>
    <mergeCell ref="JG53:JG54"/>
    <mergeCell ref="JQ53:JQ54"/>
    <mergeCell ref="JR53:JR54"/>
    <mergeCell ref="JS53:JS54"/>
    <mergeCell ref="KC53:KC54"/>
    <mergeCell ref="KD53:KD54"/>
    <mergeCell ref="KE53:KE54"/>
    <mergeCell ref="KL53:KL54"/>
    <mergeCell ref="KM53:KM54"/>
    <mergeCell ref="KN53:KN54"/>
    <mergeCell ref="IT53:IT54"/>
    <mergeCell ref="KO53:KO54"/>
    <mergeCell ref="KP53:KP54"/>
    <mergeCell ref="JD53:JD54"/>
    <mergeCell ref="JZ53:JZ54"/>
    <mergeCell ref="KA53:KA54"/>
    <mergeCell ref="KB53:KB54"/>
    <mergeCell ref="I1:I2"/>
    <mergeCell ref="K1:L1"/>
    <mergeCell ref="K2:L2"/>
    <mergeCell ref="K3:L3"/>
    <mergeCell ref="JA9:JA10"/>
    <mergeCell ref="JM9:JM10"/>
    <mergeCell ref="JY9:JY10"/>
    <mergeCell ref="DJ9:DJ10"/>
    <mergeCell ref="DV9:DV10"/>
    <mergeCell ref="EH9:EH10"/>
    <mergeCell ref="FG9:FG10"/>
    <mergeCell ref="FS9:FS10"/>
    <mergeCell ref="GE9:GE10"/>
    <mergeCell ref="HD9:HD10"/>
    <mergeCell ref="HP9:HP10"/>
    <mergeCell ref="IB9:IB10"/>
    <mergeCell ref="ET9:ET10"/>
    <mergeCell ref="GQ9:GQ10"/>
    <mergeCell ref="DR9:DR10"/>
    <mergeCell ref="DS9:DS10"/>
    <mergeCell ref="EF9:EF10"/>
    <mergeCell ref="EG9:EG10"/>
    <mergeCell ref="EO9:EO10"/>
    <mergeCell ref="EP9:EP10"/>
  </mergeCells>
  <pageMargins left="0.7" right="0.7" top="0.75" bottom="0.75" header="0.3" footer="0.3"/>
  <pageSetup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rightToLeft="1" workbookViewId="0">
      <selection activeCell="G8" sqref="G8"/>
    </sheetView>
  </sheetViews>
  <sheetFormatPr defaultRowHeight="13.8"/>
  <cols>
    <col min="2" max="2" width="17.796875" customWidth="1"/>
  </cols>
  <sheetData>
    <row r="1" spans="1:2">
      <c r="B1" s="630" t="s">
        <v>1469</v>
      </c>
    </row>
    <row r="2" spans="1:2">
      <c r="A2" s="631">
        <v>1</v>
      </c>
    </row>
    <row r="3" spans="1:2">
      <c r="A3" s="631">
        <v>2</v>
      </c>
      <c r="B3" s="631">
        <v>12.71</v>
      </c>
    </row>
    <row r="4" spans="1:2">
      <c r="A4" s="631">
        <v>3</v>
      </c>
      <c r="B4" s="631">
        <v>4.3</v>
      </c>
    </row>
    <row r="5" spans="1:2">
      <c r="A5" s="631">
        <v>4</v>
      </c>
      <c r="B5" s="631">
        <v>3.18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1"/>
  <sheetViews>
    <sheetView rightToLeft="1" topLeftCell="B35" zoomScale="55" zoomScaleNormal="55" workbookViewId="0">
      <selection activeCell="J41" sqref="J41"/>
    </sheetView>
  </sheetViews>
  <sheetFormatPr defaultColWidth="8.69921875" defaultRowHeight="13.8"/>
  <cols>
    <col min="1" max="1" width="81.296875" style="6" customWidth="1"/>
    <col min="2" max="2" width="30.59765625" style="6" customWidth="1"/>
    <col min="3" max="3" width="29.19921875" style="6" customWidth="1"/>
    <col min="4" max="4" width="28.5" style="6" customWidth="1"/>
    <col min="5" max="5" width="19.69921875" style="6" customWidth="1"/>
    <col min="6" max="6" width="12.3984375" style="6" customWidth="1"/>
    <col min="7" max="7" width="25.19921875" style="6" customWidth="1"/>
    <col min="8" max="9" width="26.19921875" style="6" customWidth="1"/>
    <col min="10" max="10" width="28.19921875" style="6" customWidth="1"/>
    <col min="11" max="11" width="16.59765625" style="6" customWidth="1"/>
    <col min="12" max="12" width="15.69921875" style="6" customWidth="1"/>
    <col min="13" max="13" width="13.8984375" style="6" customWidth="1"/>
    <col min="14" max="16384" width="8.69921875" style="6"/>
  </cols>
  <sheetData>
    <row r="1" spans="1:12" ht="72.599999999999994">
      <c r="A1" s="2607" t="s">
        <v>112</v>
      </c>
      <c r="B1" s="2608"/>
      <c r="C1" s="2608"/>
      <c r="D1" s="2608"/>
      <c r="E1" s="2608"/>
      <c r="F1" s="2608"/>
      <c r="G1" s="2608"/>
      <c r="H1" s="2608"/>
      <c r="I1" s="2608"/>
      <c r="J1" s="2608"/>
      <c r="K1" s="2609"/>
      <c r="L1" s="41" t="s">
        <v>115</v>
      </c>
    </row>
    <row r="2" spans="1:12" ht="16.8">
      <c r="A2" s="42" t="s">
        <v>85</v>
      </c>
      <c r="B2" s="43" t="s">
        <v>122</v>
      </c>
      <c r="C2" s="43" t="s">
        <v>231</v>
      </c>
      <c r="D2" s="43" t="s">
        <v>232</v>
      </c>
      <c r="E2" s="43" t="s">
        <v>233</v>
      </c>
      <c r="F2" s="43" t="s">
        <v>234</v>
      </c>
      <c r="G2" s="43" t="s">
        <v>235</v>
      </c>
      <c r="H2" s="43" t="s">
        <v>120</v>
      </c>
      <c r="I2" s="43" t="s">
        <v>124</v>
      </c>
      <c r="J2" s="43" t="s">
        <v>125</v>
      </c>
      <c r="K2" s="44" t="s">
        <v>123</v>
      </c>
    </row>
    <row r="3" spans="1:12" ht="16.8">
      <c r="A3" s="45" t="s">
        <v>54</v>
      </c>
      <c r="B3" s="46" t="s">
        <v>993</v>
      </c>
      <c r="C3" s="46" t="s">
        <v>992</v>
      </c>
      <c r="D3" s="47"/>
      <c r="E3" s="47"/>
      <c r="F3" s="47"/>
      <c r="G3" s="47"/>
      <c r="H3" s="47"/>
      <c r="I3" s="47"/>
      <c r="J3" s="47"/>
      <c r="K3" s="48"/>
    </row>
    <row r="4" spans="1:12" ht="16.8">
      <c r="A4" s="42" t="s">
        <v>126</v>
      </c>
      <c r="B4" s="43" t="s">
        <v>50</v>
      </c>
      <c r="C4" s="43" t="s">
        <v>43</v>
      </c>
      <c r="D4" s="47"/>
      <c r="E4" s="47"/>
      <c r="F4" s="47"/>
      <c r="G4" s="47"/>
      <c r="H4" s="47"/>
      <c r="I4" s="47"/>
      <c r="J4" s="47"/>
      <c r="K4" s="48"/>
    </row>
    <row r="5" spans="1:12" ht="16.8">
      <c r="A5" s="42" t="s">
        <v>127</v>
      </c>
      <c r="B5" s="49" t="s">
        <v>128</v>
      </c>
      <c r="C5" s="49" t="s">
        <v>129</v>
      </c>
      <c r="D5" s="47"/>
      <c r="E5" s="47"/>
      <c r="F5" s="47"/>
      <c r="G5" s="47"/>
      <c r="H5" s="47"/>
      <c r="I5" s="47"/>
      <c r="J5" s="47"/>
      <c r="K5" s="48"/>
    </row>
    <row r="6" spans="1:12" ht="22.95" customHeight="1">
      <c r="A6" s="42" t="s">
        <v>130</v>
      </c>
      <c r="B6" s="49" t="s">
        <v>995</v>
      </c>
      <c r="C6" s="49" t="s">
        <v>281</v>
      </c>
      <c r="D6" s="50" t="s">
        <v>280</v>
      </c>
      <c r="E6" s="47"/>
      <c r="F6" s="47"/>
      <c r="G6" s="47"/>
      <c r="H6" s="47"/>
      <c r="I6" s="47"/>
      <c r="J6" s="47"/>
      <c r="K6" s="48"/>
    </row>
    <row r="7" spans="1:12" ht="16.8">
      <c r="A7" s="42" t="s">
        <v>133</v>
      </c>
      <c r="B7" s="49" t="s">
        <v>134</v>
      </c>
      <c r="C7" s="49" t="s">
        <v>139</v>
      </c>
      <c r="D7" s="47"/>
      <c r="E7" s="47"/>
      <c r="F7" s="47"/>
      <c r="G7" s="47"/>
      <c r="H7" s="47"/>
      <c r="I7" s="47"/>
      <c r="J7" s="47"/>
      <c r="K7" s="48"/>
    </row>
    <row r="8" spans="1:12">
      <c r="A8" s="51"/>
      <c r="B8" s="47"/>
      <c r="C8" s="47"/>
      <c r="D8" s="47"/>
      <c r="E8" s="47"/>
      <c r="F8" s="47"/>
      <c r="G8" s="47"/>
      <c r="H8" s="47"/>
      <c r="I8" s="47"/>
      <c r="J8" s="47"/>
      <c r="K8" s="48"/>
    </row>
    <row r="9" spans="1:12" ht="16.8">
      <c r="A9" s="42" t="s">
        <v>85</v>
      </c>
      <c r="B9" s="49" t="s">
        <v>143</v>
      </c>
      <c r="C9" s="49" t="s">
        <v>151</v>
      </c>
      <c r="D9" s="47"/>
      <c r="E9" s="47"/>
      <c r="F9" s="47"/>
      <c r="G9" s="47"/>
      <c r="H9" s="47"/>
      <c r="I9" s="47"/>
      <c r="J9" s="47"/>
      <c r="K9" s="48"/>
    </row>
    <row r="10" spans="1:12" ht="15.6">
      <c r="A10" s="52" t="s">
        <v>122</v>
      </c>
      <c r="B10" s="53" t="s">
        <v>149</v>
      </c>
      <c r="C10" s="54" t="s">
        <v>141</v>
      </c>
      <c r="D10" s="47"/>
      <c r="E10" s="47"/>
      <c r="F10" s="47"/>
      <c r="G10" s="47"/>
      <c r="H10" s="47"/>
      <c r="I10" s="47"/>
      <c r="J10" s="47"/>
      <c r="K10" s="48"/>
    </row>
    <row r="11" spans="1:12" ht="15.6">
      <c r="A11" s="52" t="s">
        <v>231</v>
      </c>
      <c r="B11" s="53" t="s">
        <v>149</v>
      </c>
      <c r="C11" s="54" t="s">
        <v>141</v>
      </c>
      <c r="D11" s="47"/>
      <c r="E11" s="47"/>
      <c r="F11" s="47"/>
      <c r="G11" s="47"/>
      <c r="H11" s="47"/>
      <c r="I11" s="47"/>
      <c r="J11" s="47"/>
      <c r="K11" s="48"/>
    </row>
    <row r="12" spans="1:12" ht="15.6">
      <c r="A12" s="52" t="s">
        <v>232</v>
      </c>
      <c r="B12" s="53" t="s">
        <v>149</v>
      </c>
      <c r="C12" s="54" t="s">
        <v>141</v>
      </c>
      <c r="D12" s="47"/>
      <c r="E12" s="47"/>
      <c r="F12" s="47"/>
      <c r="G12" s="47"/>
      <c r="H12" s="47"/>
      <c r="I12" s="47"/>
      <c r="J12" s="47"/>
      <c r="K12" s="48"/>
    </row>
    <row r="13" spans="1:12" ht="15.6">
      <c r="A13" s="52" t="s">
        <v>233</v>
      </c>
      <c r="B13" s="53" t="s">
        <v>149</v>
      </c>
      <c r="C13" s="54" t="s">
        <v>141</v>
      </c>
      <c r="D13" s="47"/>
      <c r="E13" s="47"/>
      <c r="F13" s="47"/>
      <c r="G13" s="47"/>
      <c r="H13" s="47"/>
      <c r="I13" s="47"/>
      <c r="J13" s="47"/>
      <c r="K13" s="48"/>
    </row>
    <row r="14" spans="1:12" ht="15.6">
      <c r="A14" s="52" t="s">
        <v>234</v>
      </c>
      <c r="B14" s="53" t="s">
        <v>149</v>
      </c>
      <c r="C14" s="54" t="s">
        <v>141</v>
      </c>
      <c r="D14" s="47"/>
      <c r="E14" s="47"/>
      <c r="F14" s="47"/>
      <c r="G14" s="47"/>
      <c r="H14" s="47"/>
      <c r="I14" s="47"/>
      <c r="J14" s="47"/>
      <c r="K14" s="48"/>
    </row>
    <row r="15" spans="1:12" ht="15.6">
      <c r="A15" s="52" t="s">
        <v>235</v>
      </c>
      <c r="B15" s="53" t="s">
        <v>149</v>
      </c>
      <c r="C15" s="54" t="s">
        <v>141</v>
      </c>
      <c r="D15" s="47"/>
      <c r="E15" s="47"/>
      <c r="F15" s="47"/>
      <c r="G15" s="47"/>
      <c r="H15" s="47"/>
      <c r="I15" s="47"/>
      <c r="J15" s="47"/>
      <c r="K15" s="48"/>
    </row>
    <row r="16" spans="1:12" ht="15.6">
      <c r="A16" s="52" t="s">
        <v>120</v>
      </c>
      <c r="B16" s="53" t="s">
        <v>150</v>
      </c>
      <c r="C16" s="54" t="s">
        <v>152</v>
      </c>
      <c r="D16" s="47"/>
      <c r="E16" s="47"/>
      <c r="F16" s="47"/>
      <c r="G16" s="47"/>
      <c r="H16" s="47"/>
      <c r="I16" s="47"/>
      <c r="J16" s="47"/>
      <c r="K16" s="48"/>
    </row>
    <row r="17" spans="1:11" ht="15.6">
      <c r="A17" s="52" t="s">
        <v>124</v>
      </c>
      <c r="B17" s="53" t="s">
        <v>150</v>
      </c>
      <c r="C17" s="54" t="s">
        <v>152</v>
      </c>
      <c r="D17" s="47"/>
      <c r="E17" s="47"/>
      <c r="F17" s="47"/>
      <c r="G17" s="47"/>
      <c r="H17" s="47"/>
      <c r="I17" s="47"/>
      <c r="J17" s="47"/>
      <c r="K17" s="48"/>
    </row>
    <row r="18" spans="1:11" ht="15.6">
      <c r="A18" s="52" t="s">
        <v>125</v>
      </c>
      <c r="B18" s="53" t="s">
        <v>150</v>
      </c>
      <c r="C18" s="54" t="s">
        <v>152</v>
      </c>
      <c r="D18" s="47"/>
      <c r="E18" s="47"/>
      <c r="F18" s="47"/>
      <c r="G18" s="47"/>
      <c r="H18" s="47"/>
      <c r="I18" s="47"/>
      <c r="J18" s="47"/>
      <c r="K18" s="48"/>
    </row>
    <row r="19" spans="1:11" ht="16.8" thickBot="1">
      <c r="A19" s="55" t="s">
        <v>123</v>
      </c>
      <c r="B19" s="56" t="s">
        <v>150</v>
      </c>
      <c r="C19" s="57" t="s">
        <v>152</v>
      </c>
      <c r="D19" s="58"/>
      <c r="E19" s="58"/>
      <c r="F19" s="58"/>
      <c r="G19" s="58"/>
      <c r="H19" s="58"/>
      <c r="I19" s="58"/>
      <c r="J19" s="58"/>
      <c r="K19" s="59"/>
    </row>
    <row r="20" spans="1:11" ht="14.4" thickBot="1"/>
    <row r="21" spans="1:11" ht="20.399999999999999">
      <c r="A21" s="2619" t="s">
        <v>111</v>
      </c>
      <c r="B21" s="2620"/>
      <c r="C21" s="2620"/>
      <c r="D21" s="2620"/>
      <c r="E21" s="60"/>
      <c r="F21" s="60"/>
      <c r="G21" s="60"/>
      <c r="H21" s="61"/>
    </row>
    <row r="22" spans="1:11" ht="16.8">
      <c r="A22" s="62" t="s">
        <v>130</v>
      </c>
      <c r="B22" s="63" t="s">
        <v>279</v>
      </c>
      <c r="C22" s="63" t="s">
        <v>282</v>
      </c>
      <c r="D22" s="63" t="s">
        <v>283</v>
      </c>
      <c r="E22" s="64"/>
      <c r="F22" s="64"/>
      <c r="G22" s="64"/>
      <c r="H22" s="65"/>
    </row>
    <row r="23" spans="1:11" ht="16.8">
      <c r="A23" s="66" t="s">
        <v>85</v>
      </c>
      <c r="B23" s="67" t="s">
        <v>122</v>
      </c>
      <c r="C23" s="67" t="s">
        <v>231</v>
      </c>
      <c r="D23" s="67" t="s">
        <v>232</v>
      </c>
      <c r="E23" s="68" t="s">
        <v>233</v>
      </c>
      <c r="F23" s="68" t="s">
        <v>234</v>
      </c>
      <c r="G23" s="68" t="s">
        <v>235</v>
      </c>
      <c r="H23" s="69" t="s">
        <v>154</v>
      </c>
    </row>
    <row r="24" spans="1:11" ht="16.8">
      <c r="A24" s="62" t="s">
        <v>85</v>
      </c>
      <c r="B24" s="63" t="s">
        <v>143</v>
      </c>
      <c r="C24" s="63" t="s">
        <v>151</v>
      </c>
      <c r="D24" s="64"/>
      <c r="E24" s="64"/>
      <c r="F24" s="64"/>
      <c r="G24" s="64"/>
      <c r="H24" s="65"/>
    </row>
    <row r="25" spans="1:11" ht="15.6">
      <c r="A25" s="70" t="s">
        <v>122</v>
      </c>
      <c r="B25" s="71" t="s">
        <v>149</v>
      </c>
      <c r="C25" s="72" t="s">
        <v>141</v>
      </c>
      <c r="D25" s="64"/>
      <c r="E25" s="64"/>
      <c r="F25" s="64"/>
      <c r="G25" s="64"/>
      <c r="H25" s="65"/>
    </row>
    <row r="26" spans="1:11" ht="15.6">
      <c r="A26" s="70" t="s">
        <v>231</v>
      </c>
      <c r="B26" s="71" t="s">
        <v>149</v>
      </c>
      <c r="C26" s="72" t="s">
        <v>141</v>
      </c>
      <c r="D26" s="64"/>
      <c r="E26" s="64"/>
      <c r="F26" s="64"/>
      <c r="G26" s="64"/>
      <c r="H26" s="65"/>
    </row>
    <row r="27" spans="1:11" ht="15.6">
      <c r="A27" s="70" t="s">
        <v>232</v>
      </c>
      <c r="B27" s="71" t="s">
        <v>149</v>
      </c>
      <c r="C27" s="72" t="s">
        <v>141</v>
      </c>
      <c r="D27" s="64"/>
      <c r="E27" s="64"/>
      <c r="F27" s="64"/>
      <c r="G27" s="64"/>
      <c r="H27" s="65"/>
    </row>
    <row r="28" spans="1:11" ht="15.6">
      <c r="A28" s="70" t="s">
        <v>233</v>
      </c>
      <c r="B28" s="71" t="s">
        <v>149</v>
      </c>
      <c r="C28" s="72" t="s">
        <v>141</v>
      </c>
      <c r="D28" s="64"/>
      <c r="E28" s="64"/>
      <c r="F28" s="64"/>
      <c r="G28" s="64"/>
      <c r="H28" s="65"/>
    </row>
    <row r="29" spans="1:11" ht="15.6">
      <c r="A29" s="70" t="s">
        <v>234</v>
      </c>
      <c r="B29" s="71" t="s">
        <v>149</v>
      </c>
      <c r="C29" s="72" t="s">
        <v>141</v>
      </c>
      <c r="D29" s="64"/>
      <c r="E29" s="64"/>
      <c r="F29" s="64"/>
      <c r="G29" s="64"/>
      <c r="H29" s="65"/>
    </row>
    <row r="30" spans="1:11" ht="15.6">
      <c r="A30" s="70" t="s">
        <v>235</v>
      </c>
      <c r="B30" s="71" t="s">
        <v>149</v>
      </c>
      <c r="C30" s="72" t="s">
        <v>141</v>
      </c>
      <c r="D30" s="64"/>
      <c r="E30" s="64"/>
      <c r="F30" s="64"/>
      <c r="G30" s="64"/>
      <c r="H30" s="65"/>
    </row>
    <row r="31" spans="1:11" ht="16.2" thickBot="1">
      <c r="A31" s="73" t="s">
        <v>154</v>
      </c>
      <c r="B31" s="74" t="s">
        <v>150</v>
      </c>
      <c r="C31" s="75" t="s">
        <v>152</v>
      </c>
      <c r="D31" s="76"/>
      <c r="E31" s="76"/>
      <c r="F31" s="76"/>
      <c r="G31" s="76"/>
      <c r="H31" s="77"/>
    </row>
    <row r="33" spans="1:10">
      <c r="A33" s="78" t="s">
        <v>228</v>
      </c>
      <c r="B33" s="78" t="s">
        <v>225</v>
      </c>
    </row>
    <row r="35" spans="1:10" ht="14.4" thickBot="1">
      <c r="A35" s="79" t="s">
        <v>120</v>
      </c>
      <c r="B35" s="79" t="s">
        <v>154</v>
      </c>
      <c r="C35" s="79" t="s">
        <v>124</v>
      </c>
      <c r="D35" s="79" t="s">
        <v>125</v>
      </c>
      <c r="E35" s="79" t="s">
        <v>153</v>
      </c>
    </row>
    <row r="38" spans="1:10" ht="17.399999999999999">
      <c r="A38" s="2610" t="s">
        <v>103</v>
      </c>
      <c r="B38" s="2611"/>
      <c r="C38" s="2611"/>
      <c r="D38" s="2611"/>
      <c r="E38" s="2611"/>
      <c r="F38" s="2611"/>
      <c r="G38" s="2612"/>
    </row>
    <row r="39" spans="1:10" ht="18.600000000000001">
      <c r="A39" s="2613" t="s">
        <v>85</v>
      </c>
      <c r="B39" s="80"/>
      <c r="C39" s="80" t="s">
        <v>260</v>
      </c>
      <c r="D39" s="80" t="s">
        <v>261</v>
      </c>
      <c r="E39" s="80" t="s">
        <v>88</v>
      </c>
      <c r="F39" s="80" t="s">
        <v>89</v>
      </c>
      <c r="G39" s="80" t="s">
        <v>90</v>
      </c>
      <c r="H39" s="80" t="s">
        <v>258</v>
      </c>
      <c r="I39" s="80" t="s">
        <v>259</v>
      </c>
      <c r="J39" s="6" t="s">
        <v>1014</v>
      </c>
    </row>
    <row r="40" spans="1:10" ht="18.600000000000001">
      <c r="A40" s="2613"/>
      <c r="B40" s="80"/>
      <c r="C40" s="81" t="s">
        <v>91</v>
      </c>
      <c r="D40" s="81" t="s">
        <v>91</v>
      </c>
      <c r="E40" s="81" t="s">
        <v>92</v>
      </c>
      <c r="F40" s="81" t="s">
        <v>93</v>
      </c>
      <c r="G40" s="81" t="s">
        <v>94</v>
      </c>
      <c r="H40" s="81" t="s">
        <v>91</v>
      </c>
      <c r="I40" s="81" t="s">
        <v>91</v>
      </c>
      <c r="J40" s="6" t="s">
        <v>1015</v>
      </c>
    </row>
    <row r="41" spans="1:10" ht="16.8">
      <c r="A41" s="82" t="s">
        <v>95</v>
      </c>
      <c r="B41" s="83" t="s">
        <v>124</v>
      </c>
      <c r="C41" s="84">
        <v>38.700000000000003</v>
      </c>
      <c r="D41" s="84">
        <v>36.700000000000003</v>
      </c>
      <c r="E41" s="84">
        <v>200</v>
      </c>
      <c r="F41" s="84">
        <v>847.3</v>
      </c>
      <c r="G41" s="84">
        <v>14.6</v>
      </c>
      <c r="H41" s="85" t="str">
        <f>IF(Compositions!B83="","",Compositions!B83)</f>
        <v/>
      </c>
      <c r="I41" s="85" t="str">
        <f>IF(Compositions!C83="","",Compositions!C83)</f>
        <v/>
      </c>
      <c r="J41" s="85"/>
    </row>
    <row r="42" spans="1:10" ht="16.8">
      <c r="A42" s="86" t="s">
        <v>96</v>
      </c>
      <c r="B42" s="83" t="s">
        <v>255</v>
      </c>
      <c r="C42" s="84">
        <v>34.9</v>
      </c>
      <c r="D42" s="84">
        <v>33.1</v>
      </c>
      <c r="E42" s="84">
        <v>103</v>
      </c>
      <c r="F42" s="84">
        <v>742.4</v>
      </c>
      <c r="G42" s="84">
        <v>7.2</v>
      </c>
      <c r="H42" s="85" t="e">
        <f>IF(VLOOKUP(B42,Compositions!$A$81:$F$85,2,FALSE)=";",VLOOKUP(B42,Compositions!$A$81:$F$85,2,FALSE))</f>
        <v>#N/A</v>
      </c>
      <c r="I42" s="85" t="e">
        <f>IF(VLOOKUP(B42,Compositions!$A$81:$F$85,3,FALSE)=";",VLOOKUP(B42,Compositions!$A$81:$F$85,3,FALSE))</f>
        <v>#N/A</v>
      </c>
      <c r="J42" s="85"/>
    </row>
    <row r="43" spans="1:10" ht="16.8">
      <c r="A43" s="86" t="s">
        <v>97</v>
      </c>
      <c r="B43" s="83" t="s">
        <v>123</v>
      </c>
      <c r="C43" s="84">
        <v>41.7</v>
      </c>
      <c r="D43" s="84">
        <v>39.6</v>
      </c>
      <c r="E43" s="84">
        <v>387</v>
      </c>
      <c r="F43" s="84">
        <v>993</v>
      </c>
      <c r="G43" s="84">
        <v>27.1</v>
      </c>
      <c r="H43" s="85" t="str">
        <f>IF(Compositions!B85="","",Compositions!B85)</f>
        <v/>
      </c>
      <c r="I43" s="85" t="str">
        <f>IF(Compositions!C85="","",Compositions!C85)</f>
        <v/>
      </c>
      <c r="J43" s="85"/>
    </row>
    <row r="44" spans="1:10" ht="16.8">
      <c r="A44" s="86" t="s">
        <v>98</v>
      </c>
      <c r="B44" s="83" t="s">
        <v>118</v>
      </c>
      <c r="C44" s="84">
        <v>38.5</v>
      </c>
      <c r="D44" s="84">
        <v>36.6</v>
      </c>
      <c r="E44" s="84">
        <v>207</v>
      </c>
      <c r="F44" s="84">
        <v>873.5</v>
      </c>
      <c r="G44" s="84">
        <v>14.4</v>
      </c>
      <c r="H44" s="85" t="e">
        <f>IF(VLOOKUP(B44,Compositions!$A$81:$F$85,2,FALSE)=";",VLOOKUP(B44,Compositions!$A$81:$F$85,2,FALSE))</f>
        <v>#N/A</v>
      </c>
      <c r="I44" s="85" t="e">
        <f>IF(VLOOKUP(B44,Compositions!$A$81:$F$85,3,FALSE)=";",VLOOKUP(B44,Compositions!$A$81:$F$85,3,FALSE))</f>
        <v>#N/A</v>
      </c>
      <c r="J44" s="85"/>
    </row>
    <row r="45" spans="1:10" ht="16.8">
      <c r="A45" s="86" t="s">
        <v>99</v>
      </c>
      <c r="B45" s="83" t="s">
        <v>119</v>
      </c>
      <c r="C45" s="84">
        <v>37.6</v>
      </c>
      <c r="D45" s="84">
        <v>35.700000000000003</v>
      </c>
      <c r="E45" s="84">
        <v>170</v>
      </c>
      <c r="F45" s="84">
        <v>818.4</v>
      </c>
      <c r="G45" s="84">
        <v>12.1</v>
      </c>
      <c r="H45" s="85" t="e">
        <f>IF(VLOOKUP(B45,Compositions!$A$81:$F$85,2,FALSE)=";",VLOOKUP(B45,Compositions!$A$81:$F$85,2,FALSE))</f>
        <v>#N/A</v>
      </c>
      <c r="I45" s="85" t="e">
        <f>IF(VLOOKUP(B45,Compositions!$A$81:$F$85,3,FALSE)=";",VLOOKUP(B45,Compositions!$A$81:$F$85,3,FALSE))</f>
        <v>#N/A</v>
      </c>
      <c r="J45" s="85"/>
    </row>
    <row r="46" spans="1:10" ht="16.8">
      <c r="A46" s="87" t="s">
        <v>100</v>
      </c>
      <c r="B46" s="83" t="s">
        <v>120</v>
      </c>
      <c r="C46" s="88">
        <v>27.884209999999999</v>
      </c>
      <c r="D46" s="84">
        <v>26.49</v>
      </c>
      <c r="E46" s="84">
        <v>44</v>
      </c>
      <c r="F46" s="84">
        <v>495</v>
      </c>
      <c r="G46" s="84">
        <v>3.4</v>
      </c>
      <c r="H46" s="85" t="str">
        <f>IF(Compositions!B81="","",Compositions!B81)</f>
        <v/>
      </c>
      <c r="I46" s="85" t="str">
        <f>IF(Compositions!C81="","",Compositions!C81)</f>
        <v/>
      </c>
      <c r="J46" s="85"/>
    </row>
    <row r="47" spans="1:10" ht="16.8">
      <c r="A47" s="86" t="s">
        <v>101</v>
      </c>
      <c r="B47" s="83" t="s">
        <v>121</v>
      </c>
      <c r="C47" s="84">
        <v>34.799999999999997</v>
      </c>
      <c r="D47" s="84">
        <v>33.1</v>
      </c>
      <c r="E47" s="84">
        <v>125</v>
      </c>
      <c r="F47" s="84">
        <v>774.5</v>
      </c>
      <c r="G47" s="84">
        <v>8.9</v>
      </c>
      <c r="H47" s="85" t="e">
        <f>IF(VLOOKUP(B47,Compositions!$A$81:$F$85,2,FALSE)=";",VLOOKUP(B47,Compositions!$A$81:$F$85,2,FALSE))</f>
        <v>#N/A</v>
      </c>
      <c r="I47" s="85" t="b">
        <f>IF(VLOOKUP(B46,Compositions!$A$81:$F$85,3,FALSE)=";",VLOOKUP(B47,Compositions!$A$81:$F$85,3,FALSE))</f>
        <v>0</v>
      </c>
      <c r="J47" s="85"/>
    </row>
    <row r="48" spans="1:10" ht="16.8">
      <c r="A48" s="86" t="s">
        <v>102</v>
      </c>
      <c r="B48" s="83" t="s">
        <v>122</v>
      </c>
      <c r="C48" s="84">
        <v>3.7999999999999999E-2</v>
      </c>
      <c r="D48" s="84">
        <v>3.4200000000000001E-2</v>
      </c>
      <c r="E48" s="84">
        <v>19</v>
      </c>
      <c r="F48" s="84">
        <v>0.67279999999999995</v>
      </c>
      <c r="G48" s="84">
        <v>1.2</v>
      </c>
      <c r="H48" s="85" t="str">
        <f>Compositions!B17</f>
        <v/>
      </c>
      <c r="I48" s="85" t="str">
        <f>Compositions!B16</f>
        <v/>
      </c>
      <c r="J48" s="85" t="str">
        <f>Compositions!B18</f>
        <v/>
      </c>
    </row>
    <row r="49" spans="1:31" ht="16.8">
      <c r="A49" s="89"/>
      <c r="B49" s="83" t="s">
        <v>231</v>
      </c>
      <c r="C49" s="84">
        <v>3.7999999999999999E-2</v>
      </c>
      <c r="D49" s="84">
        <v>3.4200000000000001E-2</v>
      </c>
      <c r="E49" s="84">
        <v>19</v>
      </c>
      <c r="F49" s="84">
        <v>0.67279999999999995</v>
      </c>
      <c r="G49" s="84">
        <v>1.2</v>
      </c>
      <c r="H49" s="85" t="str">
        <f>Compositions!H17</f>
        <v/>
      </c>
      <c r="I49" s="85" t="str">
        <f>Compositions!H16</f>
        <v/>
      </c>
      <c r="J49" s="85" t="str">
        <f>Compositions!H18</f>
        <v/>
      </c>
    </row>
    <row r="50" spans="1:31" ht="16.8">
      <c r="A50" s="89"/>
      <c r="B50" s="83" t="s">
        <v>232</v>
      </c>
      <c r="C50" s="84">
        <v>3.7999999999999999E-2</v>
      </c>
      <c r="D50" s="84">
        <v>3.4200000000000001E-2</v>
      </c>
      <c r="E50" s="84">
        <v>19</v>
      </c>
      <c r="F50" s="84">
        <v>0.67279999999999995</v>
      </c>
      <c r="G50" s="84">
        <v>1.2</v>
      </c>
      <c r="H50" s="85" t="str">
        <f>Compositions!N17</f>
        <v/>
      </c>
      <c r="I50" s="85" t="str">
        <f>Compositions!N16</f>
        <v/>
      </c>
      <c r="J50" s="85" t="str">
        <f>Compositions!N18</f>
        <v/>
      </c>
    </row>
    <row r="51" spans="1:31" ht="16.8">
      <c r="A51" s="89"/>
      <c r="B51" s="83" t="s">
        <v>233</v>
      </c>
      <c r="C51" s="84">
        <v>3.7999999999999999E-2</v>
      </c>
      <c r="D51" s="84">
        <v>3.4200000000000001E-2</v>
      </c>
      <c r="E51" s="84">
        <v>19</v>
      </c>
      <c r="F51" s="84">
        <v>0.67279999999999995</v>
      </c>
      <c r="G51" s="84">
        <v>1.2</v>
      </c>
      <c r="H51" s="85" t="str">
        <f>Compositions!T17</f>
        <v/>
      </c>
      <c r="I51" s="85" t="str">
        <f>Compositions!T16</f>
        <v/>
      </c>
      <c r="J51" s="85" t="str">
        <f>Compositions!T18</f>
        <v/>
      </c>
    </row>
    <row r="52" spans="1:31" ht="16.8">
      <c r="A52" s="89"/>
      <c r="B52" s="83" t="s">
        <v>234</v>
      </c>
      <c r="C52" s="84">
        <v>3.7999999999999999E-2</v>
      </c>
      <c r="D52" s="84">
        <v>3.4200000000000001E-2</v>
      </c>
      <c r="E52" s="84">
        <v>19</v>
      </c>
      <c r="F52" s="84">
        <v>0.67279999999999995</v>
      </c>
      <c r="G52" s="84">
        <v>1.2</v>
      </c>
      <c r="H52" s="85" t="str">
        <f>Compositions!Z17</f>
        <v/>
      </c>
      <c r="I52" s="85" t="str">
        <f>Compositions!Z16</f>
        <v/>
      </c>
      <c r="J52" s="85" t="str">
        <f>Compositions!Z18</f>
        <v/>
      </c>
    </row>
    <row r="53" spans="1:31" ht="16.8">
      <c r="A53" s="89"/>
      <c r="B53" s="83" t="s">
        <v>235</v>
      </c>
      <c r="C53" s="84">
        <v>3.7999999999999999E-2</v>
      </c>
      <c r="D53" s="84">
        <v>3.4200000000000001E-2</v>
      </c>
      <c r="E53" s="84">
        <v>19</v>
      </c>
      <c r="F53" s="84">
        <v>0.67279999999999995</v>
      </c>
      <c r="G53" s="84">
        <v>1.2</v>
      </c>
      <c r="H53" s="85" t="str">
        <f>Compositions!AF17</f>
        <v/>
      </c>
      <c r="I53" s="85" t="str">
        <f>Compositions!AF16</f>
        <v/>
      </c>
      <c r="J53" s="85" t="str">
        <f>Compositions!AF18</f>
        <v/>
      </c>
    </row>
    <row r="54" spans="1:31" ht="16.8">
      <c r="A54" s="82" t="s">
        <v>95</v>
      </c>
      <c r="B54" s="83" t="s">
        <v>125</v>
      </c>
      <c r="C54" s="84">
        <v>38.700000000000003</v>
      </c>
      <c r="D54" s="84">
        <v>36.700000000000003</v>
      </c>
      <c r="E54" s="84">
        <v>200</v>
      </c>
      <c r="F54" s="84">
        <v>847.3</v>
      </c>
      <c r="G54" s="84">
        <v>14.6</v>
      </c>
      <c r="H54" s="85" t="str">
        <f>IF(Compositions!B84="","",Compositions!B84)</f>
        <v/>
      </c>
      <c r="I54" s="85" t="str">
        <f>IF(Compositions!C84="","",Compositions!C84)</f>
        <v/>
      </c>
      <c r="J54" s="85"/>
    </row>
    <row r="55" spans="1:31" ht="16.8">
      <c r="A55" s="82" t="s">
        <v>95</v>
      </c>
      <c r="B55" s="83" t="s">
        <v>154</v>
      </c>
      <c r="C55" s="84">
        <v>38.700000000000003</v>
      </c>
      <c r="D55" s="84">
        <v>36.700000000000003</v>
      </c>
      <c r="E55" s="84">
        <v>200</v>
      </c>
      <c r="F55" s="84">
        <v>847.3</v>
      </c>
      <c r="G55" s="84">
        <v>14.6</v>
      </c>
      <c r="H55" s="85" t="str">
        <f>IF(Compositions!B82="","",Compositions!B82)</f>
        <v/>
      </c>
      <c r="I55" s="85" t="str">
        <f>IF(Compositions!C82="","",Compositions!C82)</f>
        <v/>
      </c>
      <c r="J55" s="85"/>
    </row>
    <row r="58" spans="1:31" ht="16.8">
      <c r="A58" s="90" t="s">
        <v>289</v>
      </c>
      <c r="B58" s="90" t="s">
        <v>290</v>
      </c>
      <c r="C58" s="90" t="s">
        <v>291</v>
      </c>
      <c r="D58" s="90" t="s">
        <v>292</v>
      </c>
      <c r="E58" s="90" t="s">
        <v>293</v>
      </c>
      <c r="F58" s="90" t="s">
        <v>294</v>
      </c>
      <c r="G58" s="90" t="s">
        <v>295</v>
      </c>
      <c r="H58" s="90" t="s">
        <v>296</v>
      </c>
      <c r="I58" s="90" t="s">
        <v>297</v>
      </c>
      <c r="J58" s="90" t="s">
        <v>298</v>
      </c>
      <c r="K58" s="90" t="s">
        <v>299</v>
      </c>
      <c r="L58" s="90" t="s">
        <v>300</v>
      </c>
      <c r="M58" s="90" t="s">
        <v>301</v>
      </c>
    </row>
    <row r="59" spans="1:31" ht="19.5" customHeight="1">
      <c r="B59" s="90" t="s">
        <v>85</v>
      </c>
      <c r="C59" s="91" t="s">
        <v>140</v>
      </c>
      <c r="D59" s="91" t="s">
        <v>231</v>
      </c>
      <c r="E59" s="91" t="s">
        <v>232</v>
      </c>
      <c r="F59" s="91" t="s">
        <v>233</v>
      </c>
      <c r="G59" s="91" t="s">
        <v>234</v>
      </c>
      <c r="H59" s="91" t="s">
        <v>235</v>
      </c>
      <c r="I59" s="91" t="s">
        <v>120</v>
      </c>
      <c r="J59" s="91" t="s">
        <v>154</v>
      </c>
      <c r="K59" s="91" t="s">
        <v>125</v>
      </c>
      <c r="L59" s="91" t="s">
        <v>124</v>
      </c>
      <c r="M59" s="91" t="s">
        <v>153</v>
      </c>
      <c r="O59" s="41"/>
      <c r="Q59" s="41"/>
      <c r="R59" s="41"/>
      <c r="S59" s="41"/>
      <c r="T59" s="41"/>
      <c r="U59" s="41"/>
      <c r="V59" s="41"/>
      <c r="W59" s="41"/>
      <c r="X59" s="41"/>
      <c r="Y59" s="41"/>
      <c r="Z59" s="41"/>
      <c r="AA59" s="41"/>
      <c r="AB59" s="41"/>
      <c r="AC59" s="41"/>
      <c r="AD59" s="41"/>
      <c r="AE59" s="41"/>
    </row>
    <row r="60" spans="1:31" ht="16.95" customHeight="1">
      <c r="A60" s="92" t="s">
        <v>85</v>
      </c>
      <c r="B60" s="90" t="s">
        <v>143</v>
      </c>
      <c r="C60" s="90" t="s">
        <v>303</v>
      </c>
      <c r="D60" s="90" t="s">
        <v>311</v>
      </c>
      <c r="N60" s="41"/>
      <c r="O60" s="41"/>
      <c r="P60" s="41"/>
      <c r="Q60" s="41"/>
      <c r="R60" s="41"/>
      <c r="S60" s="41"/>
      <c r="T60" s="41"/>
      <c r="U60" s="41"/>
      <c r="V60" s="41"/>
      <c r="W60" s="41"/>
      <c r="X60" s="41"/>
      <c r="Y60" s="41"/>
      <c r="Z60" s="41"/>
      <c r="AA60" s="41"/>
      <c r="AB60" s="41"/>
      <c r="AC60" s="41"/>
      <c r="AD60" s="41"/>
      <c r="AE60" s="41"/>
    </row>
    <row r="61" spans="1:31" ht="16.95" customHeight="1">
      <c r="A61" s="90" t="s">
        <v>140</v>
      </c>
      <c r="B61" s="93" t="s">
        <v>307</v>
      </c>
      <c r="C61" s="93" t="s">
        <v>308</v>
      </c>
      <c r="D61" s="90" t="s">
        <v>305</v>
      </c>
      <c r="E61" s="93" t="s">
        <v>746</v>
      </c>
      <c r="N61" s="41"/>
      <c r="O61" s="41"/>
      <c r="P61" s="41"/>
      <c r="Q61" s="41"/>
      <c r="R61" s="41"/>
      <c r="S61" s="41"/>
      <c r="T61" s="41"/>
      <c r="U61" s="41"/>
      <c r="V61" s="41"/>
      <c r="W61" s="41"/>
      <c r="X61" s="41"/>
      <c r="Y61" s="41"/>
      <c r="Z61" s="41"/>
      <c r="AA61" s="41"/>
      <c r="AB61" s="41"/>
      <c r="AC61" s="41"/>
      <c r="AD61" s="41"/>
      <c r="AE61" s="41"/>
    </row>
    <row r="62" spans="1:31" ht="16.95" customHeight="1">
      <c r="A62" s="91" t="s">
        <v>231</v>
      </c>
      <c r="B62" s="93" t="s">
        <v>307</v>
      </c>
      <c r="C62" s="93" t="s">
        <v>308</v>
      </c>
      <c r="D62" s="90" t="s">
        <v>305</v>
      </c>
      <c r="E62" s="93" t="s">
        <v>746</v>
      </c>
      <c r="N62" s="41"/>
      <c r="O62" s="41"/>
      <c r="P62" s="41"/>
      <c r="Q62" s="41"/>
      <c r="R62" s="41"/>
      <c r="S62" s="41"/>
      <c r="T62" s="41"/>
      <c r="U62" s="41"/>
      <c r="V62" s="41"/>
      <c r="W62" s="41"/>
      <c r="X62" s="41"/>
      <c r="Y62" s="41"/>
      <c r="Z62" s="41"/>
      <c r="AA62" s="41"/>
      <c r="AB62" s="41"/>
      <c r="AC62" s="41"/>
      <c r="AD62" s="41"/>
      <c r="AE62" s="41"/>
    </row>
    <row r="63" spans="1:31" ht="16.95" customHeight="1">
      <c r="A63" s="91" t="s">
        <v>232</v>
      </c>
      <c r="B63" s="93" t="s">
        <v>307</v>
      </c>
      <c r="C63" s="93" t="s">
        <v>308</v>
      </c>
      <c r="D63" s="90" t="s">
        <v>305</v>
      </c>
      <c r="E63" s="93" t="s">
        <v>746</v>
      </c>
      <c r="N63" s="41"/>
      <c r="O63" s="41"/>
      <c r="P63" s="41"/>
      <c r="Q63" s="41"/>
      <c r="R63" s="41"/>
      <c r="S63" s="41"/>
      <c r="T63" s="41"/>
      <c r="U63" s="41"/>
      <c r="V63" s="41"/>
      <c r="W63" s="41"/>
      <c r="X63" s="41"/>
      <c r="Y63" s="41"/>
      <c r="Z63" s="41"/>
      <c r="AA63" s="41"/>
      <c r="AB63" s="41"/>
      <c r="AC63" s="41"/>
      <c r="AD63" s="41"/>
      <c r="AE63" s="41"/>
    </row>
    <row r="64" spans="1:31" ht="16.95" customHeight="1">
      <c r="A64" s="91" t="s">
        <v>233</v>
      </c>
      <c r="B64" s="93" t="s">
        <v>307</v>
      </c>
      <c r="C64" s="93" t="s">
        <v>308</v>
      </c>
      <c r="D64" s="90" t="s">
        <v>305</v>
      </c>
      <c r="E64" s="93" t="s">
        <v>746</v>
      </c>
      <c r="N64" s="41"/>
      <c r="O64" s="41"/>
      <c r="P64" s="41"/>
      <c r="Q64" s="41"/>
      <c r="R64" s="41"/>
      <c r="S64" s="41"/>
      <c r="T64" s="41"/>
      <c r="U64" s="41"/>
      <c r="V64" s="41"/>
      <c r="W64" s="41"/>
      <c r="X64" s="41"/>
      <c r="Y64" s="41"/>
      <c r="Z64" s="41"/>
      <c r="AA64" s="41"/>
      <c r="AB64" s="41"/>
      <c r="AC64" s="41"/>
      <c r="AD64" s="41"/>
      <c r="AE64" s="41"/>
    </row>
    <row r="65" spans="1:31" ht="16.95" customHeight="1">
      <c r="A65" s="91" t="s">
        <v>234</v>
      </c>
      <c r="B65" s="93" t="s">
        <v>307</v>
      </c>
      <c r="C65" s="93" t="s">
        <v>308</v>
      </c>
      <c r="D65" s="90" t="s">
        <v>305</v>
      </c>
      <c r="E65" s="93" t="s">
        <v>746</v>
      </c>
      <c r="N65" s="41"/>
      <c r="O65" s="41"/>
      <c r="P65" s="41"/>
      <c r="Q65" s="41"/>
      <c r="R65" s="41"/>
      <c r="S65" s="41"/>
      <c r="T65" s="41"/>
      <c r="U65" s="41"/>
      <c r="V65" s="41"/>
      <c r="W65" s="41"/>
      <c r="X65" s="41"/>
      <c r="Y65" s="41"/>
      <c r="Z65" s="41"/>
      <c r="AA65" s="41"/>
      <c r="AB65" s="41"/>
      <c r="AC65" s="41"/>
      <c r="AD65" s="41"/>
      <c r="AE65" s="41"/>
    </row>
    <row r="66" spans="1:31" ht="16.95" customHeight="1">
      <c r="A66" s="91" t="s">
        <v>235</v>
      </c>
      <c r="B66" s="94" t="s">
        <v>307</v>
      </c>
      <c r="C66" s="94" t="s">
        <v>308</v>
      </c>
      <c r="D66" s="90" t="s">
        <v>305</v>
      </c>
      <c r="E66" s="93" t="s">
        <v>746</v>
      </c>
      <c r="N66" s="41"/>
      <c r="O66" s="41"/>
      <c r="P66" s="41"/>
      <c r="Q66" s="41"/>
      <c r="R66" s="41"/>
      <c r="S66" s="41"/>
      <c r="T66" s="41"/>
      <c r="U66" s="41"/>
      <c r="V66" s="41"/>
      <c r="W66" s="41"/>
      <c r="X66" s="41"/>
      <c r="Y66" s="41"/>
      <c r="Z66" s="41"/>
      <c r="AA66" s="41"/>
      <c r="AB66" s="41"/>
      <c r="AC66" s="41"/>
      <c r="AD66" s="41"/>
      <c r="AE66" s="41"/>
    </row>
    <row r="67" spans="1:31" ht="16.95" customHeight="1">
      <c r="A67" s="95" t="s">
        <v>120</v>
      </c>
      <c r="B67" s="96" t="s">
        <v>309</v>
      </c>
      <c r="C67" s="96" t="s">
        <v>310</v>
      </c>
      <c r="D67" s="90" t="s">
        <v>304</v>
      </c>
      <c r="E67" s="93" t="s">
        <v>747</v>
      </c>
      <c r="N67" s="41"/>
      <c r="O67" s="41"/>
      <c r="P67" s="41"/>
      <c r="Q67" s="41"/>
      <c r="R67" s="41"/>
      <c r="S67" s="41"/>
      <c r="T67" s="41"/>
      <c r="U67" s="41"/>
      <c r="V67" s="41"/>
      <c r="W67" s="41"/>
      <c r="X67" s="41"/>
      <c r="Y67" s="41"/>
      <c r="Z67" s="41"/>
      <c r="AA67" s="41"/>
      <c r="AB67" s="41"/>
      <c r="AC67" s="41"/>
      <c r="AD67" s="41"/>
      <c r="AE67" s="41"/>
    </row>
    <row r="68" spans="1:31" ht="16.95" customHeight="1">
      <c r="A68" s="95" t="s">
        <v>255</v>
      </c>
      <c r="B68" s="96" t="s">
        <v>309</v>
      </c>
      <c r="C68" s="96" t="s">
        <v>310</v>
      </c>
      <c r="D68" s="90" t="s">
        <v>304</v>
      </c>
      <c r="E68" s="93" t="s">
        <v>747</v>
      </c>
      <c r="N68" s="41"/>
      <c r="O68" s="41"/>
      <c r="P68" s="41"/>
      <c r="Q68" s="41"/>
      <c r="R68" s="41"/>
      <c r="S68" s="41"/>
      <c r="T68" s="41"/>
      <c r="U68" s="41"/>
      <c r="V68" s="41"/>
      <c r="W68" s="41"/>
      <c r="X68" s="41"/>
      <c r="Y68" s="41"/>
      <c r="Z68" s="41"/>
      <c r="AA68" s="41"/>
      <c r="AB68" s="41"/>
      <c r="AC68" s="41"/>
      <c r="AD68" s="41"/>
      <c r="AE68" s="41"/>
    </row>
    <row r="69" spans="1:31" ht="16.95" customHeight="1">
      <c r="A69" s="95" t="s">
        <v>119</v>
      </c>
      <c r="B69" s="96" t="s">
        <v>309</v>
      </c>
      <c r="C69" s="96" t="s">
        <v>310</v>
      </c>
      <c r="D69" s="90" t="s">
        <v>304</v>
      </c>
      <c r="E69" s="93" t="s">
        <v>747</v>
      </c>
      <c r="N69" s="41"/>
      <c r="O69" s="41"/>
      <c r="P69" s="41"/>
      <c r="Q69" s="41"/>
      <c r="R69" s="41"/>
      <c r="S69" s="41"/>
      <c r="T69" s="41"/>
      <c r="U69" s="41"/>
      <c r="V69" s="41"/>
      <c r="W69" s="41"/>
      <c r="X69" s="41"/>
      <c r="Y69" s="41"/>
      <c r="Z69" s="41"/>
      <c r="AA69" s="41"/>
      <c r="AB69" s="41"/>
      <c r="AC69" s="41"/>
      <c r="AD69" s="41"/>
      <c r="AE69" s="41"/>
    </row>
    <row r="70" spans="1:31" ht="16.95" customHeight="1">
      <c r="A70" s="95" t="s">
        <v>121</v>
      </c>
      <c r="B70" s="96" t="s">
        <v>309</v>
      </c>
      <c r="C70" s="96" t="s">
        <v>310</v>
      </c>
      <c r="D70" s="90" t="s">
        <v>304</v>
      </c>
      <c r="E70" s="93" t="s">
        <v>747</v>
      </c>
      <c r="N70" s="41"/>
      <c r="O70" s="41"/>
      <c r="P70" s="41"/>
      <c r="Q70" s="41"/>
      <c r="R70" s="41"/>
      <c r="S70" s="41"/>
      <c r="T70" s="41"/>
      <c r="U70" s="41"/>
      <c r="V70" s="41"/>
      <c r="W70" s="41"/>
      <c r="X70" s="41"/>
      <c r="Y70" s="41"/>
      <c r="Z70" s="41"/>
      <c r="AA70" s="41"/>
      <c r="AB70" s="41"/>
      <c r="AC70" s="41"/>
      <c r="AD70" s="41"/>
      <c r="AE70" s="41"/>
    </row>
    <row r="71" spans="1:31" ht="16.95" customHeight="1">
      <c r="A71" s="95" t="s">
        <v>154</v>
      </c>
      <c r="B71" s="96" t="s">
        <v>309</v>
      </c>
      <c r="C71" s="96" t="s">
        <v>310</v>
      </c>
      <c r="D71" s="90" t="s">
        <v>304</v>
      </c>
      <c r="E71" s="93" t="s">
        <v>747</v>
      </c>
      <c r="N71" s="41"/>
      <c r="O71" s="41"/>
      <c r="P71" s="41"/>
      <c r="Q71" s="41"/>
      <c r="R71" s="41"/>
      <c r="S71" s="41"/>
      <c r="T71" s="41"/>
      <c r="U71" s="41"/>
      <c r="V71" s="41"/>
      <c r="W71" s="41"/>
      <c r="X71" s="41"/>
      <c r="Y71" s="41"/>
      <c r="Z71" s="41"/>
      <c r="AA71" s="41"/>
      <c r="AB71" s="41"/>
      <c r="AC71" s="41"/>
      <c r="AD71" s="41"/>
      <c r="AE71" s="41"/>
    </row>
    <row r="72" spans="1:31" ht="16.95" customHeight="1">
      <c r="A72" s="95" t="s">
        <v>125</v>
      </c>
      <c r="B72" s="96" t="s">
        <v>309</v>
      </c>
      <c r="C72" s="96" t="s">
        <v>310</v>
      </c>
      <c r="D72" s="90" t="s">
        <v>304</v>
      </c>
      <c r="E72" s="93" t="s">
        <v>747</v>
      </c>
      <c r="N72" s="41"/>
      <c r="O72" s="41"/>
      <c r="P72" s="41"/>
      <c r="Q72" s="41"/>
      <c r="R72" s="41"/>
      <c r="S72" s="41"/>
      <c r="T72" s="41"/>
      <c r="U72" s="41"/>
      <c r="V72" s="41"/>
      <c r="W72" s="41"/>
      <c r="X72" s="41"/>
      <c r="Y72" s="41"/>
      <c r="Z72" s="41"/>
      <c r="AA72" s="41"/>
      <c r="AB72" s="41"/>
      <c r="AC72" s="41"/>
      <c r="AD72" s="41"/>
      <c r="AE72" s="41"/>
    </row>
    <row r="73" spans="1:31" ht="16.95" customHeight="1">
      <c r="A73" s="95" t="s">
        <v>124</v>
      </c>
      <c r="B73" s="96" t="s">
        <v>309</v>
      </c>
      <c r="C73" s="96" t="s">
        <v>310</v>
      </c>
      <c r="D73" s="90" t="s">
        <v>304</v>
      </c>
      <c r="E73" s="93" t="s">
        <v>747</v>
      </c>
      <c r="N73" s="41"/>
      <c r="O73" s="41"/>
      <c r="P73" s="41"/>
      <c r="Q73" s="41"/>
      <c r="R73" s="41"/>
      <c r="S73" s="41"/>
      <c r="T73" s="41"/>
      <c r="U73" s="41"/>
      <c r="V73" s="41"/>
      <c r="W73" s="41"/>
      <c r="X73" s="41"/>
      <c r="Y73" s="41"/>
      <c r="Z73" s="41"/>
      <c r="AA73" s="41"/>
      <c r="AB73" s="41"/>
      <c r="AC73" s="41"/>
      <c r="AD73" s="41"/>
      <c r="AE73" s="41"/>
    </row>
    <row r="74" spans="1:31" ht="18.600000000000001">
      <c r="A74" s="97" t="s">
        <v>153</v>
      </c>
      <c r="B74" s="96" t="s">
        <v>309</v>
      </c>
      <c r="C74" s="96" t="s">
        <v>310</v>
      </c>
      <c r="D74" s="90" t="s">
        <v>304</v>
      </c>
      <c r="E74" s="93" t="s">
        <v>747</v>
      </c>
    </row>
    <row r="75" spans="1:31" ht="15">
      <c r="B75" s="98"/>
      <c r="C75" s="98"/>
    </row>
    <row r="78" spans="1:31" ht="21.6">
      <c r="A78" s="99" t="s">
        <v>316</v>
      </c>
      <c r="B78" s="99" t="s">
        <v>317</v>
      </c>
      <c r="C78" s="99" t="s">
        <v>318</v>
      </c>
      <c r="D78" s="100" t="s">
        <v>319</v>
      </c>
      <c r="E78" s="100" t="s">
        <v>320</v>
      </c>
      <c r="F78" s="100" t="s">
        <v>321</v>
      </c>
      <c r="G78" s="100" t="s">
        <v>322</v>
      </c>
    </row>
    <row r="79" spans="1:31" ht="17.399999999999999">
      <c r="A79" s="14"/>
      <c r="B79" s="14"/>
      <c r="C79" s="14"/>
    </row>
    <row r="80" spans="1:31" ht="21.6">
      <c r="A80" s="99" t="s">
        <v>325</v>
      </c>
      <c r="B80" s="99" t="s">
        <v>326</v>
      </c>
      <c r="C80" s="14"/>
    </row>
    <row r="81" spans="1:4" ht="17.399999999999999">
      <c r="A81" s="14"/>
      <c r="B81" s="14"/>
      <c r="C81" s="14"/>
    </row>
    <row r="82" spans="1:4" ht="21.6">
      <c r="A82" s="99" t="s">
        <v>348</v>
      </c>
      <c r="B82" s="99" t="s">
        <v>349</v>
      </c>
      <c r="C82" s="99" t="s">
        <v>350</v>
      </c>
      <c r="D82" s="100" t="s">
        <v>351</v>
      </c>
    </row>
    <row r="83" spans="1:4" ht="17.399999999999999">
      <c r="A83" s="14"/>
      <c r="B83" s="14"/>
      <c r="C83" s="14"/>
    </row>
    <row r="84" spans="1:4" ht="21.6">
      <c r="A84" s="99" t="s">
        <v>359</v>
      </c>
      <c r="B84" s="99" t="s">
        <v>360</v>
      </c>
      <c r="C84" s="14"/>
    </row>
    <row r="85" spans="1:4" ht="17.399999999999999">
      <c r="A85" s="14"/>
      <c r="B85" s="14"/>
      <c r="C85" s="14"/>
    </row>
    <row r="86" spans="1:4" ht="18">
      <c r="A86" s="101" t="s">
        <v>42</v>
      </c>
      <c r="B86" s="101" t="s">
        <v>361</v>
      </c>
      <c r="C86" s="14"/>
    </row>
    <row r="87" spans="1:4" ht="17.399999999999999">
      <c r="A87" s="14"/>
      <c r="B87" s="14"/>
      <c r="C87" s="14"/>
    </row>
    <row r="88" spans="1:4" ht="17.399999999999999">
      <c r="A88" s="14"/>
      <c r="B88" s="14"/>
      <c r="C88" s="14"/>
    </row>
    <row r="89" spans="1:4" ht="17.399999999999999">
      <c r="A89" s="14"/>
      <c r="B89" s="14"/>
      <c r="C89" s="14"/>
    </row>
    <row r="90" spans="1:4" ht="17.399999999999999">
      <c r="A90" s="102" t="s">
        <v>414</v>
      </c>
      <c r="B90" s="102" t="s">
        <v>415</v>
      </c>
      <c r="C90" s="14"/>
    </row>
    <row r="91" spans="1:4" ht="17.399999999999999">
      <c r="A91" s="103" t="s">
        <v>473</v>
      </c>
      <c r="B91" s="103" t="s">
        <v>474</v>
      </c>
      <c r="C91" s="103" t="s">
        <v>475</v>
      </c>
      <c r="D91" s="104" t="s">
        <v>476</v>
      </c>
    </row>
    <row r="92" spans="1:4" ht="17.399999999999999">
      <c r="A92" s="103" t="s">
        <v>477</v>
      </c>
      <c r="B92" s="103" t="s">
        <v>478</v>
      </c>
      <c r="C92" s="14"/>
    </row>
    <row r="93" spans="1:4" ht="17.399999999999999">
      <c r="A93" s="14"/>
      <c r="B93" s="14"/>
      <c r="C93" s="14"/>
    </row>
    <row r="94" spans="1:4" ht="17.399999999999999">
      <c r="A94" s="14"/>
      <c r="B94" s="14"/>
      <c r="C94" s="14"/>
    </row>
    <row r="95" spans="1:4" ht="17.399999999999999">
      <c r="A95" s="105" t="s">
        <v>494</v>
      </c>
      <c r="B95" s="105" t="s">
        <v>495</v>
      </c>
      <c r="C95" s="14"/>
    </row>
    <row r="96" spans="1:4" ht="17.399999999999999">
      <c r="A96" s="14"/>
      <c r="B96" s="14"/>
      <c r="C96" s="14"/>
    </row>
    <row r="97" spans="1:3" ht="17.399999999999999">
      <c r="A97" s="103" t="s">
        <v>1136</v>
      </c>
      <c r="B97" s="14"/>
      <c r="C97" s="14"/>
    </row>
    <row r="98" spans="1:3" ht="17.399999999999999">
      <c r="A98" s="103" t="s">
        <v>499</v>
      </c>
      <c r="B98" s="14"/>
      <c r="C98" s="14"/>
    </row>
    <row r="99" spans="1:3" ht="17.399999999999999">
      <c r="A99" s="103" t="s">
        <v>500</v>
      </c>
      <c r="B99" s="14"/>
      <c r="C99" s="14"/>
    </row>
    <row r="100" spans="1:3" ht="17.399999999999999">
      <c r="A100" s="103" t="s">
        <v>501</v>
      </c>
      <c r="B100" s="14"/>
      <c r="C100" s="14"/>
    </row>
    <row r="101" spans="1:3" ht="17.399999999999999">
      <c r="A101" s="103" t="s">
        <v>502</v>
      </c>
      <c r="B101" s="14"/>
      <c r="C101" s="14"/>
    </row>
    <row r="102" spans="1:3" ht="17.399999999999999">
      <c r="A102" s="103" t="s">
        <v>503</v>
      </c>
      <c r="B102" s="14"/>
      <c r="C102" s="14"/>
    </row>
    <row r="103" spans="1:3" ht="17.399999999999999">
      <c r="A103" s="106" t="s">
        <v>506</v>
      </c>
      <c r="B103" s="14"/>
      <c r="C103" s="14"/>
    </row>
    <row r="108" spans="1:3">
      <c r="B108" s="6" t="s">
        <v>517</v>
      </c>
    </row>
    <row r="109" spans="1:3" ht="17.399999999999999">
      <c r="A109" s="107" t="s">
        <v>513</v>
      </c>
      <c r="B109" s="107">
        <v>1310</v>
      </c>
      <c r="C109" s="2616" t="s">
        <v>518</v>
      </c>
    </row>
    <row r="110" spans="1:3" ht="17.399999999999999">
      <c r="A110" s="107" t="s">
        <v>514</v>
      </c>
      <c r="B110" s="107">
        <v>267000</v>
      </c>
      <c r="C110" s="2616"/>
    </row>
    <row r="111" spans="1:3" ht="17.399999999999999">
      <c r="A111" s="107" t="s">
        <v>515</v>
      </c>
      <c r="B111" s="107">
        <v>26800</v>
      </c>
      <c r="C111" s="2616"/>
    </row>
    <row r="112" spans="1:3" ht="17.399999999999999">
      <c r="A112" s="107" t="s">
        <v>516</v>
      </c>
      <c r="B112" s="107">
        <v>1</v>
      </c>
      <c r="C112" s="2616"/>
    </row>
    <row r="113" spans="1:3" ht="17.399999999999999">
      <c r="A113" s="108" t="s">
        <v>521</v>
      </c>
      <c r="B113" s="108">
        <v>612</v>
      </c>
      <c r="C113" s="2617" t="s">
        <v>520</v>
      </c>
    </row>
    <row r="114" spans="1:3" ht="17.399999999999999">
      <c r="A114" s="108" t="s">
        <v>522</v>
      </c>
      <c r="B114" s="108">
        <v>3992</v>
      </c>
      <c r="C114" s="2617"/>
    </row>
    <row r="115" spans="1:3" ht="17.399999999999999">
      <c r="A115" s="108" t="s">
        <v>523</v>
      </c>
      <c r="B115" s="108">
        <v>2404</v>
      </c>
      <c r="C115" s="2617"/>
    </row>
    <row r="116" spans="1:3" ht="17.399999999999999">
      <c r="A116" s="108" t="s">
        <v>524</v>
      </c>
      <c r="B116" s="108">
        <v>54</v>
      </c>
      <c r="C116" s="2617"/>
    </row>
    <row r="117" spans="1:3" ht="17.399999999999999">
      <c r="A117" s="108" t="s">
        <v>525</v>
      </c>
      <c r="B117" s="108">
        <v>6804</v>
      </c>
      <c r="C117" s="2617"/>
    </row>
    <row r="118" spans="1:3" ht="17.399999999999999">
      <c r="A118" s="109" t="s">
        <v>526</v>
      </c>
      <c r="B118" s="109">
        <v>33252</v>
      </c>
      <c r="C118" s="2618" t="s">
        <v>519</v>
      </c>
    </row>
    <row r="119" spans="1:3" ht="17.399999999999999">
      <c r="A119" s="109" t="s">
        <v>527</v>
      </c>
      <c r="B119" s="109">
        <v>58</v>
      </c>
      <c r="C119" s="2618"/>
    </row>
    <row r="120" spans="1:3" ht="17.399999999999999">
      <c r="A120" s="109" t="s">
        <v>528</v>
      </c>
      <c r="B120" s="109">
        <v>3120</v>
      </c>
      <c r="C120" s="2618"/>
    </row>
    <row r="121" spans="1:3" ht="17.399999999999999">
      <c r="A121" s="109" t="s">
        <v>529</v>
      </c>
      <c r="B121" s="109">
        <v>3644</v>
      </c>
      <c r="C121" s="2618"/>
    </row>
    <row r="122" spans="1:3" ht="17.399999999999999">
      <c r="A122" s="109" t="s">
        <v>530</v>
      </c>
      <c r="B122" s="109">
        <v>107</v>
      </c>
      <c r="C122" s="2618"/>
    </row>
    <row r="123" spans="1:3" ht="17.399999999999999">
      <c r="A123" s="109" t="s">
        <v>531</v>
      </c>
      <c r="B123" s="109">
        <v>3583</v>
      </c>
      <c r="C123" s="2618"/>
    </row>
    <row r="124" spans="1:3" ht="17.399999999999999">
      <c r="A124" s="109" t="s">
        <v>532</v>
      </c>
      <c r="B124" s="109">
        <v>1595</v>
      </c>
      <c r="C124" s="2618"/>
    </row>
    <row r="125" spans="1:3" ht="17.399999999999999">
      <c r="A125" s="109" t="s">
        <v>533</v>
      </c>
      <c r="B125" s="109">
        <v>312</v>
      </c>
      <c r="C125" s="2618"/>
    </row>
    <row r="126" spans="1:3" ht="17.399999999999999">
      <c r="A126" s="109" t="s">
        <v>534</v>
      </c>
      <c r="B126" s="109">
        <v>191</v>
      </c>
      <c r="C126" s="2618"/>
    </row>
    <row r="127" spans="1:3" ht="17.399999999999999">
      <c r="A127" s="109" t="s">
        <v>535</v>
      </c>
      <c r="B127" s="109">
        <v>14093</v>
      </c>
      <c r="C127" s="2618"/>
    </row>
    <row r="128" spans="1:3" ht="17.399999999999999">
      <c r="A128" s="109" t="s">
        <v>536</v>
      </c>
      <c r="B128" s="109">
        <v>42557</v>
      </c>
      <c r="C128" s="2618"/>
    </row>
    <row r="129" spans="1:3" ht="17.399999999999999">
      <c r="A129" s="109" t="s">
        <v>537</v>
      </c>
      <c r="B129" s="109">
        <v>170233</v>
      </c>
      <c r="C129" s="2618"/>
    </row>
    <row r="130" spans="1:3" ht="17.399999999999999">
      <c r="A130" s="109" t="s">
        <v>538</v>
      </c>
      <c r="B130" s="109">
        <v>2.9000000000000001E-2</v>
      </c>
      <c r="C130" s="2618"/>
    </row>
    <row r="131" spans="1:3" ht="17.399999999999999">
      <c r="A131" s="109" t="s">
        <v>539</v>
      </c>
      <c r="B131" s="109">
        <v>0.68</v>
      </c>
      <c r="C131" s="2618"/>
    </row>
    <row r="132" spans="1:3" ht="17.399999999999999">
      <c r="A132" s="109" t="s">
        <v>540</v>
      </c>
      <c r="B132" s="109">
        <v>13757</v>
      </c>
      <c r="C132" s="2618"/>
    </row>
    <row r="133" spans="1:3" ht="17.399999999999999">
      <c r="A133" s="109" t="s">
        <v>541</v>
      </c>
      <c r="B133" s="109">
        <v>100</v>
      </c>
      <c r="C133" s="2618"/>
    </row>
    <row r="134" spans="1:3" ht="17.399999999999999">
      <c r="A134" s="110" t="s">
        <v>542</v>
      </c>
      <c r="B134" s="109">
        <v>9826</v>
      </c>
      <c r="C134" s="2618"/>
    </row>
    <row r="138" spans="1:3">
      <c r="A138" s="6" t="s">
        <v>562</v>
      </c>
      <c r="B138" s="6" t="s">
        <v>563</v>
      </c>
    </row>
    <row r="139" spans="1:3" ht="17.399999999999999">
      <c r="A139" s="111" t="s">
        <v>559</v>
      </c>
      <c r="B139" s="112">
        <v>0.85</v>
      </c>
    </row>
    <row r="140" spans="1:3" ht="17.399999999999999">
      <c r="A140" s="111" t="s">
        <v>560</v>
      </c>
      <c r="B140" s="112">
        <v>1</v>
      </c>
    </row>
    <row r="141" spans="1:3" ht="17.399999999999999">
      <c r="A141" s="111" t="s">
        <v>561</v>
      </c>
      <c r="B141" s="112">
        <v>1</v>
      </c>
    </row>
    <row r="145" spans="1:2" ht="17.399999999999999">
      <c r="A145" s="113" t="s">
        <v>564</v>
      </c>
      <c r="B145" s="6" t="s">
        <v>573</v>
      </c>
    </row>
    <row r="146" spans="1:2" ht="17.399999999999999">
      <c r="A146" s="111" t="s">
        <v>565</v>
      </c>
      <c r="B146" s="112">
        <v>0.5</v>
      </c>
    </row>
    <row r="147" spans="1:2" ht="17.399999999999999">
      <c r="A147" s="111" t="s">
        <v>566</v>
      </c>
      <c r="B147" s="112">
        <v>0.6</v>
      </c>
    </row>
    <row r="148" spans="1:2" ht="17.399999999999999">
      <c r="A148" s="111" t="s">
        <v>567</v>
      </c>
      <c r="B148" s="112">
        <v>1</v>
      </c>
    </row>
    <row r="149" spans="1:2" ht="17.399999999999999">
      <c r="A149" s="111" t="s">
        <v>568</v>
      </c>
      <c r="B149" s="112">
        <v>1.45</v>
      </c>
    </row>
    <row r="150" spans="1:2" ht="17.399999999999999">
      <c r="A150" s="111" t="s">
        <v>569</v>
      </c>
      <c r="B150" s="112">
        <v>1.45</v>
      </c>
    </row>
    <row r="151" spans="1:2" ht="17.399999999999999">
      <c r="A151" s="111" t="s">
        <v>570</v>
      </c>
      <c r="B151" s="112">
        <v>1</v>
      </c>
    </row>
    <row r="152" spans="1:2" ht="17.399999999999999">
      <c r="A152" s="111" t="s">
        <v>571</v>
      </c>
      <c r="B152" s="112">
        <v>0.2</v>
      </c>
    </row>
    <row r="153" spans="1:2" ht="17.399999999999999">
      <c r="A153" s="111" t="s">
        <v>572</v>
      </c>
      <c r="B153" s="112">
        <v>0.5</v>
      </c>
    </row>
    <row r="155" spans="1:2" ht="14.4" thickBot="1"/>
    <row r="156" spans="1:2" ht="19.8" thickTop="1" thickBot="1">
      <c r="A156" s="114" t="s">
        <v>576</v>
      </c>
      <c r="B156" s="115" t="s">
        <v>577</v>
      </c>
    </row>
    <row r="157" spans="1:2" ht="18" thickTop="1">
      <c r="A157" s="116" t="s">
        <v>578</v>
      </c>
      <c r="B157" s="112">
        <v>65</v>
      </c>
    </row>
    <row r="158" spans="1:2" ht="17.399999999999999">
      <c r="A158" s="116" t="s">
        <v>579</v>
      </c>
      <c r="B158" s="112">
        <v>85</v>
      </c>
    </row>
    <row r="159" spans="1:2" ht="17.399999999999999">
      <c r="A159" s="116" t="s">
        <v>581</v>
      </c>
      <c r="B159" s="112">
        <v>95</v>
      </c>
    </row>
    <row r="160" spans="1:2" ht="17.399999999999999">
      <c r="A160" s="116" t="s">
        <v>580</v>
      </c>
      <c r="B160" s="112">
        <v>97.5</v>
      </c>
    </row>
    <row r="161" spans="1:2" ht="17.399999999999999">
      <c r="A161" s="116" t="s">
        <v>582</v>
      </c>
      <c r="B161" s="112">
        <v>98.7</v>
      </c>
    </row>
    <row r="162" spans="1:2" ht="33.6">
      <c r="A162" s="116" t="s">
        <v>583</v>
      </c>
      <c r="B162" s="112">
        <v>100</v>
      </c>
    </row>
    <row r="163" spans="1:2" ht="33.6">
      <c r="A163" s="116" t="s">
        <v>584</v>
      </c>
      <c r="B163" s="112">
        <v>100</v>
      </c>
    </row>
    <row r="166" spans="1:2" ht="37.200000000000003">
      <c r="A166" s="117" t="s">
        <v>604</v>
      </c>
      <c r="B166" s="117" t="s">
        <v>605</v>
      </c>
    </row>
    <row r="168" spans="1:2" ht="37.200000000000003">
      <c r="A168" s="117" t="s">
        <v>590</v>
      </c>
      <c r="B168" s="117" t="s">
        <v>598</v>
      </c>
    </row>
    <row r="169" spans="1:2" ht="17.399999999999999">
      <c r="A169" s="118" t="s">
        <v>591</v>
      </c>
      <c r="B169" s="119">
        <v>315</v>
      </c>
    </row>
    <row r="170" spans="1:2" ht="17.399999999999999">
      <c r="A170" s="118" t="s">
        <v>592</v>
      </c>
      <c r="B170" s="119">
        <v>205</v>
      </c>
    </row>
    <row r="171" spans="1:2" ht="17.399999999999999">
      <c r="A171" s="118" t="s">
        <v>593</v>
      </c>
      <c r="B171" s="119">
        <v>180</v>
      </c>
    </row>
    <row r="172" spans="1:2" ht="17.399999999999999">
      <c r="A172" s="118" t="s">
        <v>594</v>
      </c>
      <c r="B172" s="119">
        <v>85</v>
      </c>
    </row>
    <row r="173" spans="1:2" ht="17.399999999999999">
      <c r="A173" s="118" t="s">
        <v>595</v>
      </c>
      <c r="B173" s="119">
        <v>85</v>
      </c>
    </row>
    <row r="174" spans="1:2" ht="17.399999999999999">
      <c r="A174" s="118" t="s">
        <v>596</v>
      </c>
      <c r="B174" s="119" t="s">
        <v>606</v>
      </c>
    </row>
    <row r="175" spans="1:2" ht="17.399999999999999">
      <c r="A175" s="118" t="s">
        <v>597</v>
      </c>
      <c r="B175" s="119">
        <v>215</v>
      </c>
    </row>
    <row r="176" spans="1:2" ht="37.200000000000003">
      <c r="A176" s="117" t="s">
        <v>590</v>
      </c>
      <c r="B176" s="117" t="s">
        <v>599</v>
      </c>
    </row>
    <row r="177" spans="1:2" ht="17.399999999999999">
      <c r="A177" s="118" t="s">
        <v>591</v>
      </c>
      <c r="B177" s="119">
        <v>465</v>
      </c>
    </row>
    <row r="178" spans="1:2" ht="17.399999999999999">
      <c r="A178" s="118" t="s">
        <v>592</v>
      </c>
      <c r="B178" s="119" t="s">
        <v>606</v>
      </c>
    </row>
    <row r="179" spans="1:2" ht="17.399999999999999">
      <c r="A179" s="118" t="s">
        <v>593</v>
      </c>
      <c r="B179" s="119" t="s">
        <v>606</v>
      </c>
    </row>
    <row r="180" spans="1:2" ht="17.399999999999999">
      <c r="A180" s="118" t="s">
        <v>594</v>
      </c>
      <c r="B180" s="119" t="s">
        <v>606</v>
      </c>
    </row>
    <row r="181" spans="1:2" ht="17.399999999999999">
      <c r="A181" s="118" t="s">
        <v>595</v>
      </c>
      <c r="B181" s="119" t="s">
        <v>606</v>
      </c>
    </row>
    <row r="182" spans="1:2" ht="17.399999999999999">
      <c r="A182" s="118" t="s">
        <v>596</v>
      </c>
      <c r="B182" s="119">
        <v>245</v>
      </c>
    </row>
    <row r="183" spans="1:2" ht="17.399999999999999">
      <c r="A183" s="118" t="s">
        <v>597</v>
      </c>
      <c r="B183" s="119">
        <v>410</v>
      </c>
    </row>
    <row r="187" spans="1:2" ht="14.4" thickBot="1">
      <c r="A187" s="6" t="s">
        <v>608</v>
      </c>
    </row>
    <row r="188" spans="1:2" ht="19.8" thickTop="1" thickBot="1">
      <c r="A188" s="120" t="s">
        <v>590</v>
      </c>
      <c r="B188" s="121" t="s">
        <v>609</v>
      </c>
    </row>
    <row r="189" spans="1:2" ht="18" thickTop="1">
      <c r="A189" s="118" t="s">
        <v>610</v>
      </c>
      <c r="B189" s="119">
        <v>103.1</v>
      </c>
    </row>
    <row r="190" spans="1:2" ht="17.399999999999999">
      <c r="A190" s="118" t="s">
        <v>611</v>
      </c>
      <c r="B190" s="119">
        <v>55.1</v>
      </c>
    </row>
    <row r="191" spans="1:2" ht="17.399999999999999">
      <c r="A191" s="118" t="s">
        <v>612</v>
      </c>
      <c r="B191" s="119">
        <v>39.5</v>
      </c>
    </row>
    <row r="192" spans="1:2" ht="17.399999999999999">
      <c r="A192" s="118" t="s">
        <v>613</v>
      </c>
      <c r="B192" s="119">
        <v>39.5</v>
      </c>
    </row>
    <row r="193" spans="1:5" ht="17.399999999999999">
      <c r="A193" s="118" t="s">
        <v>595</v>
      </c>
      <c r="B193" s="119">
        <v>39.5</v>
      </c>
    </row>
    <row r="194" spans="1:5" ht="14.4" thickBot="1"/>
    <row r="195" spans="1:5" ht="37.799999999999997" thickBot="1">
      <c r="A195" s="122" t="s">
        <v>701</v>
      </c>
      <c r="B195" s="123" t="s">
        <v>700</v>
      </c>
      <c r="C195" s="124" t="s">
        <v>996</v>
      </c>
    </row>
    <row r="196" spans="1:5" ht="14.55" customHeight="1" thickTop="1" thickBot="1">
      <c r="A196" s="125" t="s">
        <v>705</v>
      </c>
      <c r="B196" s="119">
        <v>3.2000000000000001E-2</v>
      </c>
      <c r="C196" s="119">
        <v>0</v>
      </c>
      <c r="D196" s="123" t="s">
        <v>700</v>
      </c>
      <c r="E196" s="123" t="s">
        <v>1185</v>
      </c>
    </row>
    <row r="197" spans="1:5" ht="18" thickTop="1">
      <c r="A197" s="125" t="s">
        <v>699</v>
      </c>
      <c r="B197" s="119">
        <v>0.111</v>
      </c>
      <c r="C197" s="119">
        <v>3.3E-3</v>
      </c>
    </row>
    <row r="198" spans="1:5" ht="17.399999999999999">
      <c r="A198" s="125" t="s">
        <v>706</v>
      </c>
      <c r="B198" s="119">
        <v>4.0000000000000001E-3</v>
      </c>
      <c r="C198" s="119">
        <v>1.2E-4</v>
      </c>
    </row>
    <row r="199" spans="1:5" ht="14.4" thickBot="1"/>
    <row r="200" spans="1:5" ht="19.2" thickTop="1">
      <c r="A200" s="2614" t="s">
        <v>725</v>
      </c>
      <c r="B200" s="126" t="s">
        <v>729</v>
      </c>
    </row>
    <row r="201" spans="1:5" ht="14.4" thickBot="1">
      <c r="A201" s="2615"/>
      <c r="B201" s="127" t="s">
        <v>730</v>
      </c>
    </row>
    <row r="202" spans="1:5" ht="18" thickTop="1">
      <c r="A202" s="125" t="s">
        <v>726</v>
      </c>
      <c r="B202" s="119">
        <v>0.02</v>
      </c>
    </row>
    <row r="203" spans="1:5" ht="17.399999999999999">
      <c r="A203" s="125" t="s">
        <v>727</v>
      </c>
      <c r="B203" s="119">
        <v>1E-3</v>
      </c>
    </row>
    <row r="204" spans="1:5" ht="17.399999999999999">
      <c r="A204" s="125" t="s">
        <v>728</v>
      </c>
      <c r="B204" s="119">
        <v>5.0000000000000001E-4</v>
      </c>
    </row>
    <row r="206" spans="1:5" ht="16.8">
      <c r="A206" s="128" t="s">
        <v>738</v>
      </c>
    </row>
    <row r="207" spans="1:5" ht="17.399999999999999">
      <c r="A207" s="125" t="s">
        <v>737</v>
      </c>
      <c r="B207" s="119">
        <f>0.7*10^-6</f>
        <v>6.9999999999999997E-7</v>
      </c>
    </row>
    <row r="208" spans="1:5" ht="17.399999999999999">
      <c r="A208" s="125" t="s">
        <v>1191</v>
      </c>
      <c r="B208" s="119">
        <f>0.08*(10^-6)</f>
        <v>8.0000000000000002E-8</v>
      </c>
    </row>
    <row r="212" spans="1:1">
      <c r="A212" s="129" t="s">
        <v>759</v>
      </c>
    </row>
    <row r="213" spans="1:1">
      <c r="A213" s="129" t="s">
        <v>760</v>
      </c>
    </row>
    <row r="214" spans="1:1">
      <c r="A214" s="129" t="s">
        <v>761</v>
      </c>
    </row>
    <row r="215" spans="1:1">
      <c r="A215" s="129" t="s">
        <v>762</v>
      </c>
    </row>
    <row r="216" spans="1:1">
      <c r="A216" s="129"/>
    </row>
    <row r="217" spans="1:1">
      <c r="A217" s="129" t="s">
        <v>759</v>
      </c>
    </row>
    <row r="218" spans="1:1">
      <c r="A218" s="129" t="s">
        <v>760</v>
      </c>
    </row>
    <row r="219" spans="1:1">
      <c r="A219" s="129" t="s">
        <v>761</v>
      </c>
    </row>
    <row r="220" spans="1:1">
      <c r="A220" s="129" t="s">
        <v>763</v>
      </c>
    </row>
    <row r="221" spans="1:1">
      <c r="A221" s="129"/>
    </row>
    <row r="222" spans="1:1" ht="30">
      <c r="A222" s="130" t="s">
        <v>770</v>
      </c>
    </row>
    <row r="223" spans="1:1" ht="30">
      <c r="A223" s="130" t="s">
        <v>769</v>
      </c>
    </row>
    <row r="224" spans="1:1" ht="30">
      <c r="A224" s="130" t="s">
        <v>771</v>
      </c>
    </row>
    <row r="225" spans="1:2" ht="30">
      <c r="A225" s="130"/>
    </row>
    <row r="226" spans="1:2" ht="34.799999999999997">
      <c r="A226" s="131" t="s">
        <v>786</v>
      </c>
    </row>
    <row r="227" spans="1:2" ht="34.799999999999997">
      <c r="A227" s="131" t="s">
        <v>787</v>
      </c>
    </row>
    <row r="228" spans="1:2" ht="34.799999999999997">
      <c r="A228" s="131" t="s">
        <v>788</v>
      </c>
    </row>
    <row r="229" spans="1:2" ht="34.799999999999997">
      <c r="A229" s="131" t="s">
        <v>789</v>
      </c>
    </row>
    <row r="230" spans="1:2" ht="34.799999999999997">
      <c r="A230" s="131" t="s">
        <v>790</v>
      </c>
    </row>
    <row r="231" spans="1:2" ht="34.799999999999997">
      <c r="A231" s="131" t="s">
        <v>791</v>
      </c>
    </row>
    <row r="232" spans="1:2" ht="34.799999999999997">
      <c r="A232" s="131" t="s">
        <v>792</v>
      </c>
    </row>
    <row r="233" spans="1:2" ht="30">
      <c r="A233" s="130"/>
    </row>
    <row r="234" spans="1:2" ht="30">
      <c r="A234" s="130" t="s">
        <v>477</v>
      </c>
    </row>
    <row r="235" spans="1:2" ht="30">
      <c r="A235" s="130" t="s">
        <v>478</v>
      </c>
    </row>
    <row r="236" spans="1:2" ht="30">
      <c r="A236" s="130"/>
    </row>
    <row r="237" spans="1:2" ht="30">
      <c r="A237" s="130" t="s">
        <v>812</v>
      </c>
      <c r="B237" s="130" t="s">
        <v>812</v>
      </c>
    </row>
    <row r="238" spans="1:2" ht="30">
      <c r="A238" s="130" t="s">
        <v>813</v>
      </c>
      <c r="B238" s="130" t="s">
        <v>1146</v>
      </c>
    </row>
    <row r="239" spans="1:2" ht="30">
      <c r="A239" s="130" t="s">
        <v>814</v>
      </c>
      <c r="B239" s="130" t="s">
        <v>814</v>
      </c>
    </row>
    <row r="243" spans="1:2">
      <c r="A243" s="6" t="s">
        <v>958</v>
      </c>
      <c r="B243" s="6" t="s">
        <v>963</v>
      </c>
    </row>
    <row r="244" spans="1:2">
      <c r="A244" s="6" t="s">
        <v>959</v>
      </c>
      <c r="B244" s="6" t="s">
        <v>323</v>
      </c>
    </row>
    <row r="247" spans="1:2">
      <c r="A247" s="6" t="s">
        <v>969</v>
      </c>
    </row>
    <row r="248" spans="1:2">
      <c r="A248" s="6" t="s">
        <v>970</v>
      </c>
    </row>
    <row r="251" spans="1:2">
      <c r="A251" s="6" t="s">
        <v>1000</v>
      </c>
    </row>
    <row r="252" spans="1:2">
      <c r="A252" s="6" t="s">
        <v>1001</v>
      </c>
    </row>
    <row r="253" spans="1:2">
      <c r="A253" s="6" t="s">
        <v>1002</v>
      </c>
    </row>
    <row r="254" spans="1:2">
      <c r="A254" s="6" t="s">
        <v>1003</v>
      </c>
    </row>
    <row r="255" spans="1:2">
      <c r="A255" s="6" t="s">
        <v>1007</v>
      </c>
    </row>
    <row r="256" spans="1:2">
      <c r="A256" s="6" t="s">
        <v>1006</v>
      </c>
    </row>
    <row r="257" spans="1:1">
      <c r="A257" s="6" t="s">
        <v>1005</v>
      </c>
    </row>
    <row r="258" spans="1:1">
      <c r="A258" s="6" t="s">
        <v>1008</v>
      </c>
    </row>
    <row r="259" spans="1:1">
      <c r="A259" s="6" t="s">
        <v>1009</v>
      </c>
    </row>
    <row r="260" spans="1:1">
      <c r="A260" s="6" t="s">
        <v>1010</v>
      </c>
    </row>
    <row r="261" spans="1:1">
      <c r="A261" s="6" t="s">
        <v>1011</v>
      </c>
    </row>
  </sheetData>
  <mergeCells count="8">
    <mergeCell ref="A1:K1"/>
    <mergeCell ref="A38:G38"/>
    <mergeCell ref="A39:A40"/>
    <mergeCell ref="A200:A201"/>
    <mergeCell ref="C109:C112"/>
    <mergeCell ref="C113:C117"/>
    <mergeCell ref="C118:C134"/>
    <mergeCell ref="A21:D21"/>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50"/>
  <sheetViews>
    <sheetView rightToLeft="1" zoomScale="70" zoomScaleNormal="70" workbookViewId="0">
      <selection activeCell="Z58" sqref="Z58"/>
    </sheetView>
  </sheetViews>
  <sheetFormatPr defaultColWidth="8.69921875" defaultRowHeight="13.8"/>
  <cols>
    <col min="1" max="1" width="31.796875" style="6" customWidth="1"/>
    <col min="2" max="3" width="8.69921875" style="6"/>
    <col min="4" max="4" width="10.296875" style="6" customWidth="1"/>
    <col min="5" max="5" width="12.296875" style="6" customWidth="1"/>
    <col min="6" max="6" width="34.796875" style="6" customWidth="1"/>
    <col min="7" max="8" width="18.5" style="6" customWidth="1"/>
    <col min="9" max="9" width="25.8984375" style="6" customWidth="1"/>
    <col min="10" max="10" width="12.296875" style="6" customWidth="1"/>
    <col min="11" max="11" width="11.796875" style="6" customWidth="1"/>
    <col min="12" max="12" width="12.8984375" style="6" customWidth="1"/>
    <col min="13" max="14" width="8.69921875" style="6"/>
    <col min="15" max="15" width="21.5" style="6" customWidth="1"/>
    <col min="16" max="16" width="28.5" style="6" customWidth="1"/>
    <col min="17" max="17" width="14.19921875" style="6" customWidth="1"/>
    <col min="18" max="18" width="13" style="6" customWidth="1"/>
    <col min="19" max="19" width="10" style="6" customWidth="1"/>
    <col min="20" max="21" width="8.69921875" style="6"/>
    <col min="22" max="22" width="9.59765625" style="6" customWidth="1"/>
    <col min="23" max="23" width="10.5" style="6" customWidth="1"/>
    <col min="24" max="24" width="13.09765625" style="6" customWidth="1"/>
    <col min="25" max="25" width="13.5" style="6" customWidth="1"/>
    <col min="26" max="28" width="8.69921875" style="6"/>
    <col min="29" max="29" width="24.69921875" style="6" customWidth="1"/>
    <col min="30" max="30" width="24.5" style="6" customWidth="1"/>
    <col min="31" max="31" width="16.09765625" style="6" customWidth="1"/>
    <col min="32" max="32" width="15" style="6" customWidth="1"/>
    <col min="33" max="33" width="8.69921875" style="6"/>
    <col min="34" max="34" width="11.59765625" style="6" customWidth="1"/>
    <col min="35" max="35" width="11.3984375" style="6" customWidth="1"/>
    <col min="36" max="36" width="19.69921875" style="6" customWidth="1"/>
    <col min="37" max="37" width="13.5" style="6" customWidth="1"/>
    <col min="38" max="38" width="13.796875" style="6" customWidth="1"/>
    <col min="39" max="39" width="13.59765625" style="6" customWidth="1"/>
    <col min="40" max="40" width="12" style="6" customWidth="1"/>
    <col min="41" max="41" width="18.19921875" style="6" customWidth="1"/>
    <col min="42" max="45" width="8.69921875" style="6"/>
    <col min="46" max="46" width="26.19921875" style="6" customWidth="1"/>
    <col min="47" max="55" width="8.69921875" style="6"/>
    <col min="56" max="57" width="19.09765625" style="6" customWidth="1"/>
    <col min="58" max="59" width="17.5" style="6" customWidth="1"/>
    <col min="60" max="61" width="14.796875" style="6" customWidth="1"/>
    <col min="62" max="62" width="27.69921875" style="6" customWidth="1"/>
    <col min="63" max="66" width="8.69921875" style="6"/>
    <col min="67" max="67" width="19" style="11" customWidth="1"/>
    <col min="68" max="68" width="25.09765625" style="11" customWidth="1"/>
    <col min="69" max="69" width="19" style="11" customWidth="1"/>
    <col min="70" max="70" width="24.796875" style="11" customWidth="1"/>
    <col min="71" max="71" width="19" style="11" customWidth="1"/>
    <col min="72" max="72" width="19" style="6" customWidth="1"/>
    <col min="73" max="16384" width="8.69921875" style="6"/>
  </cols>
  <sheetData>
    <row r="1" spans="1:107" ht="16.95" customHeight="1" thickTop="1">
      <c r="A1" s="2719" t="s">
        <v>20</v>
      </c>
      <c r="B1" s="2720"/>
      <c r="C1" s="2720"/>
      <c r="D1" s="2720"/>
      <c r="E1" s="2720"/>
      <c r="F1" s="2702" t="s">
        <v>104</v>
      </c>
      <c r="G1" s="2703"/>
      <c r="H1" s="2704"/>
      <c r="I1" s="2622" t="s">
        <v>105</v>
      </c>
      <c r="J1" s="2656"/>
      <c r="K1" s="2656"/>
      <c r="L1" s="2656"/>
      <c r="M1" s="2656"/>
      <c r="N1" s="2623"/>
      <c r="O1" s="2622" t="s">
        <v>106</v>
      </c>
      <c r="P1" s="2623"/>
      <c r="Q1" s="2622" t="s">
        <v>107</v>
      </c>
      <c r="R1" s="2656"/>
      <c r="S1" s="2656"/>
      <c r="T1" s="2656"/>
      <c r="U1" s="2656"/>
      <c r="V1" s="2623"/>
      <c r="W1" s="2622" t="s">
        <v>108</v>
      </c>
      <c r="X1" s="2656"/>
      <c r="Y1" s="2656"/>
      <c r="Z1" s="2656"/>
      <c r="AA1" s="2656"/>
      <c r="AB1" s="2623"/>
      <c r="AC1" s="2622" t="s">
        <v>109</v>
      </c>
      <c r="AD1" s="2623"/>
      <c r="AE1" s="2628" t="s">
        <v>110</v>
      </c>
      <c r="AF1" s="2629"/>
      <c r="AG1" s="2629"/>
      <c r="AH1" s="2629"/>
      <c r="AI1" s="2630"/>
      <c r="AJ1" s="2628" t="s">
        <v>114</v>
      </c>
      <c r="AK1" s="2629"/>
      <c r="AL1" s="2629"/>
      <c r="AM1" s="2629"/>
      <c r="AN1" s="2640"/>
    </row>
    <row r="2" spans="1:107" ht="18" customHeight="1">
      <c r="A2" s="132" t="s">
        <v>0</v>
      </c>
      <c r="B2" s="2588" t="s">
        <v>2</v>
      </c>
      <c r="C2" s="2588"/>
      <c r="D2" s="2588" t="s">
        <v>3</v>
      </c>
      <c r="E2" s="2588"/>
      <c r="F2" s="2705"/>
      <c r="G2" s="2706"/>
      <c r="H2" s="2707"/>
      <c r="I2" s="2624"/>
      <c r="J2" s="2657"/>
      <c r="K2" s="2657"/>
      <c r="L2" s="2657"/>
      <c r="M2" s="2657"/>
      <c r="N2" s="2625"/>
      <c r="O2" s="2624"/>
      <c r="P2" s="2625"/>
      <c r="Q2" s="2624"/>
      <c r="R2" s="2657"/>
      <c r="S2" s="2657"/>
      <c r="T2" s="2657"/>
      <c r="U2" s="2657"/>
      <c r="V2" s="2625"/>
      <c r="W2" s="2624"/>
      <c r="X2" s="2657"/>
      <c r="Y2" s="2657"/>
      <c r="Z2" s="2657"/>
      <c r="AA2" s="2657"/>
      <c r="AB2" s="2625"/>
      <c r="AC2" s="2624"/>
      <c r="AD2" s="2625"/>
      <c r="AE2" s="2631"/>
      <c r="AF2" s="2632"/>
      <c r="AG2" s="2632"/>
      <c r="AH2" s="2632"/>
      <c r="AI2" s="2633"/>
      <c r="AJ2" s="2631"/>
      <c r="AK2" s="2632"/>
      <c r="AL2" s="2632"/>
      <c r="AM2" s="2632"/>
      <c r="AN2" s="2641"/>
    </row>
    <row r="3" spans="1:107" ht="18" customHeight="1">
      <c r="A3" s="132" t="s">
        <v>1</v>
      </c>
      <c r="B3" s="15" t="s">
        <v>4</v>
      </c>
      <c r="C3" s="2588" t="s">
        <v>6</v>
      </c>
      <c r="D3" s="15" t="s">
        <v>4</v>
      </c>
      <c r="E3" s="2588" t="s">
        <v>7</v>
      </c>
      <c r="F3" s="2705"/>
      <c r="G3" s="2706"/>
      <c r="H3" s="2707"/>
      <c r="I3" s="2624"/>
      <c r="J3" s="2657"/>
      <c r="K3" s="2657"/>
      <c r="L3" s="2657"/>
      <c r="M3" s="2657"/>
      <c r="N3" s="2625"/>
      <c r="O3" s="2624"/>
      <c r="P3" s="2625"/>
      <c r="Q3" s="2624"/>
      <c r="R3" s="2657"/>
      <c r="S3" s="2657"/>
      <c r="T3" s="2657"/>
      <c r="U3" s="2657"/>
      <c r="V3" s="2625"/>
      <c r="W3" s="2624"/>
      <c r="X3" s="2657"/>
      <c r="Y3" s="2657"/>
      <c r="Z3" s="2657"/>
      <c r="AA3" s="2657"/>
      <c r="AB3" s="2625"/>
      <c r="AC3" s="2624"/>
      <c r="AD3" s="2625"/>
      <c r="AE3" s="2631"/>
      <c r="AF3" s="2632"/>
      <c r="AG3" s="2632"/>
      <c r="AH3" s="2632"/>
      <c r="AI3" s="2633"/>
      <c r="AJ3" s="2631"/>
      <c r="AK3" s="2632"/>
      <c r="AL3" s="2632"/>
      <c r="AM3" s="2632"/>
      <c r="AN3" s="2641"/>
    </row>
    <row r="4" spans="1:107" ht="18" customHeight="1">
      <c r="A4" s="133"/>
      <c r="B4" s="134" t="s">
        <v>5</v>
      </c>
      <c r="C4" s="2588"/>
      <c r="D4" s="134" t="s">
        <v>5</v>
      </c>
      <c r="E4" s="2588"/>
      <c r="F4" s="2705"/>
      <c r="G4" s="2706"/>
      <c r="H4" s="2707"/>
      <c r="I4" s="2624"/>
      <c r="J4" s="2657"/>
      <c r="K4" s="2657"/>
      <c r="L4" s="2657"/>
      <c r="M4" s="2657"/>
      <c r="N4" s="2625"/>
      <c r="O4" s="2624"/>
      <c r="P4" s="2625"/>
      <c r="Q4" s="2624"/>
      <c r="R4" s="2657"/>
      <c r="S4" s="2657"/>
      <c r="T4" s="2657"/>
      <c r="U4" s="2657"/>
      <c r="V4" s="2625"/>
      <c r="W4" s="2624"/>
      <c r="X4" s="2657"/>
      <c r="Y4" s="2657"/>
      <c r="Z4" s="2657"/>
      <c r="AA4" s="2657"/>
      <c r="AB4" s="2625"/>
      <c r="AC4" s="2624"/>
      <c r="AD4" s="2625"/>
      <c r="AE4" s="2631"/>
      <c r="AF4" s="2632"/>
      <c r="AG4" s="2632"/>
      <c r="AH4" s="2632"/>
      <c r="AI4" s="2633"/>
      <c r="AJ4" s="2631"/>
      <c r="AK4" s="2632"/>
      <c r="AL4" s="2632"/>
      <c r="AM4" s="2632"/>
      <c r="AN4" s="2641"/>
    </row>
    <row r="5" spans="1:107" ht="18" customHeight="1">
      <c r="A5" s="2711" t="s">
        <v>8</v>
      </c>
      <c r="B5" s="2712"/>
      <c r="C5" s="2712"/>
      <c r="D5" s="2712"/>
      <c r="E5" s="2712"/>
      <c r="F5" s="2705"/>
      <c r="G5" s="2706"/>
      <c r="H5" s="2707"/>
      <c r="I5" s="2624"/>
      <c r="J5" s="2657"/>
      <c r="K5" s="2657"/>
      <c r="L5" s="2657"/>
      <c r="M5" s="2657"/>
      <c r="N5" s="2625"/>
      <c r="O5" s="2624"/>
      <c r="P5" s="2625"/>
      <c r="Q5" s="2624"/>
      <c r="R5" s="2657"/>
      <c r="S5" s="2657"/>
      <c r="T5" s="2657"/>
      <c r="U5" s="2657"/>
      <c r="V5" s="2625"/>
      <c r="W5" s="2624"/>
      <c r="X5" s="2657"/>
      <c r="Y5" s="2657"/>
      <c r="Z5" s="2657"/>
      <c r="AA5" s="2657"/>
      <c r="AB5" s="2625"/>
      <c r="AC5" s="2624"/>
      <c r="AD5" s="2625"/>
      <c r="AE5" s="2631"/>
      <c r="AF5" s="2632"/>
      <c r="AG5" s="2632"/>
      <c r="AH5" s="2632"/>
      <c r="AI5" s="2633"/>
      <c r="AJ5" s="2631"/>
      <c r="AK5" s="2632"/>
      <c r="AL5" s="2632"/>
      <c r="AM5" s="2632"/>
      <c r="AN5" s="2641"/>
    </row>
    <row r="6" spans="1:107" ht="18" customHeight="1">
      <c r="A6" s="135" t="s">
        <v>9</v>
      </c>
      <c r="B6" s="20">
        <v>80.099999999999994</v>
      </c>
      <c r="C6" s="19" t="s">
        <v>10</v>
      </c>
      <c r="D6" s="2713">
        <v>35.5</v>
      </c>
      <c r="E6" s="2716" t="s">
        <v>11</v>
      </c>
      <c r="F6" s="2705"/>
      <c r="G6" s="2706"/>
      <c r="H6" s="2707"/>
      <c r="I6" s="2624"/>
      <c r="J6" s="2657"/>
      <c r="K6" s="2657"/>
      <c r="L6" s="2657"/>
      <c r="M6" s="2657"/>
      <c r="N6" s="2625"/>
      <c r="O6" s="2624"/>
      <c r="P6" s="2625"/>
      <c r="Q6" s="2624"/>
      <c r="R6" s="2657"/>
      <c r="S6" s="2657"/>
      <c r="T6" s="2657"/>
      <c r="U6" s="2657"/>
      <c r="V6" s="2625"/>
      <c r="W6" s="2624"/>
      <c r="X6" s="2657"/>
      <c r="Y6" s="2657"/>
      <c r="Z6" s="2657"/>
      <c r="AA6" s="2657"/>
      <c r="AB6" s="2625"/>
      <c r="AC6" s="2624"/>
      <c r="AD6" s="2625"/>
      <c r="AE6" s="2631"/>
      <c r="AF6" s="2632"/>
      <c r="AG6" s="2632"/>
      <c r="AH6" s="2632"/>
      <c r="AI6" s="2633"/>
      <c r="AJ6" s="2631"/>
      <c r="AK6" s="2632"/>
      <c r="AL6" s="2632"/>
      <c r="AM6" s="2632"/>
      <c r="AN6" s="2641"/>
    </row>
    <row r="7" spans="1:107" ht="18" customHeight="1">
      <c r="A7" s="135" t="s">
        <v>12</v>
      </c>
      <c r="B7" s="20">
        <v>59</v>
      </c>
      <c r="C7" s="19" t="s">
        <v>10</v>
      </c>
      <c r="D7" s="2714"/>
      <c r="E7" s="2716"/>
      <c r="F7" s="2705"/>
      <c r="G7" s="2706"/>
      <c r="H7" s="2707"/>
      <c r="I7" s="2624"/>
      <c r="J7" s="2657"/>
      <c r="K7" s="2657"/>
      <c r="L7" s="2657"/>
      <c r="M7" s="2657"/>
      <c r="N7" s="2625"/>
      <c r="O7" s="2624"/>
      <c r="P7" s="2625"/>
      <c r="Q7" s="2624"/>
      <c r="R7" s="2657"/>
      <c r="S7" s="2657"/>
      <c r="T7" s="2657"/>
      <c r="U7" s="2657"/>
      <c r="V7" s="2625"/>
      <c r="W7" s="2624"/>
      <c r="X7" s="2657"/>
      <c r="Y7" s="2657"/>
      <c r="Z7" s="2657"/>
      <c r="AA7" s="2657"/>
      <c r="AB7" s="2625"/>
      <c r="AC7" s="2624"/>
      <c r="AD7" s="2625"/>
      <c r="AE7" s="2631"/>
      <c r="AF7" s="2632"/>
      <c r="AG7" s="2632"/>
      <c r="AH7" s="2632"/>
      <c r="AI7" s="2633"/>
      <c r="AJ7" s="2631"/>
      <c r="AK7" s="2632"/>
      <c r="AL7" s="2632"/>
      <c r="AM7" s="2632"/>
      <c r="AN7" s="2641"/>
    </row>
    <row r="8" spans="1:107" ht="18" customHeight="1">
      <c r="A8" s="135" t="s">
        <v>13</v>
      </c>
      <c r="B8" s="20">
        <v>42.2</v>
      </c>
      <c r="C8" s="19" t="s">
        <v>14</v>
      </c>
      <c r="D8" s="2715"/>
      <c r="E8" s="2716"/>
      <c r="F8" s="2705"/>
      <c r="G8" s="2706"/>
      <c r="H8" s="2707"/>
      <c r="I8" s="2624"/>
      <c r="J8" s="2657"/>
      <c r="K8" s="2657"/>
      <c r="L8" s="2657"/>
      <c r="M8" s="2657"/>
      <c r="N8" s="2625"/>
      <c r="O8" s="2624"/>
      <c r="P8" s="2625"/>
      <c r="Q8" s="2624"/>
      <c r="R8" s="2657"/>
      <c r="S8" s="2657"/>
      <c r="T8" s="2657"/>
      <c r="U8" s="2657"/>
      <c r="V8" s="2625"/>
      <c r="W8" s="2624"/>
      <c r="X8" s="2657"/>
      <c r="Y8" s="2657"/>
      <c r="Z8" s="2657"/>
      <c r="AA8" s="2657"/>
      <c r="AB8" s="2625"/>
      <c r="AC8" s="2624"/>
      <c r="AD8" s="2625"/>
      <c r="AE8" s="2631"/>
      <c r="AF8" s="2632"/>
      <c r="AG8" s="2632"/>
      <c r="AH8" s="2632"/>
      <c r="AI8" s="2633"/>
      <c r="AJ8" s="2631"/>
      <c r="AK8" s="2632"/>
      <c r="AL8" s="2632"/>
      <c r="AM8" s="2632"/>
      <c r="AN8" s="2641"/>
    </row>
    <row r="9" spans="1:107" ht="18" customHeight="1">
      <c r="A9" s="2711" t="s">
        <v>15</v>
      </c>
      <c r="B9" s="2712"/>
      <c r="C9" s="2712"/>
      <c r="D9" s="2712"/>
      <c r="E9" s="2712"/>
      <c r="F9" s="2705"/>
      <c r="G9" s="2706"/>
      <c r="H9" s="2707"/>
      <c r="I9" s="2624"/>
      <c r="J9" s="2657"/>
      <c r="K9" s="2657"/>
      <c r="L9" s="2657"/>
      <c r="M9" s="2657"/>
      <c r="N9" s="2625"/>
      <c r="O9" s="2624"/>
      <c r="P9" s="2625"/>
      <c r="Q9" s="2624"/>
      <c r="R9" s="2657"/>
      <c r="S9" s="2657"/>
      <c r="T9" s="2657"/>
      <c r="U9" s="2657"/>
      <c r="V9" s="2625"/>
      <c r="W9" s="2624"/>
      <c r="X9" s="2657"/>
      <c r="Y9" s="2657"/>
      <c r="Z9" s="2657"/>
      <c r="AA9" s="2657"/>
      <c r="AB9" s="2625"/>
      <c r="AC9" s="2624"/>
      <c r="AD9" s="2625"/>
      <c r="AE9" s="2631"/>
      <c r="AF9" s="2632"/>
      <c r="AG9" s="2632"/>
      <c r="AH9" s="2632"/>
      <c r="AI9" s="2633"/>
      <c r="AJ9" s="2631"/>
      <c r="AK9" s="2632"/>
      <c r="AL9" s="2632"/>
      <c r="AM9" s="2632"/>
      <c r="AN9" s="2641"/>
    </row>
    <row r="10" spans="1:107" ht="18" customHeight="1">
      <c r="A10" s="135" t="s">
        <v>16</v>
      </c>
      <c r="B10" s="20">
        <v>42.2</v>
      </c>
      <c r="C10" s="19" t="s">
        <v>11</v>
      </c>
      <c r="D10" s="2713">
        <v>35.5</v>
      </c>
      <c r="E10" s="2716" t="s">
        <v>11</v>
      </c>
      <c r="F10" s="2705"/>
      <c r="G10" s="2706"/>
      <c r="H10" s="2707"/>
      <c r="I10" s="2624"/>
      <c r="J10" s="2657"/>
      <c r="K10" s="2657"/>
      <c r="L10" s="2657"/>
      <c r="M10" s="2657"/>
      <c r="N10" s="2625"/>
      <c r="O10" s="2624"/>
      <c r="P10" s="2625"/>
      <c r="Q10" s="2624"/>
      <c r="R10" s="2657"/>
      <c r="S10" s="2657"/>
      <c r="T10" s="2657"/>
      <c r="U10" s="2657"/>
      <c r="V10" s="2625"/>
      <c r="W10" s="2624"/>
      <c r="X10" s="2657"/>
      <c r="Y10" s="2657"/>
      <c r="Z10" s="2657"/>
      <c r="AA10" s="2657"/>
      <c r="AB10" s="2625"/>
      <c r="AC10" s="2624"/>
      <c r="AD10" s="2625"/>
      <c r="AE10" s="2631"/>
      <c r="AF10" s="2632"/>
      <c r="AG10" s="2632"/>
      <c r="AH10" s="2632"/>
      <c r="AI10" s="2633"/>
      <c r="AJ10" s="2631"/>
      <c r="AK10" s="2632"/>
      <c r="AL10" s="2632"/>
      <c r="AM10" s="2632"/>
      <c r="AN10" s="2641"/>
    </row>
    <row r="11" spans="1:107" ht="18" customHeight="1">
      <c r="A11" s="135" t="s">
        <v>12</v>
      </c>
      <c r="B11" s="20">
        <v>21.1</v>
      </c>
      <c r="C11" s="19" t="s">
        <v>14</v>
      </c>
      <c r="D11" s="2714"/>
      <c r="E11" s="2716"/>
      <c r="F11" s="2705"/>
      <c r="G11" s="2706"/>
      <c r="H11" s="2707"/>
      <c r="I11" s="2624"/>
      <c r="J11" s="2657"/>
      <c r="K11" s="2657"/>
      <c r="L11" s="2657"/>
      <c r="M11" s="2657"/>
      <c r="N11" s="2625"/>
      <c r="O11" s="2624"/>
      <c r="P11" s="2625"/>
      <c r="Q11" s="2624"/>
      <c r="R11" s="2657"/>
      <c r="S11" s="2657"/>
      <c r="T11" s="2657"/>
      <c r="U11" s="2657"/>
      <c r="V11" s="2625"/>
      <c r="W11" s="2624"/>
      <c r="X11" s="2657"/>
      <c r="Y11" s="2657"/>
      <c r="Z11" s="2657"/>
      <c r="AA11" s="2657"/>
      <c r="AB11" s="2625"/>
      <c r="AC11" s="2624"/>
      <c r="AD11" s="2625"/>
      <c r="AE11" s="2631"/>
      <c r="AF11" s="2632"/>
      <c r="AG11" s="2632"/>
      <c r="AH11" s="2632"/>
      <c r="AI11" s="2633"/>
      <c r="AJ11" s="2631"/>
      <c r="AK11" s="2632"/>
      <c r="AL11" s="2632"/>
      <c r="AM11" s="2632"/>
      <c r="AN11" s="2641"/>
    </row>
    <row r="12" spans="1:107" ht="18" customHeight="1">
      <c r="A12" s="135" t="s">
        <v>13</v>
      </c>
      <c r="B12" s="20">
        <v>13.5</v>
      </c>
      <c r="C12" s="19" t="s">
        <v>17</v>
      </c>
      <c r="D12" s="2715"/>
      <c r="E12" s="2716"/>
      <c r="F12" s="2705"/>
      <c r="G12" s="2706"/>
      <c r="H12" s="2707"/>
      <c r="I12" s="2624"/>
      <c r="J12" s="2657"/>
      <c r="K12" s="2657"/>
      <c r="L12" s="2657"/>
      <c r="M12" s="2657"/>
      <c r="N12" s="2625"/>
      <c r="O12" s="2624"/>
      <c r="P12" s="2625"/>
      <c r="Q12" s="2624"/>
      <c r="R12" s="2657"/>
      <c r="S12" s="2657"/>
      <c r="T12" s="2657"/>
      <c r="U12" s="2657"/>
      <c r="V12" s="2625"/>
      <c r="W12" s="2624"/>
      <c r="X12" s="2657"/>
      <c r="Y12" s="2657"/>
      <c r="Z12" s="2657"/>
      <c r="AA12" s="2657"/>
      <c r="AB12" s="2625"/>
      <c r="AC12" s="2624"/>
      <c r="AD12" s="2625"/>
      <c r="AE12" s="2631"/>
      <c r="AF12" s="2632"/>
      <c r="AG12" s="2632"/>
      <c r="AH12" s="2632"/>
      <c r="AI12" s="2633"/>
      <c r="AJ12" s="2631"/>
      <c r="AK12" s="2632"/>
      <c r="AL12" s="2632"/>
      <c r="AM12" s="2632"/>
      <c r="AN12" s="2641"/>
    </row>
    <row r="13" spans="1:107" ht="18" customHeight="1">
      <c r="A13" s="2711" t="s">
        <v>18</v>
      </c>
      <c r="B13" s="2712"/>
      <c r="C13" s="2712"/>
      <c r="D13" s="2712"/>
      <c r="E13" s="2712"/>
      <c r="F13" s="2705"/>
      <c r="G13" s="2706"/>
      <c r="H13" s="2707"/>
      <c r="I13" s="2624"/>
      <c r="J13" s="2657"/>
      <c r="K13" s="2657"/>
      <c r="L13" s="2657"/>
      <c r="M13" s="2657"/>
      <c r="N13" s="2625"/>
      <c r="O13" s="2624"/>
      <c r="P13" s="2625"/>
      <c r="Q13" s="2624"/>
      <c r="R13" s="2657"/>
      <c r="S13" s="2657"/>
      <c r="T13" s="2657"/>
      <c r="U13" s="2657"/>
      <c r="V13" s="2625"/>
      <c r="W13" s="2624"/>
      <c r="X13" s="2657"/>
      <c r="Y13" s="2657"/>
      <c r="Z13" s="2657"/>
      <c r="AA13" s="2657"/>
      <c r="AB13" s="2625"/>
      <c r="AC13" s="2624"/>
      <c r="AD13" s="2625"/>
      <c r="AE13" s="2631"/>
      <c r="AF13" s="2632"/>
      <c r="AG13" s="2632"/>
      <c r="AH13" s="2632"/>
      <c r="AI13" s="2633"/>
      <c r="AJ13" s="2631"/>
      <c r="AK13" s="2632"/>
      <c r="AL13" s="2632"/>
      <c r="AM13" s="2632"/>
      <c r="AN13" s="2641"/>
    </row>
    <row r="14" spans="1:107" ht="18" customHeight="1">
      <c r="A14" s="136" t="s">
        <v>16</v>
      </c>
      <c r="B14" s="20">
        <v>71.7</v>
      </c>
      <c r="C14" s="19" t="s">
        <v>10</v>
      </c>
      <c r="D14" s="20">
        <v>10.1</v>
      </c>
      <c r="E14" s="19" t="s">
        <v>17</v>
      </c>
      <c r="F14" s="2705"/>
      <c r="G14" s="2706"/>
      <c r="H14" s="2707"/>
      <c r="I14" s="2624"/>
      <c r="J14" s="2657"/>
      <c r="K14" s="2657"/>
      <c r="L14" s="2657"/>
      <c r="M14" s="2657"/>
      <c r="N14" s="2625"/>
      <c r="O14" s="2624"/>
      <c r="P14" s="2625"/>
      <c r="Q14" s="2624"/>
      <c r="R14" s="2657"/>
      <c r="S14" s="2657"/>
      <c r="T14" s="2657"/>
      <c r="U14" s="2657"/>
      <c r="V14" s="2625"/>
      <c r="W14" s="2624"/>
      <c r="X14" s="2657"/>
      <c r="Y14" s="2657"/>
      <c r="Z14" s="2657"/>
      <c r="AA14" s="2657"/>
      <c r="AB14" s="2625"/>
      <c r="AC14" s="2624"/>
      <c r="AD14" s="2625"/>
      <c r="AE14" s="2631"/>
      <c r="AF14" s="2632"/>
      <c r="AG14" s="2632"/>
      <c r="AH14" s="2632"/>
      <c r="AI14" s="2633"/>
      <c r="AJ14" s="2631"/>
      <c r="AK14" s="2632"/>
      <c r="AL14" s="2632"/>
      <c r="AM14" s="2632"/>
      <c r="AN14" s="2641"/>
    </row>
    <row r="15" spans="1:107" ht="18" customHeight="1">
      <c r="A15" s="136" t="s">
        <v>13</v>
      </c>
      <c r="B15" s="20">
        <v>32.1</v>
      </c>
      <c r="C15" s="19" t="s">
        <v>14</v>
      </c>
      <c r="D15" s="20">
        <v>41.3</v>
      </c>
      <c r="E15" s="19" t="s">
        <v>14</v>
      </c>
      <c r="F15" s="2705"/>
      <c r="G15" s="2706"/>
      <c r="H15" s="2707"/>
      <c r="I15" s="2624"/>
      <c r="J15" s="2657"/>
      <c r="K15" s="2657"/>
      <c r="L15" s="2657"/>
      <c r="M15" s="2657"/>
      <c r="N15" s="2625"/>
      <c r="O15" s="2624"/>
      <c r="P15" s="2625"/>
      <c r="Q15" s="2624"/>
      <c r="R15" s="2657"/>
      <c r="S15" s="2657"/>
      <c r="T15" s="2657"/>
      <c r="U15" s="2657"/>
      <c r="V15" s="2625"/>
      <c r="W15" s="2624"/>
      <c r="X15" s="2657"/>
      <c r="Y15" s="2657"/>
      <c r="Z15" s="2657"/>
      <c r="AA15" s="2657"/>
      <c r="AB15" s="2625"/>
      <c r="AC15" s="2624"/>
      <c r="AD15" s="2625"/>
      <c r="AE15" s="2631"/>
      <c r="AF15" s="2632"/>
      <c r="AG15" s="2632"/>
      <c r="AH15" s="2632"/>
      <c r="AI15" s="2633"/>
      <c r="AJ15" s="2631"/>
      <c r="AK15" s="2632"/>
      <c r="AL15" s="2632"/>
      <c r="AM15" s="2632"/>
      <c r="AN15" s="2641"/>
      <c r="DC15" s="137"/>
    </row>
    <row r="16" spans="1:107" ht="91.5" customHeight="1">
      <c r="A16" s="2717" t="s">
        <v>23</v>
      </c>
      <c r="B16" s="2718"/>
      <c r="C16" s="2718"/>
      <c r="D16" s="2718"/>
      <c r="E16" s="2718"/>
      <c r="F16" s="2705"/>
      <c r="G16" s="2706"/>
      <c r="H16" s="2707"/>
      <c r="I16" s="2624"/>
      <c r="J16" s="2657"/>
      <c r="K16" s="2657"/>
      <c r="L16" s="2657"/>
      <c r="M16" s="2657"/>
      <c r="N16" s="2625"/>
      <c r="O16" s="2624"/>
      <c r="P16" s="2625"/>
      <c r="Q16" s="2624"/>
      <c r="R16" s="2657"/>
      <c r="S16" s="2657"/>
      <c r="T16" s="2657"/>
      <c r="U16" s="2657"/>
      <c r="V16" s="2625"/>
      <c r="W16" s="2624"/>
      <c r="X16" s="2657"/>
      <c r="Y16" s="2657"/>
      <c r="Z16" s="2657"/>
      <c r="AA16" s="2657"/>
      <c r="AB16" s="2625"/>
      <c r="AC16" s="2624"/>
      <c r="AD16" s="2625"/>
      <c r="AE16" s="2631"/>
      <c r="AF16" s="2632"/>
      <c r="AG16" s="2632"/>
      <c r="AH16" s="2632"/>
      <c r="AI16" s="2633"/>
      <c r="AJ16" s="2631"/>
      <c r="AK16" s="2632"/>
      <c r="AL16" s="2632"/>
      <c r="AM16" s="2632"/>
      <c r="AN16" s="2641"/>
      <c r="DC16" s="137"/>
    </row>
    <row r="17" spans="1:40" ht="74.55" customHeight="1">
      <c r="A17" s="2693" t="s">
        <v>22</v>
      </c>
      <c r="B17" s="2694"/>
      <c r="C17" s="2694"/>
      <c r="D17" s="2694"/>
      <c r="E17" s="2695"/>
      <c r="F17" s="2708"/>
      <c r="G17" s="2709"/>
      <c r="H17" s="2710"/>
      <c r="I17" s="2624"/>
      <c r="J17" s="2657"/>
      <c r="K17" s="2657"/>
      <c r="L17" s="2657"/>
      <c r="M17" s="2657"/>
      <c r="N17" s="2625"/>
      <c r="O17" s="2624"/>
      <c r="P17" s="2625"/>
      <c r="Q17" s="2624"/>
      <c r="R17" s="2657"/>
      <c r="S17" s="2657"/>
      <c r="T17" s="2657"/>
      <c r="U17" s="2657"/>
      <c r="V17" s="2625"/>
      <c r="W17" s="2624"/>
      <c r="X17" s="2657"/>
      <c r="Y17" s="2657"/>
      <c r="Z17" s="2657"/>
      <c r="AA17" s="2657"/>
      <c r="AB17" s="2625"/>
      <c r="AC17" s="2624"/>
      <c r="AD17" s="2625"/>
      <c r="AE17" s="2631"/>
      <c r="AF17" s="2632"/>
      <c r="AG17" s="2632"/>
      <c r="AH17" s="2632"/>
      <c r="AI17" s="2633"/>
      <c r="AJ17" s="2631"/>
      <c r="AK17" s="2632"/>
      <c r="AL17" s="2632"/>
      <c r="AM17" s="2632"/>
      <c r="AN17" s="2641"/>
    </row>
    <row r="18" spans="1:40" ht="19.05" customHeight="1">
      <c r="A18" s="2697" t="s">
        <v>262</v>
      </c>
      <c r="B18" s="2698"/>
      <c r="C18" s="2698"/>
      <c r="D18" s="2698"/>
      <c r="E18" s="2699"/>
      <c r="F18" s="2691" t="s">
        <v>24</v>
      </c>
      <c r="G18" s="2691"/>
      <c r="H18" s="2691"/>
      <c r="I18" s="2624"/>
      <c r="J18" s="2657"/>
      <c r="K18" s="2657"/>
      <c r="L18" s="2657"/>
      <c r="M18" s="2657"/>
      <c r="N18" s="2625"/>
      <c r="O18" s="2624"/>
      <c r="P18" s="2625"/>
      <c r="Q18" s="2624"/>
      <c r="R18" s="2657"/>
      <c r="S18" s="2657"/>
      <c r="T18" s="2657"/>
      <c r="U18" s="2657"/>
      <c r="V18" s="2625"/>
      <c r="W18" s="2624"/>
      <c r="X18" s="2657"/>
      <c r="Y18" s="2657"/>
      <c r="Z18" s="2657"/>
      <c r="AA18" s="2657"/>
      <c r="AB18" s="2625"/>
      <c r="AC18" s="2624"/>
      <c r="AD18" s="2625"/>
      <c r="AE18" s="2631"/>
      <c r="AF18" s="2632"/>
      <c r="AG18" s="2632"/>
      <c r="AH18" s="2632"/>
      <c r="AI18" s="2633"/>
      <c r="AJ18" s="2631"/>
      <c r="AK18" s="2632"/>
      <c r="AL18" s="2632"/>
      <c r="AM18" s="2632"/>
      <c r="AN18" s="2641"/>
    </row>
    <row r="19" spans="1:40" ht="19.05" customHeight="1">
      <c r="A19" s="2700"/>
      <c r="B19" s="2657"/>
      <c r="C19" s="2657"/>
      <c r="D19" s="2657"/>
      <c r="E19" s="2625"/>
      <c r="F19" s="117" t="s">
        <v>25</v>
      </c>
      <c r="G19" s="117" t="s">
        <v>26</v>
      </c>
      <c r="H19" s="117" t="s">
        <v>6</v>
      </c>
      <c r="I19" s="2624"/>
      <c r="J19" s="2657"/>
      <c r="K19" s="2657"/>
      <c r="L19" s="2657"/>
      <c r="M19" s="2657"/>
      <c r="N19" s="2625"/>
      <c r="O19" s="2624"/>
      <c r="P19" s="2625"/>
      <c r="Q19" s="2624"/>
      <c r="R19" s="2657"/>
      <c r="S19" s="2657"/>
      <c r="T19" s="2657"/>
      <c r="U19" s="2657"/>
      <c r="V19" s="2625"/>
      <c r="W19" s="2624"/>
      <c r="X19" s="2657"/>
      <c r="Y19" s="2657"/>
      <c r="Z19" s="2657"/>
      <c r="AA19" s="2657"/>
      <c r="AB19" s="2625"/>
      <c r="AC19" s="2624"/>
      <c r="AD19" s="2625"/>
      <c r="AE19" s="2631"/>
      <c r="AF19" s="2632"/>
      <c r="AG19" s="2632"/>
      <c r="AH19" s="2632"/>
      <c r="AI19" s="2633"/>
      <c r="AJ19" s="2631"/>
      <c r="AK19" s="2632"/>
      <c r="AL19" s="2632"/>
      <c r="AM19" s="2632"/>
      <c r="AN19" s="2641"/>
    </row>
    <row r="20" spans="1:40" ht="19.05" customHeight="1">
      <c r="A20" s="2700"/>
      <c r="B20" s="2657"/>
      <c r="C20" s="2657"/>
      <c r="D20" s="2657"/>
      <c r="E20" s="2625"/>
      <c r="F20" s="138" t="s">
        <v>27</v>
      </c>
      <c r="G20" s="20">
        <v>3.2</v>
      </c>
      <c r="H20" s="138" t="s">
        <v>14</v>
      </c>
      <c r="I20" s="2624"/>
      <c r="J20" s="2657"/>
      <c r="K20" s="2657"/>
      <c r="L20" s="2657"/>
      <c r="M20" s="2657"/>
      <c r="N20" s="2625"/>
      <c r="O20" s="2624"/>
      <c r="P20" s="2625"/>
      <c r="Q20" s="2624"/>
      <c r="R20" s="2657"/>
      <c r="S20" s="2657"/>
      <c r="T20" s="2657"/>
      <c r="U20" s="2657"/>
      <c r="V20" s="2625"/>
      <c r="W20" s="2624"/>
      <c r="X20" s="2657"/>
      <c r="Y20" s="2657"/>
      <c r="Z20" s="2657"/>
      <c r="AA20" s="2657"/>
      <c r="AB20" s="2625"/>
      <c r="AC20" s="2624"/>
      <c r="AD20" s="2625"/>
      <c r="AE20" s="2631"/>
      <c r="AF20" s="2632"/>
      <c r="AG20" s="2632"/>
      <c r="AH20" s="2632"/>
      <c r="AI20" s="2633"/>
      <c r="AJ20" s="2631"/>
      <c r="AK20" s="2632"/>
      <c r="AL20" s="2632"/>
      <c r="AM20" s="2632"/>
      <c r="AN20" s="2641"/>
    </row>
    <row r="21" spans="1:40" ht="19.05" customHeight="1">
      <c r="A21" s="2700"/>
      <c r="B21" s="2657"/>
      <c r="C21" s="2657"/>
      <c r="D21" s="2657"/>
      <c r="E21" s="2625"/>
      <c r="F21" s="138" t="s">
        <v>28</v>
      </c>
      <c r="G21" s="20">
        <v>2.4</v>
      </c>
      <c r="H21" s="138" t="s">
        <v>14</v>
      </c>
      <c r="I21" s="2624"/>
      <c r="J21" s="2657"/>
      <c r="K21" s="2657"/>
      <c r="L21" s="2657"/>
      <c r="M21" s="2657"/>
      <c r="N21" s="2625"/>
      <c r="O21" s="2624"/>
      <c r="P21" s="2625"/>
      <c r="Q21" s="2624"/>
      <c r="R21" s="2657"/>
      <c r="S21" s="2657"/>
      <c r="T21" s="2657"/>
      <c r="U21" s="2657"/>
      <c r="V21" s="2625"/>
      <c r="W21" s="2624"/>
      <c r="X21" s="2657"/>
      <c r="Y21" s="2657"/>
      <c r="Z21" s="2657"/>
      <c r="AA21" s="2657"/>
      <c r="AB21" s="2625"/>
      <c r="AC21" s="2624"/>
      <c r="AD21" s="2625"/>
      <c r="AE21" s="2631"/>
      <c r="AF21" s="2632"/>
      <c r="AG21" s="2632"/>
      <c r="AH21" s="2632"/>
      <c r="AI21" s="2633"/>
      <c r="AJ21" s="2631"/>
      <c r="AK21" s="2632"/>
      <c r="AL21" s="2632"/>
      <c r="AM21" s="2632"/>
      <c r="AN21" s="2641"/>
    </row>
    <row r="22" spans="1:40" ht="19.05" customHeight="1">
      <c r="A22" s="2700"/>
      <c r="B22" s="2657"/>
      <c r="C22" s="2657"/>
      <c r="D22" s="2657"/>
      <c r="E22" s="2625"/>
      <c r="F22" s="138" t="s">
        <v>29</v>
      </c>
      <c r="G22" s="20">
        <v>0.8</v>
      </c>
      <c r="H22" s="138" t="s">
        <v>11</v>
      </c>
      <c r="I22" s="2624"/>
      <c r="J22" s="2657"/>
      <c r="K22" s="2657"/>
      <c r="L22" s="2657"/>
      <c r="M22" s="2657"/>
      <c r="N22" s="2625"/>
      <c r="O22" s="2624"/>
      <c r="P22" s="2625"/>
      <c r="Q22" s="2624"/>
      <c r="R22" s="2657"/>
      <c r="S22" s="2657"/>
      <c r="T22" s="2657"/>
      <c r="U22" s="2657"/>
      <c r="V22" s="2625"/>
      <c r="W22" s="2624"/>
      <c r="X22" s="2657"/>
      <c r="Y22" s="2657"/>
      <c r="Z22" s="2657"/>
      <c r="AA22" s="2657"/>
      <c r="AB22" s="2625"/>
      <c r="AC22" s="2624"/>
      <c r="AD22" s="2625"/>
      <c r="AE22" s="2631"/>
      <c r="AF22" s="2632"/>
      <c r="AG22" s="2632"/>
      <c r="AH22" s="2632"/>
      <c r="AI22" s="2633"/>
      <c r="AJ22" s="2631"/>
      <c r="AK22" s="2632"/>
      <c r="AL22" s="2632"/>
      <c r="AM22" s="2632"/>
      <c r="AN22" s="2641"/>
    </row>
    <row r="23" spans="1:40" ht="19.05" customHeight="1">
      <c r="A23" s="2700"/>
      <c r="B23" s="2657"/>
      <c r="C23" s="2657"/>
      <c r="D23" s="2657"/>
      <c r="E23" s="2625"/>
      <c r="F23" s="138" t="s">
        <v>30</v>
      </c>
      <c r="G23" s="20">
        <v>0.27</v>
      </c>
      <c r="H23" s="138" t="s">
        <v>10</v>
      </c>
      <c r="I23" s="2624"/>
      <c r="J23" s="2657"/>
      <c r="K23" s="2657"/>
      <c r="L23" s="2657"/>
      <c r="M23" s="2657"/>
      <c r="N23" s="2625"/>
      <c r="O23" s="2624"/>
      <c r="P23" s="2625"/>
      <c r="Q23" s="2624"/>
      <c r="R23" s="2657"/>
      <c r="S23" s="2657"/>
      <c r="T23" s="2657"/>
      <c r="U23" s="2657"/>
      <c r="V23" s="2625"/>
      <c r="W23" s="2624"/>
      <c r="X23" s="2657"/>
      <c r="Y23" s="2657"/>
      <c r="Z23" s="2657"/>
      <c r="AA23" s="2657"/>
      <c r="AB23" s="2625"/>
      <c r="AC23" s="2624"/>
      <c r="AD23" s="2625"/>
      <c r="AE23" s="2631"/>
      <c r="AF23" s="2632"/>
      <c r="AG23" s="2632"/>
      <c r="AH23" s="2632"/>
      <c r="AI23" s="2633"/>
      <c r="AJ23" s="2631"/>
      <c r="AK23" s="2632"/>
      <c r="AL23" s="2632"/>
      <c r="AM23" s="2632"/>
      <c r="AN23" s="2641"/>
    </row>
    <row r="24" spans="1:40" ht="19.05" customHeight="1">
      <c r="A24" s="2700"/>
      <c r="B24" s="2657"/>
      <c r="C24" s="2657"/>
      <c r="D24" s="2657"/>
      <c r="E24" s="2625"/>
      <c r="F24" s="138" t="s">
        <v>31</v>
      </c>
      <c r="G24" s="20">
        <v>2.2999999999999998</v>
      </c>
      <c r="H24" s="138" t="s">
        <v>17</v>
      </c>
      <c r="I24" s="2624"/>
      <c r="J24" s="2657"/>
      <c r="K24" s="2657"/>
      <c r="L24" s="2657"/>
      <c r="M24" s="2657"/>
      <c r="N24" s="2625"/>
      <c r="O24" s="2624"/>
      <c r="P24" s="2625"/>
      <c r="Q24" s="2624"/>
      <c r="R24" s="2657"/>
      <c r="S24" s="2657"/>
      <c r="T24" s="2657"/>
      <c r="U24" s="2657"/>
      <c r="V24" s="2625"/>
      <c r="W24" s="2624"/>
      <c r="X24" s="2657"/>
      <c r="Y24" s="2657"/>
      <c r="Z24" s="2657"/>
      <c r="AA24" s="2657"/>
      <c r="AB24" s="2625"/>
      <c r="AC24" s="2624"/>
      <c r="AD24" s="2625"/>
      <c r="AE24" s="2631"/>
      <c r="AF24" s="2632"/>
      <c r="AG24" s="2632"/>
      <c r="AH24" s="2632"/>
      <c r="AI24" s="2633"/>
      <c r="AJ24" s="2631"/>
      <c r="AK24" s="2632"/>
      <c r="AL24" s="2632"/>
      <c r="AM24" s="2632"/>
      <c r="AN24" s="2641"/>
    </row>
    <row r="25" spans="1:40" ht="115.95" customHeight="1">
      <c r="A25" s="2700"/>
      <c r="B25" s="2657"/>
      <c r="C25" s="2657"/>
      <c r="D25" s="2657"/>
      <c r="E25" s="2625"/>
      <c r="F25" s="2696" t="s">
        <v>19</v>
      </c>
      <c r="G25" s="2696"/>
      <c r="H25" s="2696"/>
      <c r="I25" s="2624"/>
      <c r="J25" s="2657"/>
      <c r="K25" s="2657"/>
      <c r="L25" s="2657"/>
      <c r="M25" s="2657"/>
      <c r="N25" s="2625"/>
      <c r="O25" s="2624"/>
      <c r="P25" s="2625"/>
      <c r="Q25" s="2624"/>
      <c r="R25" s="2657"/>
      <c r="S25" s="2657"/>
      <c r="T25" s="2657"/>
      <c r="U25" s="2657"/>
      <c r="V25" s="2625"/>
      <c r="W25" s="2624"/>
      <c r="X25" s="2657"/>
      <c r="Y25" s="2657"/>
      <c r="Z25" s="2657"/>
      <c r="AA25" s="2657"/>
      <c r="AB25" s="2625"/>
      <c r="AC25" s="2624"/>
      <c r="AD25" s="2625"/>
      <c r="AE25" s="2631"/>
      <c r="AF25" s="2632"/>
      <c r="AG25" s="2632"/>
      <c r="AH25" s="2632"/>
      <c r="AI25" s="2633"/>
      <c r="AJ25" s="2631"/>
      <c r="AK25" s="2632"/>
      <c r="AL25" s="2632"/>
      <c r="AM25" s="2632"/>
      <c r="AN25" s="2641"/>
    </row>
    <row r="26" spans="1:40" ht="91.5" customHeight="1">
      <c r="A26" s="2700"/>
      <c r="B26" s="2657"/>
      <c r="C26" s="2657"/>
      <c r="D26" s="2657"/>
      <c r="E26" s="2625"/>
      <c r="F26" s="2696" t="s">
        <v>21</v>
      </c>
      <c r="G26" s="2696"/>
      <c r="H26" s="2696"/>
      <c r="I26" s="2624"/>
      <c r="J26" s="2657"/>
      <c r="K26" s="2657"/>
      <c r="L26" s="2657"/>
      <c r="M26" s="2657"/>
      <c r="N26" s="2625"/>
      <c r="O26" s="2624"/>
      <c r="P26" s="2625"/>
      <c r="Q26" s="2624"/>
      <c r="R26" s="2657"/>
      <c r="S26" s="2657"/>
      <c r="T26" s="2657"/>
      <c r="U26" s="2657"/>
      <c r="V26" s="2625"/>
      <c r="W26" s="2624"/>
      <c r="X26" s="2657"/>
      <c r="Y26" s="2657"/>
      <c r="Z26" s="2657"/>
      <c r="AA26" s="2657"/>
      <c r="AB26" s="2625"/>
      <c r="AC26" s="2624"/>
      <c r="AD26" s="2625"/>
      <c r="AE26" s="2631"/>
      <c r="AF26" s="2632"/>
      <c r="AG26" s="2632"/>
      <c r="AH26" s="2632"/>
      <c r="AI26" s="2633"/>
      <c r="AJ26" s="2631"/>
      <c r="AK26" s="2632"/>
      <c r="AL26" s="2632"/>
      <c r="AM26" s="2632"/>
      <c r="AN26" s="2641"/>
    </row>
    <row r="27" spans="1:40" ht="36" customHeight="1">
      <c r="A27" s="2700"/>
      <c r="B27" s="2657"/>
      <c r="C27" s="2657"/>
      <c r="D27" s="2657"/>
      <c r="E27" s="2625"/>
      <c r="F27" s="2696" t="s">
        <v>32</v>
      </c>
      <c r="G27" s="2696"/>
      <c r="H27" s="2696"/>
      <c r="I27" s="2624"/>
      <c r="J27" s="2657"/>
      <c r="K27" s="2657"/>
      <c r="L27" s="2657"/>
      <c r="M27" s="2657"/>
      <c r="N27" s="2625"/>
      <c r="O27" s="2624"/>
      <c r="P27" s="2625"/>
      <c r="Q27" s="2624"/>
      <c r="R27" s="2657"/>
      <c r="S27" s="2657"/>
      <c r="T27" s="2657"/>
      <c r="U27" s="2657"/>
      <c r="V27" s="2625"/>
      <c r="W27" s="2624"/>
      <c r="X27" s="2657"/>
      <c r="Y27" s="2657"/>
      <c r="Z27" s="2657"/>
      <c r="AA27" s="2657"/>
      <c r="AB27" s="2625"/>
      <c r="AC27" s="2624"/>
      <c r="AD27" s="2625"/>
      <c r="AE27" s="2631"/>
      <c r="AF27" s="2632"/>
      <c r="AG27" s="2632"/>
      <c r="AH27" s="2632"/>
      <c r="AI27" s="2633"/>
      <c r="AJ27" s="2631"/>
      <c r="AK27" s="2632"/>
      <c r="AL27" s="2632"/>
      <c r="AM27" s="2632"/>
      <c r="AN27" s="2641"/>
    </row>
    <row r="28" spans="1:40" ht="40.5" customHeight="1">
      <c r="A28" s="2701"/>
      <c r="B28" s="2658"/>
      <c r="C28" s="2658"/>
      <c r="D28" s="2658"/>
      <c r="E28" s="2627"/>
      <c r="F28" s="2696" t="s">
        <v>33</v>
      </c>
      <c r="G28" s="2696"/>
      <c r="H28" s="2696"/>
      <c r="I28" s="2626"/>
      <c r="J28" s="2658"/>
      <c r="K28" s="2658"/>
      <c r="L28" s="2658"/>
      <c r="M28" s="2658"/>
      <c r="N28" s="2627"/>
      <c r="O28" s="2624"/>
      <c r="P28" s="2625"/>
      <c r="Q28" s="2624"/>
      <c r="R28" s="2657"/>
      <c r="S28" s="2657"/>
      <c r="T28" s="2657"/>
      <c r="U28" s="2657"/>
      <c r="V28" s="2625"/>
      <c r="W28" s="2624"/>
      <c r="X28" s="2657"/>
      <c r="Y28" s="2657"/>
      <c r="Z28" s="2657"/>
      <c r="AA28" s="2657"/>
      <c r="AB28" s="2625"/>
      <c r="AC28" s="2624"/>
      <c r="AD28" s="2625"/>
      <c r="AE28" s="2631"/>
      <c r="AF28" s="2632"/>
      <c r="AG28" s="2632"/>
      <c r="AH28" s="2632"/>
      <c r="AI28" s="2633"/>
      <c r="AJ28" s="2631"/>
      <c r="AK28" s="2632"/>
      <c r="AL28" s="2632"/>
      <c r="AM28" s="2632"/>
      <c r="AN28" s="2641"/>
    </row>
    <row r="29" spans="1:40" ht="17.55" customHeight="1">
      <c r="A29" s="139"/>
      <c r="B29" s="140"/>
      <c r="C29" s="140"/>
      <c r="D29" s="140"/>
      <c r="E29" s="140"/>
      <c r="F29" s="140"/>
      <c r="G29" s="140"/>
      <c r="H29" s="140"/>
      <c r="I29" s="2678" t="s">
        <v>34</v>
      </c>
      <c r="J29" s="2678"/>
      <c r="K29" s="2678"/>
      <c r="L29" s="2678"/>
      <c r="M29" s="2678"/>
      <c r="N29" s="2678"/>
      <c r="O29" s="2624"/>
      <c r="P29" s="2625"/>
      <c r="Q29" s="2624"/>
      <c r="R29" s="2657"/>
      <c r="S29" s="2657"/>
      <c r="T29" s="2657"/>
      <c r="U29" s="2657"/>
      <c r="V29" s="2625"/>
      <c r="W29" s="2624"/>
      <c r="X29" s="2657"/>
      <c r="Y29" s="2657"/>
      <c r="Z29" s="2657"/>
      <c r="AA29" s="2657"/>
      <c r="AB29" s="2625"/>
      <c r="AC29" s="2624"/>
      <c r="AD29" s="2625"/>
      <c r="AE29" s="2631"/>
      <c r="AF29" s="2632"/>
      <c r="AG29" s="2632"/>
      <c r="AH29" s="2632"/>
      <c r="AI29" s="2633"/>
      <c r="AJ29" s="2631"/>
      <c r="AK29" s="2632"/>
      <c r="AL29" s="2632"/>
      <c r="AM29" s="2632"/>
      <c r="AN29" s="2641"/>
    </row>
    <row r="30" spans="1:40" ht="36" customHeight="1">
      <c r="A30" s="139"/>
      <c r="B30" s="140"/>
      <c r="C30" s="140"/>
      <c r="D30" s="140"/>
      <c r="E30" s="140"/>
      <c r="F30" s="140"/>
      <c r="G30" s="140"/>
      <c r="H30" s="140"/>
      <c r="I30" s="141" t="s">
        <v>35</v>
      </c>
      <c r="J30" s="142" t="s">
        <v>36</v>
      </c>
      <c r="K30" s="142" t="s">
        <v>37</v>
      </c>
      <c r="L30" s="142" t="s">
        <v>38</v>
      </c>
      <c r="M30" s="142" t="s">
        <v>39</v>
      </c>
      <c r="N30" s="142" t="s">
        <v>40</v>
      </c>
      <c r="O30" s="2624"/>
      <c r="P30" s="2625"/>
      <c r="Q30" s="2624"/>
      <c r="R30" s="2657"/>
      <c r="S30" s="2657"/>
      <c r="T30" s="2657"/>
      <c r="U30" s="2657"/>
      <c r="V30" s="2625"/>
      <c r="W30" s="2624"/>
      <c r="X30" s="2657"/>
      <c r="Y30" s="2657"/>
      <c r="Z30" s="2657"/>
      <c r="AA30" s="2657"/>
      <c r="AB30" s="2625"/>
      <c r="AC30" s="2624"/>
      <c r="AD30" s="2625"/>
      <c r="AE30" s="2631"/>
      <c r="AF30" s="2632"/>
      <c r="AG30" s="2632"/>
      <c r="AH30" s="2632"/>
      <c r="AI30" s="2633"/>
      <c r="AJ30" s="2631"/>
      <c r="AK30" s="2632"/>
      <c r="AL30" s="2632"/>
      <c r="AM30" s="2632"/>
      <c r="AN30" s="2641"/>
    </row>
    <row r="31" spans="1:40" ht="20.55" customHeight="1">
      <c r="A31" s="139"/>
      <c r="B31" s="140"/>
      <c r="C31" s="140"/>
      <c r="D31" s="140"/>
      <c r="E31" s="140"/>
      <c r="F31" s="140"/>
      <c r="G31" s="140"/>
      <c r="H31" s="140"/>
      <c r="I31" s="143" t="s">
        <v>41</v>
      </c>
      <c r="J31" s="144" t="s">
        <v>42</v>
      </c>
      <c r="K31" s="144" t="s">
        <v>42</v>
      </c>
      <c r="L31" s="144" t="s">
        <v>42</v>
      </c>
      <c r="M31" s="144" t="s">
        <v>42</v>
      </c>
      <c r="N31" s="144" t="s">
        <v>42</v>
      </c>
      <c r="O31" s="2624"/>
      <c r="P31" s="2625"/>
      <c r="Q31" s="2624"/>
      <c r="R31" s="2657"/>
      <c r="S31" s="2657"/>
      <c r="T31" s="2657"/>
      <c r="U31" s="2657"/>
      <c r="V31" s="2625"/>
      <c r="W31" s="2624"/>
      <c r="X31" s="2657"/>
      <c r="Y31" s="2657"/>
      <c r="Z31" s="2657"/>
      <c r="AA31" s="2657"/>
      <c r="AB31" s="2625"/>
      <c r="AC31" s="2624"/>
      <c r="AD31" s="2625"/>
      <c r="AE31" s="2631"/>
      <c r="AF31" s="2632"/>
      <c r="AG31" s="2632"/>
      <c r="AH31" s="2632"/>
      <c r="AI31" s="2633"/>
      <c r="AJ31" s="2631"/>
      <c r="AK31" s="2632"/>
      <c r="AL31" s="2632"/>
      <c r="AM31" s="2632"/>
      <c r="AN31" s="2641"/>
    </row>
    <row r="32" spans="1:40" ht="20.55" customHeight="1">
      <c r="A32" s="139"/>
      <c r="B32" s="140"/>
      <c r="C32" s="140"/>
      <c r="D32" s="140"/>
      <c r="E32" s="140"/>
      <c r="F32" s="140"/>
      <c r="G32" s="140"/>
      <c r="H32" s="140"/>
      <c r="I32" s="2687" t="s">
        <v>43</v>
      </c>
      <c r="J32" s="2687"/>
      <c r="K32" s="2687"/>
      <c r="L32" s="2687"/>
      <c r="M32" s="2687"/>
      <c r="N32" s="2687"/>
      <c r="O32" s="2624"/>
      <c r="P32" s="2625"/>
      <c r="Q32" s="2624"/>
      <c r="R32" s="2657"/>
      <c r="S32" s="2657"/>
      <c r="T32" s="2657"/>
      <c r="U32" s="2657"/>
      <c r="V32" s="2625"/>
      <c r="W32" s="2624"/>
      <c r="X32" s="2657"/>
      <c r="Y32" s="2657"/>
      <c r="Z32" s="2657"/>
      <c r="AA32" s="2657"/>
      <c r="AB32" s="2625"/>
      <c r="AC32" s="2624"/>
      <c r="AD32" s="2625"/>
      <c r="AE32" s="2631"/>
      <c r="AF32" s="2632"/>
      <c r="AG32" s="2632"/>
      <c r="AH32" s="2632"/>
      <c r="AI32" s="2633"/>
      <c r="AJ32" s="2631"/>
      <c r="AK32" s="2632"/>
      <c r="AL32" s="2632"/>
      <c r="AM32" s="2632"/>
      <c r="AN32" s="2641"/>
    </row>
    <row r="33" spans="1:40" ht="20.55" customHeight="1">
      <c r="A33" s="139"/>
      <c r="B33" s="140"/>
      <c r="C33" s="140"/>
      <c r="D33" s="140"/>
      <c r="E33" s="140"/>
      <c r="F33" s="140"/>
      <c r="G33" s="140"/>
      <c r="H33" s="140"/>
      <c r="I33" s="143" t="s">
        <v>44</v>
      </c>
      <c r="J33" s="84" t="s">
        <v>45</v>
      </c>
      <c r="K33" s="84">
        <v>4.3</v>
      </c>
      <c r="L33" s="84" t="s">
        <v>46</v>
      </c>
      <c r="M33" s="84">
        <v>14.33</v>
      </c>
      <c r="N33" s="84">
        <v>134.71</v>
      </c>
      <c r="O33" s="2624"/>
      <c r="P33" s="2625"/>
      <c r="Q33" s="2624"/>
      <c r="R33" s="2657"/>
      <c r="S33" s="2657"/>
      <c r="T33" s="2657"/>
      <c r="U33" s="2657"/>
      <c r="V33" s="2625"/>
      <c r="W33" s="2624"/>
      <c r="X33" s="2657"/>
      <c r="Y33" s="2657"/>
      <c r="Z33" s="2657"/>
      <c r="AA33" s="2657"/>
      <c r="AB33" s="2625"/>
      <c r="AC33" s="2624"/>
      <c r="AD33" s="2625"/>
      <c r="AE33" s="2631"/>
      <c r="AF33" s="2632"/>
      <c r="AG33" s="2632"/>
      <c r="AH33" s="2632"/>
      <c r="AI33" s="2633"/>
      <c r="AJ33" s="2631"/>
      <c r="AK33" s="2632"/>
      <c r="AL33" s="2632"/>
      <c r="AM33" s="2632"/>
      <c r="AN33" s="2641"/>
    </row>
    <row r="34" spans="1:40" ht="20.55" customHeight="1">
      <c r="A34" s="139"/>
      <c r="B34" s="140"/>
      <c r="C34" s="140"/>
      <c r="D34" s="140"/>
      <c r="E34" s="140"/>
      <c r="F34" s="140"/>
      <c r="G34" s="140"/>
      <c r="H34" s="140"/>
      <c r="I34" s="143" t="s">
        <v>47</v>
      </c>
      <c r="J34" s="84" t="s">
        <v>45</v>
      </c>
      <c r="K34" s="84">
        <v>4.3</v>
      </c>
      <c r="L34" s="84" t="s">
        <v>46</v>
      </c>
      <c r="M34" s="84">
        <v>14.33</v>
      </c>
      <c r="N34" s="84">
        <v>114.65</v>
      </c>
      <c r="O34" s="2624"/>
      <c r="P34" s="2625"/>
      <c r="Q34" s="2624"/>
      <c r="R34" s="2657"/>
      <c r="S34" s="2657"/>
      <c r="T34" s="2657"/>
      <c r="U34" s="2657"/>
      <c r="V34" s="2625"/>
      <c r="W34" s="2624"/>
      <c r="X34" s="2657"/>
      <c r="Y34" s="2657"/>
      <c r="Z34" s="2657"/>
      <c r="AA34" s="2657"/>
      <c r="AB34" s="2625"/>
      <c r="AC34" s="2624"/>
      <c r="AD34" s="2625"/>
      <c r="AE34" s="2631"/>
      <c r="AF34" s="2632"/>
      <c r="AG34" s="2632"/>
      <c r="AH34" s="2632"/>
      <c r="AI34" s="2633"/>
      <c r="AJ34" s="2631"/>
      <c r="AK34" s="2632"/>
      <c r="AL34" s="2632"/>
      <c r="AM34" s="2632"/>
      <c r="AN34" s="2641"/>
    </row>
    <row r="35" spans="1:40" ht="20.55" customHeight="1">
      <c r="A35" s="139"/>
      <c r="B35" s="140"/>
      <c r="C35" s="140"/>
      <c r="D35" s="140"/>
      <c r="E35" s="140"/>
      <c r="F35" s="140"/>
      <c r="G35" s="140"/>
      <c r="H35" s="140"/>
      <c r="I35" s="143" t="s">
        <v>48</v>
      </c>
      <c r="J35" s="84" t="s">
        <v>45</v>
      </c>
      <c r="K35" s="84">
        <v>4.3</v>
      </c>
      <c r="L35" s="84" t="s">
        <v>46</v>
      </c>
      <c r="M35" s="84">
        <v>14.33</v>
      </c>
      <c r="N35" s="84">
        <v>91.72</v>
      </c>
      <c r="O35" s="2624"/>
      <c r="P35" s="2625"/>
      <c r="Q35" s="2624"/>
      <c r="R35" s="2657"/>
      <c r="S35" s="2657"/>
      <c r="T35" s="2657"/>
      <c r="U35" s="2657"/>
      <c r="V35" s="2625"/>
      <c r="W35" s="2624"/>
      <c r="X35" s="2657"/>
      <c r="Y35" s="2657"/>
      <c r="Z35" s="2657"/>
      <c r="AA35" s="2657"/>
      <c r="AB35" s="2625"/>
      <c r="AC35" s="2624"/>
      <c r="AD35" s="2625"/>
      <c r="AE35" s="2631"/>
      <c r="AF35" s="2632"/>
      <c r="AG35" s="2632"/>
      <c r="AH35" s="2632"/>
      <c r="AI35" s="2633"/>
      <c r="AJ35" s="2631"/>
      <c r="AK35" s="2632"/>
      <c r="AL35" s="2632"/>
      <c r="AM35" s="2632"/>
      <c r="AN35" s="2641"/>
    </row>
    <row r="36" spans="1:40" ht="20.55" customHeight="1">
      <c r="A36" s="139"/>
      <c r="B36" s="140"/>
      <c r="C36" s="140"/>
      <c r="D36" s="140"/>
      <c r="E36" s="140"/>
      <c r="F36" s="140"/>
      <c r="G36" s="140"/>
      <c r="H36" s="140"/>
      <c r="I36" s="143" t="s">
        <v>49</v>
      </c>
      <c r="J36" s="84" t="s">
        <v>45</v>
      </c>
      <c r="K36" s="84">
        <v>4.3</v>
      </c>
      <c r="L36" s="84" t="s">
        <v>46</v>
      </c>
      <c r="M36" s="84">
        <v>14.33</v>
      </c>
      <c r="N36" s="84">
        <v>74.52</v>
      </c>
      <c r="O36" s="2624"/>
      <c r="P36" s="2625"/>
      <c r="Q36" s="2624"/>
      <c r="R36" s="2657"/>
      <c r="S36" s="2657"/>
      <c r="T36" s="2657"/>
      <c r="U36" s="2657"/>
      <c r="V36" s="2625"/>
      <c r="W36" s="2624"/>
      <c r="X36" s="2657"/>
      <c r="Y36" s="2657"/>
      <c r="Z36" s="2657"/>
      <c r="AA36" s="2657"/>
      <c r="AB36" s="2625"/>
      <c r="AC36" s="2624"/>
      <c r="AD36" s="2625"/>
      <c r="AE36" s="2631"/>
      <c r="AF36" s="2632"/>
      <c r="AG36" s="2632"/>
      <c r="AH36" s="2632"/>
      <c r="AI36" s="2633"/>
      <c r="AJ36" s="2631"/>
      <c r="AK36" s="2632"/>
      <c r="AL36" s="2632"/>
      <c r="AM36" s="2632"/>
      <c r="AN36" s="2641"/>
    </row>
    <row r="37" spans="1:40" ht="20.55" customHeight="1">
      <c r="A37" s="139"/>
      <c r="B37" s="140"/>
      <c r="C37" s="140"/>
      <c r="D37" s="140"/>
      <c r="E37" s="140"/>
      <c r="F37" s="140"/>
      <c r="G37" s="140"/>
      <c r="H37" s="140"/>
      <c r="I37" s="2687" t="s">
        <v>50</v>
      </c>
      <c r="J37" s="2687"/>
      <c r="K37" s="2687"/>
      <c r="L37" s="2687"/>
      <c r="M37" s="2687"/>
      <c r="N37" s="2687"/>
      <c r="O37" s="2624"/>
      <c r="P37" s="2625"/>
      <c r="Q37" s="2624"/>
      <c r="R37" s="2657"/>
      <c r="S37" s="2657"/>
      <c r="T37" s="2657"/>
      <c r="U37" s="2657"/>
      <c r="V37" s="2625"/>
      <c r="W37" s="2624"/>
      <c r="X37" s="2657"/>
      <c r="Y37" s="2657"/>
      <c r="Z37" s="2657"/>
      <c r="AA37" s="2657"/>
      <c r="AB37" s="2625"/>
      <c r="AC37" s="2624"/>
      <c r="AD37" s="2625"/>
      <c r="AE37" s="2631"/>
      <c r="AF37" s="2632"/>
      <c r="AG37" s="2632"/>
      <c r="AH37" s="2632"/>
      <c r="AI37" s="2633"/>
      <c r="AJ37" s="2631"/>
      <c r="AK37" s="2632"/>
      <c r="AL37" s="2632"/>
      <c r="AM37" s="2632"/>
      <c r="AN37" s="2641"/>
    </row>
    <row r="38" spans="1:40" ht="20.55" customHeight="1">
      <c r="A38" s="139"/>
      <c r="B38" s="140"/>
      <c r="C38" s="140"/>
      <c r="D38" s="140"/>
      <c r="E38" s="140"/>
      <c r="F38" s="140"/>
      <c r="G38" s="140"/>
      <c r="H38" s="140"/>
      <c r="I38" s="145" t="s">
        <v>51</v>
      </c>
      <c r="J38" s="84" t="s">
        <v>45</v>
      </c>
      <c r="K38" s="84">
        <v>4.3</v>
      </c>
      <c r="L38" s="84" t="s">
        <v>46</v>
      </c>
      <c r="M38" s="84">
        <v>14.33</v>
      </c>
      <c r="N38" s="84">
        <v>157.63999999999999</v>
      </c>
      <c r="O38" s="2624"/>
      <c r="P38" s="2625"/>
      <c r="Q38" s="2624"/>
      <c r="R38" s="2657"/>
      <c r="S38" s="2657"/>
      <c r="T38" s="2657"/>
      <c r="U38" s="2657"/>
      <c r="V38" s="2625"/>
      <c r="W38" s="2624"/>
      <c r="X38" s="2657"/>
      <c r="Y38" s="2657"/>
      <c r="Z38" s="2657"/>
      <c r="AA38" s="2657"/>
      <c r="AB38" s="2625"/>
      <c r="AC38" s="2624"/>
      <c r="AD38" s="2625"/>
      <c r="AE38" s="2631"/>
      <c r="AF38" s="2632"/>
      <c r="AG38" s="2632"/>
      <c r="AH38" s="2632"/>
      <c r="AI38" s="2633"/>
      <c r="AJ38" s="2631"/>
      <c r="AK38" s="2632"/>
      <c r="AL38" s="2632"/>
      <c r="AM38" s="2632"/>
      <c r="AN38" s="2641"/>
    </row>
    <row r="39" spans="1:40" ht="16.95" customHeight="1">
      <c r="A39" s="139"/>
      <c r="B39" s="140"/>
      <c r="C39" s="140"/>
      <c r="D39" s="140"/>
      <c r="E39" s="140"/>
      <c r="F39" s="140"/>
      <c r="G39" s="140"/>
      <c r="H39" s="140"/>
      <c r="I39" s="2688" t="s">
        <v>52</v>
      </c>
      <c r="J39" s="2689"/>
      <c r="K39" s="2689"/>
      <c r="L39" s="2689"/>
      <c r="M39" s="2689"/>
      <c r="N39" s="2690"/>
      <c r="O39" s="2626"/>
      <c r="P39" s="2627"/>
      <c r="Q39" s="2624"/>
      <c r="R39" s="2657"/>
      <c r="S39" s="2657"/>
      <c r="T39" s="2657"/>
      <c r="U39" s="2657"/>
      <c r="V39" s="2625"/>
      <c r="W39" s="2624"/>
      <c r="X39" s="2657"/>
      <c r="Y39" s="2657"/>
      <c r="Z39" s="2657"/>
      <c r="AA39" s="2657"/>
      <c r="AB39" s="2625"/>
      <c r="AC39" s="2624"/>
      <c r="AD39" s="2625"/>
      <c r="AE39" s="2631"/>
      <c r="AF39" s="2632"/>
      <c r="AG39" s="2632"/>
      <c r="AH39" s="2632"/>
      <c r="AI39" s="2633"/>
      <c r="AJ39" s="2631"/>
      <c r="AK39" s="2632"/>
      <c r="AL39" s="2632"/>
      <c r="AM39" s="2632"/>
      <c r="AN39" s="2641"/>
    </row>
    <row r="40" spans="1:40" ht="16.05" customHeight="1">
      <c r="A40" s="139"/>
      <c r="B40" s="140"/>
      <c r="C40" s="140"/>
      <c r="D40" s="140"/>
      <c r="E40" s="140"/>
      <c r="F40" s="140"/>
      <c r="G40" s="140"/>
      <c r="H40" s="140"/>
      <c r="I40" s="140"/>
      <c r="J40" s="140"/>
      <c r="K40" s="140"/>
      <c r="L40" s="140"/>
      <c r="M40" s="140"/>
      <c r="N40" s="140"/>
      <c r="O40" s="2691" t="s">
        <v>53</v>
      </c>
      <c r="P40" s="2692"/>
      <c r="Q40" s="2624"/>
      <c r="R40" s="2657"/>
      <c r="S40" s="2657"/>
      <c r="T40" s="2657"/>
      <c r="U40" s="2657"/>
      <c r="V40" s="2625"/>
      <c r="W40" s="2624"/>
      <c r="X40" s="2657"/>
      <c r="Y40" s="2657"/>
      <c r="Z40" s="2657"/>
      <c r="AA40" s="2657"/>
      <c r="AB40" s="2625"/>
      <c r="AC40" s="2624"/>
      <c r="AD40" s="2625"/>
      <c r="AE40" s="2631"/>
      <c r="AF40" s="2632"/>
      <c r="AG40" s="2632"/>
      <c r="AH40" s="2632"/>
      <c r="AI40" s="2633"/>
      <c r="AJ40" s="2631"/>
      <c r="AK40" s="2632"/>
      <c r="AL40" s="2632"/>
      <c r="AM40" s="2632"/>
      <c r="AN40" s="2641"/>
    </row>
    <row r="41" spans="1:40" ht="13.95" customHeight="1">
      <c r="A41" s="139"/>
      <c r="B41" s="140"/>
      <c r="C41" s="140"/>
      <c r="D41" s="140"/>
      <c r="E41" s="140"/>
      <c r="F41" s="140"/>
      <c r="G41" s="140"/>
      <c r="H41" s="140"/>
      <c r="I41" s="140"/>
      <c r="J41" s="140"/>
      <c r="K41" s="140"/>
      <c r="L41" s="140"/>
      <c r="M41" s="140"/>
      <c r="N41" s="140"/>
      <c r="O41" s="2677" t="s">
        <v>54</v>
      </c>
      <c r="P41" s="146" t="s">
        <v>55</v>
      </c>
      <c r="Q41" s="2624"/>
      <c r="R41" s="2657"/>
      <c r="S41" s="2657"/>
      <c r="T41" s="2657"/>
      <c r="U41" s="2657"/>
      <c r="V41" s="2625"/>
      <c r="W41" s="2624"/>
      <c r="X41" s="2657"/>
      <c r="Y41" s="2657"/>
      <c r="Z41" s="2657"/>
      <c r="AA41" s="2657"/>
      <c r="AB41" s="2625"/>
      <c r="AC41" s="2624"/>
      <c r="AD41" s="2625"/>
      <c r="AE41" s="2631"/>
      <c r="AF41" s="2632"/>
      <c r="AG41" s="2632"/>
      <c r="AH41" s="2632"/>
      <c r="AI41" s="2633"/>
      <c r="AJ41" s="2631"/>
      <c r="AK41" s="2632"/>
      <c r="AL41" s="2632"/>
      <c r="AM41" s="2632"/>
      <c r="AN41" s="2641"/>
    </row>
    <row r="42" spans="1:40" ht="13.95" customHeight="1">
      <c r="A42" s="139"/>
      <c r="B42" s="140"/>
      <c r="C42" s="140"/>
      <c r="D42" s="140"/>
      <c r="E42" s="140"/>
      <c r="F42" s="140"/>
      <c r="G42" s="140"/>
      <c r="H42" s="140"/>
      <c r="I42" s="140"/>
      <c r="J42" s="140"/>
      <c r="K42" s="140"/>
      <c r="L42" s="140"/>
      <c r="M42" s="140"/>
      <c r="N42" s="140"/>
      <c r="O42" s="2677"/>
      <c r="P42" s="147" t="s">
        <v>42</v>
      </c>
      <c r="Q42" s="2624"/>
      <c r="R42" s="2657"/>
      <c r="S42" s="2657"/>
      <c r="T42" s="2657"/>
      <c r="U42" s="2657"/>
      <c r="V42" s="2625"/>
      <c r="W42" s="2624"/>
      <c r="X42" s="2657"/>
      <c r="Y42" s="2657"/>
      <c r="Z42" s="2657"/>
      <c r="AA42" s="2657"/>
      <c r="AB42" s="2625"/>
      <c r="AC42" s="2624"/>
      <c r="AD42" s="2625"/>
      <c r="AE42" s="2631"/>
      <c r="AF42" s="2632"/>
      <c r="AG42" s="2632"/>
      <c r="AH42" s="2632"/>
      <c r="AI42" s="2633"/>
      <c r="AJ42" s="2631"/>
      <c r="AK42" s="2632"/>
      <c r="AL42" s="2632"/>
      <c r="AM42" s="2632"/>
      <c r="AN42" s="2641"/>
    </row>
    <row r="43" spans="1:40" ht="13.95" customHeight="1">
      <c r="A43" s="139"/>
      <c r="B43" s="140"/>
      <c r="C43" s="140"/>
      <c r="D43" s="140"/>
      <c r="E43" s="140"/>
      <c r="F43" s="140"/>
      <c r="G43" s="140"/>
      <c r="H43" s="140"/>
      <c r="I43" s="140"/>
      <c r="J43" s="140"/>
      <c r="K43" s="140"/>
      <c r="L43" s="140"/>
      <c r="M43" s="140"/>
      <c r="N43" s="140"/>
      <c r="O43" s="84" t="s">
        <v>56</v>
      </c>
      <c r="P43" s="148">
        <v>2.1800000000000002</v>
      </c>
      <c r="Q43" s="2624"/>
      <c r="R43" s="2657"/>
      <c r="S43" s="2657"/>
      <c r="T43" s="2657"/>
      <c r="U43" s="2657"/>
      <c r="V43" s="2625"/>
      <c r="W43" s="2624"/>
      <c r="X43" s="2657"/>
      <c r="Y43" s="2657"/>
      <c r="Z43" s="2657"/>
      <c r="AA43" s="2657"/>
      <c r="AB43" s="2625"/>
      <c r="AC43" s="2624"/>
      <c r="AD43" s="2625"/>
      <c r="AE43" s="2631"/>
      <c r="AF43" s="2632"/>
      <c r="AG43" s="2632"/>
      <c r="AH43" s="2632"/>
      <c r="AI43" s="2633"/>
      <c r="AJ43" s="2631"/>
      <c r="AK43" s="2632"/>
      <c r="AL43" s="2632"/>
      <c r="AM43" s="2632"/>
      <c r="AN43" s="2641"/>
    </row>
    <row r="44" spans="1:40" ht="13.95" customHeight="1">
      <c r="A44" s="139"/>
      <c r="B44" s="140"/>
      <c r="C44" s="140"/>
      <c r="D44" s="140"/>
      <c r="E44" s="140"/>
      <c r="F44" s="140"/>
      <c r="G44" s="140"/>
      <c r="H44" s="140"/>
      <c r="I44" s="140"/>
      <c r="J44" s="140"/>
      <c r="K44" s="140"/>
      <c r="L44" s="140"/>
      <c r="M44" s="140"/>
      <c r="N44" s="140"/>
      <c r="O44" s="84" t="s">
        <v>57</v>
      </c>
      <c r="P44" s="84">
        <v>0.8</v>
      </c>
      <c r="Q44" s="2626"/>
      <c r="R44" s="2658"/>
      <c r="S44" s="2658"/>
      <c r="T44" s="2658"/>
      <c r="U44" s="2658"/>
      <c r="V44" s="2627"/>
      <c r="W44" s="2624"/>
      <c r="X44" s="2657"/>
      <c r="Y44" s="2657"/>
      <c r="Z44" s="2657"/>
      <c r="AA44" s="2657"/>
      <c r="AB44" s="2625"/>
      <c r="AC44" s="2624"/>
      <c r="AD44" s="2625"/>
      <c r="AE44" s="2631"/>
      <c r="AF44" s="2632"/>
      <c r="AG44" s="2632"/>
      <c r="AH44" s="2632"/>
      <c r="AI44" s="2633"/>
      <c r="AJ44" s="2631"/>
      <c r="AK44" s="2632"/>
      <c r="AL44" s="2632"/>
      <c r="AM44" s="2632"/>
      <c r="AN44" s="2641"/>
    </row>
    <row r="45" spans="1:40" ht="17.399999999999999">
      <c r="A45" s="139"/>
      <c r="B45" s="140"/>
      <c r="C45" s="140"/>
      <c r="D45" s="140"/>
      <c r="E45" s="140"/>
      <c r="F45" s="140"/>
      <c r="G45" s="140"/>
      <c r="H45" s="140"/>
      <c r="I45" s="140"/>
      <c r="J45" s="140"/>
      <c r="K45" s="140"/>
      <c r="L45" s="140"/>
      <c r="M45" s="140"/>
      <c r="N45" s="140"/>
      <c r="O45" s="140"/>
      <c r="P45" s="140"/>
      <c r="Q45" s="2678" t="s">
        <v>58</v>
      </c>
      <c r="R45" s="2678"/>
      <c r="S45" s="2678"/>
      <c r="T45" s="2678"/>
      <c r="U45" s="2678"/>
      <c r="V45" s="2678"/>
      <c r="W45" s="2624"/>
      <c r="X45" s="2657"/>
      <c r="Y45" s="2657"/>
      <c r="Z45" s="2657"/>
      <c r="AA45" s="2657"/>
      <c r="AB45" s="2625"/>
      <c r="AC45" s="2624"/>
      <c r="AD45" s="2625"/>
      <c r="AE45" s="2631"/>
      <c r="AF45" s="2632"/>
      <c r="AG45" s="2632"/>
      <c r="AH45" s="2632"/>
      <c r="AI45" s="2633"/>
      <c r="AJ45" s="2631"/>
      <c r="AK45" s="2632"/>
      <c r="AL45" s="2632"/>
      <c r="AM45" s="2632"/>
      <c r="AN45" s="2641"/>
    </row>
    <row r="46" spans="1:40" ht="31.95" customHeight="1">
      <c r="A46" s="139"/>
      <c r="B46" s="140"/>
      <c r="C46" s="140"/>
      <c r="D46" s="140"/>
      <c r="E46" s="140"/>
      <c r="F46" s="140"/>
      <c r="G46" s="140"/>
      <c r="H46" s="140"/>
      <c r="I46" s="140"/>
      <c r="J46" s="140"/>
      <c r="K46" s="140"/>
      <c r="L46" s="140"/>
      <c r="M46" s="140"/>
      <c r="N46" s="140"/>
      <c r="O46" s="140"/>
      <c r="P46" s="140"/>
      <c r="Q46" s="149" t="s">
        <v>35</v>
      </c>
      <c r="R46" s="150" t="s">
        <v>59</v>
      </c>
      <c r="S46" s="150" t="s">
        <v>37</v>
      </c>
      <c r="T46" s="150" t="s">
        <v>60</v>
      </c>
      <c r="U46" s="150" t="s">
        <v>39</v>
      </c>
      <c r="V46" s="150" t="s">
        <v>40</v>
      </c>
      <c r="W46" s="2624"/>
      <c r="X46" s="2657"/>
      <c r="Y46" s="2657"/>
      <c r="Z46" s="2657"/>
      <c r="AA46" s="2657"/>
      <c r="AB46" s="2625"/>
      <c r="AC46" s="2624"/>
      <c r="AD46" s="2625"/>
      <c r="AE46" s="2631"/>
      <c r="AF46" s="2632"/>
      <c r="AG46" s="2632"/>
      <c r="AH46" s="2632"/>
      <c r="AI46" s="2633"/>
      <c r="AJ46" s="2631"/>
      <c r="AK46" s="2632"/>
      <c r="AL46" s="2632"/>
      <c r="AM46" s="2632"/>
      <c r="AN46" s="2641"/>
    </row>
    <row r="47" spans="1:40" ht="17.399999999999999">
      <c r="A47" s="139"/>
      <c r="B47" s="140"/>
      <c r="C47" s="140"/>
      <c r="D47" s="140"/>
      <c r="E47" s="140"/>
      <c r="F47" s="140"/>
      <c r="G47" s="140"/>
      <c r="H47" s="140"/>
      <c r="I47" s="140"/>
      <c r="J47" s="140"/>
      <c r="K47" s="140"/>
      <c r="L47" s="140"/>
      <c r="M47" s="140"/>
      <c r="N47" s="140"/>
      <c r="O47" s="140"/>
      <c r="P47" s="140"/>
      <c r="Q47" s="145" t="s">
        <v>41</v>
      </c>
      <c r="R47" s="144" t="s">
        <v>42</v>
      </c>
      <c r="S47" s="144" t="s">
        <v>42</v>
      </c>
      <c r="T47" s="144" t="s">
        <v>42</v>
      </c>
      <c r="U47" s="144" t="s">
        <v>42</v>
      </c>
      <c r="V47" s="144" t="s">
        <v>42</v>
      </c>
      <c r="W47" s="2624"/>
      <c r="X47" s="2657"/>
      <c r="Y47" s="2657"/>
      <c r="Z47" s="2657"/>
      <c r="AA47" s="2657"/>
      <c r="AB47" s="2625"/>
      <c r="AC47" s="2624"/>
      <c r="AD47" s="2625"/>
      <c r="AE47" s="2631"/>
      <c r="AF47" s="2632"/>
      <c r="AG47" s="2632"/>
      <c r="AH47" s="2632"/>
      <c r="AI47" s="2633"/>
      <c r="AJ47" s="2631"/>
      <c r="AK47" s="2632"/>
      <c r="AL47" s="2632"/>
      <c r="AM47" s="2632"/>
      <c r="AN47" s="2641"/>
    </row>
    <row r="48" spans="1:40">
      <c r="A48" s="139"/>
      <c r="B48" s="140"/>
      <c r="C48" s="140"/>
      <c r="D48" s="140"/>
      <c r="E48" s="140"/>
      <c r="F48" s="140"/>
      <c r="G48" s="140"/>
      <c r="H48" s="140"/>
      <c r="I48" s="140"/>
      <c r="J48" s="140"/>
      <c r="K48" s="140"/>
      <c r="L48" s="140"/>
      <c r="M48" s="140"/>
      <c r="N48" s="140"/>
      <c r="O48" s="140"/>
      <c r="P48" s="140"/>
      <c r="Q48" s="2683" t="s">
        <v>43</v>
      </c>
      <c r="R48" s="2683"/>
      <c r="S48" s="2683"/>
      <c r="T48" s="2683"/>
      <c r="U48" s="2683"/>
      <c r="V48" s="2683"/>
      <c r="W48" s="2624"/>
      <c r="X48" s="2657"/>
      <c r="Y48" s="2657"/>
      <c r="Z48" s="2657"/>
      <c r="AA48" s="2657"/>
      <c r="AB48" s="2625"/>
      <c r="AC48" s="2624"/>
      <c r="AD48" s="2625"/>
      <c r="AE48" s="2631"/>
      <c r="AF48" s="2632"/>
      <c r="AG48" s="2632"/>
      <c r="AH48" s="2632"/>
      <c r="AI48" s="2633"/>
      <c r="AJ48" s="2631"/>
      <c r="AK48" s="2632"/>
      <c r="AL48" s="2632"/>
      <c r="AM48" s="2632"/>
      <c r="AN48" s="2641"/>
    </row>
    <row r="49" spans="1:40" ht="17.399999999999999">
      <c r="A49" s="139"/>
      <c r="B49" s="140"/>
      <c r="C49" s="140"/>
      <c r="D49" s="140"/>
      <c r="E49" s="140"/>
      <c r="F49" s="140"/>
      <c r="G49" s="140"/>
      <c r="H49" s="140"/>
      <c r="I49" s="140"/>
      <c r="J49" s="140"/>
      <c r="K49" s="140"/>
      <c r="L49" s="140"/>
      <c r="M49" s="140"/>
      <c r="N49" s="140"/>
      <c r="O49" s="140"/>
      <c r="P49" s="140"/>
      <c r="Q49" s="145" t="s">
        <v>51</v>
      </c>
      <c r="R49" s="84">
        <v>20.059999999999999</v>
      </c>
      <c r="S49" s="84">
        <v>3.73</v>
      </c>
      <c r="T49" s="84">
        <v>23.79</v>
      </c>
      <c r="U49" s="84">
        <v>14.33</v>
      </c>
      <c r="V49" s="84">
        <v>134.71</v>
      </c>
      <c r="W49" s="2624"/>
      <c r="X49" s="2657"/>
      <c r="Y49" s="2657"/>
      <c r="Z49" s="2657"/>
      <c r="AA49" s="2657"/>
      <c r="AB49" s="2625"/>
      <c r="AC49" s="2624"/>
      <c r="AD49" s="2625"/>
      <c r="AE49" s="2631"/>
      <c r="AF49" s="2632"/>
      <c r="AG49" s="2632"/>
      <c r="AH49" s="2632"/>
      <c r="AI49" s="2633"/>
      <c r="AJ49" s="2631"/>
      <c r="AK49" s="2632"/>
      <c r="AL49" s="2632"/>
      <c r="AM49" s="2632"/>
      <c r="AN49" s="2641"/>
    </row>
    <row r="50" spans="1:40" ht="17.399999999999999">
      <c r="A50" s="139"/>
      <c r="B50" s="140"/>
      <c r="C50" s="140"/>
      <c r="D50" s="140"/>
      <c r="E50" s="140"/>
      <c r="F50" s="140"/>
      <c r="G50" s="140"/>
      <c r="H50" s="140"/>
      <c r="I50" s="140"/>
      <c r="J50" s="140"/>
      <c r="K50" s="140"/>
      <c r="L50" s="140"/>
      <c r="M50" s="140"/>
      <c r="N50" s="140"/>
      <c r="O50" s="140"/>
      <c r="P50" s="140"/>
      <c r="Q50" s="145" t="s">
        <v>48</v>
      </c>
      <c r="R50" s="84">
        <v>20.059999999999999</v>
      </c>
      <c r="S50" s="84">
        <v>3.73</v>
      </c>
      <c r="T50" s="84">
        <v>23.79</v>
      </c>
      <c r="U50" s="84">
        <v>14.33</v>
      </c>
      <c r="V50" s="84">
        <v>91.72</v>
      </c>
      <c r="W50" s="2624"/>
      <c r="X50" s="2657"/>
      <c r="Y50" s="2657"/>
      <c r="Z50" s="2657"/>
      <c r="AA50" s="2657"/>
      <c r="AB50" s="2625"/>
      <c r="AC50" s="2624"/>
      <c r="AD50" s="2625"/>
      <c r="AE50" s="2631"/>
      <c r="AF50" s="2632"/>
      <c r="AG50" s="2632"/>
      <c r="AH50" s="2632"/>
      <c r="AI50" s="2633"/>
      <c r="AJ50" s="2631"/>
      <c r="AK50" s="2632"/>
      <c r="AL50" s="2632"/>
      <c r="AM50" s="2632"/>
      <c r="AN50" s="2641"/>
    </row>
    <row r="51" spans="1:40">
      <c r="A51" s="139"/>
      <c r="B51" s="140"/>
      <c r="C51" s="140"/>
      <c r="D51" s="140"/>
      <c r="E51" s="140"/>
      <c r="F51" s="140"/>
      <c r="G51" s="140"/>
      <c r="H51" s="140"/>
      <c r="I51" s="140"/>
      <c r="J51" s="140"/>
      <c r="K51" s="140"/>
      <c r="L51" s="140"/>
      <c r="M51" s="140"/>
      <c r="N51" s="140"/>
      <c r="O51" s="140"/>
      <c r="P51" s="140"/>
      <c r="Q51" s="2683" t="s">
        <v>50</v>
      </c>
      <c r="R51" s="2683"/>
      <c r="S51" s="2683"/>
      <c r="T51" s="2683"/>
      <c r="U51" s="2683"/>
      <c r="V51" s="2683"/>
      <c r="W51" s="2624"/>
      <c r="X51" s="2657"/>
      <c r="Y51" s="2657"/>
      <c r="Z51" s="2657"/>
      <c r="AA51" s="2657"/>
      <c r="AB51" s="2625"/>
      <c r="AC51" s="2624"/>
      <c r="AD51" s="2625"/>
      <c r="AE51" s="2631"/>
      <c r="AF51" s="2632"/>
      <c r="AG51" s="2632"/>
      <c r="AH51" s="2632"/>
      <c r="AI51" s="2633"/>
      <c r="AJ51" s="2631"/>
      <c r="AK51" s="2632"/>
      <c r="AL51" s="2632"/>
      <c r="AM51" s="2632"/>
      <c r="AN51" s="2641"/>
    </row>
    <row r="52" spans="1:40" ht="17.399999999999999">
      <c r="A52" s="139"/>
      <c r="B52" s="140"/>
      <c r="C52" s="140"/>
      <c r="D52" s="140"/>
      <c r="E52" s="140"/>
      <c r="F52" s="140"/>
      <c r="G52" s="140"/>
      <c r="H52" s="140"/>
      <c r="I52" s="140"/>
      <c r="J52" s="140"/>
      <c r="K52" s="140"/>
      <c r="L52" s="140"/>
      <c r="M52" s="140"/>
      <c r="N52" s="140"/>
      <c r="O52" s="140"/>
      <c r="P52" s="140"/>
      <c r="Q52" s="145" t="s">
        <v>51</v>
      </c>
      <c r="R52" s="84">
        <v>20.059999999999999</v>
      </c>
      <c r="S52" s="84">
        <v>3.73</v>
      </c>
      <c r="T52" s="84">
        <v>23.79</v>
      </c>
      <c r="U52" s="84">
        <v>14.33</v>
      </c>
      <c r="V52" s="84">
        <v>57.32</v>
      </c>
      <c r="W52" s="2626"/>
      <c r="X52" s="2658"/>
      <c r="Y52" s="2658"/>
      <c r="Z52" s="2658"/>
      <c r="AA52" s="2658"/>
      <c r="AB52" s="2627"/>
      <c r="AC52" s="2624"/>
      <c r="AD52" s="2625"/>
      <c r="AE52" s="2631"/>
      <c r="AF52" s="2632"/>
      <c r="AG52" s="2632"/>
      <c r="AH52" s="2632"/>
      <c r="AI52" s="2633"/>
      <c r="AJ52" s="2631"/>
      <c r="AK52" s="2632"/>
      <c r="AL52" s="2632"/>
      <c r="AM52" s="2632"/>
      <c r="AN52" s="2641"/>
    </row>
    <row r="53" spans="1:40" ht="17.399999999999999">
      <c r="A53" s="139"/>
      <c r="B53" s="140"/>
      <c r="C53" s="140"/>
      <c r="D53" s="140"/>
      <c r="E53" s="140"/>
      <c r="F53" s="140"/>
      <c r="G53" s="140"/>
      <c r="H53" s="140"/>
      <c r="I53" s="140"/>
      <c r="J53" s="140"/>
      <c r="K53" s="140"/>
      <c r="L53" s="140"/>
      <c r="M53" s="140"/>
      <c r="N53" s="140"/>
      <c r="O53" s="140"/>
      <c r="P53" s="140"/>
      <c r="Q53" s="140"/>
      <c r="R53" s="140"/>
      <c r="S53" s="140"/>
      <c r="T53" s="140"/>
      <c r="U53" s="140"/>
      <c r="V53" s="140"/>
      <c r="W53" s="2678" t="s">
        <v>61</v>
      </c>
      <c r="X53" s="2678"/>
      <c r="Y53" s="2678"/>
      <c r="Z53" s="2678"/>
      <c r="AA53" s="2678"/>
      <c r="AB53" s="2686"/>
      <c r="AC53" s="2624"/>
      <c r="AD53" s="2625"/>
      <c r="AE53" s="2631"/>
      <c r="AF53" s="2632"/>
      <c r="AG53" s="2632"/>
      <c r="AH53" s="2632"/>
      <c r="AI53" s="2633"/>
      <c r="AJ53" s="2631"/>
      <c r="AK53" s="2632"/>
      <c r="AL53" s="2632"/>
      <c r="AM53" s="2632"/>
      <c r="AN53" s="2641"/>
    </row>
    <row r="54" spans="1:40" ht="18.45" customHeight="1">
      <c r="A54" s="139"/>
      <c r="B54" s="140"/>
      <c r="C54" s="140"/>
      <c r="D54" s="140"/>
      <c r="E54" s="140"/>
      <c r="F54" s="140"/>
      <c r="G54" s="140"/>
      <c r="H54" s="140"/>
      <c r="I54" s="140"/>
      <c r="J54" s="140"/>
      <c r="K54" s="140"/>
      <c r="L54" s="140"/>
      <c r="M54" s="140"/>
      <c r="N54" s="140"/>
      <c r="O54" s="140"/>
      <c r="P54" s="140"/>
      <c r="Q54" s="140"/>
      <c r="R54" s="140"/>
      <c r="S54" s="140"/>
      <c r="T54" s="140"/>
      <c r="U54" s="140"/>
      <c r="V54" s="140"/>
      <c r="W54" s="149" t="s">
        <v>35</v>
      </c>
      <c r="X54" s="150" t="s">
        <v>59</v>
      </c>
      <c r="Y54" s="150" t="s">
        <v>37</v>
      </c>
      <c r="Z54" s="150" t="s">
        <v>38</v>
      </c>
      <c r="AA54" s="150" t="s">
        <v>39</v>
      </c>
      <c r="AB54" s="151" t="s">
        <v>40</v>
      </c>
      <c r="AC54" s="2624"/>
      <c r="AD54" s="2625"/>
      <c r="AE54" s="2631"/>
      <c r="AF54" s="2632"/>
      <c r="AG54" s="2632"/>
      <c r="AH54" s="2632"/>
      <c r="AI54" s="2633"/>
      <c r="AJ54" s="2631"/>
      <c r="AK54" s="2632"/>
      <c r="AL54" s="2632"/>
      <c r="AM54" s="2632"/>
      <c r="AN54" s="2641"/>
    </row>
    <row r="55" spans="1:40" ht="18.45" customHeight="1">
      <c r="A55" s="139"/>
      <c r="B55" s="140"/>
      <c r="C55" s="140"/>
      <c r="D55" s="140"/>
      <c r="E55" s="140"/>
      <c r="F55" s="140"/>
      <c r="G55" s="140"/>
      <c r="H55" s="140"/>
      <c r="I55" s="140"/>
      <c r="J55" s="140"/>
      <c r="K55" s="140"/>
      <c r="L55" s="140"/>
      <c r="M55" s="140"/>
      <c r="N55" s="140"/>
      <c r="O55" s="140"/>
      <c r="P55" s="140"/>
      <c r="Q55" s="140"/>
      <c r="R55" s="140"/>
      <c r="S55" s="140"/>
      <c r="T55" s="140"/>
      <c r="U55" s="140"/>
      <c r="V55" s="140"/>
      <c r="W55" s="149" t="s">
        <v>41</v>
      </c>
      <c r="X55" s="144" t="s">
        <v>42</v>
      </c>
      <c r="Y55" s="144" t="s">
        <v>42</v>
      </c>
      <c r="Z55" s="144" t="s">
        <v>42</v>
      </c>
      <c r="AA55" s="144" t="s">
        <v>42</v>
      </c>
      <c r="AB55" s="147" t="s">
        <v>42</v>
      </c>
      <c r="AC55" s="2624"/>
      <c r="AD55" s="2625"/>
      <c r="AE55" s="2631"/>
      <c r="AF55" s="2632"/>
      <c r="AG55" s="2632"/>
      <c r="AH55" s="2632"/>
      <c r="AI55" s="2633"/>
      <c r="AJ55" s="2631"/>
      <c r="AK55" s="2632"/>
      <c r="AL55" s="2632"/>
      <c r="AM55" s="2632"/>
      <c r="AN55" s="2641"/>
    </row>
    <row r="56" spans="1:40" ht="18.45" customHeight="1">
      <c r="A56" s="139"/>
      <c r="B56" s="140"/>
      <c r="C56" s="140"/>
      <c r="D56" s="140"/>
      <c r="E56" s="140"/>
      <c r="F56" s="140"/>
      <c r="G56" s="140"/>
      <c r="H56" s="140"/>
      <c r="I56" s="140"/>
      <c r="J56" s="140"/>
      <c r="K56" s="140"/>
      <c r="L56" s="140"/>
      <c r="M56" s="140"/>
      <c r="N56" s="140"/>
      <c r="O56" s="140"/>
      <c r="P56" s="140"/>
      <c r="Q56" s="140"/>
      <c r="R56" s="140"/>
      <c r="S56" s="140"/>
      <c r="T56" s="140"/>
      <c r="U56" s="140"/>
      <c r="V56" s="140"/>
      <c r="W56" s="2684" t="s">
        <v>43</v>
      </c>
      <c r="X56" s="2684"/>
      <c r="Y56" s="2684"/>
      <c r="Z56" s="2684"/>
      <c r="AA56" s="2684"/>
      <c r="AB56" s="2685"/>
      <c r="AC56" s="2624"/>
      <c r="AD56" s="2625"/>
      <c r="AE56" s="2631"/>
      <c r="AF56" s="2632"/>
      <c r="AG56" s="2632"/>
      <c r="AH56" s="2632"/>
      <c r="AI56" s="2633"/>
      <c r="AJ56" s="2631"/>
      <c r="AK56" s="2632"/>
      <c r="AL56" s="2632"/>
      <c r="AM56" s="2632"/>
      <c r="AN56" s="2641"/>
    </row>
    <row r="57" spans="1:40" ht="18.45" customHeight="1">
      <c r="A57" s="139"/>
      <c r="B57" s="140"/>
      <c r="C57" s="140"/>
      <c r="D57" s="140"/>
      <c r="E57" s="140"/>
      <c r="F57" s="140"/>
      <c r="G57" s="140"/>
      <c r="H57" s="140"/>
      <c r="I57" s="140"/>
      <c r="J57" s="140"/>
      <c r="K57" s="140"/>
      <c r="L57" s="140"/>
      <c r="M57" s="140"/>
      <c r="N57" s="140"/>
      <c r="O57" s="140"/>
      <c r="P57" s="140"/>
      <c r="Q57" s="140"/>
      <c r="R57" s="140"/>
      <c r="S57" s="140"/>
      <c r="T57" s="140"/>
      <c r="U57" s="140"/>
      <c r="V57" s="140"/>
      <c r="W57" s="145" t="s">
        <v>51</v>
      </c>
      <c r="X57" s="84">
        <v>5.73</v>
      </c>
      <c r="Y57" s="84">
        <v>3.73</v>
      </c>
      <c r="Z57" s="84">
        <v>9.4600000000000009</v>
      </c>
      <c r="AA57" s="84">
        <v>14.33</v>
      </c>
      <c r="AB57" s="148">
        <v>68.790000000000006</v>
      </c>
      <c r="AC57" s="2624"/>
      <c r="AD57" s="2625"/>
      <c r="AE57" s="2631"/>
      <c r="AF57" s="2632"/>
      <c r="AG57" s="2632"/>
      <c r="AH57" s="2632"/>
      <c r="AI57" s="2633"/>
      <c r="AJ57" s="2631"/>
      <c r="AK57" s="2632"/>
      <c r="AL57" s="2632"/>
      <c r="AM57" s="2632"/>
      <c r="AN57" s="2641"/>
    </row>
    <row r="58" spans="1:40" ht="18.45" customHeight="1">
      <c r="A58" s="139"/>
      <c r="B58" s="140"/>
      <c r="C58" s="140"/>
      <c r="D58" s="140"/>
      <c r="E58" s="140"/>
      <c r="F58" s="140"/>
      <c r="G58" s="140"/>
      <c r="H58" s="140"/>
      <c r="I58" s="140"/>
      <c r="J58" s="140"/>
      <c r="K58" s="140"/>
      <c r="L58" s="140"/>
      <c r="M58" s="140"/>
      <c r="N58" s="140"/>
      <c r="O58" s="140"/>
      <c r="P58" s="140"/>
      <c r="Q58" s="140"/>
      <c r="R58" s="140"/>
      <c r="S58" s="140"/>
      <c r="T58" s="140"/>
      <c r="U58" s="140"/>
      <c r="V58" s="140"/>
      <c r="W58" s="145" t="s">
        <v>48</v>
      </c>
      <c r="X58" s="84">
        <v>5.73</v>
      </c>
      <c r="Y58" s="84">
        <v>3.73</v>
      </c>
      <c r="Z58" s="84">
        <v>9.4600000000000009</v>
      </c>
      <c r="AA58" s="84">
        <v>14.33</v>
      </c>
      <c r="AB58" s="148">
        <v>28.66</v>
      </c>
      <c r="AC58" s="2624"/>
      <c r="AD58" s="2625"/>
      <c r="AE58" s="2631"/>
      <c r="AF58" s="2632"/>
      <c r="AG58" s="2632"/>
      <c r="AH58" s="2632"/>
      <c r="AI58" s="2633"/>
      <c r="AJ58" s="2631"/>
      <c r="AK58" s="2632"/>
      <c r="AL58" s="2632"/>
      <c r="AM58" s="2632"/>
      <c r="AN58" s="2641"/>
    </row>
    <row r="59" spans="1:40" ht="18.45" customHeight="1">
      <c r="A59" s="139"/>
      <c r="B59" s="140"/>
      <c r="C59" s="140"/>
      <c r="D59" s="140"/>
      <c r="E59" s="140"/>
      <c r="F59" s="140"/>
      <c r="G59" s="140"/>
      <c r="H59" s="140"/>
      <c r="I59" s="140"/>
      <c r="J59" s="140"/>
      <c r="K59" s="140"/>
      <c r="L59" s="140"/>
      <c r="M59" s="140"/>
      <c r="N59" s="140"/>
      <c r="O59" s="140"/>
      <c r="P59" s="140"/>
      <c r="Q59" s="140"/>
      <c r="R59" s="140"/>
      <c r="S59" s="140"/>
      <c r="T59" s="140"/>
      <c r="U59" s="140"/>
      <c r="V59" s="140"/>
      <c r="W59" s="2684" t="s">
        <v>50</v>
      </c>
      <c r="X59" s="2684"/>
      <c r="Y59" s="2684"/>
      <c r="Z59" s="2684"/>
      <c r="AA59" s="2684"/>
      <c r="AB59" s="2685"/>
      <c r="AC59" s="2624"/>
      <c r="AD59" s="2625"/>
      <c r="AE59" s="2631"/>
      <c r="AF59" s="2632"/>
      <c r="AG59" s="2632"/>
      <c r="AH59" s="2632"/>
      <c r="AI59" s="2633"/>
      <c r="AJ59" s="2631"/>
      <c r="AK59" s="2632"/>
      <c r="AL59" s="2632"/>
      <c r="AM59" s="2632"/>
      <c r="AN59" s="2641"/>
    </row>
    <row r="60" spans="1:40" ht="18.45" customHeight="1">
      <c r="A60" s="139"/>
      <c r="B60" s="140"/>
      <c r="C60" s="140"/>
      <c r="D60" s="140"/>
      <c r="E60" s="140"/>
      <c r="F60" s="140"/>
      <c r="G60" s="140"/>
      <c r="H60" s="140"/>
      <c r="I60" s="140"/>
      <c r="J60" s="140"/>
      <c r="K60" s="140"/>
      <c r="L60" s="140"/>
      <c r="M60" s="140"/>
      <c r="N60" s="140"/>
      <c r="O60" s="140"/>
      <c r="P60" s="140"/>
      <c r="Q60" s="140"/>
      <c r="R60" s="140"/>
      <c r="S60" s="140"/>
      <c r="T60" s="140"/>
      <c r="U60" s="140"/>
      <c r="V60" s="140"/>
      <c r="W60" s="145" t="s">
        <v>51</v>
      </c>
      <c r="X60" s="84">
        <v>5.73</v>
      </c>
      <c r="Y60" s="84">
        <v>3.73</v>
      </c>
      <c r="Z60" s="84">
        <v>9.4600000000000009</v>
      </c>
      <c r="AA60" s="84">
        <v>14.33</v>
      </c>
      <c r="AB60" s="148">
        <v>57.32</v>
      </c>
      <c r="AC60" s="2626"/>
      <c r="AD60" s="2627"/>
      <c r="AE60" s="2631"/>
      <c r="AF60" s="2632"/>
      <c r="AG60" s="2632"/>
      <c r="AH60" s="2632"/>
      <c r="AI60" s="2633"/>
      <c r="AJ60" s="2631"/>
      <c r="AK60" s="2632"/>
      <c r="AL60" s="2632"/>
      <c r="AM60" s="2632"/>
      <c r="AN60" s="2641"/>
    </row>
    <row r="61" spans="1:40" ht="17.399999999999999">
      <c r="A61" s="139"/>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2678" t="s">
        <v>62</v>
      </c>
      <c r="AD61" s="2678"/>
      <c r="AE61" s="2631"/>
      <c r="AF61" s="2632"/>
      <c r="AG61" s="2632"/>
      <c r="AH61" s="2632"/>
      <c r="AI61" s="2633"/>
      <c r="AJ61" s="2631"/>
      <c r="AK61" s="2632"/>
      <c r="AL61" s="2632"/>
      <c r="AM61" s="2632"/>
      <c r="AN61" s="2641"/>
    </row>
    <row r="62" spans="1:40">
      <c r="A62" s="139"/>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2677" t="s">
        <v>54</v>
      </c>
      <c r="AD62" s="144" t="s">
        <v>55</v>
      </c>
      <c r="AE62" s="2631"/>
      <c r="AF62" s="2632"/>
      <c r="AG62" s="2632"/>
      <c r="AH62" s="2632"/>
      <c r="AI62" s="2633"/>
      <c r="AJ62" s="2631"/>
      <c r="AK62" s="2632"/>
      <c r="AL62" s="2632"/>
      <c r="AM62" s="2632"/>
      <c r="AN62" s="2641"/>
    </row>
    <row r="63" spans="1:40">
      <c r="A63" s="139"/>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2677"/>
      <c r="AD63" s="144" t="s">
        <v>42</v>
      </c>
      <c r="AE63" s="2631"/>
      <c r="AF63" s="2632"/>
      <c r="AG63" s="2632"/>
      <c r="AH63" s="2632"/>
      <c r="AI63" s="2633"/>
      <c r="AJ63" s="2631"/>
      <c r="AK63" s="2632"/>
      <c r="AL63" s="2632"/>
      <c r="AM63" s="2632"/>
      <c r="AN63" s="2641"/>
    </row>
    <row r="64" spans="1:40">
      <c r="A64" s="139"/>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84" t="s">
        <v>56</v>
      </c>
      <c r="AD64" s="84">
        <v>2.1800000000000002</v>
      </c>
      <c r="AE64" s="2631"/>
      <c r="AF64" s="2632"/>
      <c r="AG64" s="2632"/>
      <c r="AH64" s="2632"/>
      <c r="AI64" s="2633"/>
      <c r="AJ64" s="2631"/>
      <c r="AK64" s="2632"/>
      <c r="AL64" s="2632"/>
      <c r="AM64" s="2632"/>
      <c r="AN64" s="2641"/>
    </row>
    <row r="65" spans="1:40">
      <c r="A65" s="139"/>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84" t="s">
        <v>57</v>
      </c>
      <c r="AD65" s="84">
        <v>0.56999999999999995</v>
      </c>
      <c r="AE65" s="2634"/>
      <c r="AF65" s="2635"/>
      <c r="AG65" s="2635"/>
      <c r="AH65" s="2635"/>
      <c r="AI65" s="2636"/>
      <c r="AJ65" s="2631"/>
      <c r="AK65" s="2632"/>
      <c r="AL65" s="2632"/>
      <c r="AM65" s="2632"/>
      <c r="AN65" s="2641"/>
    </row>
    <row r="66" spans="1:40" ht="18">
      <c r="A66" s="2637" t="s">
        <v>112</v>
      </c>
      <c r="B66" s="2638"/>
      <c r="C66" s="2638"/>
      <c r="D66" s="2638"/>
      <c r="E66" s="2638"/>
      <c r="F66" s="2638"/>
      <c r="G66" s="2638"/>
      <c r="H66" s="2638"/>
      <c r="I66" s="2638"/>
      <c r="J66" s="2638"/>
      <c r="K66" s="2638"/>
      <c r="L66" s="2638"/>
      <c r="M66" s="2638"/>
      <c r="N66" s="2638"/>
      <c r="O66" s="2638"/>
      <c r="P66" s="2638"/>
      <c r="Q66" s="2638"/>
      <c r="R66" s="2638"/>
      <c r="S66" s="2638"/>
      <c r="T66" s="2638"/>
      <c r="U66" s="2638"/>
      <c r="V66" s="2638"/>
      <c r="W66" s="2638"/>
      <c r="X66" s="2638"/>
      <c r="Y66" s="2638"/>
      <c r="Z66" s="2638"/>
      <c r="AA66" s="2638"/>
      <c r="AB66" s="2638"/>
      <c r="AC66" s="2638"/>
      <c r="AD66" s="2639"/>
      <c r="AE66" s="2680" t="s">
        <v>63</v>
      </c>
      <c r="AF66" s="2681"/>
      <c r="AG66" s="2681"/>
      <c r="AH66" s="2681"/>
      <c r="AI66" s="2682"/>
      <c r="AJ66" s="2631"/>
      <c r="AK66" s="2632"/>
      <c r="AL66" s="2632"/>
      <c r="AM66" s="2632"/>
      <c r="AN66" s="2641"/>
    </row>
    <row r="67" spans="1:40" ht="18.600000000000001">
      <c r="A67" s="2637"/>
      <c r="B67" s="2638"/>
      <c r="C67" s="2638"/>
      <c r="D67" s="2638"/>
      <c r="E67" s="2638"/>
      <c r="F67" s="2638"/>
      <c r="G67" s="2638"/>
      <c r="H67" s="2638"/>
      <c r="I67" s="2638"/>
      <c r="J67" s="2638"/>
      <c r="K67" s="2638"/>
      <c r="L67" s="2638"/>
      <c r="M67" s="2638"/>
      <c r="N67" s="2638"/>
      <c r="O67" s="2638"/>
      <c r="P67" s="2638"/>
      <c r="Q67" s="2638"/>
      <c r="R67" s="2638"/>
      <c r="S67" s="2638"/>
      <c r="T67" s="2638"/>
      <c r="U67" s="2638"/>
      <c r="V67" s="2638"/>
      <c r="W67" s="2638"/>
      <c r="X67" s="2638"/>
      <c r="Y67" s="2638"/>
      <c r="Z67" s="2638"/>
      <c r="AA67" s="2638"/>
      <c r="AB67" s="2638"/>
      <c r="AC67" s="2638"/>
      <c r="AD67" s="2639"/>
      <c r="AE67" s="117" t="s">
        <v>64</v>
      </c>
      <c r="AF67" s="2679" t="s">
        <v>65</v>
      </c>
      <c r="AG67" s="2679"/>
      <c r="AH67" s="2679" t="s">
        <v>39</v>
      </c>
      <c r="AI67" s="2679"/>
      <c r="AJ67" s="2631"/>
      <c r="AK67" s="2632"/>
      <c r="AL67" s="2632"/>
      <c r="AM67" s="2632"/>
      <c r="AN67" s="2641"/>
    </row>
    <row r="68" spans="1:40" ht="17.55" customHeight="1">
      <c r="A68" s="2637"/>
      <c r="B68" s="2638"/>
      <c r="C68" s="2638"/>
      <c r="D68" s="2638"/>
      <c r="E68" s="2638"/>
      <c r="F68" s="2638"/>
      <c r="G68" s="2638"/>
      <c r="H68" s="2638"/>
      <c r="I68" s="2638"/>
      <c r="J68" s="2638"/>
      <c r="K68" s="2638"/>
      <c r="L68" s="2638"/>
      <c r="M68" s="2638"/>
      <c r="N68" s="2638"/>
      <c r="O68" s="2638"/>
      <c r="P68" s="2638"/>
      <c r="Q68" s="2638"/>
      <c r="R68" s="2638"/>
      <c r="S68" s="2638"/>
      <c r="T68" s="2638"/>
      <c r="U68" s="2638"/>
      <c r="V68" s="2638"/>
      <c r="W68" s="2638"/>
      <c r="X68" s="2638"/>
      <c r="Y68" s="2638"/>
      <c r="Z68" s="2638"/>
      <c r="AA68" s="2638"/>
      <c r="AB68" s="2638"/>
      <c r="AC68" s="2638"/>
      <c r="AD68" s="2639"/>
      <c r="AE68" s="2664" t="s">
        <v>66</v>
      </c>
      <c r="AF68" s="152" t="s">
        <v>67</v>
      </c>
      <c r="AG68" s="2664" t="s">
        <v>6</v>
      </c>
      <c r="AH68" s="152" t="s">
        <v>67</v>
      </c>
      <c r="AI68" s="2664" t="s">
        <v>6</v>
      </c>
      <c r="AJ68" s="2631"/>
      <c r="AK68" s="2632"/>
      <c r="AL68" s="2632"/>
      <c r="AM68" s="2632"/>
      <c r="AN68" s="2641"/>
    </row>
    <row r="69" spans="1:40" ht="17.399999999999999">
      <c r="A69" s="2637"/>
      <c r="B69" s="2638"/>
      <c r="C69" s="2638"/>
      <c r="D69" s="2638"/>
      <c r="E69" s="2638"/>
      <c r="F69" s="2638"/>
      <c r="G69" s="2638"/>
      <c r="H69" s="2638"/>
      <c r="I69" s="2638"/>
      <c r="J69" s="2638"/>
      <c r="K69" s="2638"/>
      <c r="L69" s="2638"/>
      <c r="M69" s="2638"/>
      <c r="N69" s="2638"/>
      <c r="O69" s="2638"/>
      <c r="P69" s="2638"/>
      <c r="Q69" s="2638"/>
      <c r="R69" s="2638"/>
      <c r="S69" s="2638"/>
      <c r="T69" s="2638"/>
      <c r="U69" s="2638"/>
      <c r="V69" s="2638"/>
      <c r="W69" s="2638"/>
      <c r="X69" s="2638"/>
      <c r="Y69" s="2638"/>
      <c r="Z69" s="2638"/>
      <c r="AA69" s="2638"/>
      <c r="AB69" s="2638"/>
      <c r="AC69" s="2638"/>
      <c r="AD69" s="2639"/>
      <c r="AE69" s="2664"/>
      <c r="AF69" s="153" t="s">
        <v>68</v>
      </c>
      <c r="AG69" s="2664"/>
      <c r="AH69" s="153" t="s">
        <v>68</v>
      </c>
      <c r="AI69" s="2664"/>
      <c r="AJ69" s="2631"/>
      <c r="AK69" s="2632"/>
      <c r="AL69" s="2632"/>
      <c r="AM69" s="2632"/>
      <c r="AN69" s="2641"/>
    </row>
    <row r="70" spans="1:40" ht="17.399999999999999">
      <c r="A70" s="2637"/>
      <c r="B70" s="2638"/>
      <c r="C70" s="2638"/>
      <c r="D70" s="2638"/>
      <c r="E70" s="2638"/>
      <c r="F70" s="2638"/>
      <c r="G70" s="2638"/>
      <c r="H70" s="2638"/>
      <c r="I70" s="2638"/>
      <c r="J70" s="2638"/>
      <c r="K70" s="2638"/>
      <c r="L70" s="2638"/>
      <c r="M70" s="2638"/>
      <c r="N70" s="2638"/>
      <c r="O70" s="2638"/>
      <c r="P70" s="2638"/>
      <c r="Q70" s="2638"/>
      <c r="R70" s="2638"/>
      <c r="S70" s="2638"/>
      <c r="T70" s="2638"/>
      <c r="U70" s="2638"/>
      <c r="V70" s="2638"/>
      <c r="W70" s="2638"/>
      <c r="X70" s="2638"/>
      <c r="Y70" s="2638"/>
      <c r="Z70" s="2638"/>
      <c r="AA70" s="2638"/>
      <c r="AB70" s="2638"/>
      <c r="AC70" s="2638"/>
      <c r="AD70" s="2639"/>
      <c r="AE70" s="154" t="s">
        <v>16</v>
      </c>
      <c r="AF70" s="84">
        <v>137.6</v>
      </c>
      <c r="AG70" s="138" t="s">
        <v>10</v>
      </c>
      <c r="AH70" s="84">
        <v>35.299999999999997</v>
      </c>
      <c r="AI70" s="138" t="s">
        <v>10</v>
      </c>
      <c r="AJ70" s="2631"/>
      <c r="AK70" s="2632"/>
      <c r="AL70" s="2632"/>
      <c r="AM70" s="2632"/>
      <c r="AN70" s="2641"/>
    </row>
    <row r="71" spans="1:40" ht="17.399999999999999">
      <c r="A71" s="2637"/>
      <c r="B71" s="2638"/>
      <c r="C71" s="2638"/>
      <c r="D71" s="2638"/>
      <c r="E71" s="2638"/>
      <c r="F71" s="2638"/>
      <c r="G71" s="2638"/>
      <c r="H71" s="2638"/>
      <c r="I71" s="2638"/>
      <c r="J71" s="2638"/>
      <c r="K71" s="2638"/>
      <c r="L71" s="2638"/>
      <c r="M71" s="2638"/>
      <c r="N71" s="2638"/>
      <c r="O71" s="2638"/>
      <c r="P71" s="2638"/>
      <c r="Q71" s="2638"/>
      <c r="R71" s="2638"/>
      <c r="S71" s="2638"/>
      <c r="T71" s="2638"/>
      <c r="U71" s="2638"/>
      <c r="V71" s="2638"/>
      <c r="W71" s="2638"/>
      <c r="X71" s="2638"/>
      <c r="Y71" s="2638"/>
      <c r="Z71" s="2638"/>
      <c r="AA71" s="2638"/>
      <c r="AB71" s="2638"/>
      <c r="AC71" s="2638"/>
      <c r="AD71" s="2639"/>
      <c r="AE71" s="154" t="s">
        <v>69</v>
      </c>
      <c r="AF71" s="84">
        <v>55.9</v>
      </c>
      <c r="AG71" s="138" t="s">
        <v>10</v>
      </c>
      <c r="AH71" s="84">
        <v>12.9</v>
      </c>
      <c r="AI71" s="138" t="s">
        <v>10</v>
      </c>
      <c r="AJ71" s="2631"/>
      <c r="AK71" s="2632"/>
      <c r="AL71" s="2632"/>
      <c r="AM71" s="2632"/>
      <c r="AN71" s="2641"/>
    </row>
    <row r="72" spans="1:40" ht="17.399999999999999">
      <c r="A72" s="2637"/>
      <c r="B72" s="2638"/>
      <c r="C72" s="2638"/>
      <c r="D72" s="2638"/>
      <c r="E72" s="2638"/>
      <c r="F72" s="2638"/>
      <c r="G72" s="2638"/>
      <c r="H72" s="2638"/>
      <c r="I72" s="2638"/>
      <c r="J72" s="2638"/>
      <c r="K72" s="2638"/>
      <c r="L72" s="2638"/>
      <c r="M72" s="2638"/>
      <c r="N72" s="2638"/>
      <c r="O72" s="2638"/>
      <c r="P72" s="2638"/>
      <c r="Q72" s="2638"/>
      <c r="R72" s="2638"/>
      <c r="S72" s="2638"/>
      <c r="T72" s="2638"/>
      <c r="U72" s="2638"/>
      <c r="V72" s="2638"/>
      <c r="W72" s="2638"/>
      <c r="X72" s="2638"/>
      <c r="Y72" s="2638"/>
      <c r="Z72" s="2638"/>
      <c r="AA72" s="2638"/>
      <c r="AB72" s="2638"/>
      <c r="AC72" s="2638"/>
      <c r="AD72" s="2639"/>
      <c r="AE72" s="154" t="s">
        <v>70</v>
      </c>
      <c r="AF72" s="84">
        <v>42.6</v>
      </c>
      <c r="AG72" s="138" t="s">
        <v>14</v>
      </c>
      <c r="AH72" s="84">
        <v>6.45</v>
      </c>
      <c r="AI72" s="138" t="s">
        <v>14</v>
      </c>
      <c r="AJ72" s="2631"/>
      <c r="AK72" s="2632"/>
      <c r="AL72" s="2632"/>
      <c r="AM72" s="2632"/>
      <c r="AN72" s="2641"/>
    </row>
    <row r="73" spans="1:40" ht="17.55" customHeight="1">
      <c r="A73" s="2637"/>
      <c r="B73" s="2638"/>
      <c r="C73" s="2638"/>
      <c r="D73" s="2638"/>
      <c r="E73" s="2638"/>
      <c r="F73" s="2638"/>
      <c r="G73" s="2638"/>
      <c r="H73" s="2638"/>
      <c r="I73" s="2638"/>
      <c r="J73" s="2638"/>
      <c r="K73" s="2638"/>
      <c r="L73" s="2638"/>
      <c r="M73" s="2638"/>
      <c r="N73" s="2638"/>
      <c r="O73" s="2638"/>
      <c r="P73" s="2638"/>
      <c r="Q73" s="2638"/>
      <c r="R73" s="2638"/>
      <c r="S73" s="2638"/>
      <c r="T73" s="2638"/>
      <c r="U73" s="2638"/>
      <c r="V73" s="2638"/>
      <c r="W73" s="2638"/>
      <c r="X73" s="2638"/>
      <c r="Y73" s="2638"/>
      <c r="Z73" s="2638"/>
      <c r="AA73" s="2638"/>
      <c r="AB73" s="2638"/>
      <c r="AC73" s="2638"/>
      <c r="AD73" s="2639"/>
      <c r="AE73" s="2664" t="s">
        <v>71</v>
      </c>
      <c r="AF73" s="152" t="s">
        <v>67</v>
      </c>
      <c r="AG73" s="2664" t="s">
        <v>6</v>
      </c>
      <c r="AH73" s="152" t="s">
        <v>67</v>
      </c>
      <c r="AI73" s="2664" t="s">
        <v>6</v>
      </c>
      <c r="AJ73" s="2631"/>
      <c r="AK73" s="2632"/>
      <c r="AL73" s="2632"/>
      <c r="AM73" s="2632"/>
      <c r="AN73" s="2641"/>
    </row>
    <row r="74" spans="1:40" ht="17.399999999999999">
      <c r="A74" s="2637"/>
      <c r="B74" s="2638"/>
      <c r="C74" s="2638"/>
      <c r="D74" s="2638"/>
      <c r="E74" s="2638"/>
      <c r="F74" s="2638"/>
      <c r="G74" s="2638"/>
      <c r="H74" s="2638"/>
      <c r="I74" s="2638"/>
      <c r="J74" s="2638"/>
      <c r="K74" s="2638"/>
      <c r="L74" s="2638"/>
      <c r="M74" s="2638"/>
      <c r="N74" s="2638"/>
      <c r="O74" s="2638"/>
      <c r="P74" s="2638"/>
      <c r="Q74" s="2638"/>
      <c r="R74" s="2638"/>
      <c r="S74" s="2638"/>
      <c r="T74" s="2638"/>
      <c r="U74" s="2638"/>
      <c r="V74" s="2638"/>
      <c r="W74" s="2638"/>
      <c r="X74" s="2638"/>
      <c r="Y74" s="2638"/>
      <c r="Z74" s="2638"/>
      <c r="AA74" s="2638"/>
      <c r="AB74" s="2638"/>
      <c r="AC74" s="2638"/>
      <c r="AD74" s="2639"/>
      <c r="AE74" s="2664"/>
      <c r="AF74" s="153" t="s">
        <v>68</v>
      </c>
      <c r="AG74" s="2664"/>
      <c r="AH74" s="153" t="s">
        <v>68</v>
      </c>
      <c r="AI74" s="2664"/>
      <c r="AJ74" s="2631"/>
      <c r="AK74" s="2632"/>
      <c r="AL74" s="2632"/>
      <c r="AM74" s="2632"/>
      <c r="AN74" s="2641"/>
    </row>
    <row r="75" spans="1:40" ht="17.399999999999999">
      <c r="A75" s="2637"/>
      <c r="B75" s="2638"/>
      <c r="C75" s="2638"/>
      <c r="D75" s="2638"/>
      <c r="E75" s="2638"/>
      <c r="F75" s="2638"/>
      <c r="G75" s="2638"/>
      <c r="H75" s="2638"/>
      <c r="I75" s="2638"/>
      <c r="J75" s="2638"/>
      <c r="K75" s="2638"/>
      <c r="L75" s="2638"/>
      <c r="M75" s="2638"/>
      <c r="N75" s="2638"/>
      <c r="O75" s="2638"/>
      <c r="P75" s="2638"/>
      <c r="Q75" s="2638"/>
      <c r="R75" s="2638"/>
      <c r="S75" s="2638"/>
      <c r="T75" s="2638"/>
      <c r="U75" s="2638"/>
      <c r="V75" s="2638"/>
      <c r="W75" s="2638"/>
      <c r="X75" s="2638"/>
      <c r="Y75" s="2638"/>
      <c r="Z75" s="2638"/>
      <c r="AA75" s="2638"/>
      <c r="AB75" s="2638"/>
      <c r="AC75" s="2638"/>
      <c r="AD75" s="2639"/>
      <c r="AE75" s="154" t="s">
        <v>16</v>
      </c>
      <c r="AF75" s="84">
        <v>378.7</v>
      </c>
      <c r="AG75" s="138" t="s">
        <v>17</v>
      </c>
      <c r="AH75" s="84">
        <v>1.24</v>
      </c>
      <c r="AI75" s="138" t="s">
        <v>17</v>
      </c>
      <c r="AJ75" s="2631"/>
      <c r="AK75" s="2632"/>
      <c r="AL75" s="2632"/>
      <c r="AM75" s="2632"/>
      <c r="AN75" s="2641"/>
    </row>
    <row r="76" spans="1:40" ht="17.399999999999999">
      <c r="A76" s="2637"/>
      <c r="B76" s="2638"/>
      <c r="C76" s="2638"/>
      <c r="D76" s="2638"/>
      <c r="E76" s="2638"/>
      <c r="F76" s="2638"/>
      <c r="G76" s="2638"/>
      <c r="H76" s="2638"/>
      <c r="I76" s="2638"/>
      <c r="J76" s="2638"/>
      <c r="K76" s="2638"/>
      <c r="L76" s="2638"/>
      <c r="M76" s="2638"/>
      <c r="N76" s="2638"/>
      <c r="O76" s="2638"/>
      <c r="P76" s="2638"/>
      <c r="Q76" s="2638"/>
      <c r="R76" s="2638"/>
      <c r="S76" s="2638"/>
      <c r="T76" s="2638"/>
      <c r="U76" s="2638"/>
      <c r="V76" s="2638"/>
      <c r="W76" s="2638"/>
      <c r="X76" s="2638"/>
      <c r="Y76" s="2638"/>
      <c r="Z76" s="2638"/>
      <c r="AA76" s="2638"/>
      <c r="AB76" s="2638"/>
      <c r="AC76" s="2638"/>
      <c r="AD76" s="2639"/>
      <c r="AE76" s="155" t="s">
        <v>69</v>
      </c>
      <c r="AF76" s="84">
        <v>103.3</v>
      </c>
      <c r="AG76" s="138" t="s">
        <v>11</v>
      </c>
      <c r="AH76" s="84">
        <v>32.700000000000003</v>
      </c>
      <c r="AI76" s="156" t="s">
        <v>17</v>
      </c>
      <c r="AJ76" s="2631"/>
      <c r="AK76" s="2632"/>
      <c r="AL76" s="2632"/>
      <c r="AM76" s="2632"/>
      <c r="AN76" s="2641"/>
    </row>
    <row r="77" spans="1:40" ht="17.55" customHeight="1">
      <c r="A77" s="2637"/>
      <c r="B77" s="2638"/>
      <c r="C77" s="2638"/>
      <c r="D77" s="2638"/>
      <c r="E77" s="2638"/>
      <c r="F77" s="2638"/>
      <c r="G77" s="2638"/>
      <c r="H77" s="2638"/>
      <c r="I77" s="2638"/>
      <c r="J77" s="2638"/>
      <c r="K77" s="2638"/>
      <c r="L77" s="2638"/>
      <c r="M77" s="2638"/>
      <c r="N77" s="2638"/>
      <c r="O77" s="2638"/>
      <c r="P77" s="2638"/>
      <c r="Q77" s="2638"/>
      <c r="R77" s="2638"/>
      <c r="S77" s="2638"/>
      <c r="T77" s="2638"/>
      <c r="U77" s="2638"/>
      <c r="V77" s="2638"/>
      <c r="W77" s="2638"/>
      <c r="X77" s="2638"/>
      <c r="Y77" s="2638"/>
      <c r="Z77" s="2638"/>
      <c r="AA77" s="2638"/>
      <c r="AB77" s="2638"/>
      <c r="AC77" s="2638"/>
      <c r="AD77" s="2639"/>
      <c r="AE77" s="2665" t="s">
        <v>72</v>
      </c>
      <c r="AF77" s="2666"/>
      <c r="AG77" s="2666"/>
      <c r="AH77" s="2666"/>
      <c r="AI77" s="2667"/>
      <c r="AJ77" s="2631"/>
      <c r="AK77" s="2632"/>
      <c r="AL77" s="2632"/>
      <c r="AM77" s="2632"/>
      <c r="AN77" s="2641"/>
    </row>
    <row r="78" spans="1:40" ht="39.450000000000003" customHeight="1">
      <c r="A78" s="2637"/>
      <c r="B78" s="2638"/>
      <c r="C78" s="2638"/>
      <c r="D78" s="2638"/>
      <c r="E78" s="2638"/>
      <c r="F78" s="2638"/>
      <c r="G78" s="2638"/>
      <c r="H78" s="2638"/>
      <c r="I78" s="2638"/>
      <c r="J78" s="2638"/>
      <c r="K78" s="2638"/>
      <c r="L78" s="2638"/>
      <c r="M78" s="2638"/>
      <c r="N78" s="2638"/>
      <c r="O78" s="2638"/>
      <c r="P78" s="2638"/>
      <c r="Q78" s="2638"/>
      <c r="R78" s="2638"/>
      <c r="S78" s="2638"/>
      <c r="T78" s="2638"/>
      <c r="U78" s="2638"/>
      <c r="V78" s="2638"/>
      <c r="W78" s="2638"/>
      <c r="X78" s="2638"/>
      <c r="Y78" s="2638"/>
      <c r="Z78" s="2638"/>
      <c r="AA78" s="2638"/>
      <c r="AB78" s="2638"/>
      <c r="AC78" s="2638"/>
      <c r="AD78" s="2639"/>
      <c r="AE78" s="2668" t="s">
        <v>73</v>
      </c>
      <c r="AF78" s="2669"/>
      <c r="AG78" s="2669"/>
      <c r="AH78" s="2669"/>
      <c r="AI78" s="2670"/>
      <c r="AJ78" s="2631"/>
      <c r="AK78" s="2632"/>
      <c r="AL78" s="2632"/>
      <c r="AM78" s="2632"/>
      <c r="AN78" s="2641"/>
    </row>
    <row r="79" spans="1:40" ht="37.5" customHeight="1">
      <c r="A79" s="2637"/>
      <c r="B79" s="2638"/>
      <c r="C79" s="2638"/>
      <c r="D79" s="2638"/>
      <c r="E79" s="2638"/>
      <c r="F79" s="2638"/>
      <c r="G79" s="2638"/>
      <c r="H79" s="2638"/>
      <c r="I79" s="2638"/>
      <c r="J79" s="2638"/>
      <c r="K79" s="2638"/>
      <c r="L79" s="2638"/>
      <c r="M79" s="2638"/>
      <c r="N79" s="2638"/>
      <c r="O79" s="2638"/>
      <c r="P79" s="2638"/>
      <c r="Q79" s="2638"/>
      <c r="R79" s="2638"/>
      <c r="S79" s="2638"/>
      <c r="T79" s="2638"/>
      <c r="U79" s="2638"/>
      <c r="V79" s="2638"/>
      <c r="W79" s="2638"/>
      <c r="X79" s="2638"/>
      <c r="Y79" s="2638"/>
      <c r="Z79" s="2638"/>
      <c r="AA79" s="2638"/>
      <c r="AB79" s="2638"/>
      <c r="AC79" s="2638"/>
      <c r="AD79" s="2639"/>
      <c r="AE79" s="2674" t="s">
        <v>74</v>
      </c>
      <c r="AF79" s="2675"/>
      <c r="AG79" s="2675"/>
      <c r="AH79" s="2675"/>
      <c r="AI79" s="2676"/>
      <c r="AJ79" s="2634"/>
      <c r="AK79" s="2635"/>
      <c r="AL79" s="2635"/>
      <c r="AM79" s="2635"/>
      <c r="AN79" s="2642"/>
    </row>
    <row r="80" spans="1:40" ht="18">
      <c r="A80" s="2647" t="s">
        <v>115</v>
      </c>
      <c r="B80" s="2648"/>
      <c r="C80" s="2648"/>
      <c r="D80" s="2648"/>
      <c r="E80" s="2648"/>
      <c r="F80" s="2648"/>
      <c r="G80" s="2648"/>
      <c r="H80" s="2648"/>
      <c r="I80" s="2648"/>
      <c r="J80" s="2648"/>
      <c r="K80" s="2648"/>
      <c r="L80" s="2648"/>
      <c r="M80" s="2648"/>
      <c r="N80" s="2648"/>
      <c r="O80" s="2648"/>
      <c r="P80" s="2648"/>
      <c r="Q80" s="2648"/>
      <c r="R80" s="2648"/>
      <c r="S80" s="2648"/>
      <c r="T80" s="2648"/>
      <c r="U80" s="2648"/>
      <c r="V80" s="2648"/>
      <c r="W80" s="2648"/>
      <c r="X80" s="2648"/>
      <c r="Y80" s="2648"/>
      <c r="Z80" s="2648"/>
      <c r="AA80" s="2648"/>
      <c r="AB80" s="2648"/>
      <c r="AC80" s="2648"/>
      <c r="AD80" s="2649"/>
      <c r="AE80" s="157"/>
      <c r="AF80" s="157"/>
      <c r="AG80" s="157"/>
      <c r="AH80" s="157"/>
      <c r="AI80" s="157"/>
      <c r="AJ80" s="2662" t="s">
        <v>75</v>
      </c>
      <c r="AK80" s="2662"/>
      <c r="AL80" s="2662"/>
      <c r="AM80" s="2662"/>
      <c r="AN80" s="2663"/>
    </row>
    <row r="81" spans="1:62" ht="37.049999999999997" customHeight="1">
      <c r="A81" s="2650"/>
      <c r="B81" s="2651"/>
      <c r="C81" s="2651"/>
      <c r="D81" s="2651"/>
      <c r="E81" s="2651"/>
      <c r="F81" s="2651"/>
      <c r="G81" s="2651"/>
      <c r="H81" s="2651"/>
      <c r="I81" s="2651"/>
      <c r="J81" s="2651"/>
      <c r="K81" s="2651"/>
      <c r="L81" s="2651"/>
      <c r="M81" s="2651"/>
      <c r="N81" s="2651"/>
      <c r="O81" s="2651"/>
      <c r="P81" s="2651"/>
      <c r="Q81" s="2651"/>
      <c r="R81" s="2651"/>
      <c r="S81" s="2651"/>
      <c r="T81" s="2651"/>
      <c r="U81" s="2651"/>
      <c r="V81" s="2651"/>
      <c r="W81" s="2651"/>
      <c r="X81" s="2651"/>
      <c r="Y81" s="2651"/>
      <c r="Z81" s="2651"/>
      <c r="AA81" s="2651"/>
      <c r="AB81" s="2651"/>
      <c r="AC81" s="2651"/>
      <c r="AD81" s="2652"/>
      <c r="AE81" s="157"/>
      <c r="AF81" s="157"/>
      <c r="AG81" s="157"/>
      <c r="AH81" s="157"/>
      <c r="AI81" s="157"/>
      <c r="AJ81" s="2671" t="s">
        <v>25</v>
      </c>
      <c r="AK81" s="2671" t="s">
        <v>76</v>
      </c>
      <c r="AL81" s="2671"/>
      <c r="AM81" s="2671" t="s">
        <v>77</v>
      </c>
      <c r="AN81" s="2672"/>
    </row>
    <row r="82" spans="1:62" ht="17.399999999999999">
      <c r="A82" s="2650"/>
      <c r="B82" s="2651"/>
      <c r="C82" s="2651"/>
      <c r="D82" s="2651"/>
      <c r="E82" s="2651"/>
      <c r="F82" s="2651"/>
      <c r="G82" s="2651"/>
      <c r="H82" s="2651"/>
      <c r="I82" s="2651"/>
      <c r="J82" s="2651"/>
      <c r="K82" s="2651"/>
      <c r="L82" s="2651"/>
      <c r="M82" s="2651"/>
      <c r="N82" s="2651"/>
      <c r="O82" s="2651"/>
      <c r="P82" s="2651"/>
      <c r="Q82" s="2651"/>
      <c r="R82" s="2651"/>
      <c r="S82" s="2651"/>
      <c r="T82" s="2651"/>
      <c r="U82" s="2651"/>
      <c r="V82" s="2651"/>
      <c r="W82" s="2651"/>
      <c r="X82" s="2651"/>
      <c r="Y82" s="2651"/>
      <c r="Z82" s="2651"/>
      <c r="AA82" s="2651"/>
      <c r="AB82" s="2651"/>
      <c r="AC82" s="2651"/>
      <c r="AD82" s="2652"/>
      <c r="AE82" s="157"/>
      <c r="AF82" s="157"/>
      <c r="AG82" s="157"/>
      <c r="AH82" s="157"/>
      <c r="AI82" s="157"/>
      <c r="AJ82" s="2671"/>
      <c r="AK82" s="158" t="s">
        <v>78</v>
      </c>
      <c r="AL82" s="2671" t="s">
        <v>6</v>
      </c>
      <c r="AM82" s="158" t="s">
        <v>79</v>
      </c>
      <c r="AN82" s="2672" t="s">
        <v>6</v>
      </c>
    </row>
    <row r="83" spans="1:62" ht="18.600000000000001">
      <c r="A83" s="2650"/>
      <c r="B83" s="2651"/>
      <c r="C83" s="2651"/>
      <c r="D83" s="2651"/>
      <c r="E83" s="2651"/>
      <c r="F83" s="2651"/>
      <c r="G83" s="2651"/>
      <c r="H83" s="2651"/>
      <c r="I83" s="2651"/>
      <c r="J83" s="2651"/>
      <c r="K83" s="2651"/>
      <c r="L83" s="2651"/>
      <c r="M83" s="2651"/>
      <c r="N83" s="2651"/>
      <c r="O83" s="2651"/>
      <c r="P83" s="2651"/>
      <c r="Q83" s="2651"/>
      <c r="R83" s="2651"/>
      <c r="S83" s="2651"/>
      <c r="T83" s="2651"/>
      <c r="U83" s="2651"/>
      <c r="V83" s="2651"/>
      <c r="W83" s="2651"/>
      <c r="X83" s="2651"/>
      <c r="Y83" s="2651"/>
      <c r="Z83" s="2651"/>
      <c r="AA83" s="2651"/>
      <c r="AB83" s="2651"/>
      <c r="AC83" s="2651"/>
      <c r="AD83" s="2652"/>
      <c r="AE83" s="157"/>
      <c r="AF83" s="157"/>
      <c r="AG83" s="157"/>
      <c r="AH83" s="157"/>
      <c r="AI83" s="157"/>
      <c r="AJ83" s="2671"/>
      <c r="AK83" s="117" t="s">
        <v>68</v>
      </c>
      <c r="AL83" s="2671"/>
      <c r="AM83" s="117" t="s">
        <v>68</v>
      </c>
      <c r="AN83" s="2672"/>
    </row>
    <row r="84" spans="1:62">
      <c r="A84" s="2650"/>
      <c r="B84" s="2651"/>
      <c r="C84" s="2651"/>
      <c r="D84" s="2651"/>
      <c r="E84" s="2651"/>
      <c r="F84" s="2651"/>
      <c r="G84" s="2651"/>
      <c r="H84" s="2651"/>
      <c r="I84" s="2651"/>
      <c r="J84" s="2651"/>
      <c r="K84" s="2651"/>
      <c r="L84" s="2651"/>
      <c r="M84" s="2651"/>
      <c r="N84" s="2651"/>
      <c r="O84" s="2651"/>
      <c r="P84" s="2651"/>
      <c r="Q84" s="2651"/>
      <c r="R84" s="2651"/>
      <c r="S84" s="2651"/>
      <c r="T84" s="2651"/>
      <c r="U84" s="2651"/>
      <c r="V84" s="2651"/>
      <c r="W84" s="2651"/>
      <c r="X84" s="2651"/>
      <c r="Y84" s="2651"/>
      <c r="Z84" s="2651"/>
      <c r="AA84" s="2651"/>
      <c r="AB84" s="2651"/>
      <c r="AC84" s="2651"/>
      <c r="AD84" s="2652"/>
      <c r="AE84" s="157"/>
      <c r="AF84" s="157"/>
      <c r="AG84" s="157"/>
      <c r="AH84" s="157"/>
      <c r="AI84" s="157"/>
      <c r="AJ84" s="159" t="s">
        <v>31</v>
      </c>
      <c r="AK84" s="84">
        <v>0.9</v>
      </c>
      <c r="AL84" s="138" t="s">
        <v>14</v>
      </c>
      <c r="AM84" s="84">
        <v>0.18</v>
      </c>
      <c r="AN84" s="160" t="s">
        <v>80</v>
      </c>
    </row>
    <row r="85" spans="1:62" ht="17.399999999999999">
      <c r="A85" s="2650"/>
      <c r="B85" s="2651"/>
      <c r="C85" s="2651"/>
      <c r="D85" s="2651"/>
      <c r="E85" s="2651"/>
      <c r="F85" s="2651"/>
      <c r="G85" s="2651"/>
      <c r="H85" s="2651"/>
      <c r="I85" s="2651"/>
      <c r="J85" s="2651"/>
      <c r="K85" s="2651"/>
      <c r="L85" s="2651"/>
      <c r="M85" s="2651"/>
      <c r="N85" s="2651"/>
      <c r="O85" s="2651"/>
      <c r="P85" s="2651"/>
      <c r="Q85" s="2651"/>
      <c r="R85" s="2651"/>
      <c r="S85" s="2651"/>
      <c r="T85" s="2651"/>
      <c r="U85" s="2651"/>
      <c r="V85" s="2651"/>
      <c r="W85" s="2651"/>
      <c r="X85" s="2651"/>
      <c r="Y85" s="2651"/>
      <c r="Z85" s="2651"/>
      <c r="AA85" s="2651"/>
      <c r="AB85" s="2651"/>
      <c r="AC85" s="2651"/>
      <c r="AD85" s="2652"/>
      <c r="AE85" s="157"/>
      <c r="AF85" s="157"/>
      <c r="AG85" s="157"/>
      <c r="AH85" s="157"/>
      <c r="AI85" s="157"/>
      <c r="AJ85" s="159" t="s">
        <v>81</v>
      </c>
      <c r="AK85" s="84">
        <v>2.02</v>
      </c>
      <c r="AL85" s="138" t="s">
        <v>17</v>
      </c>
      <c r="AM85" s="84">
        <v>3.1</v>
      </c>
      <c r="AN85" s="160" t="s">
        <v>17</v>
      </c>
    </row>
    <row r="86" spans="1:62" ht="17.399999999999999">
      <c r="A86" s="2650"/>
      <c r="B86" s="2651"/>
      <c r="C86" s="2651"/>
      <c r="D86" s="2651"/>
      <c r="E86" s="2651"/>
      <c r="F86" s="2651"/>
      <c r="G86" s="2651"/>
      <c r="H86" s="2651"/>
      <c r="I86" s="2651"/>
      <c r="J86" s="2651"/>
      <c r="K86" s="2651"/>
      <c r="L86" s="2651"/>
      <c r="M86" s="2651"/>
      <c r="N86" s="2651"/>
      <c r="O86" s="2651"/>
      <c r="P86" s="2651"/>
      <c r="Q86" s="2651"/>
      <c r="R86" s="2651"/>
      <c r="S86" s="2651"/>
      <c r="T86" s="2651"/>
      <c r="U86" s="2651"/>
      <c r="V86" s="2651"/>
      <c r="W86" s="2651"/>
      <c r="X86" s="2651"/>
      <c r="Y86" s="2651"/>
      <c r="Z86" s="2651"/>
      <c r="AA86" s="2651"/>
      <c r="AB86" s="2651"/>
      <c r="AC86" s="2651"/>
      <c r="AD86" s="2652"/>
      <c r="AE86" s="157"/>
      <c r="AF86" s="157"/>
      <c r="AG86" s="157"/>
      <c r="AH86" s="157"/>
      <c r="AI86" s="157"/>
      <c r="AJ86" s="159" t="s">
        <v>82</v>
      </c>
      <c r="AK86" s="84">
        <v>0.82</v>
      </c>
      <c r="AL86" s="138" t="s">
        <v>17</v>
      </c>
      <c r="AM86" s="84">
        <v>1.85</v>
      </c>
      <c r="AN86" s="160" t="s">
        <v>17</v>
      </c>
    </row>
    <row r="87" spans="1:62" ht="17.399999999999999">
      <c r="A87" s="2650"/>
      <c r="B87" s="2651"/>
      <c r="C87" s="2651"/>
      <c r="D87" s="2651"/>
      <c r="E87" s="2651"/>
      <c r="F87" s="2651"/>
      <c r="G87" s="2651"/>
      <c r="H87" s="2651"/>
      <c r="I87" s="2651"/>
      <c r="J87" s="2651"/>
      <c r="K87" s="2651"/>
      <c r="L87" s="2651"/>
      <c r="M87" s="2651"/>
      <c r="N87" s="2651"/>
      <c r="O87" s="2651"/>
      <c r="P87" s="2651"/>
      <c r="Q87" s="2651"/>
      <c r="R87" s="2651"/>
      <c r="S87" s="2651"/>
      <c r="T87" s="2651"/>
      <c r="U87" s="2651"/>
      <c r="V87" s="2651"/>
      <c r="W87" s="2651"/>
      <c r="X87" s="2651"/>
      <c r="Y87" s="2651"/>
      <c r="Z87" s="2651"/>
      <c r="AA87" s="2651"/>
      <c r="AB87" s="2651"/>
      <c r="AC87" s="2651"/>
      <c r="AD87" s="2652"/>
      <c r="AE87" s="157"/>
      <c r="AF87" s="157"/>
      <c r="AG87" s="157"/>
      <c r="AH87" s="157"/>
      <c r="AI87" s="157"/>
      <c r="AJ87" s="161" t="s">
        <v>83</v>
      </c>
      <c r="AK87" s="162">
        <v>2.84</v>
      </c>
      <c r="AL87" s="156" t="s">
        <v>17</v>
      </c>
      <c r="AM87" s="162">
        <v>5.16</v>
      </c>
      <c r="AN87" s="163" t="s">
        <v>17</v>
      </c>
    </row>
    <row r="88" spans="1:62" ht="21" customHeight="1">
      <c r="A88" s="2650"/>
      <c r="B88" s="2651"/>
      <c r="C88" s="2651"/>
      <c r="D88" s="2651"/>
      <c r="E88" s="2651"/>
      <c r="F88" s="2651"/>
      <c r="G88" s="2651"/>
      <c r="H88" s="2651"/>
      <c r="I88" s="2651"/>
      <c r="J88" s="2651"/>
      <c r="K88" s="2651"/>
      <c r="L88" s="2651"/>
      <c r="M88" s="2651"/>
      <c r="N88" s="2651"/>
      <c r="O88" s="2651"/>
      <c r="P88" s="2651"/>
      <c r="Q88" s="2651"/>
      <c r="R88" s="2651"/>
      <c r="S88" s="2651"/>
      <c r="T88" s="2651"/>
      <c r="U88" s="2651"/>
      <c r="V88" s="2651"/>
      <c r="W88" s="2651"/>
      <c r="X88" s="2651"/>
      <c r="Y88" s="2651"/>
      <c r="Z88" s="2651"/>
      <c r="AA88" s="2651"/>
      <c r="AB88" s="2651"/>
      <c r="AC88" s="2651"/>
      <c r="AD88" s="2652"/>
      <c r="AE88" s="157"/>
      <c r="AF88" s="157"/>
      <c r="AG88" s="157"/>
      <c r="AH88" s="157"/>
      <c r="AI88" s="157"/>
      <c r="AJ88" s="2665" t="s">
        <v>84</v>
      </c>
      <c r="AK88" s="2666"/>
      <c r="AL88" s="2666"/>
      <c r="AM88" s="2666"/>
      <c r="AN88" s="2673"/>
    </row>
    <row r="89" spans="1:62" ht="51" customHeight="1">
      <c r="A89" s="2650"/>
      <c r="B89" s="2651"/>
      <c r="C89" s="2651"/>
      <c r="D89" s="2651"/>
      <c r="E89" s="2651"/>
      <c r="F89" s="2651"/>
      <c r="G89" s="2651"/>
      <c r="H89" s="2651"/>
      <c r="I89" s="2651"/>
      <c r="J89" s="2651"/>
      <c r="K89" s="2651"/>
      <c r="L89" s="2651"/>
      <c r="M89" s="2651"/>
      <c r="N89" s="2651"/>
      <c r="O89" s="2651"/>
      <c r="P89" s="2651"/>
      <c r="Q89" s="2651"/>
      <c r="R89" s="2651"/>
      <c r="S89" s="2651"/>
      <c r="T89" s="2651"/>
      <c r="U89" s="2651"/>
      <c r="V89" s="2651"/>
      <c r="W89" s="2651"/>
      <c r="X89" s="2651"/>
      <c r="Y89" s="2651"/>
      <c r="Z89" s="2651"/>
      <c r="AA89" s="2651"/>
      <c r="AB89" s="2651"/>
      <c r="AC89" s="2651"/>
      <c r="AD89" s="2652"/>
      <c r="AE89" s="157"/>
      <c r="AF89" s="157"/>
      <c r="AG89" s="157"/>
      <c r="AH89" s="157"/>
      <c r="AI89" s="157"/>
      <c r="AJ89" s="2659" t="s">
        <v>113</v>
      </c>
      <c r="AK89" s="2660"/>
      <c r="AL89" s="2660"/>
      <c r="AM89" s="2660"/>
      <c r="AN89" s="2661"/>
    </row>
    <row r="90" spans="1:62" ht="17.399999999999999">
      <c r="A90" s="2650"/>
      <c r="B90" s="2651"/>
      <c r="C90" s="2651"/>
      <c r="D90" s="2651"/>
      <c r="E90" s="2651"/>
      <c r="F90" s="2651"/>
      <c r="G90" s="2651"/>
      <c r="H90" s="2651"/>
      <c r="I90" s="2651"/>
      <c r="J90" s="2651"/>
      <c r="K90" s="2651"/>
      <c r="L90" s="2651"/>
      <c r="M90" s="2651"/>
      <c r="N90" s="2651"/>
      <c r="O90" s="2651"/>
      <c r="P90" s="2651"/>
      <c r="Q90" s="2651"/>
      <c r="R90" s="2651"/>
      <c r="S90" s="2651"/>
      <c r="T90" s="2651"/>
      <c r="U90" s="2651"/>
      <c r="V90" s="2651"/>
      <c r="W90" s="2651"/>
      <c r="X90" s="2651"/>
      <c r="Y90" s="2651"/>
      <c r="Z90" s="2651"/>
      <c r="AA90" s="2651"/>
      <c r="AB90" s="2651"/>
      <c r="AC90" s="2651"/>
      <c r="AD90" s="2652"/>
      <c r="AE90" s="2643" t="s">
        <v>111</v>
      </c>
      <c r="AF90" s="2643"/>
      <c r="AG90" s="2643"/>
      <c r="AH90" s="2643"/>
      <c r="AI90" s="2643"/>
      <c r="AJ90" s="2643"/>
      <c r="AK90" s="2643"/>
      <c r="AL90" s="2643"/>
      <c r="AM90" s="2643"/>
      <c r="AN90" s="2644"/>
      <c r="BD90" s="2610" t="s">
        <v>103</v>
      </c>
      <c r="BE90" s="2611"/>
      <c r="BF90" s="2611"/>
      <c r="BG90" s="2611"/>
      <c r="BH90" s="2611"/>
      <c r="BI90" s="2611"/>
      <c r="BJ90" s="2612"/>
    </row>
    <row r="91" spans="1:62" ht="18.600000000000001">
      <c r="A91" s="2650"/>
      <c r="B91" s="2651"/>
      <c r="C91" s="2651"/>
      <c r="D91" s="2651"/>
      <c r="E91" s="2651"/>
      <c r="F91" s="2651"/>
      <c r="G91" s="2651"/>
      <c r="H91" s="2651"/>
      <c r="I91" s="2651"/>
      <c r="J91" s="2651"/>
      <c r="K91" s="2651"/>
      <c r="L91" s="2651"/>
      <c r="M91" s="2651"/>
      <c r="N91" s="2651"/>
      <c r="O91" s="2651"/>
      <c r="P91" s="2651"/>
      <c r="Q91" s="2651"/>
      <c r="R91" s="2651"/>
      <c r="S91" s="2651"/>
      <c r="T91" s="2651"/>
      <c r="U91" s="2651"/>
      <c r="V91" s="2651"/>
      <c r="W91" s="2651"/>
      <c r="X91" s="2651"/>
      <c r="Y91" s="2651"/>
      <c r="Z91" s="2651"/>
      <c r="AA91" s="2651"/>
      <c r="AB91" s="2651"/>
      <c r="AC91" s="2651"/>
      <c r="AD91" s="2652"/>
      <c r="AE91" s="2643"/>
      <c r="AF91" s="2643"/>
      <c r="AG91" s="2643"/>
      <c r="AH91" s="2643"/>
      <c r="AI91" s="2643"/>
      <c r="AJ91" s="2643"/>
      <c r="AK91" s="2643"/>
      <c r="AL91" s="2643"/>
      <c r="AM91" s="2643"/>
      <c r="AN91" s="2644"/>
      <c r="BD91" s="2613" t="s">
        <v>85</v>
      </c>
      <c r="BE91" s="80"/>
      <c r="BF91" s="80" t="s">
        <v>86</v>
      </c>
      <c r="BG91" s="80" t="s">
        <v>87</v>
      </c>
      <c r="BH91" s="80" t="s">
        <v>88</v>
      </c>
      <c r="BI91" s="80" t="s">
        <v>89</v>
      </c>
      <c r="BJ91" s="80" t="s">
        <v>90</v>
      </c>
    </row>
    <row r="92" spans="1:62" ht="18.600000000000001">
      <c r="A92" s="2650"/>
      <c r="B92" s="2651"/>
      <c r="C92" s="2651"/>
      <c r="D92" s="2651"/>
      <c r="E92" s="2651"/>
      <c r="F92" s="2651"/>
      <c r="G92" s="2651"/>
      <c r="H92" s="2651"/>
      <c r="I92" s="2651"/>
      <c r="J92" s="2651"/>
      <c r="K92" s="2651"/>
      <c r="L92" s="2651"/>
      <c r="M92" s="2651"/>
      <c r="N92" s="2651"/>
      <c r="O92" s="2651"/>
      <c r="P92" s="2651"/>
      <c r="Q92" s="2651"/>
      <c r="R92" s="2651"/>
      <c r="S92" s="2651"/>
      <c r="T92" s="2651"/>
      <c r="U92" s="2651"/>
      <c r="V92" s="2651"/>
      <c r="W92" s="2651"/>
      <c r="X92" s="2651"/>
      <c r="Y92" s="2651"/>
      <c r="Z92" s="2651"/>
      <c r="AA92" s="2651"/>
      <c r="AB92" s="2651"/>
      <c r="AC92" s="2651"/>
      <c r="AD92" s="2652"/>
      <c r="AE92" s="2643"/>
      <c r="AF92" s="2643"/>
      <c r="AG92" s="2643"/>
      <c r="AH92" s="2643"/>
      <c r="AI92" s="2643"/>
      <c r="AJ92" s="2643"/>
      <c r="AK92" s="2643"/>
      <c r="AL92" s="2643"/>
      <c r="AM92" s="2643"/>
      <c r="AN92" s="2644"/>
      <c r="BD92" s="2613"/>
      <c r="BE92" s="80"/>
      <c r="BF92" s="81" t="s">
        <v>91</v>
      </c>
      <c r="BG92" s="81" t="s">
        <v>91</v>
      </c>
      <c r="BH92" s="81" t="s">
        <v>92</v>
      </c>
      <c r="BI92" s="81" t="s">
        <v>93</v>
      </c>
      <c r="BJ92" s="81" t="s">
        <v>94</v>
      </c>
    </row>
    <row r="93" spans="1:62" ht="16.8">
      <c r="A93" s="2650"/>
      <c r="B93" s="2651"/>
      <c r="C93" s="2651"/>
      <c r="D93" s="2651"/>
      <c r="E93" s="2651"/>
      <c r="F93" s="2651"/>
      <c r="G93" s="2651"/>
      <c r="H93" s="2651"/>
      <c r="I93" s="2651"/>
      <c r="J93" s="2651"/>
      <c r="K93" s="2651"/>
      <c r="L93" s="2651"/>
      <c r="M93" s="2651"/>
      <c r="N93" s="2651"/>
      <c r="O93" s="2651"/>
      <c r="P93" s="2651"/>
      <c r="Q93" s="2651"/>
      <c r="R93" s="2651"/>
      <c r="S93" s="2651"/>
      <c r="T93" s="2651"/>
      <c r="U93" s="2651"/>
      <c r="V93" s="2651"/>
      <c r="W93" s="2651"/>
      <c r="X93" s="2651"/>
      <c r="Y93" s="2651"/>
      <c r="Z93" s="2651"/>
      <c r="AA93" s="2651"/>
      <c r="AB93" s="2651"/>
      <c r="AC93" s="2651"/>
      <c r="AD93" s="2652"/>
      <c r="AE93" s="2643"/>
      <c r="AF93" s="2643"/>
      <c r="AG93" s="2643"/>
      <c r="AH93" s="2643"/>
      <c r="AI93" s="2643"/>
      <c r="AJ93" s="2643"/>
      <c r="AK93" s="2643"/>
      <c r="AL93" s="2643"/>
      <c r="AM93" s="2643"/>
      <c r="AN93" s="2644"/>
      <c r="BD93" s="82" t="s">
        <v>95</v>
      </c>
      <c r="BE93" s="83" t="s">
        <v>124</v>
      </c>
      <c r="BF93" s="84">
        <v>38.700000000000003</v>
      </c>
      <c r="BG93" s="84">
        <v>36.700000000000003</v>
      </c>
      <c r="BH93" s="84">
        <v>200</v>
      </c>
      <c r="BI93" s="84">
        <v>847.3</v>
      </c>
      <c r="BJ93" s="84">
        <v>14.6</v>
      </c>
    </row>
    <row r="94" spans="1:62" ht="16.8">
      <c r="A94" s="2650"/>
      <c r="B94" s="2651"/>
      <c r="C94" s="2651"/>
      <c r="D94" s="2651"/>
      <c r="E94" s="2651"/>
      <c r="F94" s="2651"/>
      <c r="G94" s="2651"/>
      <c r="H94" s="2651"/>
      <c r="I94" s="2651"/>
      <c r="J94" s="2651"/>
      <c r="K94" s="2651"/>
      <c r="L94" s="2651"/>
      <c r="M94" s="2651"/>
      <c r="N94" s="2651"/>
      <c r="O94" s="2651"/>
      <c r="P94" s="2651"/>
      <c r="Q94" s="2651"/>
      <c r="R94" s="2651"/>
      <c r="S94" s="2651"/>
      <c r="T94" s="2651"/>
      <c r="U94" s="2651"/>
      <c r="V94" s="2651"/>
      <c r="W94" s="2651"/>
      <c r="X94" s="2651"/>
      <c r="Y94" s="2651"/>
      <c r="Z94" s="2651"/>
      <c r="AA94" s="2651"/>
      <c r="AB94" s="2651"/>
      <c r="AC94" s="2651"/>
      <c r="AD94" s="2652"/>
      <c r="AE94" s="2643"/>
      <c r="AF94" s="2643"/>
      <c r="AG94" s="2643"/>
      <c r="AH94" s="2643"/>
      <c r="AI94" s="2643"/>
      <c r="AJ94" s="2643"/>
      <c r="AK94" s="2643"/>
      <c r="AL94" s="2643"/>
      <c r="AM94" s="2643"/>
      <c r="AN94" s="2644"/>
      <c r="BD94" s="86" t="s">
        <v>96</v>
      </c>
      <c r="BE94" s="83" t="s">
        <v>255</v>
      </c>
      <c r="BF94" s="84">
        <v>34.9</v>
      </c>
      <c r="BG94" s="84">
        <v>33.1</v>
      </c>
      <c r="BH94" s="84">
        <v>103</v>
      </c>
      <c r="BI94" s="84">
        <v>742.4</v>
      </c>
      <c r="BJ94" s="84">
        <v>7.2</v>
      </c>
    </row>
    <row r="95" spans="1:62" ht="16.8">
      <c r="A95" s="2650"/>
      <c r="B95" s="2651"/>
      <c r="C95" s="2651"/>
      <c r="D95" s="2651"/>
      <c r="E95" s="2651"/>
      <c r="F95" s="2651"/>
      <c r="G95" s="2651"/>
      <c r="H95" s="2651"/>
      <c r="I95" s="2651"/>
      <c r="J95" s="2651"/>
      <c r="K95" s="2651"/>
      <c r="L95" s="2651"/>
      <c r="M95" s="2651"/>
      <c r="N95" s="2651"/>
      <c r="O95" s="2651"/>
      <c r="P95" s="2651"/>
      <c r="Q95" s="2651"/>
      <c r="R95" s="2651"/>
      <c r="S95" s="2651"/>
      <c r="T95" s="2651"/>
      <c r="U95" s="2651"/>
      <c r="V95" s="2651"/>
      <c r="W95" s="2651"/>
      <c r="X95" s="2651"/>
      <c r="Y95" s="2651"/>
      <c r="Z95" s="2651"/>
      <c r="AA95" s="2651"/>
      <c r="AB95" s="2651"/>
      <c r="AC95" s="2651"/>
      <c r="AD95" s="2652"/>
      <c r="AE95" s="2643"/>
      <c r="AF95" s="2643"/>
      <c r="AG95" s="2643"/>
      <c r="AH95" s="2643"/>
      <c r="AI95" s="2643"/>
      <c r="AJ95" s="2643"/>
      <c r="AK95" s="2643"/>
      <c r="AL95" s="2643"/>
      <c r="AM95" s="2643"/>
      <c r="AN95" s="2644"/>
      <c r="BD95" s="86" t="s">
        <v>97</v>
      </c>
      <c r="BE95" s="83" t="s">
        <v>256</v>
      </c>
      <c r="BF95" s="84">
        <v>41.7</v>
      </c>
      <c r="BG95" s="84">
        <v>39.6</v>
      </c>
      <c r="BH95" s="84">
        <v>387</v>
      </c>
      <c r="BI95" s="84">
        <v>993</v>
      </c>
      <c r="BJ95" s="84">
        <v>27.1</v>
      </c>
    </row>
    <row r="96" spans="1:62" ht="16.8">
      <c r="A96" s="2650"/>
      <c r="B96" s="2651"/>
      <c r="C96" s="2651"/>
      <c r="D96" s="2651"/>
      <c r="E96" s="2651"/>
      <c r="F96" s="2651"/>
      <c r="G96" s="2651"/>
      <c r="H96" s="2651"/>
      <c r="I96" s="2651"/>
      <c r="J96" s="2651"/>
      <c r="K96" s="2651"/>
      <c r="L96" s="2651"/>
      <c r="M96" s="2651"/>
      <c r="N96" s="2651"/>
      <c r="O96" s="2651"/>
      <c r="P96" s="2651"/>
      <c r="Q96" s="2651"/>
      <c r="R96" s="2651"/>
      <c r="S96" s="2651"/>
      <c r="T96" s="2651"/>
      <c r="U96" s="2651"/>
      <c r="V96" s="2651"/>
      <c r="W96" s="2651"/>
      <c r="X96" s="2651"/>
      <c r="Y96" s="2651"/>
      <c r="Z96" s="2651"/>
      <c r="AA96" s="2651"/>
      <c r="AB96" s="2651"/>
      <c r="AC96" s="2651"/>
      <c r="AD96" s="2652"/>
      <c r="AE96" s="2643"/>
      <c r="AF96" s="2643"/>
      <c r="AG96" s="2643"/>
      <c r="AH96" s="2643"/>
      <c r="AI96" s="2643"/>
      <c r="AJ96" s="2643"/>
      <c r="AK96" s="2643"/>
      <c r="AL96" s="2643"/>
      <c r="AM96" s="2643"/>
      <c r="AN96" s="2644"/>
      <c r="BD96" s="86" t="s">
        <v>98</v>
      </c>
      <c r="BE96" s="83" t="s">
        <v>118</v>
      </c>
      <c r="BF96" s="84">
        <v>38.5</v>
      </c>
      <c r="BG96" s="84">
        <v>36.6</v>
      </c>
      <c r="BH96" s="84">
        <v>207</v>
      </c>
      <c r="BI96" s="84">
        <v>873.5</v>
      </c>
      <c r="BJ96" s="84">
        <v>14.4</v>
      </c>
    </row>
    <row r="97" spans="1:71" ht="16.8">
      <c r="A97" s="2650"/>
      <c r="B97" s="2651"/>
      <c r="C97" s="2651"/>
      <c r="D97" s="2651"/>
      <c r="E97" s="2651"/>
      <c r="F97" s="2651"/>
      <c r="G97" s="2651"/>
      <c r="H97" s="2651"/>
      <c r="I97" s="2651"/>
      <c r="J97" s="2651"/>
      <c r="K97" s="2651"/>
      <c r="L97" s="2651"/>
      <c r="M97" s="2651"/>
      <c r="N97" s="2651"/>
      <c r="O97" s="2651"/>
      <c r="P97" s="2651"/>
      <c r="Q97" s="2651"/>
      <c r="R97" s="2651"/>
      <c r="S97" s="2651"/>
      <c r="T97" s="2651"/>
      <c r="U97" s="2651"/>
      <c r="V97" s="2651"/>
      <c r="W97" s="2651"/>
      <c r="X97" s="2651"/>
      <c r="Y97" s="2651"/>
      <c r="Z97" s="2651"/>
      <c r="AA97" s="2651"/>
      <c r="AB97" s="2651"/>
      <c r="AC97" s="2651"/>
      <c r="AD97" s="2652"/>
      <c r="AE97" s="2643"/>
      <c r="AF97" s="2643"/>
      <c r="AG97" s="2643"/>
      <c r="AH97" s="2643"/>
      <c r="AI97" s="2643"/>
      <c r="AJ97" s="2643"/>
      <c r="AK97" s="2643"/>
      <c r="AL97" s="2643"/>
      <c r="AM97" s="2643"/>
      <c r="AN97" s="2644"/>
      <c r="BD97" s="86" t="s">
        <v>99</v>
      </c>
      <c r="BE97" s="83" t="s">
        <v>119</v>
      </c>
      <c r="BF97" s="84">
        <v>37.6</v>
      </c>
      <c r="BG97" s="84">
        <v>35.700000000000003</v>
      </c>
      <c r="BH97" s="84">
        <v>170</v>
      </c>
      <c r="BI97" s="84">
        <v>818.4</v>
      </c>
      <c r="BJ97" s="84">
        <v>12.1</v>
      </c>
    </row>
    <row r="98" spans="1:71" ht="16.8">
      <c r="A98" s="2650"/>
      <c r="B98" s="2651"/>
      <c r="C98" s="2651"/>
      <c r="D98" s="2651"/>
      <c r="E98" s="2651"/>
      <c r="F98" s="2651"/>
      <c r="G98" s="2651"/>
      <c r="H98" s="2651"/>
      <c r="I98" s="2651"/>
      <c r="J98" s="2651"/>
      <c r="K98" s="2651"/>
      <c r="L98" s="2651"/>
      <c r="M98" s="2651"/>
      <c r="N98" s="2651"/>
      <c r="O98" s="2651"/>
      <c r="P98" s="2651"/>
      <c r="Q98" s="2651"/>
      <c r="R98" s="2651"/>
      <c r="S98" s="2651"/>
      <c r="T98" s="2651"/>
      <c r="U98" s="2651"/>
      <c r="V98" s="2651"/>
      <c r="W98" s="2651"/>
      <c r="X98" s="2651"/>
      <c r="Y98" s="2651"/>
      <c r="Z98" s="2651"/>
      <c r="AA98" s="2651"/>
      <c r="AB98" s="2651"/>
      <c r="AC98" s="2651"/>
      <c r="AD98" s="2652"/>
      <c r="AE98" s="2643"/>
      <c r="AF98" s="2643"/>
      <c r="AG98" s="2643"/>
      <c r="AH98" s="2643"/>
      <c r="AI98" s="2643"/>
      <c r="AJ98" s="2643"/>
      <c r="AK98" s="2643"/>
      <c r="AL98" s="2643"/>
      <c r="AM98" s="2643"/>
      <c r="AN98" s="2644"/>
      <c r="BD98" s="87" t="s">
        <v>100</v>
      </c>
      <c r="BE98" s="83" t="s">
        <v>120</v>
      </c>
      <c r="BF98" s="84">
        <v>27.884209999999999</v>
      </c>
      <c r="BG98" s="84">
        <v>26.49</v>
      </c>
      <c r="BH98" s="84">
        <v>44</v>
      </c>
      <c r="BI98" s="84">
        <v>495</v>
      </c>
      <c r="BJ98" s="84">
        <v>3.4</v>
      </c>
    </row>
    <row r="99" spans="1:71" ht="16.8">
      <c r="A99" s="2650"/>
      <c r="B99" s="2651"/>
      <c r="C99" s="2651"/>
      <c r="D99" s="2651"/>
      <c r="E99" s="2651"/>
      <c r="F99" s="2651"/>
      <c r="G99" s="2651"/>
      <c r="H99" s="2651"/>
      <c r="I99" s="2651"/>
      <c r="J99" s="2651"/>
      <c r="K99" s="2651"/>
      <c r="L99" s="2651"/>
      <c r="M99" s="2651"/>
      <c r="N99" s="2651"/>
      <c r="O99" s="2651"/>
      <c r="P99" s="2651"/>
      <c r="Q99" s="2651"/>
      <c r="R99" s="2651"/>
      <c r="S99" s="2651"/>
      <c r="T99" s="2651"/>
      <c r="U99" s="2651"/>
      <c r="V99" s="2651"/>
      <c r="W99" s="2651"/>
      <c r="X99" s="2651"/>
      <c r="Y99" s="2651"/>
      <c r="Z99" s="2651"/>
      <c r="AA99" s="2651"/>
      <c r="AB99" s="2651"/>
      <c r="AC99" s="2651"/>
      <c r="AD99" s="2652"/>
      <c r="AE99" s="2643"/>
      <c r="AF99" s="2643"/>
      <c r="AG99" s="2643"/>
      <c r="AH99" s="2643"/>
      <c r="AI99" s="2643"/>
      <c r="AJ99" s="2643"/>
      <c r="AK99" s="2643"/>
      <c r="AL99" s="2643"/>
      <c r="AM99" s="2643"/>
      <c r="AN99" s="2644"/>
      <c r="BD99" s="86" t="s">
        <v>101</v>
      </c>
      <c r="BE99" s="83" t="s">
        <v>121</v>
      </c>
      <c r="BF99" s="84">
        <v>34.799999999999997</v>
      </c>
      <c r="BG99" s="84">
        <v>33.1</v>
      </c>
      <c r="BH99" s="84">
        <v>125</v>
      </c>
      <c r="BI99" s="84">
        <v>774.5</v>
      </c>
      <c r="BJ99" s="84">
        <v>8.9</v>
      </c>
      <c r="BO99" s="6"/>
      <c r="BP99" s="6"/>
      <c r="BQ99" s="6"/>
      <c r="BR99" s="6"/>
      <c r="BS99" s="6"/>
    </row>
    <row r="100" spans="1:71" ht="17.399999999999999" thickBot="1">
      <c r="A100" s="2653"/>
      <c r="B100" s="2654"/>
      <c r="C100" s="2654"/>
      <c r="D100" s="2654"/>
      <c r="E100" s="2654"/>
      <c r="F100" s="2654"/>
      <c r="G100" s="2654"/>
      <c r="H100" s="2654"/>
      <c r="I100" s="2654"/>
      <c r="J100" s="2654"/>
      <c r="K100" s="2654"/>
      <c r="L100" s="2654"/>
      <c r="M100" s="2654"/>
      <c r="N100" s="2654"/>
      <c r="O100" s="2654"/>
      <c r="P100" s="2654"/>
      <c r="Q100" s="2654"/>
      <c r="R100" s="2654"/>
      <c r="S100" s="2654"/>
      <c r="T100" s="2654"/>
      <c r="U100" s="2654"/>
      <c r="V100" s="2654"/>
      <c r="W100" s="2654"/>
      <c r="X100" s="2654"/>
      <c r="Y100" s="2654"/>
      <c r="Z100" s="2654"/>
      <c r="AA100" s="2654"/>
      <c r="AB100" s="2654"/>
      <c r="AC100" s="2654"/>
      <c r="AD100" s="2655"/>
      <c r="AE100" s="2645"/>
      <c r="AF100" s="2645"/>
      <c r="AG100" s="2645"/>
      <c r="AH100" s="2645"/>
      <c r="AI100" s="2645"/>
      <c r="AJ100" s="2645"/>
      <c r="AK100" s="2645"/>
      <c r="AL100" s="2645"/>
      <c r="AM100" s="2645"/>
      <c r="AN100" s="2646"/>
      <c r="BD100" s="86" t="s">
        <v>102</v>
      </c>
      <c r="BE100" s="83" t="s">
        <v>257</v>
      </c>
      <c r="BF100" s="84">
        <v>3.7999999999999999E-2</v>
      </c>
      <c r="BG100" s="84">
        <v>3.4200000000000001E-2</v>
      </c>
      <c r="BH100" s="84">
        <v>19</v>
      </c>
      <c r="BI100" s="84">
        <v>0.67279999999999995</v>
      </c>
      <c r="BJ100" s="84">
        <v>1.2</v>
      </c>
      <c r="BO100" s="6"/>
      <c r="BP100" s="6"/>
      <c r="BQ100" s="6"/>
      <c r="BR100" s="6"/>
      <c r="BS100" s="6"/>
    </row>
    <row r="101" spans="1:71" ht="22.2" thickTop="1">
      <c r="AO101" s="164"/>
      <c r="BD101" s="82" t="s">
        <v>95</v>
      </c>
      <c r="BE101" s="83" t="s">
        <v>125</v>
      </c>
      <c r="BF101" s="84">
        <v>38.700000000000003</v>
      </c>
      <c r="BG101" s="84">
        <v>36.700000000000003</v>
      </c>
      <c r="BH101" s="84">
        <v>200</v>
      </c>
      <c r="BI101" s="84">
        <v>847.3</v>
      </c>
      <c r="BJ101" s="84">
        <v>14.6</v>
      </c>
      <c r="BO101" s="6"/>
      <c r="BP101" s="6"/>
      <c r="BQ101" s="6"/>
      <c r="BR101" s="6"/>
      <c r="BS101" s="6"/>
    </row>
    <row r="102" spans="1:71" ht="16.8">
      <c r="BD102" s="82" t="s">
        <v>95</v>
      </c>
      <c r="BE102" s="83" t="s">
        <v>117</v>
      </c>
      <c r="BF102" s="84">
        <v>38.700000000000003</v>
      </c>
      <c r="BG102" s="84">
        <v>36.700000000000003</v>
      </c>
      <c r="BH102" s="84">
        <v>200</v>
      </c>
      <c r="BI102" s="84">
        <v>847.3</v>
      </c>
      <c r="BJ102" s="84">
        <v>14.6</v>
      </c>
      <c r="BO102" s="6"/>
      <c r="BP102" s="6"/>
      <c r="BQ102" s="6"/>
      <c r="BR102" s="6"/>
      <c r="BS102" s="6"/>
    </row>
    <row r="103" spans="1:71">
      <c r="BO103" s="6"/>
      <c r="BP103" s="6"/>
      <c r="BQ103" s="6"/>
      <c r="BR103" s="6"/>
      <c r="BS103" s="6"/>
    </row>
    <row r="104" spans="1:71">
      <c r="BO104" s="6"/>
      <c r="BP104" s="6"/>
      <c r="BQ104" s="6"/>
      <c r="BR104" s="6"/>
      <c r="BS104" s="6"/>
    </row>
    <row r="105" spans="1:71">
      <c r="BO105" s="6"/>
      <c r="BP105" s="6"/>
      <c r="BQ105" s="6"/>
      <c r="BR105" s="6"/>
      <c r="BS105" s="6"/>
    </row>
    <row r="106" spans="1:71">
      <c r="BO106" s="6"/>
      <c r="BP106" s="6"/>
      <c r="BQ106" s="6"/>
      <c r="BR106" s="6"/>
      <c r="BS106" s="6"/>
    </row>
    <row r="140" spans="1:4">
      <c r="A140" s="6" t="s">
        <v>275</v>
      </c>
      <c r="B140" s="6" t="s">
        <v>278</v>
      </c>
      <c r="C140" s="6" t="s">
        <v>276</v>
      </c>
      <c r="D140" s="6" t="s">
        <v>277</v>
      </c>
    </row>
    <row r="141" spans="1:4" ht="13.95" customHeight="1">
      <c r="A141" s="165" t="s">
        <v>263</v>
      </c>
      <c r="B141" s="2621" t="s">
        <v>265</v>
      </c>
      <c r="C141" s="2621" t="s">
        <v>269</v>
      </c>
      <c r="D141" s="11">
        <v>1</v>
      </c>
    </row>
    <row r="142" spans="1:4" ht="13.95" customHeight="1">
      <c r="A142" s="165" t="s">
        <v>263</v>
      </c>
      <c r="B142" s="2621"/>
      <c r="C142" s="2621"/>
      <c r="D142" s="11">
        <v>2</v>
      </c>
    </row>
    <row r="143" spans="1:4" ht="13.95" customHeight="1">
      <c r="A143" s="165" t="s">
        <v>263</v>
      </c>
      <c r="B143" s="2621"/>
      <c r="C143" s="11" t="s">
        <v>270</v>
      </c>
      <c r="D143" s="11">
        <v>3</v>
      </c>
    </row>
    <row r="144" spans="1:4" ht="13.95" customHeight="1">
      <c r="A144" s="165" t="s">
        <v>263</v>
      </c>
      <c r="B144" s="2621" t="s">
        <v>266</v>
      </c>
      <c r="C144" s="2621" t="s">
        <v>271</v>
      </c>
      <c r="D144" s="11">
        <v>4</v>
      </c>
    </row>
    <row r="145" spans="1:4" ht="13.95" customHeight="1">
      <c r="A145" s="165" t="s">
        <v>263</v>
      </c>
      <c r="B145" s="2621"/>
      <c r="C145" s="2621"/>
      <c r="D145" s="11">
        <v>5</v>
      </c>
    </row>
    <row r="146" spans="1:4" ht="13.95" customHeight="1">
      <c r="A146" s="165" t="s">
        <v>263</v>
      </c>
      <c r="B146" s="2621"/>
      <c r="C146" s="11" t="s">
        <v>272</v>
      </c>
      <c r="D146" s="11">
        <v>6</v>
      </c>
    </row>
    <row r="147" spans="1:4">
      <c r="A147" s="165" t="s">
        <v>264</v>
      </c>
      <c r="B147" s="2621" t="s">
        <v>267</v>
      </c>
      <c r="C147" s="2621" t="s">
        <v>273</v>
      </c>
      <c r="D147" s="11">
        <v>7</v>
      </c>
    </row>
    <row r="148" spans="1:4">
      <c r="A148" s="165" t="s">
        <v>264</v>
      </c>
      <c r="B148" s="2621"/>
      <c r="C148" s="2621"/>
      <c r="D148" s="11">
        <v>8</v>
      </c>
    </row>
    <row r="149" spans="1:4">
      <c r="A149" s="165" t="s">
        <v>264</v>
      </c>
      <c r="B149" s="2621"/>
      <c r="C149" s="2621"/>
      <c r="D149" s="11">
        <v>9</v>
      </c>
    </row>
    <row r="150" spans="1:4">
      <c r="A150" s="165" t="s">
        <v>264</v>
      </c>
      <c r="B150" s="11" t="s">
        <v>268</v>
      </c>
      <c r="C150" s="11" t="s">
        <v>274</v>
      </c>
      <c r="D150" s="11">
        <v>10</v>
      </c>
    </row>
  </sheetData>
  <sheetProtection password="9F15" sheet="1" objects="1" scenarios="1"/>
  <mergeCells count="73">
    <mergeCell ref="C3:C4"/>
    <mergeCell ref="E3:E4"/>
    <mergeCell ref="A5:E5"/>
    <mergeCell ref="D6:D8"/>
    <mergeCell ref="E6:E8"/>
    <mergeCell ref="A17:E17"/>
    <mergeCell ref="F25:H25"/>
    <mergeCell ref="F26:H26"/>
    <mergeCell ref="F27:H27"/>
    <mergeCell ref="F28:H28"/>
    <mergeCell ref="F18:H18"/>
    <mergeCell ref="A18:E28"/>
    <mergeCell ref="F1:H17"/>
    <mergeCell ref="A9:E9"/>
    <mergeCell ref="D10:D12"/>
    <mergeCell ref="E10:E12"/>
    <mergeCell ref="A13:E13"/>
    <mergeCell ref="A16:E16"/>
    <mergeCell ref="A1:E1"/>
    <mergeCell ref="B2:C2"/>
    <mergeCell ref="D2:E2"/>
    <mergeCell ref="I32:N32"/>
    <mergeCell ref="I37:N37"/>
    <mergeCell ref="I39:N39"/>
    <mergeCell ref="I29:N29"/>
    <mergeCell ref="O41:O42"/>
    <mergeCell ref="O40:P40"/>
    <mergeCell ref="Q48:V48"/>
    <mergeCell ref="Q51:V51"/>
    <mergeCell ref="Q45:V45"/>
    <mergeCell ref="W56:AB56"/>
    <mergeCell ref="W59:AB59"/>
    <mergeCell ref="W53:AB53"/>
    <mergeCell ref="W1:AB52"/>
    <mergeCell ref="AE79:AI79"/>
    <mergeCell ref="AC62:AC63"/>
    <mergeCell ref="AC61:AD61"/>
    <mergeCell ref="AF67:AG67"/>
    <mergeCell ref="AH67:AI67"/>
    <mergeCell ref="AE68:AE69"/>
    <mergeCell ref="AG68:AG69"/>
    <mergeCell ref="AI68:AI69"/>
    <mergeCell ref="AE66:AI66"/>
    <mergeCell ref="BD91:BD92"/>
    <mergeCell ref="BD90:BJ90"/>
    <mergeCell ref="AJ81:AJ83"/>
    <mergeCell ref="AK81:AL81"/>
    <mergeCell ref="AM81:AN81"/>
    <mergeCell ref="AL82:AL83"/>
    <mergeCell ref="AN82:AN83"/>
    <mergeCell ref="AJ88:AN88"/>
    <mergeCell ref="AC1:AD60"/>
    <mergeCell ref="AE1:AI65"/>
    <mergeCell ref="A66:AD79"/>
    <mergeCell ref="AJ1:AN79"/>
    <mergeCell ref="AE90:AN100"/>
    <mergeCell ref="A80:AD100"/>
    <mergeCell ref="I1:N28"/>
    <mergeCell ref="O1:P39"/>
    <mergeCell ref="Q1:V44"/>
    <mergeCell ref="AJ89:AN89"/>
    <mergeCell ref="AJ80:AN80"/>
    <mergeCell ref="AE73:AE74"/>
    <mergeCell ref="AG73:AG74"/>
    <mergeCell ref="AI73:AI74"/>
    <mergeCell ref="AE77:AI77"/>
    <mergeCell ref="AE78:AI78"/>
    <mergeCell ref="C141:C142"/>
    <mergeCell ref="C144:C145"/>
    <mergeCell ref="C147:C149"/>
    <mergeCell ref="B141:B143"/>
    <mergeCell ref="B144:B146"/>
    <mergeCell ref="B147:B149"/>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zoomScaleNormal="100" workbookViewId="0">
      <selection activeCell="H11" sqref="H11"/>
    </sheetView>
  </sheetViews>
  <sheetFormatPr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0505"/>
  </sheetPr>
  <dimension ref="A1:G48"/>
  <sheetViews>
    <sheetView rightToLeft="1" zoomScale="60" zoomScaleNormal="60" workbookViewId="0">
      <selection sqref="A1:D1"/>
    </sheetView>
  </sheetViews>
  <sheetFormatPr defaultColWidth="8.69921875" defaultRowHeight="17.399999999999999"/>
  <cols>
    <col min="1" max="1" width="26.5" style="475" customWidth="1"/>
    <col min="2" max="2" width="33.8984375" style="475" customWidth="1"/>
    <col min="3" max="4" width="26.5" style="475" customWidth="1"/>
    <col min="5" max="16384" width="8.69921875" style="475"/>
  </cols>
  <sheetData>
    <row r="1" spans="1:7" ht="28.05" customHeight="1" thickBot="1">
      <c r="A1" s="983" t="s">
        <v>886</v>
      </c>
      <c r="B1" s="984"/>
      <c r="C1" s="984"/>
      <c r="D1" s="985"/>
    </row>
    <row r="2" spans="1:7" ht="43.05" customHeight="1">
      <c r="A2" s="484" t="s">
        <v>858</v>
      </c>
      <c r="B2" s="485"/>
      <c r="C2" s="486" t="s">
        <v>859</v>
      </c>
      <c r="D2" s="487"/>
    </row>
    <row r="3" spans="1:7" ht="23.4">
      <c r="A3" s="488" t="s">
        <v>895</v>
      </c>
      <c r="B3" s="995"/>
      <c r="C3" s="995"/>
      <c r="D3" s="996"/>
    </row>
    <row r="4" spans="1:7" ht="37.049999999999997" customHeight="1">
      <c r="A4" s="494" t="s">
        <v>926</v>
      </c>
      <c r="B4" s="495" t="s">
        <v>927</v>
      </c>
      <c r="C4" s="492" t="s">
        <v>928</v>
      </c>
      <c r="D4" s="493" t="s">
        <v>929</v>
      </c>
    </row>
    <row r="5" spans="1:7" ht="36.450000000000003" customHeight="1">
      <c r="A5" s="969" t="s">
        <v>1205</v>
      </c>
      <c r="B5" s="970"/>
      <c r="C5" s="973"/>
      <c r="D5" s="974"/>
    </row>
    <row r="6" spans="1:7" ht="36.450000000000003" customHeight="1" thickBot="1">
      <c r="A6" s="971" t="s">
        <v>1206</v>
      </c>
      <c r="B6" s="972"/>
      <c r="C6" s="973"/>
      <c r="D6" s="974"/>
    </row>
    <row r="7" spans="1:7" ht="37.049999999999997" customHeight="1">
      <c r="A7" s="1005" t="s">
        <v>896</v>
      </c>
      <c r="B7" s="1006"/>
      <c r="C7" s="1006"/>
      <c r="D7" s="1007"/>
      <c r="G7" s="489"/>
    </row>
    <row r="8" spans="1:7" ht="36" customHeight="1">
      <c r="A8" s="997" t="s">
        <v>897</v>
      </c>
      <c r="B8" s="998"/>
      <c r="C8" s="490" t="s">
        <v>898</v>
      </c>
      <c r="D8" s="496" t="s">
        <v>862</v>
      </c>
    </row>
    <row r="9" spans="1:7" ht="36" customHeight="1">
      <c r="A9" s="975" t="s">
        <v>1207</v>
      </c>
      <c r="B9" s="976"/>
      <c r="C9" s="491" t="s">
        <v>899</v>
      </c>
      <c r="D9" s="830"/>
    </row>
    <row r="10" spans="1:7" ht="36" customHeight="1">
      <c r="A10" s="975" t="s">
        <v>1208</v>
      </c>
      <c r="B10" s="976"/>
      <c r="C10" s="491" t="s">
        <v>900</v>
      </c>
      <c r="D10" s="830"/>
    </row>
    <row r="11" spans="1:7" ht="36" customHeight="1">
      <c r="A11" s="975" t="s">
        <v>1209</v>
      </c>
      <c r="B11" s="976"/>
      <c r="C11" s="491" t="s">
        <v>901</v>
      </c>
      <c r="D11" s="830"/>
    </row>
    <row r="12" spans="1:7" ht="36" customHeight="1">
      <c r="A12" s="975" t="s">
        <v>902</v>
      </c>
      <c r="B12" s="976"/>
      <c r="C12" s="491" t="s">
        <v>901</v>
      </c>
      <c r="D12" s="830"/>
    </row>
    <row r="13" spans="1:7" ht="36" customHeight="1">
      <c r="A13" s="975" t="s">
        <v>903</v>
      </c>
      <c r="B13" s="976"/>
      <c r="C13" s="491" t="s">
        <v>901</v>
      </c>
      <c r="D13" s="830"/>
    </row>
    <row r="14" spans="1:7" ht="36" customHeight="1">
      <c r="A14" s="975" t="s">
        <v>1210</v>
      </c>
      <c r="B14" s="976"/>
      <c r="C14" s="491" t="s">
        <v>901</v>
      </c>
      <c r="D14" s="830"/>
    </row>
    <row r="15" spans="1:7" ht="36" customHeight="1">
      <c r="A15" s="975" t="s">
        <v>916</v>
      </c>
      <c r="B15" s="976"/>
      <c r="C15" s="491" t="s">
        <v>899</v>
      </c>
      <c r="D15" s="830"/>
    </row>
    <row r="16" spans="1:7" ht="36" customHeight="1">
      <c r="A16" s="975" t="s">
        <v>917</v>
      </c>
      <c r="B16" s="976"/>
      <c r="C16" s="491" t="s">
        <v>900</v>
      </c>
      <c r="D16" s="830"/>
    </row>
    <row r="17" spans="1:4" ht="36" customHeight="1">
      <c r="A17" s="975" t="s">
        <v>918</v>
      </c>
      <c r="B17" s="976"/>
      <c r="C17" s="491" t="s">
        <v>904</v>
      </c>
      <c r="D17" s="830"/>
    </row>
    <row r="18" spans="1:4" ht="36" customHeight="1">
      <c r="A18" s="975" t="s">
        <v>919</v>
      </c>
      <c r="B18" s="976"/>
      <c r="C18" s="491" t="s">
        <v>904</v>
      </c>
      <c r="D18" s="830"/>
    </row>
    <row r="19" spans="1:4" ht="36" customHeight="1">
      <c r="A19" s="975" t="s">
        <v>920</v>
      </c>
      <c r="B19" s="976"/>
      <c r="C19" s="491" t="s">
        <v>904</v>
      </c>
      <c r="D19" s="830"/>
    </row>
    <row r="20" spans="1:4" ht="36" customHeight="1">
      <c r="A20" s="975" t="s">
        <v>921</v>
      </c>
      <c r="B20" s="976"/>
      <c r="C20" s="491" t="s">
        <v>904</v>
      </c>
      <c r="D20" s="830"/>
    </row>
    <row r="21" spans="1:4" ht="36" customHeight="1">
      <c r="A21" s="975" t="s">
        <v>922</v>
      </c>
      <c r="B21" s="976"/>
      <c r="C21" s="491" t="s">
        <v>904</v>
      </c>
      <c r="D21" s="830"/>
    </row>
    <row r="22" spans="1:4" ht="36" customHeight="1">
      <c r="A22" s="975" t="s">
        <v>923</v>
      </c>
      <c r="B22" s="976"/>
      <c r="C22" s="491" t="s">
        <v>904</v>
      </c>
      <c r="D22" s="830"/>
    </row>
    <row r="23" spans="1:4" ht="36" customHeight="1">
      <c r="A23" s="975" t="s">
        <v>1211</v>
      </c>
      <c r="B23" s="976"/>
      <c r="C23" s="491" t="s">
        <v>904</v>
      </c>
      <c r="D23" s="830"/>
    </row>
    <row r="24" spans="1:4" ht="36" customHeight="1">
      <c r="A24" s="975" t="s">
        <v>924</v>
      </c>
      <c r="B24" s="976"/>
      <c r="C24" s="491" t="s">
        <v>904</v>
      </c>
      <c r="D24" s="830"/>
    </row>
    <row r="25" spans="1:4" ht="36" customHeight="1">
      <c r="A25" s="975" t="s">
        <v>925</v>
      </c>
      <c r="B25" s="976"/>
      <c r="C25" s="491" t="s">
        <v>899</v>
      </c>
      <c r="D25" s="830"/>
    </row>
    <row r="26" spans="1:4" ht="36" customHeight="1">
      <c r="A26" s="975" t="s">
        <v>905</v>
      </c>
      <c r="B26" s="976"/>
      <c r="C26" s="491" t="s">
        <v>906</v>
      </c>
      <c r="D26" s="830"/>
    </row>
    <row r="27" spans="1:4" ht="36" customHeight="1">
      <c r="A27" s="975" t="s">
        <v>907</v>
      </c>
      <c r="B27" s="976"/>
      <c r="C27" s="491" t="s">
        <v>906</v>
      </c>
      <c r="D27" s="830"/>
    </row>
    <row r="28" spans="1:4" ht="36" customHeight="1">
      <c r="A28" s="975" t="s">
        <v>908</v>
      </c>
      <c r="B28" s="976"/>
      <c r="C28" s="491" t="s">
        <v>900</v>
      </c>
      <c r="D28" s="830"/>
    </row>
    <row r="29" spans="1:4" ht="36" customHeight="1" thickBot="1">
      <c r="A29" s="1011" t="s">
        <v>909</v>
      </c>
      <c r="B29" s="1012"/>
      <c r="C29" s="497" t="s">
        <v>900</v>
      </c>
      <c r="D29" s="831"/>
    </row>
    <row r="30" spans="1:4" ht="23.4">
      <c r="A30" s="1008" t="s">
        <v>910</v>
      </c>
      <c r="B30" s="1009"/>
      <c r="C30" s="1009"/>
      <c r="D30" s="1010"/>
    </row>
    <row r="31" spans="1:4" ht="34.5" customHeight="1">
      <c r="A31" s="989"/>
      <c r="B31" s="990"/>
      <c r="C31" s="990"/>
      <c r="D31" s="991"/>
    </row>
    <row r="32" spans="1:4" ht="34.5" customHeight="1">
      <c r="A32" s="992"/>
      <c r="B32" s="993"/>
      <c r="C32" s="993"/>
      <c r="D32" s="994"/>
    </row>
    <row r="33" spans="1:4" ht="23.4">
      <c r="A33" s="986" t="s">
        <v>911</v>
      </c>
      <c r="B33" s="987"/>
      <c r="C33" s="987"/>
      <c r="D33" s="988"/>
    </row>
    <row r="34" spans="1:4" ht="34.5" customHeight="1">
      <c r="A34" s="989"/>
      <c r="B34" s="990"/>
      <c r="C34" s="990"/>
      <c r="D34" s="991"/>
    </row>
    <row r="35" spans="1:4" ht="34.5" customHeight="1">
      <c r="A35" s="992"/>
      <c r="B35" s="993"/>
      <c r="C35" s="993"/>
      <c r="D35" s="994"/>
    </row>
    <row r="36" spans="1:4" ht="23.4">
      <c r="A36" s="986" t="s">
        <v>912</v>
      </c>
      <c r="B36" s="987"/>
      <c r="C36" s="987"/>
      <c r="D36" s="988"/>
    </row>
    <row r="37" spans="1:4" ht="34.5" customHeight="1">
      <c r="A37" s="989"/>
      <c r="B37" s="990"/>
      <c r="C37" s="990"/>
      <c r="D37" s="991"/>
    </row>
    <row r="38" spans="1:4" ht="34.5" customHeight="1" thickBot="1">
      <c r="A38" s="999"/>
      <c r="B38" s="1000"/>
      <c r="C38" s="1000"/>
      <c r="D38" s="1001"/>
    </row>
    <row r="39" spans="1:4" ht="75.45" customHeight="1">
      <c r="A39" s="1002" t="s">
        <v>1212</v>
      </c>
      <c r="B39" s="1003"/>
      <c r="C39" s="1003"/>
      <c r="D39" s="1004"/>
    </row>
    <row r="40" spans="1:4" ht="40.5" customHeight="1">
      <c r="A40" s="977" t="s">
        <v>1213</v>
      </c>
      <c r="B40" s="978"/>
      <c r="C40" s="978"/>
      <c r="D40" s="979"/>
    </row>
    <row r="41" spans="1:4" ht="36.450000000000003" customHeight="1">
      <c r="A41" s="977" t="s">
        <v>1214</v>
      </c>
      <c r="B41" s="978"/>
      <c r="C41" s="978"/>
      <c r="D41" s="979"/>
    </row>
    <row r="42" spans="1:4" ht="36.450000000000003" customHeight="1">
      <c r="A42" s="977" t="s">
        <v>1215</v>
      </c>
      <c r="B42" s="978"/>
      <c r="C42" s="978"/>
      <c r="D42" s="979"/>
    </row>
    <row r="43" spans="1:4" ht="36.450000000000003" customHeight="1">
      <c r="A43" s="977" t="s">
        <v>1216</v>
      </c>
      <c r="B43" s="978"/>
      <c r="C43" s="978"/>
      <c r="D43" s="979"/>
    </row>
    <row r="44" spans="1:4" ht="36.450000000000003" customHeight="1">
      <c r="A44" s="977" t="s">
        <v>1220</v>
      </c>
      <c r="B44" s="978"/>
      <c r="C44" s="978"/>
      <c r="D44" s="979"/>
    </row>
    <row r="45" spans="1:4" ht="36.450000000000003" customHeight="1">
      <c r="A45" s="977" t="s">
        <v>1221</v>
      </c>
      <c r="B45" s="978"/>
      <c r="C45" s="978"/>
      <c r="D45" s="979"/>
    </row>
    <row r="46" spans="1:4" ht="36.450000000000003" customHeight="1">
      <c r="A46" s="977" t="s">
        <v>1217</v>
      </c>
      <c r="B46" s="978"/>
      <c r="C46" s="978"/>
      <c r="D46" s="979"/>
    </row>
    <row r="47" spans="1:4" ht="36.450000000000003" customHeight="1">
      <c r="A47" s="977" t="s">
        <v>1218</v>
      </c>
      <c r="B47" s="978"/>
      <c r="C47" s="978"/>
      <c r="D47" s="979"/>
    </row>
    <row r="48" spans="1:4" ht="36.450000000000003" customHeight="1" thickBot="1">
      <c r="A48" s="980" t="s">
        <v>1219</v>
      </c>
      <c r="B48" s="981"/>
      <c r="C48" s="981"/>
      <c r="D48" s="982"/>
    </row>
  </sheetData>
  <sheetProtection password="9F15" sheet="1" objects="1" scenarios="1"/>
  <mergeCells count="45">
    <mergeCell ref="A36:D36"/>
    <mergeCell ref="A37:D38"/>
    <mergeCell ref="A39:D39"/>
    <mergeCell ref="A40:D40"/>
    <mergeCell ref="A7:D7"/>
    <mergeCell ref="A30:D30"/>
    <mergeCell ref="A31:D32"/>
    <mergeCell ref="A12:B12"/>
    <mergeCell ref="A13:B13"/>
    <mergeCell ref="A14:B14"/>
    <mergeCell ref="A15:B15"/>
    <mergeCell ref="A28:B28"/>
    <mergeCell ref="A29:B29"/>
    <mergeCell ref="A25:B25"/>
    <mergeCell ref="A26:B26"/>
    <mergeCell ref="A27:B27"/>
    <mergeCell ref="A47:D47"/>
    <mergeCell ref="A48:D48"/>
    <mergeCell ref="A1:D1"/>
    <mergeCell ref="A9:B9"/>
    <mergeCell ref="A10:B10"/>
    <mergeCell ref="A11:B11"/>
    <mergeCell ref="A41:D41"/>
    <mergeCell ref="A42:D42"/>
    <mergeCell ref="A43:D43"/>
    <mergeCell ref="A44:D44"/>
    <mergeCell ref="A45:D45"/>
    <mergeCell ref="A46:D46"/>
    <mergeCell ref="A33:D33"/>
    <mergeCell ref="A34:D35"/>
    <mergeCell ref="B3:D3"/>
    <mergeCell ref="A8:B8"/>
    <mergeCell ref="A23:B23"/>
    <mergeCell ref="A24:B24"/>
    <mergeCell ref="A16:B16"/>
    <mergeCell ref="A17:B17"/>
    <mergeCell ref="A18:B18"/>
    <mergeCell ref="A19:B19"/>
    <mergeCell ref="A20:B20"/>
    <mergeCell ref="A21:B21"/>
    <mergeCell ref="A5:B5"/>
    <mergeCell ref="A6:B6"/>
    <mergeCell ref="C5:D5"/>
    <mergeCell ref="C6:D6"/>
    <mergeCell ref="A22:B22"/>
  </mergeCells>
  <dataValidations count="1">
    <dataValidation type="decimal" operator="greaterThanOrEqual" allowBlank="1" showInputMessage="1" showErrorMessage="1" sqref="D9:D29">
      <formula1>0</formula1>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BC174"/>
  <sheetViews>
    <sheetView rightToLeft="1" zoomScale="50" zoomScaleNormal="50" zoomScalePageLayoutView="55" workbookViewId="0">
      <selection sqref="A1:AQ1"/>
    </sheetView>
  </sheetViews>
  <sheetFormatPr defaultColWidth="8.69921875" defaultRowHeight="15"/>
  <cols>
    <col min="1" max="1" width="3.19921875" style="213" customWidth="1"/>
    <col min="2" max="2" width="7.296875" style="213" customWidth="1"/>
    <col min="3" max="3" width="9.19921875" style="213" customWidth="1"/>
    <col min="4" max="4" width="9.8984375" style="213" customWidth="1"/>
    <col min="5" max="5" width="24.69921875" style="213" customWidth="1"/>
    <col min="6" max="6" width="5.8984375" style="213" customWidth="1"/>
    <col min="7" max="7" width="28.296875" style="213" customWidth="1"/>
    <col min="8" max="8" width="12.296875" style="213" customWidth="1"/>
    <col min="9" max="9" width="15.59765625" style="213" customWidth="1"/>
    <col min="10" max="10" width="10.69921875" style="213" customWidth="1"/>
    <col min="11" max="11" width="22.3984375" style="213" customWidth="1"/>
    <col min="12" max="12" width="7.19921875" style="213" customWidth="1"/>
    <col min="13" max="13" width="6.69921875" style="213" customWidth="1"/>
    <col min="14" max="14" width="46.3984375" style="213" customWidth="1"/>
    <col min="15" max="15" width="15" style="213" customWidth="1"/>
    <col min="16" max="16" width="7.19921875" style="213" customWidth="1"/>
    <col min="17" max="18" width="8" style="213" customWidth="1"/>
    <col min="19" max="19" width="25.796875" style="213" customWidth="1"/>
    <col min="20" max="20" width="19.69921875" style="213" customWidth="1"/>
    <col min="21" max="21" width="8" style="213" customWidth="1"/>
    <col min="22" max="22" width="13.19921875" style="213" customWidth="1"/>
    <col min="23" max="24" width="11.296875" style="213" customWidth="1"/>
    <col min="25" max="25" width="15.19921875" style="213" customWidth="1"/>
    <col min="26" max="26" width="7.796875" style="213" customWidth="1"/>
    <col min="27" max="27" width="11.296875" style="213" customWidth="1"/>
    <col min="28" max="28" width="3.19921875" style="213" customWidth="1"/>
    <col min="29" max="29" width="8.69921875" style="213"/>
    <col min="30" max="30" width="3.59765625" style="213" customWidth="1"/>
    <col min="31" max="31" width="24.296875" style="213" customWidth="1"/>
    <col min="32" max="32" width="27.19921875" style="213" customWidth="1"/>
    <col min="33" max="36" width="8.69921875" style="213"/>
    <col min="37" max="37" width="8.3984375" style="213" customWidth="1"/>
    <col min="38" max="42" width="10.69921875" style="213" customWidth="1"/>
    <col min="43" max="43" width="3.796875" style="213" customWidth="1"/>
    <col min="44" max="44" width="8.69921875" style="213"/>
    <col min="45" max="45" width="13.19921875" style="213" hidden="1" customWidth="1"/>
    <col min="46" max="46" width="12.19921875" style="213" hidden="1" customWidth="1"/>
    <col min="47" max="49" width="11.19921875" style="213" hidden="1" customWidth="1"/>
    <col min="50" max="50" width="8.69921875" style="213" hidden="1" customWidth="1"/>
    <col min="51" max="55" width="19.796875" style="213" hidden="1" customWidth="1"/>
    <col min="56" max="16384" width="8.69921875" style="213"/>
  </cols>
  <sheetData>
    <row r="1" spans="1:55" ht="22.95" customHeight="1" thickBot="1">
      <c r="A1" s="1178" t="s">
        <v>1027</v>
      </c>
      <c r="B1" s="1179"/>
      <c r="C1" s="1179"/>
      <c r="D1" s="1179"/>
      <c r="E1" s="1179"/>
      <c r="F1" s="1179"/>
      <c r="G1" s="1179"/>
      <c r="H1" s="1179"/>
      <c r="I1" s="1179"/>
      <c r="J1" s="1179"/>
      <c r="K1" s="1179"/>
      <c r="L1" s="1179"/>
      <c r="M1" s="1179"/>
      <c r="N1" s="1179"/>
      <c r="O1" s="1179"/>
      <c r="P1" s="1179"/>
      <c r="Q1" s="1179"/>
      <c r="R1" s="1179"/>
      <c r="S1" s="1179"/>
      <c r="T1" s="1179"/>
      <c r="U1" s="1179"/>
      <c r="V1" s="1179"/>
      <c r="W1" s="1179"/>
      <c r="X1" s="1179"/>
      <c r="Y1" s="1179"/>
      <c r="Z1" s="1179"/>
      <c r="AA1" s="1179"/>
      <c r="AB1" s="1179"/>
      <c r="AC1" s="1179"/>
      <c r="AD1" s="1179"/>
      <c r="AE1" s="1179"/>
      <c r="AF1" s="1179"/>
      <c r="AG1" s="1179"/>
      <c r="AH1" s="1179"/>
      <c r="AI1" s="1179"/>
      <c r="AJ1" s="1179"/>
      <c r="AK1" s="1179"/>
      <c r="AL1" s="1179"/>
      <c r="AM1" s="1179"/>
      <c r="AN1" s="1179"/>
      <c r="AO1" s="1179"/>
      <c r="AP1" s="1179"/>
      <c r="AQ1" s="1180"/>
    </row>
    <row r="2" spans="1:55" ht="42" customHeight="1" thickBot="1">
      <c r="A2" s="1174" t="s">
        <v>842</v>
      </c>
      <c r="B2" s="1175"/>
      <c r="C2" s="1175"/>
      <c r="D2" s="1175"/>
      <c r="E2" s="1175"/>
      <c r="F2" s="1175"/>
      <c r="G2" s="1175"/>
      <c r="H2" s="1175"/>
      <c r="I2" s="1175"/>
      <c r="J2" s="1175"/>
      <c r="K2" s="1175"/>
      <c r="L2" s="1175"/>
      <c r="M2" s="1175"/>
      <c r="N2" s="1175"/>
      <c r="O2" s="1176"/>
      <c r="P2" s="1176"/>
      <c r="Q2" s="1176"/>
      <c r="R2" s="1176"/>
      <c r="S2" s="1176"/>
      <c r="T2" s="1176"/>
      <c r="U2" s="1176"/>
      <c r="V2" s="1176"/>
      <c r="W2" s="1176"/>
      <c r="X2" s="1176"/>
      <c r="Y2" s="1176"/>
      <c r="Z2" s="1176"/>
      <c r="AA2" s="1176"/>
      <c r="AB2" s="1177"/>
      <c r="AC2" s="478"/>
      <c r="AD2" s="1286" t="s">
        <v>1256</v>
      </c>
      <c r="AE2" s="1287"/>
      <c r="AF2" s="1287"/>
      <c r="AG2" s="1287"/>
      <c r="AH2" s="1287"/>
      <c r="AI2" s="1287"/>
      <c r="AJ2" s="1287"/>
      <c r="AK2" s="1287"/>
      <c r="AL2" s="1287"/>
      <c r="AM2" s="1287"/>
      <c r="AN2" s="1287"/>
      <c r="AO2" s="1287"/>
      <c r="AP2" s="1287"/>
      <c r="AQ2" s="1288"/>
    </row>
    <row r="3" spans="1:55" ht="25.5" customHeight="1" thickBot="1">
      <c r="A3" s="1183" t="s">
        <v>741</v>
      </c>
      <c r="B3" s="1184"/>
      <c r="C3" s="1184"/>
      <c r="D3" s="214" t="s">
        <v>40</v>
      </c>
      <c r="E3" s="701" t="s">
        <v>742</v>
      </c>
      <c r="F3" s="1185">
        <f>SUM(V13:V42)+SUM(V47:V61)+SUM(V66:V80)</f>
        <v>0</v>
      </c>
      <c r="G3" s="1185"/>
      <c r="H3" s="214" t="s">
        <v>146</v>
      </c>
      <c r="I3" s="796" t="s">
        <v>743</v>
      </c>
      <c r="J3" s="215"/>
      <c r="K3" s="215"/>
      <c r="L3" s="215"/>
      <c r="M3" s="215"/>
      <c r="N3" s="215"/>
      <c r="O3" s="215"/>
      <c r="P3" s="215"/>
      <c r="Q3" s="215"/>
      <c r="R3" s="215"/>
      <c r="S3" s="699"/>
      <c r="T3" s="699"/>
      <c r="U3" s="699"/>
      <c r="V3" s="699"/>
      <c r="W3" s="699"/>
      <c r="X3" s="699"/>
      <c r="Y3" s="699"/>
      <c r="Z3" s="699"/>
      <c r="AA3" s="699"/>
      <c r="AB3" s="700"/>
      <c r="AC3" s="478"/>
      <c r="AD3" s="539"/>
      <c r="AE3" s="1182" t="s">
        <v>1269</v>
      </c>
      <c r="AF3" s="1182"/>
      <c r="AG3" s="545" t="s">
        <v>356</v>
      </c>
      <c r="AH3" s="1181" t="str">
        <f>IF(OR(F3=0,F3=""),"",(SQRT(SUM(AY13:AY42)+SUM(AY47:AY61)+SUM(AY66:AY80)))/F3)</f>
        <v/>
      </c>
      <c r="AI3" s="1181"/>
      <c r="AJ3" s="1181"/>
      <c r="AK3" s="1181"/>
      <c r="AL3" s="546" t="s">
        <v>1259</v>
      </c>
      <c r="AM3" s="545" t="s">
        <v>743</v>
      </c>
      <c r="AN3" s="545"/>
      <c r="AO3" s="540"/>
      <c r="AP3" s="540"/>
      <c r="AQ3" s="541"/>
    </row>
    <row r="4" spans="1:55" ht="25.5" customHeight="1" thickBot="1">
      <c r="A4" s="1183" t="s">
        <v>741</v>
      </c>
      <c r="B4" s="1184"/>
      <c r="C4" s="1184"/>
      <c r="D4" s="214" t="s">
        <v>39</v>
      </c>
      <c r="E4" s="701" t="s">
        <v>742</v>
      </c>
      <c r="F4" s="1186">
        <f>SUM(W13:W42)+SUM(W47:W61)+SUM(W66:W80)</f>
        <v>0</v>
      </c>
      <c r="G4" s="1186"/>
      <c r="H4" s="214" t="s">
        <v>146</v>
      </c>
      <c r="I4" s="796" t="s">
        <v>743</v>
      </c>
      <c r="J4" s="215"/>
      <c r="K4" s="215"/>
      <c r="L4" s="215"/>
      <c r="M4" s="215"/>
      <c r="N4" s="215"/>
      <c r="O4" s="215"/>
      <c r="P4" s="215"/>
      <c r="Q4" s="215"/>
      <c r="R4" s="215"/>
      <c r="S4" s="699"/>
      <c r="T4" s="699"/>
      <c r="U4" s="699"/>
      <c r="V4" s="699"/>
      <c r="W4" s="699"/>
      <c r="X4" s="699"/>
      <c r="Y4" s="699"/>
      <c r="Z4" s="699"/>
      <c r="AA4" s="699"/>
      <c r="AB4" s="700"/>
      <c r="AC4" s="478"/>
      <c r="AD4" s="539"/>
      <c r="AE4" s="1182" t="s">
        <v>1270</v>
      </c>
      <c r="AF4" s="1182"/>
      <c r="AG4" s="545" t="s">
        <v>356</v>
      </c>
      <c r="AH4" s="1181" t="str">
        <f>IF(OR(F4=0,F4=""),"",(SQRT(SUM(AZ13:AZ42)+SUM(AZ47:AZ61)+SUM(AZ66:AZ80)))/F4)</f>
        <v/>
      </c>
      <c r="AI4" s="1181"/>
      <c r="AJ4" s="1181"/>
      <c r="AK4" s="1181"/>
      <c r="AL4" s="546" t="s">
        <v>1259</v>
      </c>
      <c r="AM4" s="545" t="s">
        <v>743</v>
      </c>
      <c r="AN4" s="540"/>
      <c r="AO4" s="540"/>
      <c r="AP4" s="540"/>
      <c r="AQ4" s="541"/>
    </row>
    <row r="5" spans="1:55" ht="25.5" customHeight="1" thickBot="1">
      <c r="A5" s="1183" t="s">
        <v>741</v>
      </c>
      <c r="B5" s="1184"/>
      <c r="C5" s="1184"/>
      <c r="D5" s="214" t="s">
        <v>145</v>
      </c>
      <c r="E5" s="701" t="s">
        <v>742</v>
      </c>
      <c r="F5" s="1185">
        <f>SUM(X13:X42)+SUM(X47:X61)+SUM(X66:X80)</f>
        <v>0</v>
      </c>
      <c r="G5" s="1185"/>
      <c r="H5" s="214" t="s">
        <v>146</v>
      </c>
      <c r="I5" s="796" t="s">
        <v>743</v>
      </c>
      <c r="J5" s="215"/>
      <c r="K5" s="215"/>
      <c r="L5" s="215"/>
      <c r="M5" s="215"/>
      <c r="N5" s="215"/>
      <c r="O5" s="215"/>
      <c r="P5" s="215"/>
      <c r="Q5" s="215"/>
      <c r="R5" s="215"/>
      <c r="S5" s="699"/>
      <c r="T5" s="699"/>
      <c r="U5" s="699"/>
      <c r="V5" s="699"/>
      <c r="W5" s="699"/>
      <c r="X5" s="699"/>
      <c r="Y5" s="699"/>
      <c r="Z5" s="699"/>
      <c r="AA5" s="699"/>
      <c r="AB5" s="700"/>
      <c r="AC5" s="478"/>
      <c r="AD5" s="539"/>
      <c r="AE5" s="1182" t="s">
        <v>1271</v>
      </c>
      <c r="AF5" s="1182"/>
      <c r="AG5" s="545" t="s">
        <v>356</v>
      </c>
      <c r="AH5" s="1181" t="str">
        <f>IF(OR(F5=0,F5=""),"",(SQRT(SUM(BA13:BA42)+SUM(BA47:BA61)+SUM(BA66:BA80)))/F5)</f>
        <v/>
      </c>
      <c r="AI5" s="1181"/>
      <c r="AJ5" s="1181"/>
      <c r="AK5" s="1181"/>
      <c r="AL5" s="546" t="s">
        <v>1259</v>
      </c>
      <c r="AM5" s="545" t="s">
        <v>743</v>
      </c>
      <c r="AN5" s="540"/>
      <c r="AO5" s="540"/>
      <c r="AP5" s="540"/>
      <c r="AQ5" s="541"/>
    </row>
    <row r="6" spans="1:55" ht="25.5" customHeight="1" thickBot="1">
      <c r="A6" s="1183" t="s">
        <v>741</v>
      </c>
      <c r="B6" s="1184"/>
      <c r="C6" s="1184"/>
      <c r="D6" s="214" t="s">
        <v>147</v>
      </c>
      <c r="E6" s="701" t="s">
        <v>742</v>
      </c>
      <c r="F6" s="1187">
        <f>SUM(Z85:Z140)</f>
        <v>0</v>
      </c>
      <c r="G6" s="1187"/>
      <c r="H6" s="214" t="s">
        <v>146</v>
      </c>
      <c r="I6" s="796" t="s">
        <v>743</v>
      </c>
      <c r="J6" s="215"/>
      <c r="K6" s="215"/>
      <c r="L6" s="215"/>
      <c r="M6" s="215"/>
      <c r="N6" s="215"/>
      <c r="O6" s="215"/>
      <c r="P6" s="215"/>
      <c r="Q6" s="215"/>
      <c r="R6" s="215"/>
      <c r="S6" s="699"/>
      <c r="T6" s="699"/>
      <c r="U6" s="699"/>
      <c r="V6" s="699"/>
      <c r="W6" s="699"/>
      <c r="X6" s="699"/>
      <c r="Y6" s="699"/>
      <c r="Z6" s="699"/>
      <c r="AA6" s="699"/>
      <c r="AB6" s="700"/>
      <c r="AC6" s="478"/>
      <c r="AD6" s="539"/>
      <c r="AE6" s="1182" t="s">
        <v>1272</v>
      </c>
      <c r="AF6" s="1182"/>
      <c r="AG6" s="545" t="s">
        <v>356</v>
      </c>
      <c r="AH6" s="1181" t="str">
        <f>IF(OR(F6=0,F6=""),"",(SQRT(SUM(BB85:BB140)))/F6)</f>
        <v/>
      </c>
      <c r="AI6" s="1181"/>
      <c r="AJ6" s="1181"/>
      <c r="AK6" s="1181"/>
      <c r="AL6" s="546" t="s">
        <v>1259</v>
      </c>
      <c r="AM6" s="545" t="s">
        <v>743</v>
      </c>
      <c r="AN6" s="540"/>
      <c r="AO6" s="540"/>
      <c r="AP6" s="540"/>
      <c r="AQ6" s="541"/>
    </row>
    <row r="7" spans="1:55" ht="25.5" customHeight="1" thickBot="1">
      <c r="A7" s="1183" t="s">
        <v>741</v>
      </c>
      <c r="B7" s="1184"/>
      <c r="C7" s="1184"/>
      <c r="D7" s="214" t="s">
        <v>31</v>
      </c>
      <c r="E7" s="701" t="s">
        <v>742</v>
      </c>
      <c r="F7" s="1185">
        <f>SUM(AA13:AA42)+SUM(AA47:AA61)+SUM(AA66:AA80)</f>
        <v>0</v>
      </c>
      <c r="G7" s="1185"/>
      <c r="H7" s="214" t="s">
        <v>146</v>
      </c>
      <c r="I7" s="796" t="s">
        <v>743</v>
      </c>
      <c r="J7" s="699"/>
      <c r="K7" s="699"/>
      <c r="L7" s="699"/>
      <c r="M7" s="699"/>
      <c r="N7" s="699"/>
      <c r="O7" s="699"/>
      <c r="P7" s="699"/>
      <c r="Q7" s="699"/>
      <c r="R7" s="699"/>
      <c r="S7" s="699"/>
      <c r="T7" s="699"/>
      <c r="U7" s="699"/>
      <c r="V7" s="699"/>
      <c r="W7" s="699"/>
      <c r="X7" s="699"/>
      <c r="Y7" s="699"/>
      <c r="Z7" s="699"/>
      <c r="AA7" s="699"/>
      <c r="AB7" s="700"/>
      <c r="AC7" s="478"/>
      <c r="AD7" s="539"/>
      <c r="AE7" s="1182" t="s">
        <v>1273</v>
      </c>
      <c r="AF7" s="1182"/>
      <c r="AG7" s="545" t="s">
        <v>356</v>
      </c>
      <c r="AH7" s="1181" t="str">
        <f>IF(OR(F7=0,F7=""),"",(SQRT(SUM(BC13:BC42)+SUM(BC47:BC61)+SUM(BC66:BC80)))/F7)</f>
        <v/>
      </c>
      <c r="AI7" s="1181"/>
      <c r="AJ7" s="1181"/>
      <c r="AK7" s="1181"/>
      <c r="AL7" s="546" t="s">
        <v>1259</v>
      </c>
      <c r="AM7" s="545" t="s">
        <v>743</v>
      </c>
      <c r="AN7" s="540"/>
      <c r="AO7" s="540"/>
      <c r="AP7" s="540"/>
      <c r="AQ7" s="541"/>
    </row>
    <row r="8" spans="1:55" ht="92.55" customHeight="1" thickBot="1">
      <c r="A8" s="1013"/>
      <c r="B8" s="1014"/>
      <c r="C8" s="1014"/>
      <c r="D8" s="1014"/>
      <c r="E8" s="1014"/>
      <c r="F8" s="1014"/>
      <c r="G8" s="1014"/>
      <c r="H8" s="1014"/>
      <c r="I8" s="1014"/>
      <c r="J8" s="699"/>
      <c r="K8" s="699"/>
      <c r="L8" s="699"/>
      <c r="M8" s="699"/>
      <c r="N8" s="699"/>
      <c r="O8" s="699"/>
      <c r="P8" s="699"/>
      <c r="Q8" s="699"/>
      <c r="R8" s="699"/>
      <c r="S8" s="699"/>
      <c r="T8" s="699"/>
      <c r="U8" s="699"/>
      <c r="V8" s="699"/>
      <c r="W8" s="699"/>
      <c r="X8" s="699"/>
      <c r="Y8" s="699"/>
      <c r="Z8" s="699"/>
      <c r="AA8" s="699"/>
      <c r="AB8" s="700"/>
      <c r="AC8" s="478"/>
      <c r="AD8" s="542"/>
      <c r="AE8" s="543"/>
      <c r="AF8" s="543"/>
      <c r="AG8" s="543"/>
      <c r="AH8" s="543"/>
      <c r="AI8" s="543"/>
      <c r="AJ8" s="543"/>
      <c r="AK8" s="543"/>
      <c r="AL8" s="543"/>
      <c r="AM8" s="543"/>
      <c r="AN8" s="543"/>
      <c r="AO8" s="543"/>
      <c r="AP8" s="543"/>
      <c r="AQ8" s="544"/>
    </row>
    <row r="9" spans="1:55" ht="19.95" customHeight="1" thickBot="1">
      <c r="A9" s="1065" t="s">
        <v>1028</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7"/>
      <c r="AC9" s="478"/>
      <c r="AD9" s="1244"/>
      <c r="AE9" s="1245"/>
      <c r="AF9" s="1245"/>
      <c r="AG9" s="1245"/>
      <c r="AH9" s="1245"/>
      <c r="AI9" s="1245"/>
      <c r="AJ9" s="1245"/>
      <c r="AK9" s="1245"/>
      <c r="AL9" s="1245"/>
      <c r="AM9" s="1245"/>
      <c r="AN9" s="1245"/>
      <c r="AO9" s="1245"/>
      <c r="AP9" s="1245"/>
      <c r="AQ9" s="1246"/>
    </row>
    <row r="10" spans="1:55" ht="21" customHeight="1" thickBot="1">
      <c r="A10" s="1041"/>
      <c r="B10" s="278" t="s">
        <v>116</v>
      </c>
      <c r="C10" s="1071" t="s">
        <v>991</v>
      </c>
      <c r="D10" s="1116" t="s">
        <v>132</v>
      </c>
      <c r="E10" s="1117"/>
      <c r="F10" s="1117"/>
      <c r="G10" s="1118"/>
      <c r="H10" s="1116" t="s">
        <v>135</v>
      </c>
      <c r="I10" s="1117"/>
      <c r="J10" s="1117"/>
      <c r="K10" s="1117"/>
      <c r="L10" s="1117"/>
      <c r="M10" s="1117"/>
      <c r="N10" s="1117"/>
      <c r="O10" s="1117"/>
      <c r="P10" s="1118"/>
      <c r="Q10" s="1074" t="s">
        <v>285</v>
      </c>
      <c r="R10" s="1074"/>
      <c r="S10" s="1074"/>
      <c r="T10" s="1074"/>
      <c r="U10" s="1074"/>
      <c r="V10" s="1073" t="s">
        <v>144</v>
      </c>
      <c r="W10" s="1074"/>
      <c r="X10" s="1074"/>
      <c r="Y10" s="1074"/>
      <c r="Z10" s="1074"/>
      <c r="AA10" s="1074"/>
      <c r="AB10" s="216"/>
      <c r="AC10" s="478"/>
      <c r="AD10" s="1247"/>
      <c r="AE10" s="1262" t="s">
        <v>1262</v>
      </c>
      <c r="AF10" s="1263"/>
      <c r="AG10" s="1263"/>
      <c r="AH10" s="1263"/>
      <c r="AI10" s="1263"/>
      <c r="AJ10" s="1263"/>
      <c r="AK10" s="1264"/>
      <c r="AL10" s="1263" t="s">
        <v>1258</v>
      </c>
      <c r="AM10" s="1263"/>
      <c r="AN10" s="1263"/>
      <c r="AO10" s="1263"/>
      <c r="AP10" s="1264"/>
      <c r="AQ10" s="1247"/>
    </row>
    <row r="11" spans="1:55" s="217" customFormat="1" ht="24.45" customHeight="1">
      <c r="A11" s="1041"/>
      <c r="B11" s="1069" t="s">
        <v>131</v>
      </c>
      <c r="C11" s="1114"/>
      <c r="D11" s="1102" t="s">
        <v>54</v>
      </c>
      <c r="E11" s="1104" t="s">
        <v>126</v>
      </c>
      <c r="F11" s="1110" t="s">
        <v>127</v>
      </c>
      <c r="G11" s="1112" t="s">
        <v>754</v>
      </c>
      <c r="H11" s="1102" t="s">
        <v>85</v>
      </c>
      <c r="I11" s="1119" t="s">
        <v>148</v>
      </c>
      <c r="J11" s="1119" t="s">
        <v>143</v>
      </c>
      <c r="K11" s="1052" t="s">
        <v>971</v>
      </c>
      <c r="L11" s="1087"/>
      <c r="M11" s="1104" t="s">
        <v>136</v>
      </c>
      <c r="N11" s="1104"/>
      <c r="O11" s="1104"/>
      <c r="P11" s="1112"/>
      <c r="Q11" s="284" t="s">
        <v>40</v>
      </c>
      <c r="R11" s="720" t="s">
        <v>39</v>
      </c>
      <c r="S11" s="720" t="s">
        <v>145</v>
      </c>
      <c r="T11" s="1076" t="s">
        <v>147</v>
      </c>
      <c r="U11" s="727" t="s">
        <v>31</v>
      </c>
      <c r="V11" s="721" t="s">
        <v>40</v>
      </c>
      <c r="W11" s="720" t="s">
        <v>39</v>
      </c>
      <c r="X11" s="720" t="s">
        <v>145</v>
      </c>
      <c r="Y11" s="1078" t="s">
        <v>147</v>
      </c>
      <c r="Z11" s="1079"/>
      <c r="AA11" s="727" t="s">
        <v>31</v>
      </c>
      <c r="AB11" s="216"/>
      <c r="AC11" s="478"/>
      <c r="AD11" s="1248"/>
      <c r="AE11" s="1256" t="s">
        <v>1263</v>
      </c>
      <c r="AF11" s="1260" t="s">
        <v>1517</v>
      </c>
      <c r="AG11" s="1258" t="s">
        <v>1261</v>
      </c>
      <c r="AH11" s="1258"/>
      <c r="AI11" s="1258"/>
      <c r="AJ11" s="1258"/>
      <c r="AK11" s="1259"/>
      <c r="AL11" s="529" t="s">
        <v>40</v>
      </c>
      <c r="AM11" s="530" t="s">
        <v>39</v>
      </c>
      <c r="AN11" s="530" t="s">
        <v>145</v>
      </c>
      <c r="AO11" s="530" t="s">
        <v>147</v>
      </c>
      <c r="AP11" s="531" t="s">
        <v>31</v>
      </c>
      <c r="AQ11" s="1248"/>
      <c r="AR11" s="213"/>
      <c r="AS11" s="529" t="s">
        <v>40</v>
      </c>
      <c r="AT11" s="530" t="s">
        <v>39</v>
      </c>
      <c r="AU11" s="530" t="s">
        <v>145</v>
      </c>
      <c r="AV11" s="530" t="s">
        <v>147</v>
      </c>
      <c r="AW11" s="531" t="s">
        <v>31</v>
      </c>
      <c r="AY11" s="529" t="s">
        <v>40</v>
      </c>
      <c r="AZ11" s="530" t="s">
        <v>39</v>
      </c>
      <c r="BA11" s="530" t="s">
        <v>145</v>
      </c>
      <c r="BB11" s="530" t="s">
        <v>147</v>
      </c>
      <c r="BC11" s="531" t="s">
        <v>31</v>
      </c>
    </row>
    <row r="12" spans="1:55" ht="49.95" customHeight="1" thickBot="1">
      <c r="A12" s="1041"/>
      <c r="B12" s="1069"/>
      <c r="C12" s="1115"/>
      <c r="D12" s="1103"/>
      <c r="E12" s="1105"/>
      <c r="F12" s="1111"/>
      <c r="G12" s="1113"/>
      <c r="H12" s="1103"/>
      <c r="I12" s="1120"/>
      <c r="J12" s="1120"/>
      <c r="K12" s="1121"/>
      <c r="L12" s="1089"/>
      <c r="M12" s="681" t="s">
        <v>133</v>
      </c>
      <c r="N12" s="681" t="s">
        <v>137</v>
      </c>
      <c r="O12" s="681" t="s">
        <v>142</v>
      </c>
      <c r="P12" s="683" t="s">
        <v>138</v>
      </c>
      <c r="Q12" s="712" t="s">
        <v>286</v>
      </c>
      <c r="R12" s="697" t="s">
        <v>286</v>
      </c>
      <c r="S12" s="697" t="s">
        <v>286</v>
      </c>
      <c r="T12" s="1077"/>
      <c r="U12" s="812" t="s">
        <v>286</v>
      </c>
      <c r="V12" s="822" t="s">
        <v>146</v>
      </c>
      <c r="W12" s="697" t="s">
        <v>146</v>
      </c>
      <c r="X12" s="697" t="s">
        <v>146</v>
      </c>
      <c r="Y12" s="1080"/>
      <c r="Z12" s="1081"/>
      <c r="AA12" s="812" t="s">
        <v>146</v>
      </c>
      <c r="AB12" s="216"/>
      <c r="AC12" s="478"/>
      <c r="AD12" s="1248"/>
      <c r="AE12" s="1257"/>
      <c r="AF12" s="1261"/>
      <c r="AG12" s="519" t="s">
        <v>40</v>
      </c>
      <c r="AH12" s="519" t="s">
        <v>39</v>
      </c>
      <c r="AI12" s="519" t="s">
        <v>145</v>
      </c>
      <c r="AJ12" s="519" t="s">
        <v>147</v>
      </c>
      <c r="AK12" s="520" t="s">
        <v>31</v>
      </c>
      <c r="AL12" s="532" t="s">
        <v>1260</v>
      </c>
      <c r="AM12" s="519" t="s">
        <v>1260</v>
      </c>
      <c r="AN12" s="519" t="s">
        <v>1260</v>
      </c>
      <c r="AO12" s="519" t="s">
        <v>1260</v>
      </c>
      <c r="AP12" s="520" t="s">
        <v>1260</v>
      </c>
      <c r="AQ12" s="1248"/>
      <c r="AS12" s="1289" t="s">
        <v>1285</v>
      </c>
      <c r="AT12" s="1289"/>
      <c r="AU12" s="1289"/>
      <c r="AV12" s="1289"/>
      <c r="AW12" s="1289"/>
      <c r="AY12" s="1289" t="s">
        <v>1286</v>
      </c>
      <c r="AZ12" s="1289"/>
      <c r="BA12" s="1289"/>
      <c r="BB12" s="1289"/>
      <c r="BC12" s="1289"/>
    </row>
    <row r="13" spans="1:55" ht="21.45" customHeight="1">
      <c r="A13" s="1041"/>
      <c r="B13" s="1101"/>
      <c r="C13" s="264" t="s">
        <v>316</v>
      </c>
      <c r="D13" s="283"/>
      <c r="E13" s="679"/>
      <c r="F13" s="248"/>
      <c r="G13" s="680"/>
      <c r="H13" s="220"/>
      <c r="I13" s="685"/>
      <c r="J13" s="280" t="str">
        <f>IF(H13="","",VLOOKUP(H13,'Emission factors'!$A$10:$C$19,2,FALSE))</f>
        <v/>
      </c>
      <c r="K13" s="687" t="str">
        <f>IF(H13="Fuel oil ","درصد گوگرد در سوخت را وارد كنيد:",".نيازي به وارد كردن اين داده نيست")</f>
        <v>.نيازي به وارد كردن اين داده نيست</v>
      </c>
      <c r="L13" s="221"/>
      <c r="M13" s="219"/>
      <c r="N13" s="222" t="str">
        <f>IF(AND(M13="واقعي",OR(H13=" Natural Gas",H13="Other Gas 1",H13="Other Gas 2",H13="Other Gas 3",H13="Other Gas 4",H13="Other Gas 5",H13="LPG",H13="Fuel oil ",H13="light gas oil",H13="Heavy gas oil")),IF((((VLOOKUP(H13,'Emission factors'!$B$41:$I$55,7,FALSE))="")),"در شيت Compositions آناليز و يا مشخصات سوخت را وارد كنيد",VLOOKUP(H13,'Emission factors'!$B$41:$I$55,7,FALSE)),"")</f>
        <v/>
      </c>
      <c r="O13" s="222" t="str">
        <f>IF(H13="","",VLOOKUP(H13,'Emission factors'!$B$41:$G$55,2,FALSE))</f>
        <v/>
      </c>
      <c r="P13" s="223" t="str">
        <f>IF(H13="","",VLOOKUP(H13,'Emission factors'!$A$10:$C$19,3,FALSE))</f>
        <v/>
      </c>
      <c r="Q13" s="282" t="str">
        <f>IF(H13="Light Gas Oil",((IF(AND(E13="Boilers &lt; 100 Million Btu/hr",F13="عادي",G13="Uncontrolled, etc."),57.32,(IF(AND(E13="Boilers &gt; 100 Million Btu/hr",F13="عادي",G13="Uncontrolled, etc."),68.79,IF(AND(E13="Boilers &gt; 100 Million Btu/hr",F13="مماسي",G13="Uncontrolled, etc."),28.66,"ND")))))),(IF(H13="Heavy Gas Oil",(IF(AND(E13="Boilers &lt; 100 Million Btu/hr",F13="عادي",G13="Uncontrolled, etc."),57.32,(IF(AND(E13="Boilers &gt; 100 Million Btu/hr",F13="عادي",G13="Uncontrolled, etc."),134.71,IF(AND(E13="Boilers &gt; 100 Million Btu/hr",F13="مماسي",G13="Uncontrolled, etc."),91.72,"ND"))))),(IF(H13="Fuel oil ",(IF(AND(E13="Boilers &lt; 100 Million Btu/hr",F13="عادي",G13="Uncontrolled, etc."),157.64,(IF(AND(E13="Boilers &gt; 100 Million Btu/hr",F13="عادي",G13="Uncontrolled, etc."),134.71,IF(AND(E13="Boilers &gt; 100 Million Btu/hr",F13="مماسي",G13="Uncontrolled, etc."),91.72,IF(AND(E13="Boilers &gt; 100 Million Btu/hr",F13="عادي",G13="Controlled-Low NOx burners"),114.65,IF(AND(E13="Boilers &gt; 100 Million Btu/hr",F13="مماسي",G13="Controlled-Low NOx burners"),74.52,"ND"))))))),(IF(OR(H13=" Natural Gas",H13="Other Gas 1",H13="Other Gas 2",H13="Other Gas 3",H13="Other Gas 4",H13="Other Gas 5",H13="LPG"),(IF(AND(E13="Boilers &lt; 100 Million Btu/hr",F13="عادي",G13="Uncontrolled, etc."),42.2,(IF(AND(E13="Boilers &lt; 100 Million Btu/hr",F13="عادي",G13="Controlled-Low NOx burners"),21.1,(IF(AND(E13="Boilers &lt; 100 Million Btu/hr",F13="عادي",G13="Controlled-Flue gas recirculation"),13.5, (IF(AND(E13="Boilers &gt; 100 Million Btu/hr",F13="عادي",G13="Uncontrolled, etc."),80.1,(IF(AND(E13="Boilers &gt; 100 Million Btu/hr",F13="عادي",G13="Controlled-Low NOx burners"),59,(IF(AND(E13="Boilers &gt; 100 Million Btu/hr",F13="عادي",G13="Controlled-Flue gas recirculation"),42.2,(IF(AND(F13="مماسي",G13="Uncontrolled, etc."),71.7,(IF(AND(F13="مماسي",G13="Controlled-Flue gas recirculation"),32.1,"ND"    )))) )))))) ) ))))),"ND")))))))</f>
        <v>ND</v>
      </c>
      <c r="R13" s="694" t="str">
        <f>IF(AND(OR(F13="عادي",F13="مماسي"),OR(H13="Fuel oil ",H13="Light Gas Oil",H13="Heavy Gas Oil")),14.33,(     IF(OR(H13=" Natural Gas",H13="Other Gas 1",H13="Other Gas 2",H13="Other Gas 3",H13="Other Gas 4",H13="Other Gas 5",H13="LPG"), (IF(F13="عادي",(35.5),(IF(AND(F13="مماسي",G13="Uncontrolled, etc."),(10.1),(IF(AND(F13="مماسي",G13="Controlled-Flue gas recirculation"),41.3,"ND"))     ))  )),("ND"))    ))</f>
        <v>ND</v>
      </c>
      <c r="S13" s="694" t="str">
        <f>IF(OR(H13=" Natural Gas",H13="Other Gas 1",H13="Other Gas 2",H13="Other Gas 3",H13="Other Gas 4",H13="Other Gas 5",H13="LPG"),(3.2),(IF(H13="Light Gas oil",(5.73),(IF(H13="Heavy Gas oil",(20.06),((IF(H13="Fuel Oil ",(IF(L13="","درصد گوگرد در سوخت را وارد كنيد",(26.34*(L13)+9.23))),("ND")))))))))</f>
        <v>ND</v>
      </c>
      <c r="T13" s="687" t="s">
        <v>284</v>
      </c>
      <c r="U13" s="709" t="str">
        <f>IF(OR(D13="",H13=""),"ND",IF(OR(H13=" Natural Gas",H13="Other Gas 1",H13="Other Gas 2",H13="Other Gas 3",H13="Other Gas 4",H13="Other Gas 5",H13="LPG"), 2.3, (IF(D13="Utility",2.18,(IF(H13="Fuel oil ",0.8,0.57))))))</f>
        <v>ND</v>
      </c>
      <c r="V13" s="224" t="str">
        <f>IF(Q13="ND","",IF(I13="","",(IF(M13="","",(IF(M13="پيش‌فرض",((O13*Q13*I13)*(10^-6)),IF(AND(M13="واقعي",N13="در شيت Compositions آناليز و يا مشخصات سوخت را وارد كنيد"),"",((N13*Q13*I13)*(10^-6))))))))    )</f>
        <v/>
      </c>
      <c r="W13" s="225" t="str">
        <f>IF(R13="ND","",       IF(I13="","",(IF(M13="","",(IF(M13="پيش‌فرض",((O13*R13*I13)*(10^-6)),IF(AND(M13="واقعي",N13="در شيت Compositions آناليز و يا مشخصات سوخت را وارد كنيد"),"",((N13*R13*I13)*(10^-6))))))))    )</f>
        <v/>
      </c>
      <c r="X13" s="225" t="str">
        <f>IF(OR(S13="ND",S13="درصد گوگرد در سوخت را وارد كنيد",I13=""),"",IF(M13="","",(IF(M13="پيش‌فرض",((O13*S13*I13)*(10^-6)),IF(AND(M13="واقعي",N13="در شيت Compositions آناليز و يا مشخصات سوخت را وارد كنيد"),"",((N13*S13*I13)*(10^-6)))))))</f>
        <v/>
      </c>
      <c r="Y13" s="1145" t="s">
        <v>284</v>
      </c>
      <c r="Z13" s="1146"/>
      <c r="AA13" s="226" t="str">
        <f>IF(OR(U13="ND",I13=""),"",IF(M13="","",(IF(M13="پيش‌فرض",((O13*U13*I13)*(10^-6)),IF(AND(M13="واقعي",N13="در شيت Compositions آناليز و يا مشخصات سوخت را وارد كنيد"),"",((N13*U13*I13)*(10^-6)))))))</f>
        <v/>
      </c>
      <c r="AB13" s="216"/>
      <c r="AC13" s="478"/>
      <c r="AD13" s="1248"/>
      <c r="AE13" s="522"/>
      <c r="AF13" s="735" t="str">
        <f>IF(M13="","",IF(M13="پيش‌فرض",40,IF(H13=" Natural Gas",Compositions!$BO$21,IF(H13="Other Gas 1",Compositions!$BO$30,IF(H13="Other Gas 2",Compositions!$BO$39,IF(H13="Other Gas 3",Compositions!$BW$21,IF(H13="Other Gas 4",Compositions!$BW$30,IF(H13="Other Gas 5",Compositions!$BW$39,IF(H13="LPG",Compositions!$BK$81,IF(H13="Heavy Gas oil",Compositions!$BK$83,IF(H13="Light Gas oil",Compositions!$BK$84,IF(H13="Fuel oil ",Compositions!$BK$85,""))))))))))       ))</f>
        <v/>
      </c>
      <c r="AG13" s="518" t="str">
        <f>IF(H13="Light Gas Oil",((IF(AND(E13="Boilers &lt; 100 Million Btu/hr",F13="عادي",G13="Uncontrolled, etc."),20,(IF(AND(E13="Boilers &gt; 100 Million Btu/hr",F13="عادي",G13="Uncontrolled, etc."),200,IF(AND(E13="Boilers &gt; 100 Million Btu/hr",F13="مماسي",G13="Uncontrolled, etc."),200,"ND")))))),(IF(H13="Heavy Gas Oil",(IF(AND(E13="Boilers &lt; 100 Million Btu/hr",F13="عادي",G13="Uncontrolled, etc."),20,(IF(AND(E13="Boilers &gt; 100 Million Btu/hr",F13="عادي",G13="Uncontrolled, etc."),40,IF(AND(E13="Boilers &gt; 100 Million Btu/hr",F13="مماسي",G13="Uncontrolled, etc."),40,"ND"))))),(IF(H13="Fuel oil ",(IF(AND(E13="Boilers &lt; 100 Million Btu/hr",F13="عادي",G13="Uncontrolled, etc."),20,(IF(AND(E13="Boilers &gt; 100 Million Btu/hr",F13="عادي",G13="Uncontrolled, etc."),20,IF(AND(E13="Boilers &gt; 100 Million Btu/hr",F13="مماسي",G13="Uncontrolled, etc."),20,IF(AND(E13="Boilers &gt; 100 Million Btu/hr",F13="عادي",G13="Controlled-Low NOx burners"),40,IF(AND(E13="Boilers &gt; 100 Million Btu/hr",F13="مماسي",G13="Controlled-Low NOx burners"),1000,"ND"))))))),(IF(OR(H13=" Natural Gas",H13="Other Gas 1",H13="Other Gas 2",H13="Other Gas 3",H13="Other Gas 4",H13="Other Gas 5",H13="LPG"),(IF(AND(E13="Boilers &lt; 100 Million Btu/hr",F13="عادي",G13="Uncontrolled, etc."),40,(IF(AND(E13="Boilers &lt; 100 Million Btu/hr",F13="عادي",G13="Controlled-Low NOx burners"),200,(IF(AND(E13="Boilers &lt; 100 Million Btu/hr",F13="عادي",G13="Controlled-Flue gas recirculation"),125, (IF(AND(E13="Boilers &gt; 100 Million Btu/hr",F13="عادي",G13="Uncontrolled, etc."),20,(IF(AND(E13="Boilers &gt; 100 Million Btu/hr",F13="عادي",G13="Controlled-Low NOx burners"),20,(IF(AND(E13="Boilers &gt; 100 Million Btu/hr",F13="عادي",G13="Controlled-Flue gas recirculation"),200,(IF(AND(F13="مماسي",G13="Uncontrolled, etc."),20,(IF(AND(F13="مماسي",G13="Controlled-Flue gas recirculation"),200,"ND"    )))) )))))) ) ))))),"ND")))))))</f>
        <v>ND</v>
      </c>
      <c r="AH13" s="518" t="str">
        <f>IF(AND(OR(F13="عادي",F13="مماسي"),OR(H13="Fuel oil ",H13="Light Gas Oil",H13="Heavy Gas Oil")),20,(     IF(OR(H13=" Natural Gas",H13="Other Gas 1",H13="Other Gas 2",H13="Other Gas 3",H13="Other Gas 4",H13="Other Gas 5",H13="LPG"), (IF(F13="عادي",(40),(IF(AND(F13="مماسي",G13="Uncontrolled, etc."),(125),(IF(AND(F13="مماسي",G13="Controlled-Flue gas recirculation"),200,"ND"))     ))  )),("ND"))    ))</f>
        <v>ND</v>
      </c>
      <c r="AI13" s="518" t="str">
        <f>IF(OR(H13=" Natural Gas",H13="Other Gas 1",H13="Other Gas 2",H13="Other Gas 3",H13="Other Gas 4",H13="Other Gas 5",H13="LPG"),(200),(IF(H13="Light Gas oil",(20),(IF(H13="Heavy Gas oil",(40),((IF(AND(H13="Fuel Oil ",E13="Boilers &gt; 100 Million Btu/hr"),20,( IF(     AND(H13="Fuel Oil ",E13="Boilers &lt; 100 Million Btu/hr"),40,"ND")                             )          ))))))))</f>
        <v>ND</v>
      </c>
      <c r="AJ13" s="1253" t="s">
        <v>1257</v>
      </c>
      <c r="AK13" s="523" t="str">
        <f>IF(OR(D13="",H13=""),"ND",IF(OR(H13=" Natural Gas",H13="Other Gas 1",H13="Other Gas 2",H13="Other Gas 3",H13="Other Gas 4",H13="Other Gas 5",H13="LPG"), 125, (IF(D13="Utility",20,(IF(H13="Fuel oil ",20,20))))))</f>
        <v>ND</v>
      </c>
      <c r="AL13" s="650" t="str">
        <f>IF(OR(AE13="",AF13="",AF13="ND",AG13="",AG13="ND"),"",(SQRT((AE13^2)+(AF13^2)+(AG13^2))))</f>
        <v/>
      </c>
      <c r="AM13" s="650" t="str">
        <f>IF(OR(AE13="",AF13="",AF13="ND",AH13="",AH13="ND"),"",(SQRT((AE13^2)+(AF13^2)+(AH13^2))))</f>
        <v/>
      </c>
      <c r="AN13" s="650" t="str">
        <f>IF(OR(AE13="",AF13="",AF13="ND",AI13="",AI13="ND"),"",(SQRT((AE13^2)+(AF13^2)+(AI13^2))))</f>
        <v/>
      </c>
      <c r="AO13" s="1254" t="s">
        <v>1257</v>
      </c>
      <c r="AP13" s="528" t="str">
        <f>IF(OR(AE13="",AF13="",AF13="ND",AK13="",AK13="ND"),"",(SQRT((AE13^2)+(AF13^2)+(AK13^2))))</f>
        <v/>
      </c>
      <c r="AQ13" s="1249"/>
      <c r="AS13" s="719" t="str">
        <f>IF(OR(V13="",AL13=""),"",V13*AL13)</f>
        <v/>
      </c>
      <c r="AT13" s="719" t="str">
        <f>IF(OR(W13="",AM13=""),"",W13*AM13)</f>
        <v/>
      </c>
      <c r="AU13" s="719" t="str">
        <f>IF(OR(X13="",AN13=""),"",X13*AN13)</f>
        <v/>
      </c>
      <c r="AV13" s="1291"/>
      <c r="AW13" s="719" t="str">
        <f>IF(OR(AA13="",AP13=""),"",AA13*AP13)</f>
        <v/>
      </c>
      <c r="AY13" s="719" t="str">
        <f>IF(AS13="","",AS13^2)</f>
        <v/>
      </c>
      <c r="AZ13" s="719" t="str">
        <f t="shared" ref="AZ13:BA13" si="0">IF(AT13="","",AT13^2)</f>
        <v/>
      </c>
      <c r="BA13" s="719" t="str">
        <f t="shared" si="0"/>
        <v/>
      </c>
      <c r="BB13" s="1291"/>
      <c r="BC13" s="719" t="str">
        <f>IF(AW13="","",AW13^2)</f>
        <v/>
      </c>
    </row>
    <row r="14" spans="1:55" ht="21.45" customHeight="1">
      <c r="A14" s="1041"/>
      <c r="B14" s="1101"/>
      <c r="C14" s="268" t="s">
        <v>317</v>
      </c>
      <c r="D14" s="265"/>
      <c r="E14" s="669"/>
      <c r="F14" s="763"/>
      <c r="G14" s="670"/>
      <c r="H14" s="668"/>
      <c r="I14" s="228"/>
      <c r="J14" s="281" t="str">
        <f>IF(H14="","",VLOOKUP(H14,'Emission factors'!$A$10:$C$19,2,FALSE))</f>
        <v/>
      </c>
      <c r="K14" s="664" t="str">
        <f t="shared" ref="K14:K42" si="1">IF(H14="Fuel oil ","درصد گوگرد در سوخت را وارد كنيد:",".نيازي به وارد كردن اين داده نيست")</f>
        <v>.نيازي به وارد كردن اين داده نيست</v>
      </c>
      <c r="L14" s="229"/>
      <c r="M14" s="763"/>
      <c r="N14" s="230" t="str">
        <f>IF(AND(M14="واقعي",OR(H14=" Natural Gas",H14="Other Gas 1",H14="Other Gas 2",H14="Other Gas 3",H14="Other Gas 4",H14="Other Gas 5",H14="LPG",H14="Fuel oil ",H14="light gas oil",H14="Heavy gas oil")),IF((((VLOOKUP(H14,'Emission factors'!$B$41:$I$55,7,FALSE))="")),"در شيت Compositions آناليز و يا مشخصات سوخت را وارد كنيد",VLOOKUP(H14,'Emission factors'!$B$41:$I$55,7,FALSE)),"")</f>
        <v/>
      </c>
      <c r="O14" s="230" t="str">
        <f>IF(H14="","",VLOOKUP(H14,'Emission factors'!$B$41:$G$55,2,FALSE))</f>
        <v/>
      </c>
      <c r="P14" s="231" t="str">
        <f>IF(H14="","",VLOOKUP(H14,'Emission factors'!$A$10:$C$19,3,FALSE))</f>
        <v/>
      </c>
      <c r="Q14" s="282" t="str">
        <f t="shared" ref="Q14:Q42" si="2">IF(H14="Light Gas Oil",((IF(AND(E14="Boilers &lt; 100 Million Btu/hr",F14="عادي",G14="Uncontrolled, etc."),57.32,(IF(AND(E14="Boilers &gt; 100 Million Btu/hr",F14="عادي",G14="Uncontrolled, etc."),68.79,IF(AND(E14="Boilers &gt; 100 Million Btu/hr",F14="مماسي",G14="Uncontrolled, etc."),28.66,"ND")))))),(IF(H14="Heavy Gas Oil",(IF(AND(E14="Boilers &lt; 100 Million Btu/hr",F14="عادي",G14="Uncontrolled, etc."),57.32,(IF(AND(E14="Boilers &gt; 100 Million Btu/hr",F14="عادي",G14="Uncontrolled, etc."),134.71,IF(AND(E14="Boilers &gt; 100 Million Btu/hr",F14="مماسي",G14="Uncontrolled, etc."),91.72,"ND"))))),(IF(H14="Fuel oil ",(IF(AND(E14="Boilers &lt; 100 Million Btu/hr",F14="عادي",G14="Uncontrolled, etc."),157.64,(IF(AND(E14="Boilers &gt; 100 Million Btu/hr",F14="عادي",G14="Uncontrolled, etc."),134.71,IF(AND(E14="Boilers &gt; 100 Million Btu/hr",F14="مماسي",G14="Uncontrolled, etc."),91.72,IF(AND(E14="Boilers &gt; 100 Million Btu/hr",F14="عادي",G14="Controlled-Low NOx burners"),114.65,IF(AND(E14="Boilers &gt; 100 Million Btu/hr",F14="مماسي",G14="Controlled-Low NOx burners"),74.52,"ND"))))))),(IF(OR(H14=" Natural Gas",H14="Other Gas 1",H14="Other Gas 2",H14="Other Gas 3",H14="Other Gas 4",H14="Other Gas 5",H14="LPG"),(IF(AND(E14="Boilers &lt; 100 Million Btu/hr",F14="عادي",G14="Uncontrolled, etc."),42.2,(IF(AND(E14="Boilers &lt; 100 Million Btu/hr",F14="عادي",G14="Controlled-Low NOx burners"),21.1,(IF(AND(E14="Boilers &lt; 100 Million Btu/hr",F14="عادي",G14="Controlled-Flue gas recirculation"),13.5, (IF(AND(E14="Boilers &gt; 100 Million Btu/hr",F14="عادي",G14="Uncontrolled, etc."),80.1,(IF(AND(E14="Boilers &gt; 100 Million Btu/hr",F14="عادي",G14="Controlled-Low NOx burners"),59,(IF(AND(E14="Boilers &gt; 100 Million Btu/hr",F14="عادي",G14="Controlled-Flue gas recirculation"),42.2,(IF(AND(F14="مماسي",G14="Uncontrolled, etc."),71.7,(IF(AND(F14="مماسي",G14="Controlled-Flue gas recirculation"),32.1,"ND"    )))) )))))) ) ))))),"ND")))))))</f>
        <v>ND</v>
      </c>
      <c r="R14" s="694" t="str">
        <f t="shared" ref="R14:R42" si="3">IF(AND(OR(F14="عادي",F14="مماسي"),OR(H14="Fuel oil ",H14="Light Gas Oil",H14="Heavy Gas Oil")),14.33,(     IF(OR(H14=" Natural Gas",H14="Other Gas 1",H14="Other Gas 2",H14="Other Gas 3",H14="Other Gas 4",H14="Other Gas 5",H14="LPG"), (IF(F14="عادي",(35.5),(IF(AND(F14="مماسي",G14="Uncontrolled, etc."),(10.1),(IF(AND(F14="مماسي",G14="Controlled-Flue gas recirculation"),41.3,"ND"))     ))  )),("ND"))    ))</f>
        <v>ND</v>
      </c>
      <c r="S14" s="694" t="str">
        <f t="shared" ref="S14:S42" si="4">IF(OR(H14=" Natural Gas",H14="Other Gas 1",H14="Other Gas 2",H14="Other Gas 3",H14="Other Gas 4",H14="Other Gas 5",H14="LPG"),(3.2),(IF(H14="Light Gas oil",(5.73),(IF(H14="Heavy Gas oil",(20.06),((IF(H14="Fuel Oil ",(IF(L14="","درصد گوگرد در سوخت را وارد كنيد",(26.34*(L14)+9.23))),("ND")))))))))</f>
        <v>ND</v>
      </c>
      <c r="T14" s="686" t="s">
        <v>284</v>
      </c>
      <c r="U14" s="232" t="str">
        <f>IF(OR(D14="",H14=""),"ND",IF(OR(H14=" Natural Gas",H14="Other Gas 1",H14="Other Gas 2",H14="Other Gas 3",H14="Other Gas 4",H14="Other Gas 5",H14="LPG"), 2.3, (IF(D14="Utility",2.18,(IF(H14="Fuel oil ",0.8,0.57))))))</f>
        <v>ND</v>
      </c>
      <c r="V14" s="224" t="str">
        <f t="shared" ref="V14:V42" si="5">IF(Q14="ND","",IF(I14="","",(IF(M14="","",(IF(M14="پيش‌فرض",((O14*Q14*I14)*(10^-6)),IF(AND(M14="واقعي",N14="در شيت Compositions آناليز و يا مشخصات سوخت را وارد كنيد"),"",((N14*Q14*I14)*(10^-6))))))))    )</f>
        <v/>
      </c>
      <c r="W14" s="225" t="str">
        <f t="shared" ref="W14:W42" si="6">IF(R14="ND","",       IF(I14="","",(IF(M14="","",(IF(M14="پيش‌فرض",((O14*R14*I14)*(10^-6)),IF(AND(M14="واقعي",N14="در شيت Compositions آناليز و يا مشخصات سوخت را وارد كنيد"),"",((N14*R14*I14)*(10^-6))))))))    )</f>
        <v/>
      </c>
      <c r="X14" s="225" t="str">
        <f t="shared" ref="X14:X42" si="7">IF(OR(S14="ND",S14="درصد گوگرد در سوخت را وارد كنيد",I14=""),"",IF(M14="","",(IF(M14="پيش‌فرض",((O14*S14*I14)*(10^-6)),IF(AND(M14="واقعي",N14="در شيت Compositions آناليز و يا مشخصات سوخت را وارد كنيد"),"",((N14*S14*I14)*(10^-6)))))))</f>
        <v/>
      </c>
      <c r="Y14" s="1143" t="s">
        <v>284</v>
      </c>
      <c r="Z14" s="1144"/>
      <c r="AA14" s="226" t="str">
        <f t="shared" ref="AA14:AA42" si="8">IF(OR(U14="ND",I14=""),"",IF(M14="","",(IF(M14="پيش‌فرض",((O14*U14*I14)*(10^-6)),IF(AND(M14="واقعي",N14="در شيت Compositions آناليز و يا مشخصات سوخت را وارد كنيد"),"",((N14*U14*I14)*(10^-6)))))))</f>
        <v/>
      </c>
      <c r="AB14" s="216"/>
      <c r="AC14" s="478"/>
      <c r="AD14" s="1248"/>
      <c r="AE14" s="522"/>
      <c r="AF14" s="735" t="str">
        <f>IF(M14="","",IF(M14="پيش‌فرض",40,IF(H14=" Natural Gas",Compositions!$BO$21,IF(H14="Other Gas 1",Compositions!$BO$30,IF(H14="Other Gas 2",Compositions!$BO$39,IF(H14="Other Gas 3",Compositions!$BW$21,IF(H14="Other Gas 4",Compositions!$BW$30,IF(H14="Other Gas 5",Compositions!$BW$39,IF(H14="LPG",Compositions!$BK$81,IF(H14="Heavy Gas oil",Compositions!$BK$83,IF(H14="Light Gas oil",Compositions!$BK$84,IF(H14="Fuel oil ",Compositions!$BK$85,""))))))))))       ))</f>
        <v/>
      </c>
      <c r="AG14" s="516" t="str">
        <f t="shared" ref="AG14:AG41" si="9">IF(H14="Light Gas Oil",((IF(AND(E14="Boilers &lt; 100 Million Btu/hr",F14="عادي",G14="Uncontrolled, etc."),20,(IF(AND(E14="Boilers &gt; 100 Million Btu/hr",F14="عادي",G14="Uncontrolled, etc."),200,IF(AND(E14="Boilers &gt; 100 Million Btu/hr",F14="مماسي",G14="Uncontrolled, etc."),200,"ND")))))),(IF(H14="Heavy Gas Oil",(IF(AND(E14="Boilers &lt; 100 Million Btu/hr",F14="عادي",G14="Uncontrolled, etc."),20,(IF(AND(E14="Boilers &gt; 100 Million Btu/hr",F14="عادي",G14="Uncontrolled, etc."),40,IF(AND(E14="Boilers &gt; 100 Million Btu/hr",F14="مماسي",G14="Uncontrolled, etc."),40,"ND"))))),(IF(H14="Fuel oil ",(IF(AND(E14="Boilers &lt; 100 Million Btu/hr",F14="عادي",G14="Uncontrolled, etc."),20,(IF(AND(E14="Boilers &gt; 100 Million Btu/hr",F14="عادي",G14="Uncontrolled, etc."),20,IF(AND(E14="Boilers &gt; 100 Million Btu/hr",F14="مماسي",G14="Uncontrolled, etc."),20,IF(AND(E14="Boilers &gt; 100 Million Btu/hr",F14="عادي",G14="Controlled-Low NOx burners"),40,IF(AND(E14="Boilers &gt; 100 Million Btu/hr",F14="مماسي",G14="Controlled-Low NOx burners"),1000,"ND"))))))),(IF(OR(H14=" Natural Gas",H14="Other Gas 1",H14="Other Gas 2",H14="Other Gas 3",H14="Other Gas 4",H14="Other Gas 5",H14="LPG"),(IF(AND(E14="Boilers &lt; 100 Million Btu/hr",F14="عادي",G14="Uncontrolled, etc."),40,(IF(AND(E14="Boilers &lt; 100 Million Btu/hr",F14="عادي",G14="Controlled-Low NOx burners"),200,(IF(AND(E14="Boilers &lt; 100 Million Btu/hr",F14="عادي",G14="Controlled-Flue gas recirculation"),125, (IF(AND(E14="Boilers &gt; 100 Million Btu/hr",F14="عادي",G14="Uncontrolled, etc."),20,(IF(AND(E14="Boilers &gt; 100 Million Btu/hr",F14="عادي",G14="Controlled-Low NOx burners"),20,(IF(AND(E14="Boilers &gt; 100 Million Btu/hr",F14="عادي",G14="Controlled-Flue gas recirculation"),200,(IF(AND(F14="مماسي",G14="Uncontrolled, etc."),20,(IF(AND(F14="مماسي",G14="Controlled-Flue gas recirculation"),200,"ND"    )))) )))))) ) ))))),"ND")))))))</f>
        <v>ND</v>
      </c>
      <c r="AH14" s="516" t="str">
        <f t="shared" ref="AH14:AH41" si="10">IF(AND(OR(F14="عادي",F14="مماسي"),OR(H14="Fuel oil ",H14="Light Gas Oil",H14="Heavy Gas Oil")),20,(     IF(OR(H14=" Natural Gas",H14="Other Gas 1",H14="Other Gas 2",H14="Other Gas 3",H14="Other Gas 4",H14="Other Gas 5",H14="LPG"), (IF(F14="عادي",(40),(IF(AND(F14="مماسي",G14="Uncontrolled, etc."),(125),(IF(AND(F14="مماسي",G14="Controlled-Flue gas recirculation"),200,"ND"))     ))  )),("ND"))    ))</f>
        <v>ND</v>
      </c>
      <c r="AI14" s="516" t="str">
        <f t="shared" ref="AI14:AI42" si="11">IF(OR(H14=" Natural Gas",H14="Other Gas 1",H14="Other Gas 2",H14="Other Gas 3",H14="Other Gas 4",H14="Other Gas 5",H14="LPG"),(200),(IF(H14="Light Gas oil",(20),(IF(H14="Heavy Gas oil",(40),((IF(AND(H14="Fuel Oil ",E14="Boilers &gt; 100 Million Btu/hr"),20,( IF(     AND(H14="Fuel Oil ",E14="Boilers &lt; 100 Million Btu/hr"),40,"ND")                             )          ))))))))</f>
        <v>ND</v>
      </c>
      <c r="AJ14" s="1254"/>
      <c r="AK14" s="524" t="str">
        <f t="shared" ref="AK14:AK42" si="12">IF(OR(D14="",H14=""),"ND",IF(OR(H14=" Natural Gas",H14="Other Gas 1",H14="Other Gas 2",H14="Other Gas 3",H14="Other Gas 4",H14="Other Gas 5",H14="LPG"), 125, (IF(D14="Utility",20,(IF(H14="Fuel oil ",20,20))))))</f>
        <v>ND</v>
      </c>
      <c r="AL14" s="650" t="str">
        <f t="shared" ref="AL14:AL42" si="13">IF(OR(AE14="",AF14="",AF14="ND",AG14="",AG14="ND"),"",(SQRT((AE14^2)+(AF14^2)+(AG14^2))))</f>
        <v/>
      </c>
      <c r="AM14" s="650" t="str">
        <f t="shared" ref="AM14:AM42" si="14">IF(OR(AE14="",AF14="",AF14="ND",AH14="",AH14="ND"),"",(SQRT((AE14^2)+(AF14^2)+(AH14^2))))</f>
        <v/>
      </c>
      <c r="AN14" s="650" t="str">
        <f t="shared" ref="AN14:AN42" si="15">IF(OR(AE14="",AF14="",AF14="ND",AI14="",AI14="ND"),"",(SQRT((AE14^2)+(AF14^2)+(AI14^2))))</f>
        <v/>
      </c>
      <c r="AO14" s="1254"/>
      <c r="AP14" s="528" t="str">
        <f t="shared" ref="AP14:AP42" si="16">IF(OR(AE14="",AF14="",AF14="ND",AK14="",AK14="ND"),"",(SQRT((AE14^2)+(AF14^2)+(AK14^2))))</f>
        <v/>
      </c>
      <c r="AQ14" s="1249"/>
      <c r="AS14" s="719" t="str">
        <f t="shared" ref="AS14:AS42" si="17">IF(OR(V14="",AL14=""),"",V14*AL14)</f>
        <v/>
      </c>
      <c r="AT14" s="719" t="str">
        <f t="shared" ref="AT14:AT42" si="18">IF(OR(W14="",AM14=""),"",W14*AM14)</f>
        <v/>
      </c>
      <c r="AU14" s="719" t="str">
        <f t="shared" ref="AU14:AU42" si="19">IF(OR(X14="",AN14=""),"",X14*AN14)</f>
        <v/>
      </c>
      <c r="AV14" s="1291"/>
      <c r="AW14" s="719" t="str">
        <f t="shared" ref="AW14:AW42" si="20">IF(OR(AA14="",AP14=""),"",AA14*AP14)</f>
        <v/>
      </c>
      <c r="AY14" s="719" t="str">
        <f t="shared" ref="AY14:AY42" si="21">IF(AS14="","",AS14^2)</f>
        <v/>
      </c>
      <c r="AZ14" s="719" t="str">
        <f t="shared" ref="AZ14:AZ42" si="22">IF(AT14="","",AT14^2)</f>
        <v/>
      </c>
      <c r="BA14" s="719" t="str">
        <f t="shared" ref="BA14:BA42" si="23">IF(AU14="","",AU14^2)</f>
        <v/>
      </c>
      <c r="BB14" s="1291"/>
      <c r="BC14" s="719" t="str">
        <f t="shared" ref="BC14:BC42" si="24">IF(AW14="","",AW14^2)</f>
        <v/>
      </c>
    </row>
    <row r="15" spans="1:55" ht="21.45" customHeight="1">
      <c r="A15" s="1041"/>
      <c r="B15" s="1101"/>
      <c r="C15" s="268" t="s">
        <v>318</v>
      </c>
      <c r="D15" s="265"/>
      <c r="E15" s="669"/>
      <c r="F15" s="763"/>
      <c r="G15" s="670"/>
      <c r="H15" s="668"/>
      <c r="I15" s="233"/>
      <c r="J15" s="281" t="str">
        <f>IF(H15="","",VLOOKUP(H15,'Emission factors'!$A$10:$C$19,2,FALSE))</f>
        <v/>
      </c>
      <c r="K15" s="664" t="str">
        <f t="shared" si="1"/>
        <v>.نيازي به وارد كردن اين داده نيست</v>
      </c>
      <c r="L15" s="234"/>
      <c r="M15" s="763"/>
      <c r="N15" s="230" t="str">
        <f>IF(AND(M15="واقعي",OR(H15=" Natural Gas",H15="Other Gas 1",H15="Other Gas 2",H15="Other Gas 3",H15="Other Gas 4",H15="Other Gas 5",H15="LPG",H15="Fuel oil ",H15="light gas oil",H15="Heavy gas oil")),IF((((VLOOKUP(H15,'Emission factors'!$B$41:$I$55,7,FALSE))="")),"در شيت Compositions آناليز و يا مشخصات سوخت را وارد كنيد",VLOOKUP(H15,'Emission factors'!$B$41:$I$55,7,FALSE)),"")</f>
        <v/>
      </c>
      <c r="O15" s="230" t="str">
        <f>IF(H15="","",VLOOKUP(H15,'Emission factors'!$B$41:$G$55,2,FALSE))</f>
        <v/>
      </c>
      <c r="P15" s="231" t="str">
        <f>IF(H15="","",VLOOKUP(H15,'Emission factors'!$A$10:$C$19,3,FALSE))</f>
        <v/>
      </c>
      <c r="Q15" s="282" t="str">
        <f t="shared" si="2"/>
        <v>ND</v>
      </c>
      <c r="R15" s="694" t="str">
        <f t="shared" si="3"/>
        <v>ND</v>
      </c>
      <c r="S15" s="694" t="str">
        <f t="shared" si="4"/>
        <v>ND</v>
      </c>
      <c r="T15" s="686" t="s">
        <v>284</v>
      </c>
      <c r="U15" s="709" t="str">
        <f t="shared" ref="U15:U21" si="25">IF(OR(D15="",H15=""),"ND",IF(OR(H15=" Natural Gas",H15="Other Gas 1",H15="Other Gas 2",H15="Other Gas 3",H15="Other Gas 4",H15="Other Gas 5",H15="LPG"), 2.3, (IF(D15="Utility",2.18,(IF(H15="Fuel oil ",0.8,0.57))))))</f>
        <v>ND</v>
      </c>
      <c r="V15" s="224" t="str">
        <f t="shared" si="5"/>
        <v/>
      </c>
      <c r="W15" s="225" t="str">
        <f t="shared" si="6"/>
        <v/>
      </c>
      <c r="X15" s="225" t="str">
        <f t="shared" si="7"/>
        <v/>
      </c>
      <c r="Y15" s="1143" t="s">
        <v>284</v>
      </c>
      <c r="Z15" s="1144"/>
      <c r="AA15" s="226" t="str">
        <f t="shared" si="8"/>
        <v/>
      </c>
      <c r="AB15" s="216"/>
      <c r="AC15" s="478"/>
      <c r="AD15" s="1248"/>
      <c r="AE15" s="522"/>
      <c r="AF15" s="735" t="str">
        <f>IF(M15="","",IF(M15="پيش‌فرض",40,IF(H15=" Natural Gas",Compositions!$BO$21,IF(H15="Other Gas 1",Compositions!$BO$30,IF(H15="Other Gas 2",Compositions!$BO$39,IF(H15="Other Gas 3",Compositions!$BW$21,IF(H15="Other Gas 4",Compositions!$BW$30,IF(H15="Other Gas 5",Compositions!$BW$39,IF(H15="LPG",Compositions!$BK$81,IF(H15="Heavy Gas oil",Compositions!$BK$83,IF(H15="Light Gas oil",Compositions!$BK$84,IF(H15="Fuel oil ",Compositions!$BK$85,""))))))))))       ))</f>
        <v/>
      </c>
      <c r="AG15" s="516" t="str">
        <f t="shared" si="9"/>
        <v>ND</v>
      </c>
      <c r="AH15" s="516" t="str">
        <f t="shared" si="10"/>
        <v>ND</v>
      </c>
      <c r="AI15" s="516" t="str">
        <f t="shared" si="11"/>
        <v>ND</v>
      </c>
      <c r="AJ15" s="1254"/>
      <c r="AK15" s="524" t="str">
        <f t="shared" si="12"/>
        <v>ND</v>
      </c>
      <c r="AL15" s="650" t="str">
        <f t="shared" si="13"/>
        <v/>
      </c>
      <c r="AM15" s="650" t="str">
        <f t="shared" si="14"/>
        <v/>
      </c>
      <c r="AN15" s="650" t="str">
        <f t="shared" si="15"/>
        <v/>
      </c>
      <c r="AO15" s="1254"/>
      <c r="AP15" s="528" t="str">
        <f t="shared" si="16"/>
        <v/>
      </c>
      <c r="AQ15" s="1249"/>
      <c r="AS15" s="719" t="str">
        <f t="shared" si="17"/>
        <v/>
      </c>
      <c r="AT15" s="719" t="str">
        <f t="shared" si="18"/>
        <v/>
      </c>
      <c r="AU15" s="719" t="str">
        <f>IF(OR(X15="",AN15=""),"",X15*AN15)</f>
        <v/>
      </c>
      <c r="AV15" s="1291"/>
      <c r="AW15" s="719" t="str">
        <f t="shared" si="20"/>
        <v/>
      </c>
      <c r="AY15" s="719" t="str">
        <f t="shared" si="21"/>
        <v/>
      </c>
      <c r="AZ15" s="719" t="str">
        <f t="shared" si="22"/>
        <v/>
      </c>
      <c r="BA15" s="719" t="str">
        <f t="shared" si="23"/>
        <v/>
      </c>
      <c r="BB15" s="1291"/>
      <c r="BC15" s="719" t="str">
        <f t="shared" si="24"/>
        <v/>
      </c>
    </row>
    <row r="16" spans="1:55" ht="21.45" customHeight="1">
      <c r="A16" s="1041"/>
      <c r="B16" s="1101"/>
      <c r="C16" s="268" t="s">
        <v>319</v>
      </c>
      <c r="D16" s="265"/>
      <c r="E16" s="669"/>
      <c r="F16" s="763"/>
      <c r="G16" s="670"/>
      <c r="H16" s="668"/>
      <c r="I16" s="228"/>
      <c r="J16" s="281" t="str">
        <f>IF(H16="","",VLOOKUP(H16,'Emission factors'!$A$10:$C$19,2,FALSE))</f>
        <v/>
      </c>
      <c r="K16" s="664" t="str">
        <f t="shared" si="1"/>
        <v>.نيازي به وارد كردن اين داده نيست</v>
      </c>
      <c r="L16" s="229"/>
      <c r="M16" s="763"/>
      <c r="N16" s="230" t="str">
        <f>IF(AND(M16="واقعي",OR(H16=" Natural Gas",H16="Other Gas 1",H16="Other Gas 2",H16="Other Gas 3",H16="Other Gas 4",H16="Other Gas 5",H16="LPG",H16="Fuel oil ",H16="light gas oil",H16="Heavy gas oil")),IF((((VLOOKUP(H16,'Emission factors'!$B$41:$I$55,7,FALSE))="")),"در شيت Compositions آناليز و يا مشخصات سوخت را وارد كنيد",VLOOKUP(H16,'Emission factors'!$B$41:$I$55,7,FALSE)),"")</f>
        <v/>
      </c>
      <c r="O16" s="230" t="str">
        <f>IF(H16="","",VLOOKUP(H16,'Emission factors'!$B$41:$G$55,2,FALSE))</f>
        <v/>
      </c>
      <c r="P16" s="231" t="str">
        <f>IF(H16="","",VLOOKUP(H16,'Emission factors'!$A$10:$C$19,3,FALSE))</f>
        <v/>
      </c>
      <c r="Q16" s="282" t="str">
        <f t="shared" si="2"/>
        <v>ND</v>
      </c>
      <c r="R16" s="694" t="str">
        <f t="shared" si="3"/>
        <v>ND</v>
      </c>
      <c r="S16" s="694" t="str">
        <f t="shared" si="4"/>
        <v>ND</v>
      </c>
      <c r="T16" s="686" t="s">
        <v>284</v>
      </c>
      <c r="U16" s="232" t="str">
        <f t="shared" si="25"/>
        <v>ND</v>
      </c>
      <c r="V16" s="224" t="str">
        <f t="shared" si="5"/>
        <v/>
      </c>
      <c r="W16" s="225" t="str">
        <f t="shared" si="6"/>
        <v/>
      </c>
      <c r="X16" s="225" t="str">
        <f t="shared" si="7"/>
        <v/>
      </c>
      <c r="Y16" s="1143" t="s">
        <v>284</v>
      </c>
      <c r="Z16" s="1144"/>
      <c r="AA16" s="226" t="str">
        <f t="shared" si="8"/>
        <v/>
      </c>
      <c r="AB16" s="216"/>
      <c r="AC16" s="478"/>
      <c r="AD16" s="1248"/>
      <c r="AE16" s="522"/>
      <c r="AF16" s="735" t="str">
        <f>IF(M16="","",IF(M16="پيش‌فرض",40,IF(H16=" Natural Gas",Compositions!$BO$21,IF(H16="Other Gas 1",Compositions!$BO$30,IF(H16="Other Gas 2",Compositions!$BO$39,IF(H16="Other Gas 3",Compositions!$BW$21,IF(H16="Other Gas 4",Compositions!$BW$30,IF(H16="Other Gas 5",Compositions!$BW$39,IF(H16="LPG",Compositions!$BK$81,IF(H16="Heavy Gas oil",Compositions!$BK$83,IF(H16="Light Gas oil",Compositions!$BK$84,IF(H16="Fuel oil ",Compositions!$BK$85,""))))))))))       ))</f>
        <v/>
      </c>
      <c r="AG16" s="516" t="str">
        <f t="shared" si="9"/>
        <v>ND</v>
      </c>
      <c r="AH16" s="516" t="str">
        <f t="shared" si="10"/>
        <v>ND</v>
      </c>
      <c r="AI16" s="516" t="str">
        <f t="shared" si="11"/>
        <v>ND</v>
      </c>
      <c r="AJ16" s="1254"/>
      <c r="AK16" s="524" t="str">
        <f t="shared" si="12"/>
        <v>ND</v>
      </c>
      <c r="AL16" s="650" t="str">
        <f t="shared" si="13"/>
        <v/>
      </c>
      <c r="AM16" s="650" t="str">
        <f t="shared" si="14"/>
        <v/>
      </c>
      <c r="AN16" s="650" t="str">
        <f t="shared" si="15"/>
        <v/>
      </c>
      <c r="AO16" s="1254"/>
      <c r="AP16" s="528" t="str">
        <f t="shared" si="16"/>
        <v/>
      </c>
      <c r="AQ16" s="1249"/>
      <c r="AS16" s="719" t="str">
        <f t="shared" si="17"/>
        <v/>
      </c>
      <c r="AT16" s="719" t="str">
        <f t="shared" si="18"/>
        <v/>
      </c>
      <c r="AU16" s="719" t="str">
        <f t="shared" si="19"/>
        <v/>
      </c>
      <c r="AV16" s="1291"/>
      <c r="AW16" s="719" t="str">
        <f t="shared" si="20"/>
        <v/>
      </c>
      <c r="AY16" s="719" t="str">
        <f t="shared" si="21"/>
        <v/>
      </c>
      <c r="AZ16" s="719" t="str">
        <f t="shared" si="22"/>
        <v/>
      </c>
      <c r="BA16" s="719" t="str">
        <f t="shared" si="23"/>
        <v/>
      </c>
      <c r="BB16" s="1291"/>
      <c r="BC16" s="719" t="str">
        <f t="shared" si="24"/>
        <v/>
      </c>
    </row>
    <row r="17" spans="1:55" ht="21.45" customHeight="1">
      <c r="A17" s="1041"/>
      <c r="B17" s="1101"/>
      <c r="C17" s="268" t="s">
        <v>320</v>
      </c>
      <c r="D17" s="265"/>
      <c r="E17" s="669"/>
      <c r="F17" s="763"/>
      <c r="G17" s="670"/>
      <c r="H17" s="668"/>
      <c r="I17" s="233"/>
      <c r="J17" s="281" t="str">
        <f>IF(H17="","",VLOOKUP(H17,'Emission factors'!$A$10:$C$19,2,FALSE))</f>
        <v/>
      </c>
      <c r="K17" s="664" t="str">
        <f t="shared" si="1"/>
        <v>.نيازي به وارد كردن اين داده نيست</v>
      </c>
      <c r="L17" s="234"/>
      <c r="M17" s="763"/>
      <c r="N17" s="230" t="str">
        <f>IF(AND(M17="واقعي",OR(H17=" Natural Gas",H17="Other Gas 1",H17="Other Gas 2",H17="Other Gas 3",H17="Other Gas 4",H17="Other Gas 5",H17="LPG",H17="Fuel oil ",H17="light gas oil",H17="Heavy gas oil")),IF((((VLOOKUP(H17,'Emission factors'!$B$41:$I$55,7,FALSE))="")),"در شيت Compositions آناليز و يا مشخصات سوخت را وارد كنيد",VLOOKUP(H17,'Emission factors'!$B$41:$I$55,7,FALSE)),"")</f>
        <v/>
      </c>
      <c r="O17" s="230" t="str">
        <f>IF(H17="","",VLOOKUP(H17,'Emission factors'!$B$41:$G$55,2,FALSE))</f>
        <v/>
      </c>
      <c r="P17" s="231" t="str">
        <f>IF(H17="","",VLOOKUP(H17,'Emission factors'!$A$10:$C$19,3,FALSE))</f>
        <v/>
      </c>
      <c r="Q17" s="282" t="str">
        <f t="shared" si="2"/>
        <v>ND</v>
      </c>
      <c r="R17" s="694" t="str">
        <f t="shared" si="3"/>
        <v>ND</v>
      </c>
      <c r="S17" s="694" t="str">
        <f t="shared" si="4"/>
        <v>ND</v>
      </c>
      <c r="T17" s="686" t="s">
        <v>284</v>
      </c>
      <c r="U17" s="709" t="str">
        <f t="shared" si="25"/>
        <v>ND</v>
      </c>
      <c r="V17" s="224" t="str">
        <f t="shared" si="5"/>
        <v/>
      </c>
      <c r="W17" s="225" t="str">
        <f t="shared" si="6"/>
        <v/>
      </c>
      <c r="X17" s="225" t="str">
        <f t="shared" si="7"/>
        <v/>
      </c>
      <c r="Y17" s="1143" t="s">
        <v>284</v>
      </c>
      <c r="Z17" s="1144"/>
      <c r="AA17" s="226" t="str">
        <f t="shared" si="8"/>
        <v/>
      </c>
      <c r="AB17" s="216"/>
      <c r="AC17" s="478"/>
      <c r="AD17" s="1248"/>
      <c r="AE17" s="522"/>
      <c r="AF17" s="735" t="str">
        <f>IF(M17="","",IF(M17="پيش‌فرض",40,IF(H17=" Natural Gas",Compositions!$BO$21,IF(H17="Other Gas 1",Compositions!$BO$30,IF(H17="Other Gas 2",Compositions!$BO$39,IF(H17="Other Gas 3",Compositions!$BW$21,IF(H17="Other Gas 4",Compositions!$BW$30,IF(H17="Other Gas 5",Compositions!$BW$39,IF(H17="LPG",Compositions!$BK$81,IF(H17="Heavy Gas oil",Compositions!$BK$83,IF(H17="Light Gas oil",Compositions!$BK$84,IF(H17="Fuel oil ",Compositions!$BK$85,""))))))))))       ))</f>
        <v/>
      </c>
      <c r="AG17" s="516" t="str">
        <f t="shared" si="9"/>
        <v>ND</v>
      </c>
      <c r="AH17" s="516" t="str">
        <f t="shared" si="10"/>
        <v>ND</v>
      </c>
      <c r="AI17" s="516" t="str">
        <f t="shared" si="11"/>
        <v>ND</v>
      </c>
      <c r="AJ17" s="1254"/>
      <c r="AK17" s="524" t="str">
        <f t="shared" si="12"/>
        <v>ND</v>
      </c>
      <c r="AL17" s="650" t="str">
        <f t="shared" si="13"/>
        <v/>
      </c>
      <c r="AM17" s="650" t="str">
        <f t="shared" si="14"/>
        <v/>
      </c>
      <c r="AN17" s="650" t="str">
        <f t="shared" si="15"/>
        <v/>
      </c>
      <c r="AO17" s="1254"/>
      <c r="AP17" s="528" t="str">
        <f t="shared" si="16"/>
        <v/>
      </c>
      <c r="AQ17" s="1249"/>
      <c r="AS17" s="719" t="str">
        <f t="shared" si="17"/>
        <v/>
      </c>
      <c r="AT17" s="719" t="str">
        <f t="shared" si="18"/>
        <v/>
      </c>
      <c r="AU17" s="719" t="str">
        <f t="shared" si="19"/>
        <v/>
      </c>
      <c r="AV17" s="1291"/>
      <c r="AW17" s="719" t="str">
        <f t="shared" si="20"/>
        <v/>
      </c>
      <c r="AY17" s="719" t="str">
        <f t="shared" si="21"/>
        <v/>
      </c>
      <c r="AZ17" s="719" t="str">
        <f t="shared" si="22"/>
        <v/>
      </c>
      <c r="BA17" s="719" t="str">
        <f t="shared" si="23"/>
        <v/>
      </c>
      <c r="BB17" s="1291"/>
      <c r="BC17" s="719" t="str">
        <f t="shared" si="24"/>
        <v/>
      </c>
    </row>
    <row r="18" spans="1:55" ht="21.45" customHeight="1">
      <c r="A18" s="1041"/>
      <c r="B18" s="1101"/>
      <c r="C18" s="268" t="s">
        <v>321</v>
      </c>
      <c r="D18" s="265"/>
      <c r="E18" s="669"/>
      <c r="F18" s="763"/>
      <c r="G18" s="670"/>
      <c r="H18" s="668"/>
      <c r="I18" s="228"/>
      <c r="J18" s="281" t="str">
        <f>IF(H18="","",VLOOKUP(H18,'Emission factors'!$A$10:$C$19,2,FALSE))</f>
        <v/>
      </c>
      <c r="K18" s="664" t="str">
        <f t="shared" si="1"/>
        <v>.نيازي به وارد كردن اين داده نيست</v>
      </c>
      <c r="L18" s="235"/>
      <c r="M18" s="763"/>
      <c r="N18" s="230" t="str">
        <f>IF(AND(M18="واقعي",OR(H18=" Natural Gas",H18="Other Gas 1",H18="Other Gas 2",H18="Other Gas 3",H18="Other Gas 4",H18="Other Gas 5",H18="LPG",H18="Fuel oil ",H18="light gas oil",H18="Heavy gas oil")),IF((((VLOOKUP(H18,'Emission factors'!$B$41:$I$55,7,FALSE))="")),"در شيت Compositions آناليز و يا مشخصات سوخت را وارد كنيد",VLOOKUP(H18,'Emission factors'!$B$41:$I$55,7,FALSE)),"")</f>
        <v/>
      </c>
      <c r="O18" s="230" t="str">
        <f>IF(H18="","",VLOOKUP(H18,'Emission factors'!$B$41:$G$55,2,FALSE))</f>
        <v/>
      </c>
      <c r="P18" s="231" t="str">
        <f>IF(H18="","",VLOOKUP(H18,'Emission factors'!$A$10:$C$19,3,FALSE))</f>
        <v/>
      </c>
      <c r="Q18" s="282" t="str">
        <f t="shared" si="2"/>
        <v>ND</v>
      </c>
      <c r="R18" s="694" t="str">
        <f t="shared" si="3"/>
        <v>ND</v>
      </c>
      <c r="S18" s="694" t="str">
        <f t="shared" si="4"/>
        <v>ND</v>
      </c>
      <c r="T18" s="686" t="s">
        <v>284</v>
      </c>
      <c r="U18" s="232" t="str">
        <f t="shared" si="25"/>
        <v>ND</v>
      </c>
      <c r="V18" s="224" t="str">
        <f t="shared" si="5"/>
        <v/>
      </c>
      <c r="W18" s="225" t="str">
        <f t="shared" si="6"/>
        <v/>
      </c>
      <c r="X18" s="225" t="str">
        <f t="shared" si="7"/>
        <v/>
      </c>
      <c r="Y18" s="1143" t="s">
        <v>284</v>
      </c>
      <c r="Z18" s="1144"/>
      <c r="AA18" s="226" t="str">
        <f t="shared" si="8"/>
        <v/>
      </c>
      <c r="AB18" s="216"/>
      <c r="AC18" s="478"/>
      <c r="AD18" s="1248"/>
      <c r="AE18" s="522"/>
      <c r="AF18" s="735" t="str">
        <f>IF(M18="","",IF(M18="پيش‌فرض",40,IF(H18=" Natural Gas",Compositions!$BO$21,IF(H18="Other Gas 1",Compositions!$BO$30,IF(H18="Other Gas 2",Compositions!$BO$39,IF(H18="Other Gas 3",Compositions!$BW$21,IF(H18="Other Gas 4",Compositions!$BW$30,IF(H18="Other Gas 5",Compositions!$BW$39,IF(H18="LPG",Compositions!$BK$81,IF(H18="Heavy Gas oil",Compositions!$BK$83,IF(H18="Light Gas oil",Compositions!$BK$84,IF(H18="Fuel oil ",Compositions!$BK$85,""))))))))))       ))</f>
        <v/>
      </c>
      <c r="AG18" s="516" t="str">
        <f t="shared" si="9"/>
        <v>ND</v>
      </c>
      <c r="AH18" s="516" t="str">
        <f t="shared" si="10"/>
        <v>ND</v>
      </c>
      <c r="AI18" s="516" t="str">
        <f t="shared" si="11"/>
        <v>ND</v>
      </c>
      <c r="AJ18" s="1254"/>
      <c r="AK18" s="524" t="str">
        <f t="shared" si="12"/>
        <v>ND</v>
      </c>
      <c r="AL18" s="650" t="str">
        <f t="shared" si="13"/>
        <v/>
      </c>
      <c r="AM18" s="650" t="str">
        <f t="shared" si="14"/>
        <v/>
      </c>
      <c r="AN18" s="650" t="str">
        <f t="shared" si="15"/>
        <v/>
      </c>
      <c r="AO18" s="1254"/>
      <c r="AP18" s="528" t="str">
        <f t="shared" si="16"/>
        <v/>
      </c>
      <c r="AQ18" s="1249"/>
      <c r="AS18" s="719" t="str">
        <f t="shared" si="17"/>
        <v/>
      </c>
      <c r="AT18" s="719" t="str">
        <f t="shared" si="18"/>
        <v/>
      </c>
      <c r="AU18" s="719" t="str">
        <f t="shared" si="19"/>
        <v/>
      </c>
      <c r="AV18" s="1291"/>
      <c r="AW18" s="719" t="str">
        <f t="shared" si="20"/>
        <v/>
      </c>
      <c r="AY18" s="719" t="str">
        <f t="shared" si="21"/>
        <v/>
      </c>
      <c r="AZ18" s="719" t="str">
        <f t="shared" si="22"/>
        <v/>
      </c>
      <c r="BA18" s="719" t="str">
        <f t="shared" si="23"/>
        <v/>
      </c>
      <c r="BB18" s="1291"/>
      <c r="BC18" s="719" t="str">
        <f t="shared" si="24"/>
        <v/>
      </c>
    </row>
    <row r="19" spans="1:55" ht="21.45" customHeight="1">
      <c r="A19" s="1041"/>
      <c r="B19" s="1101"/>
      <c r="C19" s="268" t="s">
        <v>322</v>
      </c>
      <c r="D19" s="265"/>
      <c r="E19" s="669"/>
      <c r="F19" s="763"/>
      <c r="G19" s="670"/>
      <c r="H19" s="668"/>
      <c r="I19" s="233"/>
      <c r="J19" s="281" t="str">
        <f>IF(H19="","",VLOOKUP(H19,'Emission factors'!$A$10:$C$19,2,FALSE))</f>
        <v/>
      </c>
      <c r="K19" s="664" t="str">
        <f t="shared" si="1"/>
        <v>.نيازي به وارد كردن اين داده نيست</v>
      </c>
      <c r="L19" s="236"/>
      <c r="M19" s="763"/>
      <c r="N19" s="230" t="str">
        <f>IF(AND(M19="واقعي",OR(H19=" Natural Gas",H19="Other Gas 1",H19="Other Gas 2",H19="Other Gas 3",H19="Other Gas 4",H19="Other Gas 5",H19="LPG",H19="Fuel oil ",H19="light gas oil",H19="Heavy gas oil")),IF((((VLOOKUP(H19,'Emission factors'!$B$41:$I$55,7,FALSE))="")),"در شيت Compositions آناليز و يا مشخصات سوخت را وارد كنيد",VLOOKUP(H19,'Emission factors'!$B$41:$I$55,7,FALSE)),"")</f>
        <v/>
      </c>
      <c r="O19" s="230" t="str">
        <f>IF(H19="","",VLOOKUP(H19,'Emission factors'!$B$41:$G$55,2,FALSE))</f>
        <v/>
      </c>
      <c r="P19" s="231" t="str">
        <f>IF(H19="","",VLOOKUP(H19,'Emission factors'!$A$10:$C$19,3,FALSE))</f>
        <v/>
      </c>
      <c r="Q19" s="282" t="str">
        <f t="shared" si="2"/>
        <v>ND</v>
      </c>
      <c r="R19" s="694" t="str">
        <f t="shared" si="3"/>
        <v>ND</v>
      </c>
      <c r="S19" s="694" t="str">
        <f t="shared" si="4"/>
        <v>ND</v>
      </c>
      <c r="T19" s="686" t="s">
        <v>284</v>
      </c>
      <c r="U19" s="709" t="str">
        <f t="shared" si="25"/>
        <v>ND</v>
      </c>
      <c r="V19" s="224" t="str">
        <f t="shared" si="5"/>
        <v/>
      </c>
      <c r="W19" s="225" t="str">
        <f t="shared" si="6"/>
        <v/>
      </c>
      <c r="X19" s="225" t="str">
        <f t="shared" si="7"/>
        <v/>
      </c>
      <c r="Y19" s="1143" t="s">
        <v>284</v>
      </c>
      <c r="Z19" s="1144"/>
      <c r="AA19" s="226" t="str">
        <f t="shared" si="8"/>
        <v/>
      </c>
      <c r="AB19" s="216"/>
      <c r="AC19" s="478"/>
      <c r="AD19" s="1248"/>
      <c r="AE19" s="522"/>
      <c r="AF19" s="735" t="str">
        <f>IF(M19="","",IF(M19="پيش‌فرض",40,IF(H19=" Natural Gas",Compositions!$BO$21,IF(H19="Other Gas 1",Compositions!$BO$30,IF(H19="Other Gas 2",Compositions!$BO$39,IF(H19="Other Gas 3",Compositions!$BW$21,IF(H19="Other Gas 4",Compositions!$BW$30,IF(H19="Other Gas 5",Compositions!$BW$39,IF(H19="LPG",Compositions!$BK$81,IF(H19="Heavy Gas oil",Compositions!$BK$83,IF(H19="Light Gas oil",Compositions!$BK$84,IF(H19="Fuel oil ",Compositions!$BK$85,""))))))))))       ))</f>
        <v/>
      </c>
      <c r="AG19" s="516" t="str">
        <f t="shared" si="9"/>
        <v>ND</v>
      </c>
      <c r="AH19" s="516" t="str">
        <f t="shared" si="10"/>
        <v>ND</v>
      </c>
      <c r="AI19" s="516" t="str">
        <f t="shared" si="11"/>
        <v>ND</v>
      </c>
      <c r="AJ19" s="1254"/>
      <c r="AK19" s="524" t="str">
        <f t="shared" si="12"/>
        <v>ND</v>
      </c>
      <c r="AL19" s="650" t="str">
        <f t="shared" si="13"/>
        <v/>
      </c>
      <c r="AM19" s="650" t="str">
        <f t="shared" si="14"/>
        <v/>
      </c>
      <c r="AN19" s="650" t="str">
        <f t="shared" si="15"/>
        <v/>
      </c>
      <c r="AO19" s="1254"/>
      <c r="AP19" s="528" t="str">
        <f t="shared" si="16"/>
        <v/>
      </c>
      <c r="AQ19" s="1249"/>
      <c r="AS19" s="719" t="str">
        <f t="shared" si="17"/>
        <v/>
      </c>
      <c r="AT19" s="719" t="str">
        <f t="shared" si="18"/>
        <v/>
      </c>
      <c r="AU19" s="719" t="str">
        <f t="shared" si="19"/>
        <v/>
      </c>
      <c r="AV19" s="1291"/>
      <c r="AW19" s="719" t="str">
        <f t="shared" si="20"/>
        <v/>
      </c>
      <c r="AY19" s="719" t="str">
        <f t="shared" si="21"/>
        <v/>
      </c>
      <c r="AZ19" s="719" t="str">
        <f t="shared" si="22"/>
        <v/>
      </c>
      <c r="BA19" s="719" t="str">
        <f t="shared" si="23"/>
        <v/>
      </c>
      <c r="BB19" s="1291"/>
      <c r="BC19" s="719" t="str">
        <f t="shared" si="24"/>
        <v/>
      </c>
    </row>
    <row r="20" spans="1:55" ht="21.45" customHeight="1">
      <c r="A20" s="1041"/>
      <c r="B20" s="1101"/>
      <c r="C20" s="268" t="s">
        <v>545</v>
      </c>
      <c r="D20" s="265"/>
      <c r="E20" s="669"/>
      <c r="F20" s="763"/>
      <c r="G20" s="670"/>
      <c r="H20" s="668"/>
      <c r="I20" s="228"/>
      <c r="J20" s="281" t="str">
        <f>IF(H20="","",VLOOKUP(H20,'Emission factors'!$A$10:$C$19,2,FALSE))</f>
        <v/>
      </c>
      <c r="K20" s="664" t="str">
        <f t="shared" si="1"/>
        <v>.نيازي به وارد كردن اين داده نيست</v>
      </c>
      <c r="L20" s="235"/>
      <c r="M20" s="763"/>
      <c r="N20" s="230" t="str">
        <f>IF(AND(M20="واقعي",OR(H20=" Natural Gas",H20="Other Gas 1",H20="Other Gas 2",H20="Other Gas 3",H20="Other Gas 4",H20="Other Gas 5",H20="LPG",H20="Fuel oil ",H20="light gas oil",H20="Heavy gas oil")),IF((((VLOOKUP(H20,'Emission factors'!$B$41:$I$55,7,FALSE))="")),"در شيت Compositions آناليز و يا مشخصات سوخت را وارد كنيد",VLOOKUP(H20,'Emission factors'!$B$41:$I$55,7,FALSE)),"")</f>
        <v/>
      </c>
      <c r="O20" s="230" t="str">
        <f>IF(H20="","",VLOOKUP(H20,'Emission factors'!$B$41:$G$55,2,FALSE))</f>
        <v/>
      </c>
      <c r="P20" s="231" t="str">
        <f>IF(H20="","",VLOOKUP(H20,'Emission factors'!$A$10:$C$19,3,FALSE))</f>
        <v/>
      </c>
      <c r="Q20" s="282" t="str">
        <f t="shared" si="2"/>
        <v>ND</v>
      </c>
      <c r="R20" s="694" t="str">
        <f t="shared" si="3"/>
        <v>ND</v>
      </c>
      <c r="S20" s="694" t="str">
        <f t="shared" si="4"/>
        <v>ND</v>
      </c>
      <c r="T20" s="686" t="s">
        <v>284</v>
      </c>
      <c r="U20" s="232" t="str">
        <f t="shared" si="25"/>
        <v>ND</v>
      </c>
      <c r="V20" s="224" t="str">
        <f t="shared" si="5"/>
        <v/>
      </c>
      <c r="W20" s="225" t="str">
        <f t="shared" si="6"/>
        <v/>
      </c>
      <c r="X20" s="225" t="str">
        <f t="shared" si="7"/>
        <v/>
      </c>
      <c r="Y20" s="1143" t="s">
        <v>284</v>
      </c>
      <c r="Z20" s="1144"/>
      <c r="AA20" s="226" t="str">
        <f t="shared" si="8"/>
        <v/>
      </c>
      <c r="AB20" s="216"/>
      <c r="AC20" s="478"/>
      <c r="AD20" s="1248"/>
      <c r="AE20" s="522"/>
      <c r="AF20" s="735" t="str">
        <f>IF(M20="","",IF(M20="پيش‌فرض",40,IF(H20=" Natural Gas",Compositions!$BO$21,IF(H20="Other Gas 1",Compositions!$BO$30,IF(H20="Other Gas 2",Compositions!$BO$39,IF(H20="Other Gas 3",Compositions!$BW$21,IF(H20="Other Gas 4",Compositions!$BW$30,IF(H20="Other Gas 5",Compositions!$BW$39,IF(H20="LPG",Compositions!$BK$81,IF(H20="Heavy Gas oil",Compositions!$BK$83,IF(H20="Light Gas oil",Compositions!$BK$84,IF(H20="Fuel oil ",Compositions!$BK$85,""))))))))))       ))</f>
        <v/>
      </c>
      <c r="AG20" s="516" t="str">
        <f t="shared" si="9"/>
        <v>ND</v>
      </c>
      <c r="AH20" s="516" t="str">
        <f t="shared" si="10"/>
        <v>ND</v>
      </c>
      <c r="AI20" s="516" t="str">
        <f t="shared" si="11"/>
        <v>ND</v>
      </c>
      <c r="AJ20" s="1254"/>
      <c r="AK20" s="524" t="str">
        <f t="shared" si="12"/>
        <v>ND</v>
      </c>
      <c r="AL20" s="650" t="str">
        <f t="shared" si="13"/>
        <v/>
      </c>
      <c r="AM20" s="650" t="str">
        <f t="shared" si="14"/>
        <v/>
      </c>
      <c r="AN20" s="650" t="str">
        <f t="shared" si="15"/>
        <v/>
      </c>
      <c r="AO20" s="1254"/>
      <c r="AP20" s="528" t="str">
        <f t="shared" si="16"/>
        <v/>
      </c>
      <c r="AQ20" s="1249"/>
      <c r="AS20" s="719" t="str">
        <f t="shared" si="17"/>
        <v/>
      </c>
      <c r="AT20" s="719" t="str">
        <f t="shared" si="18"/>
        <v/>
      </c>
      <c r="AU20" s="719" t="str">
        <f t="shared" si="19"/>
        <v/>
      </c>
      <c r="AV20" s="1291"/>
      <c r="AW20" s="719" t="str">
        <f t="shared" si="20"/>
        <v/>
      </c>
      <c r="AY20" s="719" t="str">
        <f t="shared" si="21"/>
        <v/>
      </c>
      <c r="AZ20" s="719" t="str">
        <f t="shared" si="22"/>
        <v/>
      </c>
      <c r="BA20" s="719" t="str">
        <f t="shared" si="23"/>
        <v/>
      </c>
      <c r="BB20" s="1291"/>
      <c r="BC20" s="719" t="str">
        <f t="shared" si="24"/>
        <v/>
      </c>
    </row>
    <row r="21" spans="1:55" ht="21.45" customHeight="1">
      <c r="A21" s="1041"/>
      <c r="B21" s="1101"/>
      <c r="C21" s="268" t="s">
        <v>547</v>
      </c>
      <c r="D21" s="265"/>
      <c r="E21" s="669"/>
      <c r="F21" s="763"/>
      <c r="G21" s="670"/>
      <c r="H21" s="668"/>
      <c r="I21" s="233"/>
      <c r="J21" s="281" t="str">
        <f>IF(H21="","",VLOOKUP(H21,'Emission factors'!$A$10:$C$19,2,FALSE))</f>
        <v/>
      </c>
      <c r="K21" s="664" t="str">
        <f t="shared" si="1"/>
        <v>.نيازي به وارد كردن اين داده نيست</v>
      </c>
      <c r="L21" s="236"/>
      <c r="M21" s="763"/>
      <c r="N21" s="230" t="str">
        <f>IF(AND(M21="واقعي",OR(H21=" Natural Gas",H21="Other Gas 1",H21="Other Gas 2",H21="Other Gas 3",H21="Other Gas 4",H21="Other Gas 5",H21="LPG",H21="Fuel oil ",H21="light gas oil",H21="Heavy gas oil")),IF((((VLOOKUP(H21,'Emission factors'!$B$41:$I$55,7,FALSE))="")),"در شيت Compositions آناليز و يا مشخصات سوخت را وارد كنيد",VLOOKUP(H21,'Emission factors'!$B$41:$I$55,7,FALSE)),"")</f>
        <v/>
      </c>
      <c r="O21" s="230" t="str">
        <f>IF(H21="","",VLOOKUP(H21,'Emission factors'!$B$41:$G$55,2,FALSE))</f>
        <v/>
      </c>
      <c r="P21" s="231" t="str">
        <f>IF(H21="","",VLOOKUP(H21,'Emission factors'!$A$10:$C$19,3,FALSE))</f>
        <v/>
      </c>
      <c r="Q21" s="282" t="str">
        <f t="shared" si="2"/>
        <v>ND</v>
      </c>
      <c r="R21" s="694" t="str">
        <f t="shared" si="3"/>
        <v>ND</v>
      </c>
      <c r="S21" s="694" t="str">
        <f t="shared" si="4"/>
        <v>ND</v>
      </c>
      <c r="T21" s="686" t="s">
        <v>284</v>
      </c>
      <c r="U21" s="709" t="str">
        <f t="shared" si="25"/>
        <v>ND</v>
      </c>
      <c r="V21" s="224" t="str">
        <f t="shared" si="5"/>
        <v/>
      </c>
      <c r="W21" s="225" t="str">
        <f t="shared" si="6"/>
        <v/>
      </c>
      <c r="X21" s="225" t="str">
        <f t="shared" si="7"/>
        <v/>
      </c>
      <c r="Y21" s="1143" t="s">
        <v>284</v>
      </c>
      <c r="Z21" s="1144"/>
      <c r="AA21" s="226" t="str">
        <f t="shared" si="8"/>
        <v/>
      </c>
      <c r="AB21" s="216"/>
      <c r="AC21" s="478"/>
      <c r="AD21" s="1248"/>
      <c r="AE21" s="522"/>
      <c r="AF21" s="735" t="str">
        <f>IF(M21="","",IF(M21="پيش‌فرض",40,IF(H21=" Natural Gas",Compositions!$BO$21,IF(H21="Other Gas 1",Compositions!$BO$30,IF(H21="Other Gas 2",Compositions!$BO$39,IF(H21="Other Gas 3",Compositions!$BW$21,IF(H21="Other Gas 4",Compositions!$BW$30,IF(H21="Other Gas 5",Compositions!$BW$39,IF(H21="LPG",Compositions!$BK$81,IF(H21="Heavy Gas oil",Compositions!$BK$83,IF(H21="Light Gas oil",Compositions!$BK$84,IF(H21="Fuel oil ",Compositions!$BK$85,""))))))))))       ))</f>
        <v/>
      </c>
      <c r="AG21" s="516" t="str">
        <f t="shared" si="9"/>
        <v>ND</v>
      </c>
      <c r="AH21" s="516" t="str">
        <f t="shared" si="10"/>
        <v>ND</v>
      </c>
      <c r="AI21" s="516" t="str">
        <f t="shared" si="11"/>
        <v>ND</v>
      </c>
      <c r="AJ21" s="1254"/>
      <c r="AK21" s="524" t="str">
        <f t="shared" si="12"/>
        <v>ND</v>
      </c>
      <c r="AL21" s="650" t="str">
        <f t="shared" si="13"/>
        <v/>
      </c>
      <c r="AM21" s="650" t="str">
        <f t="shared" si="14"/>
        <v/>
      </c>
      <c r="AN21" s="650" t="str">
        <f t="shared" si="15"/>
        <v/>
      </c>
      <c r="AO21" s="1254"/>
      <c r="AP21" s="528" t="str">
        <f t="shared" si="16"/>
        <v/>
      </c>
      <c r="AQ21" s="1249"/>
      <c r="AS21" s="719" t="str">
        <f t="shared" si="17"/>
        <v/>
      </c>
      <c r="AT21" s="719" t="str">
        <f t="shared" si="18"/>
        <v/>
      </c>
      <c r="AU21" s="719" t="str">
        <f t="shared" si="19"/>
        <v/>
      </c>
      <c r="AV21" s="1291"/>
      <c r="AW21" s="719" t="str">
        <f t="shared" si="20"/>
        <v/>
      </c>
      <c r="AY21" s="719" t="str">
        <f t="shared" si="21"/>
        <v/>
      </c>
      <c r="AZ21" s="719" t="str">
        <f t="shared" si="22"/>
        <v/>
      </c>
      <c r="BA21" s="719" t="str">
        <f t="shared" si="23"/>
        <v/>
      </c>
      <c r="BB21" s="1291"/>
      <c r="BC21" s="719" t="str">
        <f t="shared" si="24"/>
        <v/>
      </c>
    </row>
    <row r="22" spans="1:55" ht="21.45" customHeight="1">
      <c r="A22" s="1041"/>
      <c r="B22" s="1101"/>
      <c r="C22" s="268" t="s">
        <v>548</v>
      </c>
      <c r="D22" s="265"/>
      <c r="E22" s="669"/>
      <c r="F22" s="763"/>
      <c r="G22" s="670"/>
      <c r="H22" s="668"/>
      <c r="I22" s="233"/>
      <c r="J22" s="281" t="str">
        <f>IF(H22="","",VLOOKUP(H22,'Emission factors'!$A$10:$C$19,2,FALSE))</f>
        <v/>
      </c>
      <c r="K22" s="664" t="str">
        <f t="shared" ref="K22:K41" si="26">IF(H22="Fuel oil ","درصد گوگرد در سوخت را وارد كنيد:",".نيازي به وارد كردن اين داده نيست")</f>
        <v>.نيازي به وارد كردن اين داده نيست</v>
      </c>
      <c r="L22" s="236"/>
      <c r="M22" s="763"/>
      <c r="N22" s="230" t="str">
        <f>IF(AND(M22="واقعي",OR(H22=" Natural Gas",H22="Other Gas 1",H22="Other Gas 2",H22="Other Gas 3",H22="Other Gas 4",H22="Other Gas 5",H22="LPG",H22="Fuel oil ",H22="light gas oil",H22="Heavy gas oil")),IF((((VLOOKUP(H22,'Emission factors'!$B$41:$I$55,7,FALSE))="")),"در شيت Compositions آناليز و يا مشخصات سوخت را وارد كنيد",VLOOKUP(H22,'Emission factors'!$B$41:$I$55,7,FALSE)),"")</f>
        <v/>
      </c>
      <c r="O22" s="230" t="str">
        <f>IF(H22="","",VLOOKUP(H22,'Emission factors'!$B$41:$G$55,2,FALSE))</f>
        <v/>
      </c>
      <c r="P22" s="231" t="str">
        <f>IF(H22="","",VLOOKUP(H22,'Emission factors'!$A$10:$C$19,3,FALSE))</f>
        <v/>
      </c>
      <c r="Q22" s="282" t="str">
        <f t="shared" si="2"/>
        <v>ND</v>
      </c>
      <c r="R22" s="694" t="str">
        <f t="shared" si="3"/>
        <v>ND</v>
      </c>
      <c r="S22" s="694" t="str">
        <f t="shared" si="4"/>
        <v>ND</v>
      </c>
      <c r="T22" s="686" t="s">
        <v>284</v>
      </c>
      <c r="U22" s="709" t="str">
        <f t="shared" ref="U22:U41" si="27">IF(OR(D22="",H22=""),"ND",IF(OR(H22=" Natural Gas",H22="Other Gas 1",H22="Other Gas 2",H22="Other Gas 3",H22="Other Gas 4",H22="Other Gas 5",H22="LPG"), 2.3, (IF(D22="Utility",2.18,(IF(H22="Fuel oil ",0.8,0.57))))))</f>
        <v>ND</v>
      </c>
      <c r="V22" s="224" t="str">
        <f t="shared" ref="V22:V41" si="28">IF(Q22="ND","",IF(I22="","",(IF(M22="","",(IF(M22="پيش‌فرض",((O22*Q22*I22)*(10^-6)),IF(AND(M22="واقعي",N22="در شيت Compositions آناليز و يا مشخصات سوخت را وارد كنيد"),"",((N22*Q22*I22)*(10^-6))))))))    )</f>
        <v/>
      </c>
      <c r="W22" s="225" t="str">
        <f t="shared" ref="W22:W41" si="29">IF(R22="ND","",       IF(I22="","",(IF(M22="","",(IF(M22="پيش‌فرض",((O22*R22*I22)*(10^-6)),IF(AND(M22="واقعي",N22="در شيت Compositions آناليز و يا مشخصات سوخت را وارد كنيد"),"",((N22*R22*I22)*(10^-6))))))))    )</f>
        <v/>
      </c>
      <c r="X22" s="225" t="str">
        <f t="shared" ref="X22:X41" si="30">IF(OR(S22="ND",S22="درصد گوگرد در سوخت را وارد كنيد",I22=""),"",IF(M22="","",(IF(M22="پيش‌فرض",((O22*S22*I22)*(10^-6)),IF(AND(M22="واقعي",N22="در شيت Compositions آناليز و يا مشخصات سوخت را وارد كنيد"),"",((N22*S22*I22)*(10^-6)))))))</f>
        <v/>
      </c>
      <c r="Y22" s="1143" t="s">
        <v>284</v>
      </c>
      <c r="Z22" s="1144"/>
      <c r="AA22" s="226" t="str">
        <f t="shared" ref="AA22:AA41" si="31">IF(OR(U22="ND",I22=""),"",IF(M22="","",(IF(M22="پيش‌فرض",((O22*U22*I22)*(10^-6)),IF(AND(M22="واقعي",N22="در شيت Compositions آناليز و يا مشخصات سوخت را وارد كنيد"),"",((N22*U22*I22)*(10^-6)))))))</f>
        <v/>
      </c>
      <c r="AB22" s="216"/>
      <c r="AC22" s="478"/>
      <c r="AD22" s="1248"/>
      <c r="AE22" s="522"/>
      <c r="AF22" s="735" t="str">
        <f>IF(M22="","",IF(M22="پيش‌فرض",40,IF(H22=" Natural Gas",Compositions!$BO$21,IF(H22="Other Gas 1",Compositions!$BO$30,IF(H22="Other Gas 2",Compositions!$BO$39,IF(H22="Other Gas 3",Compositions!$BW$21,IF(H22="Other Gas 4",Compositions!$BW$30,IF(H22="Other Gas 5",Compositions!$BW$39,IF(H22="LPG",Compositions!$BK$81,IF(H22="Heavy Gas oil",Compositions!$BK$83,IF(H22="Light Gas oil",Compositions!$BK$84,IF(H22="Fuel oil ",Compositions!$BK$85,""))))))))))       ))</f>
        <v/>
      </c>
      <c r="AG22" s="516" t="str">
        <f t="shared" si="9"/>
        <v>ND</v>
      </c>
      <c r="AH22" s="516" t="str">
        <f t="shared" si="10"/>
        <v>ND</v>
      </c>
      <c r="AI22" s="516" t="str">
        <f t="shared" si="11"/>
        <v>ND</v>
      </c>
      <c r="AJ22" s="1254"/>
      <c r="AK22" s="524" t="str">
        <f t="shared" si="12"/>
        <v>ND</v>
      </c>
      <c r="AL22" s="650" t="str">
        <f t="shared" si="13"/>
        <v/>
      </c>
      <c r="AM22" s="650" t="str">
        <f t="shared" si="14"/>
        <v/>
      </c>
      <c r="AN22" s="650" t="str">
        <f t="shared" si="15"/>
        <v/>
      </c>
      <c r="AO22" s="1254"/>
      <c r="AP22" s="528" t="str">
        <f t="shared" si="16"/>
        <v/>
      </c>
      <c r="AQ22" s="1249"/>
      <c r="AS22" s="719" t="str">
        <f t="shared" si="17"/>
        <v/>
      </c>
      <c r="AT22" s="719" t="str">
        <f t="shared" si="18"/>
        <v/>
      </c>
      <c r="AU22" s="719" t="str">
        <f t="shared" si="19"/>
        <v/>
      </c>
      <c r="AV22" s="1291"/>
      <c r="AW22" s="719" t="str">
        <f t="shared" si="20"/>
        <v/>
      </c>
      <c r="AY22" s="719" t="str">
        <f t="shared" si="21"/>
        <v/>
      </c>
      <c r="AZ22" s="719" t="str">
        <f t="shared" si="22"/>
        <v/>
      </c>
      <c r="BA22" s="719" t="str">
        <f t="shared" si="23"/>
        <v/>
      </c>
      <c r="BB22" s="1291"/>
      <c r="BC22" s="719" t="str">
        <f t="shared" si="24"/>
        <v/>
      </c>
    </row>
    <row r="23" spans="1:55" ht="21.45" customHeight="1">
      <c r="A23" s="1041"/>
      <c r="B23" s="1101"/>
      <c r="C23" s="268" t="s">
        <v>551</v>
      </c>
      <c r="D23" s="265"/>
      <c r="E23" s="669"/>
      <c r="F23" s="763"/>
      <c r="G23" s="670"/>
      <c r="H23" s="668"/>
      <c r="I23" s="233"/>
      <c r="J23" s="281" t="str">
        <f>IF(H23="","",VLOOKUP(H23,'Emission factors'!$A$10:$C$19,2,FALSE))</f>
        <v/>
      </c>
      <c r="K23" s="664" t="str">
        <f t="shared" si="26"/>
        <v>.نيازي به وارد كردن اين داده نيست</v>
      </c>
      <c r="L23" s="236"/>
      <c r="M23" s="763"/>
      <c r="N23" s="230" t="str">
        <f>IF(AND(M23="واقعي",OR(H23=" Natural Gas",H23="Other Gas 1",H23="Other Gas 2",H23="Other Gas 3",H23="Other Gas 4",H23="Other Gas 5",H23="LPG",H23="Fuel oil ",H23="light gas oil",H23="Heavy gas oil")),IF((((VLOOKUP(H23,'Emission factors'!$B$41:$I$55,7,FALSE))="")),"در شيت Compositions آناليز و يا مشخصات سوخت را وارد كنيد",VLOOKUP(H23,'Emission factors'!$B$41:$I$55,7,FALSE)),"")</f>
        <v/>
      </c>
      <c r="O23" s="230" t="str">
        <f>IF(H23="","",VLOOKUP(H23,'Emission factors'!$B$41:$G$55,2,FALSE))</f>
        <v/>
      </c>
      <c r="P23" s="231" t="str">
        <f>IF(H23="","",VLOOKUP(H23,'Emission factors'!$A$10:$C$19,3,FALSE))</f>
        <v/>
      </c>
      <c r="Q23" s="282" t="str">
        <f t="shared" si="2"/>
        <v>ND</v>
      </c>
      <c r="R23" s="694" t="str">
        <f t="shared" si="3"/>
        <v>ND</v>
      </c>
      <c r="S23" s="694" t="str">
        <f t="shared" si="4"/>
        <v>ND</v>
      </c>
      <c r="T23" s="686" t="s">
        <v>284</v>
      </c>
      <c r="U23" s="709" t="str">
        <f t="shared" si="27"/>
        <v>ND</v>
      </c>
      <c r="V23" s="224" t="str">
        <f t="shared" si="28"/>
        <v/>
      </c>
      <c r="W23" s="225" t="str">
        <f t="shared" si="29"/>
        <v/>
      </c>
      <c r="X23" s="225" t="str">
        <f t="shared" si="30"/>
        <v/>
      </c>
      <c r="Y23" s="1143" t="s">
        <v>284</v>
      </c>
      <c r="Z23" s="1144"/>
      <c r="AA23" s="226" t="str">
        <f t="shared" si="31"/>
        <v/>
      </c>
      <c r="AB23" s="216"/>
      <c r="AC23" s="478"/>
      <c r="AD23" s="1248"/>
      <c r="AE23" s="522"/>
      <c r="AF23" s="735" t="str">
        <f>IF(M23="","",IF(M23="پيش‌فرض",40,IF(H23=" Natural Gas",Compositions!$BO$21,IF(H23="Other Gas 1",Compositions!$BO$30,IF(H23="Other Gas 2",Compositions!$BO$39,IF(H23="Other Gas 3",Compositions!$BW$21,IF(H23="Other Gas 4",Compositions!$BW$30,IF(H23="Other Gas 5",Compositions!$BW$39,IF(H23="LPG",Compositions!$BK$81,IF(H23="Heavy Gas oil",Compositions!$BK$83,IF(H23="Light Gas oil",Compositions!$BK$84,IF(H23="Fuel oil ",Compositions!$BK$85,""))))))))))       ))</f>
        <v/>
      </c>
      <c r="AG23" s="516" t="str">
        <f t="shared" si="9"/>
        <v>ND</v>
      </c>
      <c r="AH23" s="516" t="str">
        <f t="shared" si="10"/>
        <v>ND</v>
      </c>
      <c r="AI23" s="516" t="str">
        <f t="shared" si="11"/>
        <v>ND</v>
      </c>
      <c r="AJ23" s="1254"/>
      <c r="AK23" s="524" t="str">
        <f t="shared" si="12"/>
        <v>ND</v>
      </c>
      <c r="AL23" s="650" t="str">
        <f t="shared" si="13"/>
        <v/>
      </c>
      <c r="AM23" s="650" t="str">
        <f t="shared" si="14"/>
        <v/>
      </c>
      <c r="AN23" s="650" t="str">
        <f t="shared" si="15"/>
        <v/>
      </c>
      <c r="AO23" s="1254"/>
      <c r="AP23" s="528" t="str">
        <f t="shared" si="16"/>
        <v/>
      </c>
      <c r="AQ23" s="1249"/>
      <c r="AS23" s="719" t="str">
        <f t="shared" si="17"/>
        <v/>
      </c>
      <c r="AT23" s="719" t="str">
        <f t="shared" si="18"/>
        <v/>
      </c>
      <c r="AU23" s="719" t="str">
        <f t="shared" si="19"/>
        <v/>
      </c>
      <c r="AV23" s="1291"/>
      <c r="AW23" s="719" t="str">
        <f t="shared" si="20"/>
        <v/>
      </c>
      <c r="AY23" s="719" t="str">
        <f t="shared" si="21"/>
        <v/>
      </c>
      <c r="AZ23" s="719" t="str">
        <f t="shared" si="22"/>
        <v/>
      </c>
      <c r="BA23" s="719" t="str">
        <f t="shared" si="23"/>
        <v/>
      </c>
      <c r="BB23" s="1291"/>
      <c r="BC23" s="719" t="str">
        <f t="shared" si="24"/>
        <v/>
      </c>
    </row>
    <row r="24" spans="1:55" ht="21.45" customHeight="1">
      <c r="A24" s="1041"/>
      <c r="B24" s="1101"/>
      <c r="C24" s="268" t="s">
        <v>972</v>
      </c>
      <c r="D24" s="265"/>
      <c r="E24" s="669"/>
      <c r="F24" s="763"/>
      <c r="G24" s="670"/>
      <c r="H24" s="668"/>
      <c r="I24" s="233"/>
      <c r="J24" s="281" t="str">
        <f>IF(H24="","",VLOOKUP(H24,'Emission factors'!$A$10:$C$19,2,FALSE))</f>
        <v/>
      </c>
      <c r="K24" s="664" t="str">
        <f t="shared" si="26"/>
        <v>.نيازي به وارد كردن اين داده نيست</v>
      </c>
      <c r="L24" s="236"/>
      <c r="M24" s="763"/>
      <c r="N24" s="230" t="str">
        <f>IF(AND(M24="واقعي",OR(H24=" Natural Gas",H24="Other Gas 1",H24="Other Gas 2",H24="Other Gas 3",H24="Other Gas 4",H24="Other Gas 5",H24="LPG",H24="Fuel oil ",H24="light gas oil",H24="Heavy gas oil")),IF((((VLOOKUP(H24,'Emission factors'!$B$41:$I$55,7,FALSE))="")),"در شيت Compositions آناليز و يا مشخصات سوخت را وارد كنيد",VLOOKUP(H24,'Emission factors'!$B$41:$I$55,7,FALSE)),"")</f>
        <v/>
      </c>
      <c r="O24" s="230" t="str">
        <f>IF(H24="","",VLOOKUP(H24,'Emission factors'!$B$41:$G$55,2,FALSE))</f>
        <v/>
      </c>
      <c r="P24" s="231" t="str">
        <f>IF(H24="","",VLOOKUP(H24,'Emission factors'!$A$10:$C$19,3,FALSE))</f>
        <v/>
      </c>
      <c r="Q24" s="282" t="str">
        <f t="shared" si="2"/>
        <v>ND</v>
      </c>
      <c r="R24" s="694" t="str">
        <f t="shared" si="3"/>
        <v>ND</v>
      </c>
      <c r="S24" s="694" t="str">
        <f t="shared" si="4"/>
        <v>ND</v>
      </c>
      <c r="T24" s="686" t="s">
        <v>284</v>
      </c>
      <c r="U24" s="709" t="str">
        <f t="shared" si="27"/>
        <v>ND</v>
      </c>
      <c r="V24" s="224" t="str">
        <f t="shared" si="28"/>
        <v/>
      </c>
      <c r="W24" s="225" t="str">
        <f t="shared" si="29"/>
        <v/>
      </c>
      <c r="X24" s="225" t="str">
        <f t="shared" si="30"/>
        <v/>
      </c>
      <c r="Y24" s="1143" t="s">
        <v>284</v>
      </c>
      <c r="Z24" s="1144"/>
      <c r="AA24" s="226" t="str">
        <f t="shared" si="31"/>
        <v/>
      </c>
      <c r="AB24" s="216"/>
      <c r="AC24" s="478"/>
      <c r="AD24" s="1248"/>
      <c r="AE24" s="522"/>
      <c r="AF24" s="735" t="str">
        <f>IF(M24="","",IF(M24="پيش‌فرض",40,IF(H24=" Natural Gas",Compositions!$BO$21,IF(H24="Other Gas 1",Compositions!$BO$30,IF(H24="Other Gas 2",Compositions!$BO$39,IF(H24="Other Gas 3",Compositions!$BW$21,IF(H24="Other Gas 4",Compositions!$BW$30,IF(H24="Other Gas 5",Compositions!$BW$39,IF(H24="LPG",Compositions!$BK$81,IF(H24="Heavy Gas oil",Compositions!$BK$83,IF(H24="Light Gas oil",Compositions!$BK$84,IF(H24="Fuel oil ",Compositions!$BK$85,""))))))))))       ))</f>
        <v/>
      </c>
      <c r="AG24" s="516" t="str">
        <f t="shared" si="9"/>
        <v>ND</v>
      </c>
      <c r="AH24" s="516" t="str">
        <f t="shared" si="10"/>
        <v>ND</v>
      </c>
      <c r="AI24" s="516" t="str">
        <f t="shared" si="11"/>
        <v>ND</v>
      </c>
      <c r="AJ24" s="1254"/>
      <c r="AK24" s="524" t="str">
        <f t="shared" si="12"/>
        <v>ND</v>
      </c>
      <c r="AL24" s="650" t="str">
        <f t="shared" si="13"/>
        <v/>
      </c>
      <c r="AM24" s="650" t="str">
        <f t="shared" si="14"/>
        <v/>
      </c>
      <c r="AN24" s="650" t="str">
        <f t="shared" si="15"/>
        <v/>
      </c>
      <c r="AO24" s="1254"/>
      <c r="AP24" s="528" t="str">
        <f t="shared" si="16"/>
        <v/>
      </c>
      <c r="AQ24" s="1249"/>
      <c r="AS24" s="719" t="str">
        <f t="shared" si="17"/>
        <v/>
      </c>
      <c r="AT24" s="719" t="str">
        <f t="shared" si="18"/>
        <v/>
      </c>
      <c r="AU24" s="719" t="str">
        <f t="shared" si="19"/>
        <v/>
      </c>
      <c r="AV24" s="1291"/>
      <c r="AW24" s="719" t="str">
        <f t="shared" si="20"/>
        <v/>
      </c>
      <c r="AY24" s="719" t="str">
        <f t="shared" si="21"/>
        <v/>
      </c>
      <c r="AZ24" s="719" t="str">
        <f t="shared" si="22"/>
        <v/>
      </c>
      <c r="BA24" s="719" t="str">
        <f t="shared" si="23"/>
        <v/>
      </c>
      <c r="BB24" s="1291"/>
      <c r="BC24" s="719" t="str">
        <f t="shared" si="24"/>
        <v/>
      </c>
    </row>
    <row r="25" spans="1:55" ht="21.45" customHeight="1">
      <c r="A25" s="1041"/>
      <c r="B25" s="1101"/>
      <c r="C25" s="268" t="s">
        <v>973</v>
      </c>
      <c r="D25" s="265"/>
      <c r="E25" s="669"/>
      <c r="F25" s="763"/>
      <c r="G25" s="670"/>
      <c r="H25" s="668"/>
      <c r="I25" s="233"/>
      <c r="J25" s="281" t="str">
        <f>IF(H25="","",VLOOKUP(H25,'Emission factors'!$A$10:$C$19,2,FALSE))</f>
        <v/>
      </c>
      <c r="K25" s="664" t="str">
        <f t="shared" si="26"/>
        <v>.نيازي به وارد كردن اين داده نيست</v>
      </c>
      <c r="L25" s="236"/>
      <c r="M25" s="763"/>
      <c r="N25" s="230" t="str">
        <f>IF(AND(M25="واقعي",OR(H25=" Natural Gas",H25="Other Gas 1",H25="Other Gas 2",H25="Other Gas 3",H25="Other Gas 4",H25="Other Gas 5",H25="LPG",H25="Fuel oil ",H25="light gas oil",H25="Heavy gas oil")),IF((((VLOOKUP(H25,'Emission factors'!$B$41:$I$55,7,FALSE))="")),"در شيت Compositions آناليز و يا مشخصات سوخت را وارد كنيد",VLOOKUP(H25,'Emission factors'!$B$41:$I$55,7,FALSE)),"")</f>
        <v/>
      </c>
      <c r="O25" s="230" t="str">
        <f>IF(H25="","",VLOOKUP(H25,'Emission factors'!$B$41:$G$55,2,FALSE))</f>
        <v/>
      </c>
      <c r="P25" s="231" t="str">
        <f>IF(H25="","",VLOOKUP(H25,'Emission factors'!$A$10:$C$19,3,FALSE))</f>
        <v/>
      </c>
      <c r="Q25" s="282" t="str">
        <f t="shared" si="2"/>
        <v>ND</v>
      </c>
      <c r="R25" s="694" t="str">
        <f t="shared" si="3"/>
        <v>ND</v>
      </c>
      <c r="S25" s="694" t="str">
        <f t="shared" si="4"/>
        <v>ND</v>
      </c>
      <c r="T25" s="686" t="s">
        <v>284</v>
      </c>
      <c r="U25" s="709" t="str">
        <f t="shared" si="27"/>
        <v>ND</v>
      </c>
      <c r="V25" s="224" t="str">
        <f t="shared" si="28"/>
        <v/>
      </c>
      <c r="W25" s="225" t="str">
        <f t="shared" si="29"/>
        <v/>
      </c>
      <c r="X25" s="225" t="str">
        <f t="shared" si="30"/>
        <v/>
      </c>
      <c r="Y25" s="1143" t="s">
        <v>284</v>
      </c>
      <c r="Z25" s="1144"/>
      <c r="AA25" s="226" t="str">
        <f t="shared" si="31"/>
        <v/>
      </c>
      <c r="AB25" s="216"/>
      <c r="AC25" s="478"/>
      <c r="AD25" s="1248"/>
      <c r="AE25" s="522"/>
      <c r="AF25" s="735" t="str">
        <f>IF(M25="","",IF(M25="پيش‌فرض",40,IF(H25=" Natural Gas",Compositions!$BO$21,IF(H25="Other Gas 1",Compositions!$BO$30,IF(H25="Other Gas 2",Compositions!$BO$39,IF(H25="Other Gas 3",Compositions!$BW$21,IF(H25="Other Gas 4",Compositions!$BW$30,IF(H25="Other Gas 5",Compositions!$BW$39,IF(H25="LPG",Compositions!$BK$81,IF(H25="Heavy Gas oil",Compositions!$BK$83,IF(H25="Light Gas oil",Compositions!$BK$84,IF(H25="Fuel oil ",Compositions!$BK$85,""))))))))))       ))</f>
        <v/>
      </c>
      <c r="AG25" s="516" t="str">
        <f t="shared" si="9"/>
        <v>ND</v>
      </c>
      <c r="AH25" s="516" t="str">
        <f t="shared" si="10"/>
        <v>ND</v>
      </c>
      <c r="AI25" s="516" t="str">
        <f t="shared" si="11"/>
        <v>ND</v>
      </c>
      <c r="AJ25" s="1254"/>
      <c r="AK25" s="524" t="str">
        <f t="shared" si="12"/>
        <v>ND</v>
      </c>
      <c r="AL25" s="650" t="str">
        <f t="shared" si="13"/>
        <v/>
      </c>
      <c r="AM25" s="650" t="str">
        <f t="shared" si="14"/>
        <v/>
      </c>
      <c r="AN25" s="650" t="str">
        <f t="shared" si="15"/>
        <v/>
      </c>
      <c r="AO25" s="1254"/>
      <c r="AP25" s="528" t="str">
        <f t="shared" si="16"/>
        <v/>
      </c>
      <c r="AQ25" s="1249"/>
      <c r="AS25" s="719" t="str">
        <f t="shared" si="17"/>
        <v/>
      </c>
      <c r="AT25" s="719" t="str">
        <f t="shared" si="18"/>
        <v/>
      </c>
      <c r="AU25" s="719" t="str">
        <f t="shared" si="19"/>
        <v/>
      </c>
      <c r="AV25" s="1291"/>
      <c r="AW25" s="719" t="str">
        <f t="shared" si="20"/>
        <v/>
      </c>
      <c r="AY25" s="719" t="str">
        <f t="shared" si="21"/>
        <v/>
      </c>
      <c r="AZ25" s="719" t="str">
        <f t="shared" si="22"/>
        <v/>
      </c>
      <c r="BA25" s="719" t="str">
        <f t="shared" si="23"/>
        <v/>
      </c>
      <c r="BB25" s="1291"/>
      <c r="BC25" s="719" t="str">
        <f t="shared" si="24"/>
        <v/>
      </c>
    </row>
    <row r="26" spans="1:55" ht="21.45" customHeight="1">
      <c r="A26" s="1041"/>
      <c r="B26" s="1101"/>
      <c r="C26" s="268" t="s">
        <v>974</v>
      </c>
      <c r="D26" s="265"/>
      <c r="E26" s="669"/>
      <c r="F26" s="763"/>
      <c r="G26" s="670"/>
      <c r="H26" s="668"/>
      <c r="I26" s="233"/>
      <c r="J26" s="281" t="str">
        <f>IF(H26="","",VLOOKUP(H26,'Emission factors'!$A$10:$C$19,2,FALSE))</f>
        <v/>
      </c>
      <c r="K26" s="664" t="str">
        <f t="shared" si="26"/>
        <v>.نيازي به وارد كردن اين داده نيست</v>
      </c>
      <c r="L26" s="236"/>
      <c r="M26" s="763"/>
      <c r="N26" s="230" t="str">
        <f>IF(AND(M26="واقعي",OR(H26=" Natural Gas",H26="Other Gas 1",H26="Other Gas 2",H26="Other Gas 3",H26="Other Gas 4",H26="Other Gas 5",H26="LPG",H26="Fuel oil ",H26="light gas oil",H26="Heavy gas oil")),IF((((VLOOKUP(H26,'Emission factors'!$B$41:$I$55,7,FALSE))="")),"در شيت Compositions آناليز و يا مشخصات سوخت را وارد كنيد",VLOOKUP(H26,'Emission factors'!$B$41:$I$55,7,FALSE)),"")</f>
        <v/>
      </c>
      <c r="O26" s="230" t="str">
        <f>IF(H26="","",VLOOKUP(H26,'Emission factors'!$B$41:$G$55,2,FALSE))</f>
        <v/>
      </c>
      <c r="P26" s="231" t="str">
        <f>IF(H26="","",VLOOKUP(H26,'Emission factors'!$A$10:$C$19,3,FALSE))</f>
        <v/>
      </c>
      <c r="Q26" s="282" t="str">
        <f t="shared" si="2"/>
        <v>ND</v>
      </c>
      <c r="R26" s="694" t="str">
        <f t="shared" si="3"/>
        <v>ND</v>
      </c>
      <c r="S26" s="694" t="str">
        <f t="shared" si="4"/>
        <v>ND</v>
      </c>
      <c r="T26" s="686" t="s">
        <v>284</v>
      </c>
      <c r="U26" s="709" t="str">
        <f t="shared" si="27"/>
        <v>ND</v>
      </c>
      <c r="V26" s="224" t="str">
        <f t="shared" si="28"/>
        <v/>
      </c>
      <c r="W26" s="225" t="str">
        <f t="shared" si="29"/>
        <v/>
      </c>
      <c r="X26" s="225" t="str">
        <f t="shared" si="30"/>
        <v/>
      </c>
      <c r="Y26" s="1143" t="s">
        <v>284</v>
      </c>
      <c r="Z26" s="1144"/>
      <c r="AA26" s="226" t="str">
        <f t="shared" si="31"/>
        <v/>
      </c>
      <c r="AB26" s="216"/>
      <c r="AC26" s="478"/>
      <c r="AD26" s="1248"/>
      <c r="AE26" s="522"/>
      <c r="AF26" s="735" t="str">
        <f>IF(M26="","",IF(M26="پيش‌فرض",40,IF(H26=" Natural Gas",Compositions!$BO$21,IF(H26="Other Gas 1",Compositions!$BO$30,IF(H26="Other Gas 2",Compositions!$BO$39,IF(H26="Other Gas 3",Compositions!$BW$21,IF(H26="Other Gas 4",Compositions!$BW$30,IF(H26="Other Gas 5",Compositions!$BW$39,IF(H26="LPG",Compositions!$BK$81,IF(H26="Heavy Gas oil",Compositions!$BK$83,IF(H26="Light Gas oil",Compositions!$BK$84,IF(H26="Fuel oil ",Compositions!$BK$85,""))))))))))       ))</f>
        <v/>
      </c>
      <c r="AG26" s="516" t="str">
        <f t="shared" si="9"/>
        <v>ND</v>
      </c>
      <c r="AH26" s="516" t="str">
        <f t="shared" si="10"/>
        <v>ND</v>
      </c>
      <c r="AI26" s="516" t="str">
        <f t="shared" si="11"/>
        <v>ND</v>
      </c>
      <c r="AJ26" s="1254"/>
      <c r="AK26" s="524" t="str">
        <f t="shared" si="12"/>
        <v>ND</v>
      </c>
      <c r="AL26" s="650" t="str">
        <f t="shared" si="13"/>
        <v/>
      </c>
      <c r="AM26" s="650" t="str">
        <f t="shared" si="14"/>
        <v/>
      </c>
      <c r="AN26" s="650" t="str">
        <f t="shared" si="15"/>
        <v/>
      </c>
      <c r="AO26" s="1254"/>
      <c r="AP26" s="528" t="str">
        <f t="shared" si="16"/>
        <v/>
      </c>
      <c r="AQ26" s="1249"/>
      <c r="AS26" s="719" t="str">
        <f t="shared" si="17"/>
        <v/>
      </c>
      <c r="AT26" s="719" t="str">
        <f t="shared" si="18"/>
        <v/>
      </c>
      <c r="AU26" s="719" t="str">
        <f t="shared" si="19"/>
        <v/>
      </c>
      <c r="AV26" s="1291"/>
      <c r="AW26" s="719" t="str">
        <f t="shared" si="20"/>
        <v/>
      </c>
      <c r="AY26" s="719" t="str">
        <f t="shared" si="21"/>
        <v/>
      </c>
      <c r="AZ26" s="719" t="str">
        <f t="shared" si="22"/>
        <v/>
      </c>
      <c r="BA26" s="719" t="str">
        <f t="shared" si="23"/>
        <v/>
      </c>
      <c r="BB26" s="1291"/>
      <c r="BC26" s="719" t="str">
        <f t="shared" si="24"/>
        <v/>
      </c>
    </row>
    <row r="27" spans="1:55" ht="21.45" customHeight="1">
      <c r="A27" s="1041"/>
      <c r="B27" s="1101"/>
      <c r="C27" s="268" t="s">
        <v>975</v>
      </c>
      <c r="D27" s="265"/>
      <c r="E27" s="669"/>
      <c r="F27" s="763"/>
      <c r="G27" s="670"/>
      <c r="H27" s="668"/>
      <c r="I27" s="233"/>
      <c r="J27" s="281" t="str">
        <f>IF(H27="","",VLOOKUP(H27,'Emission factors'!$A$10:$C$19,2,FALSE))</f>
        <v/>
      </c>
      <c r="K27" s="664" t="str">
        <f t="shared" si="26"/>
        <v>.نيازي به وارد كردن اين داده نيست</v>
      </c>
      <c r="L27" s="236"/>
      <c r="M27" s="763"/>
      <c r="N27" s="230" t="str">
        <f>IF(AND(M27="واقعي",OR(H27=" Natural Gas",H27="Other Gas 1",H27="Other Gas 2",H27="Other Gas 3",H27="Other Gas 4",H27="Other Gas 5",H27="LPG",H27="Fuel oil ",H27="light gas oil",H27="Heavy gas oil")),IF((((VLOOKUP(H27,'Emission factors'!$B$41:$I$55,7,FALSE))="")),"در شيت Compositions آناليز و يا مشخصات سوخت را وارد كنيد",VLOOKUP(H27,'Emission factors'!$B$41:$I$55,7,FALSE)),"")</f>
        <v/>
      </c>
      <c r="O27" s="230" t="str">
        <f>IF(H27="","",VLOOKUP(H27,'Emission factors'!$B$41:$G$55,2,FALSE))</f>
        <v/>
      </c>
      <c r="P27" s="231" t="str">
        <f>IF(H27="","",VLOOKUP(H27,'Emission factors'!$A$10:$C$19,3,FALSE))</f>
        <v/>
      </c>
      <c r="Q27" s="282" t="str">
        <f t="shared" si="2"/>
        <v>ND</v>
      </c>
      <c r="R27" s="694" t="str">
        <f t="shared" si="3"/>
        <v>ND</v>
      </c>
      <c r="S27" s="694" t="str">
        <f t="shared" si="4"/>
        <v>ND</v>
      </c>
      <c r="T27" s="686" t="s">
        <v>284</v>
      </c>
      <c r="U27" s="709" t="str">
        <f t="shared" si="27"/>
        <v>ND</v>
      </c>
      <c r="V27" s="224" t="str">
        <f t="shared" si="28"/>
        <v/>
      </c>
      <c r="W27" s="225" t="str">
        <f t="shared" si="29"/>
        <v/>
      </c>
      <c r="X27" s="225" t="str">
        <f t="shared" si="30"/>
        <v/>
      </c>
      <c r="Y27" s="1143" t="s">
        <v>284</v>
      </c>
      <c r="Z27" s="1144"/>
      <c r="AA27" s="226" t="str">
        <f t="shared" si="31"/>
        <v/>
      </c>
      <c r="AB27" s="216"/>
      <c r="AC27" s="478"/>
      <c r="AD27" s="1248"/>
      <c r="AE27" s="522"/>
      <c r="AF27" s="735" t="str">
        <f>IF(M27="","",IF(M27="پيش‌فرض",40,IF(H27=" Natural Gas",Compositions!$BO$21,IF(H27="Other Gas 1",Compositions!$BO$30,IF(H27="Other Gas 2",Compositions!$BO$39,IF(H27="Other Gas 3",Compositions!$BW$21,IF(H27="Other Gas 4",Compositions!$BW$30,IF(H27="Other Gas 5",Compositions!$BW$39,IF(H27="LPG",Compositions!$BK$81,IF(H27="Heavy Gas oil",Compositions!$BK$83,IF(H27="Light Gas oil",Compositions!$BK$84,IF(H27="Fuel oil ",Compositions!$BK$85,""))))))))))       ))</f>
        <v/>
      </c>
      <c r="AG27" s="516" t="str">
        <f t="shared" si="9"/>
        <v>ND</v>
      </c>
      <c r="AH27" s="516" t="str">
        <f t="shared" si="10"/>
        <v>ND</v>
      </c>
      <c r="AI27" s="516" t="str">
        <f t="shared" si="11"/>
        <v>ND</v>
      </c>
      <c r="AJ27" s="1254"/>
      <c r="AK27" s="524" t="str">
        <f t="shared" si="12"/>
        <v>ND</v>
      </c>
      <c r="AL27" s="650" t="str">
        <f t="shared" si="13"/>
        <v/>
      </c>
      <c r="AM27" s="650" t="str">
        <f t="shared" si="14"/>
        <v/>
      </c>
      <c r="AN27" s="650" t="str">
        <f t="shared" si="15"/>
        <v/>
      </c>
      <c r="AO27" s="1254"/>
      <c r="AP27" s="528" t="str">
        <f t="shared" si="16"/>
        <v/>
      </c>
      <c r="AQ27" s="1249"/>
      <c r="AS27" s="719" t="str">
        <f t="shared" si="17"/>
        <v/>
      </c>
      <c r="AT27" s="719" t="str">
        <f t="shared" si="18"/>
        <v/>
      </c>
      <c r="AU27" s="719" t="str">
        <f t="shared" si="19"/>
        <v/>
      </c>
      <c r="AV27" s="1291"/>
      <c r="AW27" s="719" t="str">
        <f t="shared" si="20"/>
        <v/>
      </c>
      <c r="AY27" s="719" t="str">
        <f t="shared" si="21"/>
        <v/>
      </c>
      <c r="AZ27" s="719" t="str">
        <f t="shared" si="22"/>
        <v/>
      </c>
      <c r="BA27" s="719" t="str">
        <f t="shared" si="23"/>
        <v/>
      </c>
      <c r="BB27" s="1291"/>
      <c r="BC27" s="719" t="str">
        <f t="shared" si="24"/>
        <v/>
      </c>
    </row>
    <row r="28" spans="1:55" ht="21.45" customHeight="1">
      <c r="A28" s="1041"/>
      <c r="B28" s="1101"/>
      <c r="C28" s="268" t="s">
        <v>976</v>
      </c>
      <c r="D28" s="265"/>
      <c r="E28" s="669"/>
      <c r="F28" s="763"/>
      <c r="G28" s="670"/>
      <c r="H28" s="668"/>
      <c r="I28" s="233"/>
      <c r="J28" s="281" t="str">
        <f>IF(H28="","",VLOOKUP(H28,'Emission factors'!$A$10:$C$19,2,FALSE))</f>
        <v/>
      </c>
      <c r="K28" s="664" t="str">
        <f t="shared" si="26"/>
        <v>.نيازي به وارد كردن اين داده نيست</v>
      </c>
      <c r="L28" s="236"/>
      <c r="M28" s="763"/>
      <c r="N28" s="230" t="str">
        <f>IF(AND(M28="واقعي",OR(H28=" Natural Gas",H28="Other Gas 1",H28="Other Gas 2",H28="Other Gas 3",H28="Other Gas 4",H28="Other Gas 5",H28="LPG",H28="Fuel oil ",H28="light gas oil",H28="Heavy gas oil")),IF((((VLOOKUP(H28,'Emission factors'!$B$41:$I$55,7,FALSE))="")),"در شيت Compositions آناليز و يا مشخصات سوخت را وارد كنيد",VLOOKUP(H28,'Emission factors'!$B$41:$I$55,7,FALSE)),"")</f>
        <v/>
      </c>
      <c r="O28" s="230" t="str">
        <f>IF(H28="","",VLOOKUP(H28,'Emission factors'!$B$41:$G$55,2,FALSE))</f>
        <v/>
      </c>
      <c r="P28" s="231" t="str">
        <f>IF(H28="","",VLOOKUP(H28,'Emission factors'!$A$10:$C$19,3,FALSE))</f>
        <v/>
      </c>
      <c r="Q28" s="282" t="str">
        <f t="shared" si="2"/>
        <v>ND</v>
      </c>
      <c r="R28" s="694" t="str">
        <f t="shared" si="3"/>
        <v>ND</v>
      </c>
      <c r="S28" s="694" t="str">
        <f t="shared" si="4"/>
        <v>ND</v>
      </c>
      <c r="T28" s="686" t="s">
        <v>284</v>
      </c>
      <c r="U28" s="709" t="str">
        <f t="shared" si="27"/>
        <v>ND</v>
      </c>
      <c r="V28" s="224" t="str">
        <f t="shared" si="28"/>
        <v/>
      </c>
      <c r="W28" s="225" t="str">
        <f t="shared" si="29"/>
        <v/>
      </c>
      <c r="X28" s="225" t="str">
        <f t="shared" si="30"/>
        <v/>
      </c>
      <c r="Y28" s="1143" t="s">
        <v>284</v>
      </c>
      <c r="Z28" s="1144"/>
      <c r="AA28" s="226" t="str">
        <f t="shared" si="31"/>
        <v/>
      </c>
      <c r="AB28" s="216"/>
      <c r="AC28" s="478"/>
      <c r="AD28" s="1248"/>
      <c r="AE28" s="522"/>
      <c r="AF28" s="735" t="str">
        <f>IF(M28="","",IF(M28="پيش‌فرض",40,IF(H28=" Natural Gas",Compositions!$BO$21,IF(H28="Other Gas 1",Compositions!$BO$30,IF(H28="Other Gas 2",Compositions!$BO$39,IF(H28="Other Gas 3",Compositions!$BW$21,IF(H28="Other Gas 4",Compositions!$BW$30,IF(H28="Other Gas 5",Compositions!$BW$39,IF(H28="LPG",Compositions!$BK$81,IF(H28="Heavy Gas oil",Compositions!$BK$83,IF(H28="Light Gas oil",Compositions!$BK$84,IF(H28="Fuel oil ",Compositions!$BK$85,""))))))))))       ))</f>
        <v/>
      </c>
      <c r="AG28" s="516" t="str">
        <f t="shared" si="9"/>
        <v>ND</v>
      </c>
      <c r="AH28" s="516" t="str">
        <f t="shared" si="10"/>
        <v>ND</v>
      </c>
      <c r="AI28" s="516" t="str">
        <f t="shared" si="11"/>
        <v>ND</v>
      </c>
      <c r="AJ28" s="1254"/>
      <c r="AK28" s="524" t="str">
        <f t="shared" si="12"/>
        <v>ND</v>
      </c>
      <c r="AL28" s="650" t="str">
        <f t="shared" si="13"/>
        <v/>
      </c>
      <c r="AM28" s="650" t="str">
        <f t="shared" si="14"/>
        <v/>
      </c>
      <c r="AN28" s="650" t="str">
        <f t="shared" si="15"/>
        <v/>
      </c>
      <c r="AO28" s="1254"/>
      <c r="AP28" s="528" t="str">
        <f t="shared" si="16"/>
        <v/>
      </c>
      <c r="AQ28" s="1249"/>
      <c r="AS28" s="719" t="str">
        <f t="shared" si="17"/>
        <v/>
      </c>
      <c r="AT28" s="719" t="str">
        <f t="shared" si="18"/>
        <v/>
      </c>
      <c r="AU28" s="719" t="str">
        <f t="shared" si="19"/>
        <v/>
      </c>
      <c r="AV28" s="1291"/>
      <c r="AW28" s="719" t="str">
        <f t="shared" si="20"/>
        <v/>
      </c>
      <c r="AY28" s="719" t="str">
        <f t="shared" si="21"/>
        <v/>
      </c>
      <c r="AZ28" s="719" t="str">
        <f t="shared" si="22"/>
        <v/>
      </c>
      <c r="BA28" s="719" t="str">
        <f t="shared" si="23"/>
        <v/>
      </c>
      <c r="BB28" s="1291"/>
      <c r="BC28" s="719" t="str">
        <f t="shared" si="24"/>
        <v/>
      </c>
    </row>
    <row r="29" spans="1:55" ht="21.45" customHeight="1">
      <c r="A29" s="1041"/>
      <c r="B29" s="1101"/>
      <c r="C29" s="268" t="s">
        <v>977</v>
      </c>
      <c r="D29" s="265"/>
      <c r="E29" s="669"/>
      <c r="F29" s="763"/>
      <c r="G29" s="670"/>
      <c r="H29" s="668"/>
      <c r="I29" s="233"/>
      <c r="J29" s="281" t="str">
        <f>IF(H29="","",VLOOKUP(H29,'Emission factors'!$A$10:$C$19,2,FALSE))</f>
        <v/>
      </c>
      <c r="K29" s="664" t="str">
        <f t="shared" si="26"/>
        <v>.نيازي به وارد كردن اين داده نيست</v>
      </c>
      <c r="L29" s="236"/>
      <c r="M29" s="763"/>
      <c r="N29" s="230" t="str">
        <f>IF(AND(M29="واقعي",OR(H29=" Natural Gas",H29="Other Gas 1",H29="Other Gas 2",H29="Other Gas 3",H29="Other Gas 4",H29="Other Gas 5",H29="LPG",H29="Fuel oil ",H29="light gas oil",H29="Heavy gas oil")),IF((((VLOOKUP(H29,'Emission factors'!$B$41:$I$55,7,FALSE))="")),"در شيت Compositions آناليز و يا مشخصات سوخت را وارد كنيد",VLOOKUP(H29,'Emission factors'!$B$41:$I$55,7,FALSE)),"")</f>
        <v/>
      </c>
      <c r="O29" s="230" t="str">
        <f>IF(H29="","",VLOOKUP(H29,'Emission factors'!$B$41:$G$55,2,FALSE))</f>
        <v/>
      </c>
      <c r="P29" s="231" t="str">
        <f>IF(H29="","",VLOOKUP(H29,'Emission factors'!$A$10:$C$19,3,FALSE))</f>
        <v/>
      </c>
      <c r="Q29" s="282" t="str">
        <f t="shared" si="2"/>
        <v>ND</v>
      </c>
      <c r="R29" s="694" t="str">
        <f t="shared" si="3"/>
        <v>ND</v>
      </c>
      <c r="S29" s="694" t="str">
        <f t="shared" si="4"/>
        <v>ND</v>
      </c>
      <c r="T29" s="686" t="s">
        <v>284</v>
      </c>
      <c r="U29" s="709" t="str">
        <f t="shared" si="27"/>
        <v>ND</v>
      </c>
      <c r="V29" s="224" t="str">
        <f t="shared" si="28"/>
        <v/>
      </c>
      <c r="W29" s="225" t="str">
        <f t="shared" si="29"/>
        <v/>
      </c>
      <c r="X29" s="225" t="str">
        <f t="shared" si="30"/>
        <v/>
      </c>
      <c r="Y29" s="1143" t="s">
        <v>284</v>
      </c>
      <c r="Z29" s="1144"/>
      <c r="AA29" s="226" t="str">
        <f t="shared" si="31"/>
        <v/>
      </c>
      <c r="AB29" s="216"/>
      <c r="AC29" s="478"/>
      <c r="AD29" s="1248"/>
      <c r="AE29" s="522"/>
      <c r="AF29" s="735" t="str">
        <f>IF(M29="","",IF(M29="پيش‌فرض",40,IF(H29=" Natural Gas",Compositions!$BO$21,IF(H29="Other Gas 1",Compositions!$BO$30,IF(H29="Other Gas 2",Compositions!$BO$39,IF(H29="Other Gas 3",Compositions!$BW$21,IF(H29="Other Gas 4",Compositions!$BW$30,IF(H29="Other Gas 5",Compositions!$BW$39,IF(H29="LPG",Compositions!$BK$81,IF(H29="Heavy Gas oil",Compositions!$BK$83,IF(H29="Light Gas oil",Compositions!$BK$84,IF(H29="Fuel oil ",Compositions!$BK$85,""))))))))))       ))</f>
        <v/>
      </c>
      <c r="AG29" s="516" t="str">
        <f t="shared" si="9"/>
        <v>ND</v>
      </c>
      <c r="AH29" s="516" t="str">
        <f t="shared" si="10"/>
        <v>ND</v>
      </c>
      <c r="AI29" s="516" t="str">
        <f t="shared" si="11"/>
        <v>ND</v>
      </c>
      <c r="AJ29" s="1254"/>
      <c r="AK29" s="524" t="str">
        <f t="shared" si="12"/>
        <v>ND</v>
      </c>
      <c r="AL29" s="650" t="str">
        <f t="shared" si="13"/>
        <v/>
      </c>
      <c r="AM29" s="650" t="str">
        <f t="shared" si="14"/>
        <v/>
      </c>
      <c r="AN29" s="650" t="str">
        <f t="shared" si="15"/>
        <v/>
      </c>
      <c r="AO29" s="1254"/>
      <c r="AP29" s="528" t="str">
        <f t="shared" si="16"/>
        <v/>
      </c>
      <c r="AQ29" s="1249"/>
      <c r="AS29" s="719" t="str">
        <f t="shared" si="17"/>
        <v/>
      </c>
      <c r="AT29" s="719" t="str">
        <f t="shared" si="18"/>
        <v/>
      </c>
      <c r="AU29" s="719" t="str">
        <f t="shared" si="19"/>
        <v/>
      </c>
      <c r="AV29" s="1291"/>
      <c r="AW29" s="719" t="str">
        <f t="shared" si="20"/>
        <v/>
      </c>
      <c r="AY29" s="719" t="str">
        <f t="shared" si="21"/>
        <v/>
      </c>
      <c r="AZ29" s="719" t="str">
        <f t="shared" si="22"/>
        <v/>
      </c>
      <c r="BA29" s="719" t="str">
        <f t="shared" si="23"/>
        <v/>
      </c>
      <c r="BB29" s="1291"/>
      <c r="BC29" s="719" t="str">
        <f t="shared" si="24"/>
        <v/>
      </c>
    </row>
    <row r="30" spans="1:55" ht="21.45" customHeight="1">
      <c r="A30" s="1041"/>
      <c r="B30" s="1101"/>
      <c r="C30" s="268" t="s">
        <v>978</v>
      </c>
      <c r="D30" s="265"/>
      <c r="E30" s="669"/>
      <c r="F30" s="763"/>
      <c r="G30" s="670"/>
      <c r="H30" s="668"/>
      <c r="I30" s="233"/>
      <c r="J30" s="281" t="str">
        <f>IF(H30="","",VLOOKUP(H30,'Emission factors'!$A$10:$C$19,2,FALSE))</f>
        <v/>
      </c>
      <c r="K30" s="664" t="str">
        <f t="shared" si="26"/>
        <v>.نيازي به وارد كردن اين داده نيست</v>
      </c>
      <c r="L30" s="236"/>
      <c r="M30" s="763"/>
      <c r="N30" s="230" t="str">
        <f>IF(AND(M30="واقعي",OR(H30=" Natural Gas",H30="Other Gas 1",H30="Other Gas 2",H30="Other Gas 3",H30="Other Gas 4",H30="Other Gas 5",H30="LPG",H30="Fuel oil ",H30="light gas oil",H30="Heavy gas oil")),IF((((VLOOKUP(H30,'Emission factors'!$B$41:$I$55,7,FALSE))="")),"در شيت Compositions آناليز و يا مشخصات سوخت را وارد كنيد",VLOOKUP(H30,'Emission factors'!$B$41:$I$55,7,FALSE)),"")</f>
        <v/>
      </c>
      <c r="O30" s="230" t="str">
        <f>IF(H30="","",VLOOKUP(H30,'Emission factors'!$B$41:$G$55,2,FALSE))</f>
        <v/>
      </c>
      <c r="P30" s="231" t="str">
        <f>IF(H30="","",VLOOKUP(H30,'Emission factors'!$A$10:$C$19,3,FALSE))</f>
        <v/>
      </c>
      <c r="Q30" s="282" t="str">
        <f t="shared" si="2"/>
        <v>ND</v>
      </c>
      <c r="R30" s="694" t="str">
        <f t="shared" si="3"/>
        <v>ND</v>
      </c>
      <c r="S30" s="694" t="str">
        <f t="shared" si="4"/>
        <v>ND</v>
      </c>
      <c r="T30" s="686" t="s">
        <v>284</v>
      </c>
      <c r="U30" s="709" t="str">
        <f t="shared" si="27"/>
        <v>ND</v>
      </c>
      <c r="V30" s="224" t="str">
        <f t="shared" si="28"/>
        <v/>
      </c>
      <c r="W30" s="225" t="str">
        <f t="shared" si="29"/>
        <v/>
      </c>
      <c r="X30" s="225" t="str">
        <f t="shared" si="30"/>
        <v/>
      </c>
      <c r="Y30" s="1143" t="s">
        <v>284</v>
      </c>
      <c r="Z30" s="1144"/>
      <c r="AA30" s="226" t="str">
        <f t="shared" si="31"/>
        <v/>
      </c>
      <c r="AB30" s="216"/>
      <c r="AC30" s="478"/>
      <c r="AD30" s="1248"/>
      <c r="AE30" s="522"/>
      <c r="AF30" s="735" t="str">
        <f>IF(M30="","",IF(M30="پيش‌فرض",40,IF(H30=" Natural Gas",Compositions!$BO$21,IF(H30="Other Gas 1",Compositions!$BO$30,IF(H30="Other Gas 2",Compositions!$BO$39,IF(H30="Other Gas 3",Compositions!$BW$21,IF(H30="Other Gas 4",Compositions!$BW$30,IF(H30="Other Gas 5",Compositions!$BW$39,IF(H30="LPG",Compositions!$BK$81,IF(H30="Heavy Gas oil",Compositions!$BK$83,IF(H30="Light Gas oil",Compositions!$BK$84,IF(H30="Fuel oil ",Compositions!$BK$85,""))))))))))       ))</f>
        <v/>
      </c>
      <c r="AG30" s="516" t="str">
        <f t="shared" si="9"/>
        <v>ND</v>
      </c>
      <c r="AH30" s="516" t="str">
        <f t="shared" si="10"/>
        <v>ND</v>
      </c>
      <c r="AI30" s="516" t="str">
        <f t="shared" si="11"/>
        <v>ND</v>
      </c>
      <c r="AJ30" s="1254"/>
      <c r="AK30" s="524" t="str">
        <f t="shared" si="12"/>
        <v>ND</v>
      </c>
      <c r="AL30" s="650" t="str">
        <f t="shared" si="13"/>
        <v/>
      </c>
      <c r="AM30" s="650" t="str">
        <f t="shared" si="14"/>
        <v/>
      </c>
      <c r="AN30" s="650" t="str">
        <f t="shared" si="15"/>
        <v/>
      </c>
      <c r="AO30" s="1254"/>
      <c r="AP30" s="528" t="str">
        <f t="shared" si="16"/>
        <v/>
      </c>
      <c r="AQ30" s="1249"/>
      <c r="AS30" s="719" t="str">
        <f t="shared" si="17"/>
        <v/>
      </c>
      <c r="AT30" s="719" t="str">
        <f t="shared" si="18"/>
        <v/>
      </c>
      <c r="AU30" s="719" t="str">
        <f t="shared" si="19"/>
        <v/>
      </c>
      <c r="AV30" s="1291"/>
      <c r="AW30" s="719" t="str">
        <f t="shared" si="20"/>
        <v/>
      </c>
      <c r="AY30" s="719" t="str">
        <f t="shared" si="21"/>
        <v/>
      </c>
      <c r="AZ30" s="719" t="str">
        <f t="shared" si="22"/>
        <v/>
      </c>
      <c r="BA30" s="719" t="str">
        <f t="shared" si="23"/>
        <v/>
      </c>
      <c r="BB30" s="1291"/>
      <c r="BC30" s="719" t="str">
        <f t="shared" si="24"/>
        <v/>
      </c>
    </row>
    <row r="31" spans="1:55" ht="21.45" customHeight="1">
      <c r="A31" s="1041"/>
      <c r="B31" s="1101"/>
      <c r="C31" s="268" t="s">
        <v>979</v>
      </c>
      <c r="D31" s="265"/>
      <c r="E31" s="669"/>
      <c r="F31" s="763"/>
      <c r="G31" s="670"/>
      <c r="H31" s="668"/>
      <c r="I31" s="233"/>
      <c r="J31" s="281" t="str">
        <f>IF(H31="","",VLOOKUP(H31,'Emission factors'!$A$10:$C$19,2,FALSE))</f>
        <v/>
      </c>
      <c r="K31" s="664" t="str">
        <f t="shared" si="26"/>
        <v>.نيازي به وارد كردن اين داده نيست</v>
      </c>
      <c r="L31" s="236"/>
      <c r="M31" s="763"/>
      <c r="N31" s="230" t="str">
        <f>IF(AND(M31="واقعي",OR(H31=" Natural Gas",H31="Other Gas 1",H31="Other Gas 2",H31="Other Gas 3",H31="Other Gas 4",H31="Other Gas 5",H31="LPG",H31="Fuel oil ",H31="light gas oil",H31="Heavy gas oil")),IF((((VLOOKUP(H31,'Emission factors'!$B$41:$I$55,7,FALSE))="")),"در شيت Compositions آناليز و يا مشخصات سوخت را وارد كنيد",VLOOKUP(H31,'Emission factors'!$B$41:$I$55,7,FALSE)),"")</f>
        <v/>
      </c>
      <c r="O31" s="230" t="str">
        <f>IF(H31="","",VLOOKUP(H31,'Emission factors'!$B$41:$G$55,2,FALSE))</f>
        <v/>
      </c>
      <c r="P31" s="231" t="str">
        <f>IF(H31="","",VLOOKUP(H31,'Emission factors'!$A$10:$C$19,3,FALSE))</f>
        <v/>
      </c>
      <c r="Q31" s="282" t="str">
        <f t="shared" si="2"/>
        <v>ND</v>
      </c>
      <c r="R31" s="694" t="str">
        <f t="shared" si="3"/>
        <v>ND</v>
      </c>
      <c r="S31" s="694" t="str">
        <f t="shared" si="4"/>
        <v>ND</v>
      </c>
      <c r="T31" s="686" t="s">
        <v>284</v>
      </c>
      <c r="U31" s="709" t="str">
        <f t="shared" si="27"/>
        <v>ND</v>
      </c>
      <c r="V31" s="224" t="str">
        <f t="shared" si="28"/>
        <v/>
      </c>
      <c r="W31" s="225" t="str">
        <f t="shared" si="29"/>
        <v/>
      </c>
      <c r="X31" s="225" t="str">
        <f t="shared" si="30"/>
        <v/>
      </c>
      <c r="Y31" s="1143" t="s">
        <v>284</v>
      </c>
      <c r="Z31" s="1144"/>
      <c r="AA31" s="226" t="str">
        <f t="shared" si="31"/>
        <v/>
      </c>
      <c r="AB31" s="216"/>
      <c r="AC31" s="478"/>
      <c r="AD31" s="1248"/>
      <c r="AE31" s="522"/>
      <c r="AF31" s="735" t="str">
        <f>IF(M31="","",IF(M31="پيش‌فرض",40,IF(H31=" Natural Gas",Compositions!$BO$21,IF(H31="Other Gas 1",Compositions!$BO$30,IF(H31="Other Gas 2",Compositions!$BO$39,IF(H31="Other Gas 3",Compositions!$BW$21,IF(H31="Other Gas 4",Compositions!$BW$30,IF(H31="Other Gas 5",Compositions!$BW$39,IF(H31="LPG",Compositions!$BK$81,IF(H31="Heavy Gas oil",Compositions!$BK$83,IF(H31="Light Gas oil",Compositions!$BK$84,IF(H31="Fuel oil ",Compositions!$BK$85,""))))))))))       ))</f>
        <v/>
      </c>
      <c r="AG31" s="516" t="str">
        <f t="shared" si="9"/>
        <v>ND</v>
      </c>
      <c r="AH31" s="516" t="str">
        <f t="shared" si="10"/>
        <v>ND</v>
      </c>
      <c r="AI31" s="516" t="str">
        <f t="shared" si="11"/>
        <v>ND</v>
      </c>
      <c r="AJ31" s="1254"/>
      <c r="AK31" s="524" t="str">
        <f t="shared" si="12"/>
        <v>ND</v>
      </c>
      <c r="AL31" s="650" t="str">
        <f t="shared" si="13"/>
        <v/>
      </c>
      <c r="AM31" s="650" t="str">
        <f t="shared" si="14"/>
        <v/>
      </c>
      <c r="AN31" s="650" t="str">
        <f t="shared" si="15"/>
        <v/>
      </c>
      <c r="AO31" s="1254"/>
      <c r="AP31" s="528" t="str">
        <f t="shared" si="16"/>
        <v/>
      </c>
      <c r="AQ31" s="1249"/>
      <c r="AS31" s="719" t="str">
        <f t="shared" si="17"/>
        <v/>
      </c>
      <c r="AT31" s="719" t="str">
        <f t="shared" si="18"/>
        <v/>
      </c>
      <c r="AU31" s="719" t="str">
        <f t="shared" si="19"/>
        <v/>
      </c>
      <c r="AV31" s="1291"/>
      <c r="AW31" s="719" t="str">
        <f t="shared" si="20"/>
        <v/>
      </c>
      <c r="AY31" s="719" t="str">
        <f t="shared" si="21"/>
        <v/>
      </c>
      <c r="AZ31" s="719" t="str">
        <f t="shared" si="22"/>
        <v/>
      </c>
      <c r="BA31" s="719" t="str">
        <f t="shared" si="23"/>
        <v/>
      </c>
      <c r="BB31" s="1291"/>
      <c r="BC31" s="719" t="str">
        <f t="shared" si="24"/>
        <v/>
      </c>
    </row>
    <row r="32" spans="1:55" ht="21.45" customHeight="1">
      <c r="A32" s="1041"/>
      <c r="B32" s="1101"/>
      <c r="C32" s="268" t="s">
        <v>980</v>
      </c>
      <c r="D32" s="265"/>
      <c r="E32" s="669"/>
      <c r="F32" s="763"/>
      <c r="G32" s="670"/>
      <c r="H32" s="668"/>
      <c r="I32" s="233"/>
      <c r="J32" s="281" t="str">
        <f>IF(H32="","",VLOOKUP(H32,'Emission factors'!$A$10:$C$19,2,FALSE))</f>
        <v/>
      </c>
      <c r="K32" s="664" t="str">
        <f t="shared" si="26"/>
        <v>.نيازي به وارد كردن اين داده نيست</v>
      </c>
      <c r="L32" s="236"/>
      <c r="M32" s="763"/>
      <c r="N32" s="230" t="str">
        <f>IF(AND(M32="واقعي",OR(H32=" Natural Gas",H32="Other Gas 1",H32="Other Gas 2",H32="Other Gas 3",H32="Other Gas 4",H32="Other Gas 5",H32="LPG",H32="Fuel oil ",H32="light gas oil",H32="Heavy gas oil")),IF((((VLOOKUP(H32,'Emission factors'!$B$41:$I$55,7,FALSE))="")),"در شيت Compositions آناليز و يا مشخصات سوخت را وارد كنيد",VLOOKUP(H32,'Emission factors'!$B$41:$I$55,7,FALSE)),"")</f>
        <v/>
      </c>
      <c r="O32" s="230" t="str">
        <f>IF(H32="","",VLOOKUP(H32,'Emission factors'!$B$41:$G$55,2,FALSE))</f>
        <v/>
      </c>
      <c r="P32" s="231" t="str">
        <f>IF(H32="","",VLOOKUP(H32,'Emission factors'!$A$10:$C$19,3,FALSE))</f>
        <v/>
      </c>
      <c r="Q32" s="282" t="str">
        <f t="shared" si="2"/>
        <v>ND</v>
      </c>
      <c r="R32" s="694" t="str">
        <f t="shared" si="3"/>
        <v>ND</v>
      </c>
      <c r="S32" s="694" t="str">
        <f t="shared" si="4"/>
        <v>ND</v>
      </c>
      <c r="T32" s="686" t="s">
        <v>284</v>
      </c>
      <c r="U32" s="709" t="str">
        <f t="shared" si="27"/>
        <v>ND</v>
      </c>
      <c r="V32" s="224" t="str">
        <f t="shared" si="28"/>
        <v/>
      </c>
      <c r="W32" s="225" t="str">
        <f t="shared" si="29"/>
        <v/>
      </c>
      <c r="X32" s="225" t="str">
        <f t="shared" si="30"/>
        <v/>
      </c>
      <c r="Y32" s="1143" t="s">
        <v>284</v>
      </c>
      <c r="Z32" s="1144"/>
      <c r="AA32" s="226" t="str">
        <f t="shared" si="31"/>
        <v/>
      </c>
      <c r="AB32" s="216"/>
      <c r="AC32" s="478"/>
      <c r="AD32" s="1248"/>
      <c r="AE32" s="522"/>
      <c r="AF32" s="735" t="str">
        <f>IF(M32="","",IF(M32="پيش‌فرض",40,IF(H32=" Natural Gas",Compositions!$BO$21,IF(H32="Other Gas 1",Compositions!$BO$30,IF(H32="Other Gas 2",Compositions!$BO$39,IF(H32="Other Gas 3",Compositions!$BW$21,IF(H32="Other Gas 4",Compositions!$BW$30,IF(H32="Other Gas 5",Compositions!$BW$39,IF(H32="LPG",Compositions!$BK$81,IF(H32="Heavy Gas oil",Compositions!$BK$83,IF(H32="Light Gas oil",Compositions!$BK$84,IF(H32="Fuel oil ",Compositions!$BK$85,""))))))))))       ))</f>
        <v/>
      </c>
      <c r="AG32" s="516" t="str">
        <f t="shared" si="9"/>
        <v>ND</v>
      </c>
      <c r="AH32" s="516" t="str">
        <f t="shared" si="10"/>
        <v>ND</v>
      </c>
      <c r="AI32" s="516" t="str">
        <f t="shared" si="11"/>
        <v>ND</v>
      </c>
      <c r="AJ32" s="1254"/>
      <c r="AK32" s="524" t="str">
        <f t="shared" si="12"/>
        <v>ND</v>
      </c>
      <c r="AL32" s="650" t="str">
        <f t="shared" si="13"/>
        <v/>
      </c>
      <c r="AM32" s="650" t="str">
        <f t="shared" si="14"/>
        <v/>
      </c>
      <c r="AN32" s="650" t="str">
        <f t="shared" si="15"/>
        <v/>
      </c>
      <c r="AO32" s="1254"/>
      <c r="AP32" s="528" t="str">
        <f t="shared" si="16"/>
        <v/>
      </c>
      <c r="AQ32" s="1249"/>
      <c r="AS32" s="719" t="str">
        <f t="shared" si="17"/>
        <v/>
      </c>
      <c r="AT32" s="719" t="str">
        <f t="shared" si="18"/>
        <v/>
      </c>
      <c r="AU32" s="719" t="str">
        <f t="shared" si="19"/>
        <v/>
      </c>
      <c r="AV32" s="1291"/>
      <c r="AW32" s="719" t="str">
        <f t="shared" si="20"/>
        <v/>
      </c>
      <c r="AY32" s="719" t="str">
        <f t="shared" si="21"/>
        <v/>
      </c>
      <c r="AZ32" s="719" t="str">
        <f t="shared" si="22"/>
        <v/>
      </c>
      <c r="BA32" s="719" t="str">
        <f t="shared" si="23"/>
        <v/>
      </c>
      <c r="BB32" s="1291"/>
      <c r="BC32" s="719" t="str">
        <f t="shared" si="24"/>
        <v/>
      </c>
    </row>
    <row r="33" spans="1:55" ht="21.45" customHeight="1">
      <c r="A33" s="1041"/>
      <c r="B33" s="1101"/>
      <c r="C33" s="268" t="s">
        <v>981</v>
      </c>
      <c r="D33" s="265"/>
      <c r="E33" s="669"/>
      <c r="F33" s="763"/>
      <c r="G33" s="670"/>
      <c r="H33" s="668"/>
      <c r="I33" s="233"/>
      <c r="J33" s="281" t="str">
        <f>IF(H33="","",VLOOKUP(H33,'Emission factors'!$A$10:$C$19,2,FALSE))</f>
        <v/>
      </c>
      <c r="K33" s="664" t="str">
        <f t="shared" si="26"/>
        <v>.نيازي به وارد كردن اين داده نيست</v>
      </c>
      <c r="L33" s="236"/>
      <c r="M33" s="763"/>
      <c r="N33" s="230" t="str">
        <f>IF(AND(M33="واقعي",OR(H33=" Natural Gas",H33="Other Gas 1",H33="Other Gas 2",H33="Other Gas 3",H33="Other Gas 4",H33="Other Gas 5",H33="LPG",H33="Fuel oil ",H33="light gas oil",H33="Heavy gas oil")),IF((((VLOOKUP(H33,'Emission factors'!$B$41:$I$55,7,FALSE))="")),"در شيت Compositions آناليز و يا مشخصات سوخت را وارد كنيد",VLOOKUP(H33,'Emission factors'!$B$41:$I$55,7,FALSE)),"")</f>
        <v/>
      </c>
      <c r="O33" s="230" t="str">
        <f>IF(H33="","",VLOOKUP(H33,'Emission factors'!$B$41:$G$55,2,FALSE))</f>
        <v/>
      </c>
      <c r="P33" s="231" t="str">
        <f>IF(H33="","",VLOOKUP(H33,'Emission factors'!$A$10:$C$19,3,FALSE))</f>
        <v/>
      </c>
      <c r="Q33" s="282" t="str">
        <f t="shared" si="2"/>
        <v>ND</v>
      </c>
      <c r="R33" s="694" t="str">
        <f t="shared" si="3"/>
        <v>ND</v>
      </c>
      <c r="S33" s="694" t="str">
        <f t="shared" si="4"/>
        <v>ND</v>
      </c>
      <c r="T33" s="686" t="s">
        <v>284</v>
      </c>
      <c r="U33" s="709" t="str">
        <f t="shared" si="27"/>
        <v>ND</v>
      </c>
      <c r="V33" s="224" t="str">
        <f t="shared" si="28"/>
        <v/>
      </c>
      <c r="W33" s="225" t="str">
        <f t="shared" si="29"/>
        <v/>
      </c>
      <c r="X33" s="225" t="str">
        <f t="shared" si="30"/>
        <v/>
      </c>
      <c r="Y33" s="1143" t="s">
        <v>284</v>
      </c>
      <c r="Z33" s="1144"/>
      <c r="AA33" s="226" t="str">
        <f t="shared" si="31"/>
        <v/>
      </c>
      <c r="AB33" s="216"/>
      <c r="AC33" s="478"/>
      <c r="AD33" s="1248"/>
      <c r="AE33" s="522"/>
      <c r="AF33" s="735" t="str">
        <f>IF(M33="","",IF(M33="پيش‌فرض",40,IF(H33=" Natural Gas",Compositions!$BO$21,IF(H33="Other Gas 1",Compositions!$BO$30,IF(H33="Other Gas 2",Compositions!$BO$39,IF(H33="Other Gas 3",Compositions!$BW$21,IF(H33="Other Gas 4",Compositions!$BW$30,IF(H33="Other Gas 5",Compositions!$BW$39,IF(H33="LPG",Compositions!$BK$81,IF(H33="Heavy Gas oil",Compositions!$BK$83,IF(H33="Light Gas oil",Compositions!$BK$84,IF(H33="Fuel oil ",Compositions!$BK$85,""))))))))))       ))</f>
        <v/>
      </c>
      <c r="AG33" s="516" t="str">
        <f t="shared" si="9"/>
        <v>ND</v>
      </c>
      <c r="AH33" s="516" t="str">
        <f t="shared" si="10"/>
        <v>ND</v>
      </c>
      <c r="AI33" s="516" t="str">
        <f t="shared" si="11"/>
        <v>ND</v>
      </c>
      <c r="AJ33" s="1254"/>
      <c r="AK33" s="524" t="str">
        <f t="shared" si="12"/>
        <v>ND</v>
      </c>
      <c r="AL33" s="650" t="str">
        <f t="shared" si="13"/>
        <v/>
      </c>
      <c r="AM33" s="650" t="str">
        <f t="shared" si="14"/>
        <v/>
      </c>
      <c r="AN33" s="650" t="str">
        <f t="shared" si="15"/>
        <v/>
      </c>
      <c r="AO33" s="1254"/>
      <c r="AP33" s="528" t="str">
        <f t="shared" si="16"/>
        <v/>
      </c>
      <c r="AQ33" s="1249"/>
      <c r="AS33" s="719" t="str">
        <f t="shared" si="17"/>
        <v/>
      </c>
      <c r="AT33" s="719" t="str">
        <f t="shared" si="18"/>
        <v/>
      </c>
      <c r="AU33" s="719" t="str">
        <f t="shared" si="19"/>
        <v/>
      </c>
      <c r="AV33" s="1291"/>
      <c r="AW33" s="719" t="str">
        <f t="shared" si="20"/>
        <v/>
      </c>
      <c r="AY33" s="719" t="str">
        <f t="shared" si="21"/>
        <v/>
      </c>
      <c r="AZ33" s="719" t="str">
        <f t="shared" si="22"/>
        <v/>
      </c>
      <c r="BA33" s="719" t="str">
        <f t="shared" si="23"/>
        <v/>
      </c>
      <c r="BB33" s="1291"/>
      <c r="BC33" s="719" t="str">
        <f t="shared" si="24"/>
        <v/>
      </c>
    </row>
    <row r="34" spans="1:55" ht="21.45" customHeight="1">
      <c r="A34" s="1041"/>
      <c r="B34" s="1101"/>
      <c r="C34" s="268" t="s">
        <v>982</v>
      </c>
      <c r="D34" s="265"/>
      <c r="E34" s="669"/>
      <c r="F34" s="763"/>
      <c r="G34" s="670"/>
      <c r="H34" s="668"/>
      <c r="I34" s="233"/>
      <c r="J34" s="281" t="str">
        <f>IF(H34="","",VLOOKUP(H34,'Emission factors'!$A$10:$C$19,2,FALSE))</f>
        <v/>
      </c>
      <c r="K34" s="664" t="str">
        <f t="shared" si="26"/>
        <v>.نيازي به وارد كردن اين داده نيست</v>
      </c>
      <c r="L34" s="236"/>
      <c r="M34" s="763"/>
      <c r="N34" s="230" t="str">
        <f>IF(AND(M34="واقعي",OR(H34=" Natural Gas",H34="Other Gas 1",H34="Other Gas 2",H34="Other Gas 3",H34="Other Gas 4",H34="Other Gas 5",H34="LPG",H34="Fuel oil ",H34="light gas oil",H34="Heavy gas oil")),IF((((VLOOKUP(H34,'Emission factors'!$B$41:$I$55,7,FALSE))="")),"در شيت Compositions آناليز و يا مشخصات سوخت را وارد كنيد",VLOOKUP(H34,'Emission factors'!$B$41:$I$55,7,FALSE)),"")</f>
        <v/>
      </c>
      <c r="O34" s="230" t="str">
        <f>IF(H34="","",VLOOKUP(H34,'Emission factors'!$B$41:$G$55,2,FALSE))</f>
        <v/>
      </c>
      <c r="P34" s="231" t="str">
        <f>IF(H34="","",VLOOKUP(H34,'Emission factors'!$A$10:$C$19,3,FALSE))</f>
        <v/>
      </c>
      <c r="Q34" s="282" t="str">
        <f t="shared" si="2"/>
        <v>ND</v>
      </c>
      <c r="R34" s="694" t="str">
        <f t="shared" si="3"/>
        <v>ND</v>
      </c>
      <c r="S34" s="694" t="str">
        <f t="shared" si="4"/>
        <v>ND</v>
      </c>
      <c r="T34" s="686" t="s">
        <v>284</v>
      </c>
      <c r="U34" s="709" t="str">
        <f t="shared" si="27"/>
        <v>ND</v>
      </c>
      <c r="V34" s="224" t="str">
        <f t="shared" si="28"/>
        <v/>
      </c>
      <c r="W34" s="225" t="str">
        <f t="shared" si="29"/>
        <v/>
      </c>
      <c r="X34" s="225" t="str">
        <f t="shared" si="30"/>
        <v/>
      </c>
      <c r="Y34" s="1143" t="s">
        <v>284</v>
      </c>
      <c r="Z34" s="1144"/>
      <c r="AA34" s="226" t="str">
        <f t="shared" si="31"/>
        <v/>
      </c>
      <c r="AB34" s="216"/>
      <c r="AC34" s="478"/>
      <c r="AD34" s="1248"/>
      <c r="AE34" s="522"/>
      <c r="AF34" s="735" t="str">
        <f>IF(M34="","",IF(M34="پيش‌فرض",40,IF(H34=" Natural Gas",Compositions!$BO$21,IF(H34="Other Gas 1",Compositions!$BO$30,IF(H34="Other Gas 2",Compositions!$BO$39,IF(H34="Other Gas 3",Compositions!$BW$21,IF(H34="Other Gas 4",Compositions!$BW$30,IF(H34="Other Gas 5",Compositions!$BW$39,IF(H34="LPG",Compositions!$BK$81,IF(H34="Heavy Gas oil",Compositions!$BK$83,IF(H34="Light Gas oil",Compositions!$BK$84,IF(H34="Fuel oil ",Compositions!$BK$85,""))))))))))       ))</f>
        <v/>
      </c>
      <c r="AG34" s="516" t="str">
        <f t="shared" si="9"/>
        <v>ND</v>
      </c>
      <c r="AH34" s="516" t="str">
        <f t="shared" si="10"/>
        <v>ND</v>
      </c>
      <c r="AI34" s="516" t="str">
        <f t="shared" si="11"/>
        <v>ND</v>
      </c>
      <c r="AJ34" s="1254"/>
      <c r="AK34" s="524" t="str">
        <f t="shared" si="12"/>
        <v>ND</v>
      </c>
      <c r="AL34" s="650" t="str">
        <f t="shared" si="13"/>
        <v/>
      </c>
      <c r="AM34" s="650" t="str">
        <f t="shared" si="14"/>
        <v/>
      </c>
      <c r="AN34" s="650" t="str">
        <f t="shared" si="15"/>
        <v/>
      </c>
      <c r="AO34" s="1254"/>
      <c r="AP34" s="528" t="str">
        <f t="shared" si="16"/>
        <v/>
      </c>
      <c r="AQ34" s="1249"/>
      <c r="AS34" s="719" t="str">
        <f t="shared" si="17"/>
        <v/>
      </c>
      <c r="AT34" s="719" t="str">
        <f t="shared" si="18"/>
        <v/>
      </c>
      <c r="AU34" s="719" t="str">
        <f t="shared" si="19"/>
        <v/>
      </c>
      <c r="AV34" s="1291"/>
      <c r="AW34" s="719" t="str">
        <f t="shared" si="20"/>
        <v/>
      </c>
      <c r="AY34" s="719" t="str">
        <f t="shared" si="21"/>
        <v/>
      </c>
      <c r="AZ34" s="719" t="str">
        <f t="shared" si="22"/>
        <v/>
      </c>
      <c r="BA34" s="719" t="str">
        <f t="shared" si="23"/>
        <v/>
      </c>
      <c r="BB34" s="1291"/>
      <c r="BC34" s="719" t="str">
        <f t="shared" si="24"/>
        <v/>
      </c>
    </row>
    <row r="35" spans="1:55" ht="21.45" customHeight="1">
      <c r="A35" s="1041"/>
      <c r="B35" s="1101"/>
      <c r="C35" s="268" t="s">
        <v>983</v>
      </c>
      <c r="D35" s="265"/>
      <c r="E35" s="669"/>
      <c r="F35" s="763"/>
      <c r="G35" s="670"/>
      <c r="H35" s="668"/>
      <c r="I35" s="233"/>
      <c r="J35" s="281" t="str">
        <f>IF(H35="","",VLOOKUP(H35,'Emission factors'!$A$10:$C$19,2,FALSE))</f>
        <v/>
      </c>
      <c r="K35" s="664" t="str">
        <f t="shared" si="26"/>
        <v>.نيازي به وارد كردن اين داده نيست</v>
      </c>
      <c r="L35" s="236"/>
      <c r="M35" s="763"/>
      <c r="N35" s="230" t="str">
        <f>IF(AND(M35="واقعي",OR(H35=" Natural Gas",H35="Other Gas 1",H35="Other Gas 2",H35="Other Gas 3",H35="Other Gas 4",H35="Other Gas 5",H35="LPG",H35="Fuel oil ",H35="light gas oil",H35="Heavy gas oil")),IF((((VLOOKUP(H35,'Emission factors'!$B$41:$I$55,7,FALSE))="")),"در شيت Compositions آناليز و يا مشخصات سوخت را وارد كنيد",VLOOKUP(H35,'Emission factors'!$B$41:$I$55,7,FALSE)),"")</f>
        <v/>
      </c>
      <c r="O35" s="230" t="str">
        <f>IF(H35="","",VLOOKUP(H35,'Emission factors'!$B$41:$G$55,2,FALSE))</f>
        <v/>
      </c>
      <c r="P35" s="231" t="str">
        <f>IF(H35="","",VLOOKUP(H35,'Emission factors'!$A$10:$C$19,3,FALSE))</f>
        <v/>
      </c>
      <c r="Q35" s="282" t="str">
        <f t="shared" si="2"/>
        <v>ND</v>
      </c>
      <c r="R35" s="694" t="str">
        <f t="shared" si="3"/>
        <v>ND</v>
      </c>
      <c r="S35" s="694" t="str">
        <f t="shared" si="4"/>
        <v>ND</v>
      </c>
      <c r="T35" s="686" t="s">
        <v>284</v>
      </c>
      <c r="U35" s="709" t="str">
        <f t="shared" si="27"/>
        <v>ND</v>
      </c>
      <c r="V35" s="224" t="str">
        <f t="shared" si="28"/>
        <v/>
      </c>
      <c r="W35" s="225" t="str">
        <f t="shared" si="29"/>
        <v/>
      </c>
      <c r="X35" s="225" t="str">
        <f t="shared" si="30"/>
        <v/>
      </c>
      <c r="Y35" s="1143" t="s">
        <v>284</v>
      </c>
      <c r="Z35" s="1144"/>
      <c r="AA35" s="226" t="str">
        <f t="shared" si="31"/>
        <v/>
      </c>
      <c r="AB35" s="216"/>
      <c r="AC35" s="478"/>
      <c r="AD35" s="1248"/>
      <c r="AE35" s="522"/>
      <c r="AF35" s="735" t="str">
        <f>IF(M35="","",IF(M35="پيش‌فرض",40,IF(H35=" Natural Gas",Compositions!$BO$21,IF(H35="Other Gas 1",Compositions!$BO$30,IF(H35="Other Gas 2",Compositions!$BO$39,IF(H35="Other Gas 3",Compositions!$BW$21,IF(H35="Other Gas 4",Compositions!$BW$30,IF(H35="Other Gas 5",Compositions!$BW$39,IF(H35="LPG",Compositions!$BK$81,IF(H35="Heavy Gas oil",Compositions!$BK$83,IF(H35="Light Gas oil",Compositions!$BK$84,IF(H35="Fuel oil ",Compositions!$BK$85,""))))))))))       ))</f>
        <v/>
      </c>
      <c r="AG35" s="516" t="str">
        <f t="shared" si="9"/>
        <v>ND</v>
      </c>
      <c r="AH35" s="516" t="str">
        <f t="shared" si="10"/>
        <v>ND</v>
      </c>
      <c r="AI35" s="516" t="str">
        <f t="shared" si="11"/>
        <v>ND</v>
      </c>
      <c r="AJ35" s="1254"/>
      <c r="AK35" s="524" t="str">
        <f t="shared" si="12"/>
        <v>ND</v>
      </c>
      <c r="AL35" s="650" t="str">
        <f t="shared" si="13"/>
        <v/>
      </c>
      <c r="AM35" s="650" t="str">
        <f t="shared" si="14"/>
        <v/>
      </c>
      <c r="AN35" s="650" t="str">
        <f t="shared" si="15"/>
        <v/>
      </c>
      <c r="AO35" s="1254"/>
      <c r="AP35" s="528" t="str">
        <f t="shared" si="16"/>
        <v/>
      </c>
      <c r="AQ35" s="1249"/>
      <c r="AS35" s="719" t="str">
        <f t="shared" si="17"/>
        <v/>
      </c>
      <c r="AT35" s="719" t="str">
        <f t="shared" si="18"/>
        <v/>
      </c>
      <c r="AU35" s="719" t="str">
        <f t="shared" si="19"/>
        <v/>
      </c>
      <c r="AV35" s="1291"/>
      <c r="AW35" s="719" t="str">
        <f t="shared" si="20"/>
        <v/>
      </c>
      <c r="AY35" s="719" t="str">
        <f t="shared" si="21"/>
        <v/>
      </c>
      <c r="AZ35" s="719" t="str">
        <f t="shared" si="22"/>
        <v/>
      </c>
      <c r="BA35" s="719" t="str">
        <f t="shared" si="23"/>
        <v/>
      </c>
      <c r="BB35" s="1291"/>
      <c r="BC35" s="719" t="str">
        <f t="shared" si="24"/>
        <v/>
      </c>
    </row>
    <row r="36" spans="1:55" ht="21.45" customHeight="1">
      <c r="A36" s="1041"/>
      <c r="B36" s="1101"/>
      <c r="C36" s="268" t="s">
        <v>984</v>
      </c>
      <c r="D36" s="265"/>
      <c r="E36" s="669"/>
      <c r="F36" s="763"/>
      <c r="G36" s="670"/>
      <c r="H36" s="668"/>
      <c r="I36" s="233"/>
      <c r="J36" s="281" t="str">
        <f>IF(H36="","",VLOOKUP(H36,'Emission factors'!$A$10:$C$19,2,FALSE))</f>
        <v/>
      </c>
      <c r="K36" s="664" t="str">
        <f t="shared" si="26"/>
        <v>.نيازي به وارد كردن اين داده نيست</v>
      </c>
      <c r="L36" s="236"/>
      <c r="M36" s="763"/>
      <c r="N36" s="230" t="str">
        <f>IF(AND(M36="واقعي",OR(H36=" Natural Gas",H36="Other Gas 1",H36="Other Gas 2",H36="Other Gas 3",H36="Other Gas 4",H36="Other Gas 5",H36="LPG",H36="Fuel oil ",H36="light gas oil",H36="Heavy gas oil")),IF((((VLOOKUP(H36,'Emission factors'!$B$41:$I$55,7,FALSE))="")),"در شيت Compositions آناليز و يا مشخصات سوخت را وارد كنيد",VLOOKUP(H36,'Emission factors'!$B$41:$I$55,7,FALSE)),"")</f>
        <v/>
      </c>
      <c r="O36" s="230" t="str">
        <f>IF(H36="","",VLOOKUP(H36,'Emission factors'!$B$41:$G$55,2,FALSE))</f>
        <v/>
      </c>
      <c r="P36" s="231" t="str">
        <f>IF(H36="","",VLOOKUP(H36,'Emission factors'!$A$10:$C$19,3,FALSE))</f>
        <v/>
      </c>
      <c r="Q36" s="282" t="str">
        <f t="shared" si="2"/>
        <v>ND</v>
      </c>
      <c r="R36" s="694" t="str">
        <f t="shared" si="3"/>
        <v>ND</v>
      </c>
      <c r="S36" s="694" t="str">
        <f t="shared" si="4"/>
        <v>ND</v>
      </c>
      <c r="T36" s="686" t="s">
        <v>284</v>
      </c>
      <c r="U36" s="709" t="str">
        <f t="shared" si="27"/>
        <v>ND</v>
      </c>
      <c r="V36" s="224" t="str">
        <f t="shared" si="28"/>
        <v/>
      </c>
      <c r="W36" s="225" t="str">
        <f t="shared" si="29"/>
        <v/>
      </c>
      <c r="X36" s="225" t="str">
        <f t="shared" si="30"/>
        <v/>
      </c>
      <c r="Y36" s="1143" t="s">
        <v>284</v>
      </c>
      <c r="Z36" s="1144"/>
      <c r="AA36" s="226" t="str">
        <f t="shared" si="31"/>
        <v/>
      </c>
      <c r="AB36" s="216"/>
      <c r="AC36" s="478"/>
      <c r="AD36" s="1248"/>
      <c r="AE36" s="522"/>
      <c r="AF36" s="735" t="str">
        <f>IF(M36="","",IF(M36="پيش‌فرض",40,IF(H36=" Natural Gas",Compositions!$BO$21,IF(H36="Other Gas 1",Compositions!$BO$30,IF(H36="Other Gas 2",Compositions!$BO$39,IF(H36="Other Gas 3",Compositions!$BW$21,IF(H36="Other Gas 4",Compositions!$BW$30,IF(H36="Other Gas 5",Compositions!$BW$39,IF(H36="LPG",Compositions!$BK$81,IF(H36="Heavy Gas oil",Compositions!$BK$83,IF(H36="Light Gas oil",Compositions!$BK$84,IF(H36="Fuel oil ",Compositions!$BK$85,""))))))))))       ))</f>
        <v/>
      </c>
      <c r="AG36" s="516" t="str">
        <f t="shared" si="9"/>
        <v>ND</v>
      </c>
      <c r="AH36" s="516" t="str">
        <f t="shared" si="10"/>
        <v>ND</v>
      </c>
      <c r="AI36" s="516" t="str">
        <f t="shared" si="11"/>
        <v>ND</v>
      </c>
      <c r="AJ36" s="1254"/>
      <c r="AK36" s="524" t="str">
        <f t="shared" si="12"/>
        <v>ND</v>
      </c>
      <c r="AL36" s="650" t="str">
        <f t="shared" si="13"/>
        <v/>
      </c>
      <c r="AM36" s="650" t="str">
        <f t="shared" si="14"/>
        <v/>
      </c>
      <c r="AN36" s="650" t="str">
        <f t="shared" si="15"/>
        <v/>
      </c>
      <c r="AO36" s="1254"/>
      <c r="AP36" s="528" t="str">
        <f t="shared" si="16"/>
        <v/>
      </c>
      <c r="AQ36" s="1249"/>
      <c r="AS36" s="719" t="str">
        <f t="shared" si="17"/>
        <v/>
      </c>
      <c r="AT36" s="719" t="str">
        <f t="shared" si="18"/>
        <v/>
      </c>
      <c r="AU36" s="719" t="str">
        <f t="shared" si="19"/>
        <v/>
      </c>
      <c r="AV36" s="1291"/>
      <c r="AW36" s="719" t="str">
        <f t="shared" si="20"/>
        <v/>
      </c>
      <c r="AY36" s="719" t="str">
        <f t="shared" si="21"/>
        <v/>
      </c>
      <c r="AZ36" s="719" t="str">
        <f t="shared" si="22"/>
        <v/>
      </c>
      <c r="BA36" s="719" t="str">
        <f t="shared" si="23"/>
        <v/>
      </c>
      <c r="BB36" s="1291"/>
      <c r="BC36" s="719" t="str">
        <f t="shared" si="24"/>
        <v/>
      </c>
    </row>
    <row r="37" spans="1:55" ht="21.45" customHeight="1">
      <c r="A37" s="1041"/>
      <c r="B37" s="1101"/>
      <c r="C37" s="268" t="s">
        <v>985</v>
      </c>
      <c r="D37" s="265"/>
      <c r="E37" s="669"/>
      <c r="F37" s="763"/>
      <c r="G37" s="670"/>
      <c r="H37" s="668"/>
      <c r="I37" s="233"/>
      <c r="J37" s="281" t="str">
        <f>IF(H37="","",VLOOKUP(H37,'Emission factors'!$A$10:$C$19,2,FALSE))</f>
        <v/>
      </c>
      <c r="K37" s="664" t="str">
        <f t="shared" si="26"/>
        <v>.نيازي به وارد كردن اين داده نيست</v>
      </c>
      <c r="L37" s="236"/>
      <c r="M37" s="763"/>
      <c r="N37" s="230" t="str">
        <f>IF(AND(M37="واقعي",OR(H37=" Natural Gas",H37="Other Gas 1",H37="Other Gas 2",H37="Other Gas 3",H37="Other Gas 4",H37="Other Gas 5",H37="LPG",H37="Fuel oil ",H37="light gas oil",H37="Heavy gas oil")),IF((((VLOOKUP(H37,'Emission factors'!$B$41:$I$55,7,FALSE))="")),"در شيت Compositions آناليز و يا مشخصات سوخت را وارد كنيد",VLOOKUP(H37,'Emission factors'!$B$41:$I$55,7,FALSE)),"")</f>
        <v/>
      </c>
      <c r="O37" s="230" t="str">
        <f>IF(H37="","",VLOOKUP(H37,'Emission factors'!$B$41:$G$55,2,FALSE))</f>
        <v/>
      </c>
      <c r="P37" s="231" t="str">
        <f>IF(H37="","",VLOOKUP(H37,'Emission factors'!$A$10:$C$19,3,FALSE))</f>
        <v/>
      </c>
      <c r="Q37" s="282" t="str">
        <f t="shared" si="2"/>
        <v>ND</v>
      </c>
      <c r="R37" s="694" t="str">
        <f t="shared" si="3"/>
        <v>ND</v>
      </c>
      <c r="S37" s="694" t="str">
        <f t="shared" si="4"/>
        <v>ND</v>
      </c>
      <c r="T37" s="686" t="s">
        <v>284</v>
      </c>
      <c r="U37" s="709" t="str">
        <f t="shared" si="27"/>
        <v>ND</v>
      </c>
      <c r="V37" s="224" t="str">
        <f t="shared" si="28"/>
        <v/>
      </c>
      <c r="W37" s="225" t="str">
        <f t="shared" si="29"/>
        <v/>
      </c>
      <c r="X37" s="225" t="str">
        <f t="shared" si="30"/>
        <v/>
      </c>
      <c r="Y37" s="1143" t="s">
        <v>284</v>
      </c>
      <c r="Z37" s="1144"/>
      <c r="AA37" s="226" t="str">
        <f t="shared" si="31"/>
        <v/>
      </c>
      <c r="AB37" s="216"/>
      <c r="AC37" s="478"/>
      <c r="AD37" s="1248"/>
      <c r="AE37" s="522"/>
      <c r="AF37" s="735" t="str">
        <f>IF(M37="","",IF(M37="پيش‌فرض",40,IF(H37=" Natural Gas",Compositions!$BO$21,IF(H37="Other Gas 1",Compositions!$BO$30,IF(H37="Other Gas 2",Compositions!$BO$39,IF(H37="Other Gas 3",Compositions!$BW$21,IF(H37="Other Gas 4",Compositions!$BW$30,IF(H37="Other Gas 5",Compositions!$BW$39,IF(H37="LPG",Compositions!$BK$81,IF(H37="Heavy Gas oil",Compositions!$BK$83,IF(H37="Light Gas oil",Compositions!$BK$84,IF(H37="Fuel oil ",Compositions!$BK$85,""))))))))))       ))</f>
        <v/>
      </c>
      <c r="AG37" s="516" t="str">
        <f t="shared" si="9"/>
        <v>ND</v>
      </c>
      <c r="AH37" s="516" t="str">
        <f t="shared" si="10"/>
        <v>ND</v>
      </c>
      <c r="AI37" s="516" t="str">
        <f t="shared" si="11"/>
        <v>ND</v>
      </c>
      <c r="AJ37" s="1254"/>
      <c r="AK37" s="524" t="str">
        <f t="shared" si="12"/>
        <v>ND</v>
      </c>
      <c r="AL37" s="650" t="str">
        <f t="shared" si="13"/>
        <v/>
      </c>
      <c r="AM37" s="650" t="str">
        <f t="shared" si="14"/>
        <v/>
      </c>
      <c r="AN37" s="650" t="str">
        <f t="shared" si="15"/>
        <v/>
      </c>
      <c r="AO37" s="1254"/>
      <c r="AP37" s="528" t="str">
        <f t="shared" si="16"/>
        <v/>
      </c>
      <c r="AQ37" s="1249"/>
      <c r="AS37" s="719" t="str">
        <f t="shared" si="17"/>
        <v/>
      </c>
      <c r="AT37" s="719" t="str">
        <f t="shared" si="18"/>
        <v/>
      </c>
      <c r="AU37" s="719" t="str">
        <f t="shared" si="19"/>
        <v/>
      </c>
      <c r="AV37" s="1291"/>
      <c r="AW37" s="719" t="str">
        <f t="shared" si="20"/>
        <v/>
      </c>
      <c r="AY37" s="719" t="str">
        <f t="shared" si="21"/>
        <v/>
      </c>
      <c r="AZ37" s="719" t="str">
        <f t="shared" si="22"/>
        <v/>
      </c>
      <c r="BA37" s="719" t="str">
        <f t="shared" si="23"/>
        <v/>
      </c>
      <c r="BB37" s="1291"/>
      <c r="BC37" s="719" t="str">
        <f t="shared" si="24"/>
        <v/>
      </c>
    </row>
    <row r="38" spans="1:55" ht="21.45" customHeight="1">
      <c r="A38" s="1041"/>
      <c r="B38" s="1101"/>
      <c r="C38" s="268" t="s">
        <v>986</v>
      </c>
      <c r="D38" s="265"/>
      <c r="E38" s="669"/>
      <c r="F38" s="763"/>
      <c r="G38" s="670"/>
      <c r="H38" s="668"/>
      <c r="I38" s="233"/>
      <c r="J38" s="281" t="str">
        <f>IF(H38="","",VLOOKUP(H38,'Emission factors'!$A$10:$C$19,2,FALSE))</f>
        <v/>
      </c>
      <c r="K38" s="664" t="str">
        <f t="shared" si="26"/>
        <v>.نيازي به وارد كردن اين داده نيست</v>
      </c>
      <c r="L38" s="236"/>
      <c r="M38" s="763"/>
      <c r="N38" s="230" t="str">
        <f>IF(AND(M38="واقعي",OR(H38=" Natural Gas",H38="Other Gas 1",H38="Other Gas 2",H38="Other Gas 3",H38="Other Gas 4",H38="Other Gas 5",H38="LPG",H38="Fuel oil ",H38="light gas oil",H38="Heavy gas oil")),IF((((VLOOKUP(H38,'Emission factors'!$B$41:$I$55,7,FALSE))="")),"در شيت Compositions آناليز و يا مشخصات سوخت را وارد كنيد",VLOOKUP(H38,'Emission factors'!$B$41:$I$55,7,FALSE)),"")</f>
        <v/>
      </c>
      <c r="O38" s="230" t="str">
        <f>IF(H38="","",VLOOKUP(H38,'Emission factors'!$B$41:$G$55,2,FALSE))</f>
        <v/>
      </c>
      <c r="P38" s="231" t="str">
        <f>IF(H38="","",VLOOKUP(H38,'Emission factors'!$A$10:$C$19,3,FALSE))</f>
        <v/>
      </c>
      <c r="Q38" s="282" t="str">
        <f t="shared" si="2"/>
        <v>ND</v>
      </c>
      <c r="R38" s="694" t="str">
        <f t="shared" si="3"/>
        <v>ND</v>
      </c>
      <c r="S38" s="694" t="str">
        <f t="shared" si="4"/>
        <v>ND</v>
      </c>
      <c r="T38" s="686" t="s">
        <v>284</v>
      </c>
      <c r="U38" s="709" t="str">
        <f t="shared" si="27"/>
        <v>ND</v>
      </c>
      <c r="V38" s="224" t="str">
        <f t="shared" si="28"/>
        <v/>
      </c>
      <c r="W38" s="225" t="str">
        <f t="shared" si="29"/>
        <v/>
      </c>
      <c r="X38" s="225" t="str">
        <f t="shared" si="30"/>
        <v/>
      </c>
      <c r="Y38" s="1143" t="s">
        <v>284</v>
      </c>
      <c r="Z38" s="1144"/>
      <c r="AA38" s="226" t="str">
        <f t="shared" si="31"/>
        <v/>
      </c>
      <c r="AB38" s="216"/>
      <c r="AC38" s="478"/>
      <c r="AD38" s="1248"/>
      <c r="AE38" s="522"/>
      <c r="AF38" s="735" t="str">
        <f>IF(M38="","",IF(M38="پيش‌فرض",40,IF(H38=" Natural Gas",Compositions!$BO$21,IF(H38="Other Gas 1",Compositions!$BO$30,IF(H38="Other Gas 2",Compositions!$BO$39,IF(H38="Other Gas 3",Compositions!$BW$21,IF(H38="Other Gas 4",Compositions!$BW$30,IF(H38="Other Gas 5",Compositions!$BW$39,IF(H38="LPG",Compositions!$BK$81,IF(H38="Heavy Gas oil",Compositions!$BK$83,IF(H38="Light Gas oil",Compositions!$BK$84,IF(H38="Fuel oil ",Compositions!$BK$85,""))))))))))       ))</f>
        <v/>
      </c>
      <c r="AG38" s="516" t="str">
        <f t="shared" si="9"/>
        <v>ND</v>
      </c>
      <c r="AH38" s="516" t="str">
        <f t="shared" si="10"/>
        <v>ND</v>
      </c>
      <c r="AI38" s="516" t="str">
        <f t="shared" si="11"/>
        <v>ND</v>
      </c>
      <c r="AJ38" s="1254"/>
      <c r="AK38" s="524" t="str">
        <f t="shared" si="12"/>
        <v>ND</v>
      </c>
      <c r="AL38" s="650" t="str">
        <f t="shared" si="13"/>
        <v/>
      </c>
      <c r="AM38" s="650" t="str">
        <f t="shared" si="14"/>
        <v/>
      </c>
      <c r="AN38" s="650" t="str">
        <f t="shared" si="15"/>
        <v/>
      </c>
      <c r="AO38" s="1254"/>
      <c r="AP38" s="528" t="str">
        <f t="shared" si="16"/>
        <v/>
      </c>
      <c r="AQ38" s="1249"/>
      <c r="AS38" s="719" t="str">
        <f t="shared" si="17"/>
        <v/>
      </c>
      <c r="AT38" s="719" t="str">
        <f t="shared" si="18"/>
        <v/>
      </c>
      <c r="AU38" s="719" t="str">
        <f t="shared" si="19"/>
        <v/>
      </c>
      <c r="AV38" s="1291"/>
      <c r="AW38" s="719" t="str">
        <f t="shared" si="20"/>
        <v/>
      </c>
      <c r="AY38" s="719" t="str">
        <f t="shared" si="21"/>
        <v/>
      </c>
      <c r="AZ38" s="719" t="str">
        <f t="shared" si="22"/>
        <v/>
      </c>
      <c r="BA38" s="719" t="str">
        <f t="shared" si="23"/>
        <v/>
      </c>
      <c r="BB38" s="1291"/>
      <c r="BC38" s="719" t="str">
        <f t="shared" si="24"/>
        <v/>
      </c>
    </row>
    <row r="39" spans="1:55" ht="21.45" customHeight="1">
      <c r="A39" s="1041"/>
      <c r="B39" s="1101"/>
      <c r="C39" s="268" t="s">
        <v>987</v>
      </c>
      <c r="D39" s="265"/>
      <c r="E39" s="669"/>
      <c r="F39" s="763"/>
      <c r="G39" s="670"/>
      <c r="H39" s="668"/>
      <c r="I39" s="233"/>
      <c r="J39" s="281" t="str">
        <f>IF(H39="","",VLOOKUP(H39,'Emission factors'!$A$10:$C$19,2,FALSE))</f>
        <v/>
      </c>
      <c r="K39" s="664" t="str">
        <f t="shared" si="26"/>
        <v>.نيازي به وارد كردن اين داده نيست</v>
      </c>
      <c r="L39" s="236"/>
      <c r="M39" s="763"/>
      <c r="N39" s="230" t="str">
        <f>IF(AND(M39="واقعي",OR(H39=" Natural Gas",H39="Other Gas 1",H39="Other Gas 2",H39="Other Gas 3",H39="Other Gas 4",H39="Other Gas 5",H39="LPG",H39="Fuel oil ",H39="light gas oil",H39="Heavy gas oil")),IF((((VLOOKUP(H39,'Emission factors'!$B$41:$I$55,7,FALSE))="")),"در شيت Compositions آناليز و يا مشخصات سوخت را وارد كنيد",VLOOKUP(H39,'Emission factors'!$B$41:$I$55,7,FALSE)),"")</f>
        <v/>
      </c>
      <c r="O39" s="230" t="str">
        <f>IF(H39="","",VLOOKUP(H39,'Emission factors'!$B$41:$G$55,2,FALSE))</f>
        <v/>
      </c>
      <c r="P39" s="231" t="str">
        <f>IF(H39="","",VLOOKUP(H39,'Emission factors'!$A$10:$C$19,3,FALSE))</f>
        <v/>
      </c>
      <c r="Q39" s="282" t="str">
        <f t="shared" si="2"/>
        <v>ND</v>
      </c>
      <c r="R39" s="694" t="str">
        <f t="shared" si="3"/>
        <v>ND</v>
      </c>
      <c r="S39" s="694" t="str">
        <f t="shared" si="4"/>
        <v>ND</v>
      </c>
      <c r="T39" s="686" t="s">
        <v>284</v>
      </c>
      <c r="U39" s="709" t="str">
        <f t="shared" si="27"/>
        <v>ND</v>
      </c>
      <c r="V39" s="224" t="str">
        <f t="shared" si="28"/>
        <v/>
      </c>
      <c r="W39" s="225" t="str">
        <f t="shared" si="29"/>
        <v/>
      </c>
      <c r="X39" s="225" t="str">
        <f t="shared" si="30"/>
        <v/>
      </c>
      <c r="Y39" s="1143" t="s">
        <v>284</v>
      </c>
      <c r="Z39" s="1144"/>
      <c r="AA39" s="226" t="str">
        <f t="shared" si="31"/>
        <v/>
      </c>
      <c r="AB39" s="216"/>
      <c r="AC39" s="478"/>
      <c r="AD39" s="1248"/>
      <c r="AE39" s="522"/>
      <c r="AF39" s="735" t="str">
        <f>IF(M39="","",IF(M39="پيش‌فرض",40,IF(H39=" Natural Gas",Compositions!$BO$21,IF(H39="Other Gas 1",Compositions!$BO$30,IF(H39="Other Gas 2",Compositions!$BO$39,IF(H39="Other Gas 3",Compositions!$BW$21,IF(H39="Other Gas 4",Compositions!$BW$30,IF(H39="Other Gas 5",Compositions!$BW$39,IF(H39="LPG",Compositions!$BK$81,IF(H39="Heavy Gas oil",Compositions!$BK$83,IF(H39="Light Gas oil",Compositions!$BK$84,IF(H39="Fuel oil ",Compositions!$BK$85,""))))))))))       ))</f>
        <v/>
      </c>
      <c r="AG39" s="516" t="str">
        <f t="shared" si="9"/>
        <v>ND</v>
      </c>
      <c r="AH39" s="516" t="str">
        <f t="shared" si="10"/>
        <v>ND</v>
      </c>
      <c r="AI39" s="516" t="str">
        <f t="shared" si="11"/>
        <v>ND</v>
      </c>
      <c r="AJ39" s="1254"/>
      <c r="AK39" s="524" t="str">
        <f t="shared" si="12"/>
        <v>ND</v>
      </c>
      <c r="AL39" s="650" t="str">
        <f t="shared" si="13"/>
        <v/>
      </c>
      <c r="AM39" s="650" t="str">
        <f t="shared" si="14"/>
        <v/>
      </c>
      <c r="AN39" s="650" t="str">
        <f t="shared" si="15"/>
        <v/>
      </c>
      <c r="AO39" s="1254"/>
      <c r="AP39" s="528" t="str">
        <f t="shared" si="16"/>
        <v/>
      </c>
      <c r="AQ39" s="1249"/>
      <c r="AS39" s="719" t="str">
        <f t="shared" si="17"/>
        <v/>
      </c>
      <c r="AT39" s="719" t="str">
        <f t="shared" si="18"/>
        <v/>
      </c>
      <c r="AU39" s="719" t="str">
        <f t="shared" si="19"/>
        <v/>
      </c>
      <c r="AV39" s="1291"/>
      <c r="AW39" s="719" t="str">
        <f t="shared" si="20"/>
        <v/>
      </c>
      <c r="AY39" s="719" t="str">
        <f t="shared" si="21"/>
        <v/>
      </c>
      <c r="AZ39" s="719" t="str">
        <f t="shared" si="22"/>
        <v/>
      </c>
      <c r="BA39" s="719" t="str">
        <f t="shared" si="23"/>
        <v/>
      </c>
      <c r="BB39" s="1291"/>
      <c r="BC39" s="719" t="str">
        <f t="shared" si="24"/>
        <v/>
      </c>
    </row>
    <row r="40" spans="1:55" ht="21.45" customHeight="1">
      <c r="A40" s="1041"/>
      <c r="B40" s="1101"/>
      <c r="C40" s="268" t="s">
        <v>988</v>
      </c>
      <c r="D40" s="265"/>
      <c r="E40" s="669"/>
      <c r="F40" s="763"/>
      <c r="G40" s="670"/>
      <c r="H40" s="668"/>
      <c r="I40" s="233"/>
      <c r="J40" s="281" t="str">
        <f>IF(H40="","",VLOOKUP(H40,'Emission factors'!$A$10:$C$19,2,FALSE))</f>
        <v/>
      </c>
      <c r="K40" s="664" t="str">
        <f t="shared" si="26"/>
        <v>.نيازي به وارد كردن اين داده نيست</v>
      </c>
      <c r="L40" s="236"/>
      <c r="M40" s="763"/>
      <c r="N40" s="230" t="str">
        <f>IF(AND(M40="واقعي",OR(H40=" Natural Gas",H40="Other Gas 1",H40="Other Gas 2",H40="Other Gas 3",H40="Other Gas 4",H40="Other Gas 5",H40="LPG",H40="Fuel oil ",H40="light gas oil",H40="Heavy gas oil")),IF((((VLOOKUP(H40,'Emission factors'!$B$41:$I$55,7,FALSE))="")),"در شيت Compositions آناليز و يا مشخصات سوخت را وارد كنيد",VLOOKUP(H40,'Emission factors'!$B$41:$I$55,7,FALSE)),"")</f>
        <v/>
      </c>
      <c r="O40" s="230" t="str">
        <f>IF(H40="","",VLOOKUP(H40,'Emission factors'!$B$41:$G$55,2,FALSE))</f>
        <v/>
      </c>
      <c r="P40" s="231" t="str">
        <f>IF(H40="","",VLOOKUP(H40,'Emission factors'!$A$10:$C$19,3,FALSE))</f>
        <v/>
      </c>
      <c r="Q40" s="282" t="str">
        <f t="shared" si="2"/>
        <v>ND</v>
      </c>
      <c r="R40" s="694" t="str">
        <f t="shared" si="3"/>
        <v>ND</v>
      </c>
      <c r="S40" s="694" t="str">
        <f t="shared" si="4"/>
        <v>ND</v>
      </c>
      <c r="T40" s="686" t="s">
        <v>284</v>
      </c>
      <c r="U40" s="709" t="str">
        <f t="shared" si="27"/>
        <v>ND</v>
      </c>
      <c r="V40" s="224" t="str">
        <f t="shared" si="28"/>
        <v/>
      </c>
      <c r="W40" s="225" t="str">
        <f t="shared" si="29"/>
        <v/>
      </c>
      <c r="X40" s="225" t="str">
        <f t="shared" si="30"/>
        <v/>
      </c>
      <c r="Y40" s="1143" t="s">
        <v>284</v>
      </c>
      <c r="Z40" s="1144"/>
      <c r="AA40" s="226" t="str">
        <f t="shared" si="31"/>
        <v/>
      </c>
      <c r="AB40" s="216"/>
      <c r="AC40" s="478"/>
      <c r="AD40" s="1248"/>
      <c r="AE40" s="522"/>
      <c r="AF40" s="735" t="str">
        <f>IF(M40="","",IF(M40="پيش‌فرض",40,IF(H40=" Natural Gas",Compositions!$BO$21,IF(H40="Other Gas 1",Compositions!$BO$30,IF(H40="Other Gas 2",Compositions!$BO$39,IF(H40="Other Gas 3",Compositions!$BW$21,IF(H40="Other Gas 4",Compositions!$BW$30,IF(H40="Other Gas 5",Compositions!$BW$39,IF(H40="LPG",Compositions!$BK$81,IF(H40="Heavy Gas oil",Compositions!$BK$83,IF(H40="Light Gas oil",Compositions!$BK$84,IF(H40="Fuel oil ",Compositions!$BK$85,""))))))))))       ))</f>
        <v/>
      </c>
      <c r="AG40" s="516" t="str">
        <f t="shared" si="9"/>
        <v>ND</v>
      </c>
      <c r="AH40" s="516" t="str">
        <f t="shared" si="10"/>
        <v>ND</v>
      </c>
      <c r="AI40" s="516" t="str">
        <f t="shared" si="11"/>
        <v>ND</v>
      </c>
      <c r="AJ40" s="1254"/>
      <c r="AK40" s="524" t="str">
        <f t="shared" si="12"/>
        <v>ND</v>
      </c>
      <c r="AL40" s="650" t="str">
        <f t="shared" si="13"/>
        <v/>
      </c>
      <c r="AM40" s="650" t="str">
        <f t="shared" si="14"/>
        <v/>
      </c>
      <c r="AN40" s="650" t="str">
        <f t="shared" si="15"/>
        <v/>
      </c>
      <c r="AO40" s="1254"/>
      <c r="AP40" s="528" t="str">
        <f t="shared" si="16"/>
        <v/>
      </c>
      <c r="AQ40" s="1249"/>
      <c r="AS40" s="719" t="str">
        <f t="shared" si="17"/>
        <v/>
      </c>
      <c r="AT40" s="719" t="str">
        <f t="shared" si="18"/>
        <v/>
      </c>
      <c r="AU40" s="719" t="str">
        <f t="shared" si="19"/>
        <v/>
      </c>
      <c r="AV40" s="1291"/>
      <c r="AW40" s="719" t="str">
        <f t="shared" si="20"/>
        <v/>
      </c>
      <c r="AY40" s="719" t="str">
        <f t="shared" si="21"/>
        <v/>
      </c>
      <c r="AZ40" s="719" t="str">
        <f t="shared" si="22"/>
        <v/>
      </c>
      <c r="BA40" s="719" t="str">
        <f t="shared" si="23"/>
        <v/>
      </c>
      <c r="BB40" s="1291"/>
      <c r="BC40" s="719" t="str">
        <f t="shared" si="24"/>
        <v/>
      </c>
    </row>
    <row r="41" spans="1:55" ht="21.45" customHeight="1">
      <c r="A41" s="1041"/>
      <c r="B41" s="1101"/>
      <c r="C41" s="268" t="s">
        <v>989</v>
      </c>
      <c r="D41" s="265"/>
      <c r="E41" s="669"/>
      <c r="F41" s="763"/>
      <c r="G41" s="670"/>
      <c r="H41" s="668"/>
      <c r="I41" s="233"/>
      <c r="J41" s="281" t="str">
        <f>IF(H41="","",VLOOKUP(H41,'Emission factors'!$A$10:$C$19,2,FALSE))</f>
        <v/>
      </c>
      <c r="K41" s="664" t="str">
        <f t="shared" si="26"/>
        <v>.نيازي به وارد كردن اين داده نيست</v>
      </c>
      <c r="L41" s="236"/>
      <c r="M41" s="763"/>
      <c r="N41" s="230" t="str">
        <f>IF(AND(M41="واقعي",OR(H41=" Natural Gas",H41="Other Gas 1",H41="Other Gas 2",H41="Other Gas 3",H41="Other Gas 4",H41="Other Gas 5",H41="LPG",H41="Fuel oil ",H41="light gas oil",H41="Heavy gas oil")),IF((((VLOOKUP(H41,'Emission factors'!$B$41:$I$55,7,FALSE))="")),"در شيت Compositions آناليز و يا مشخصات سوخت را وارد كنيد",VLOOKUP(H41,'Emission factors'!$B$41:$I$55,7,FALSE)),"")</f>
        <v/>
      </c>
      <c r="O41" s="230" t="str">
        <f>IF(H41="","",VLOOKUP(H41,'Emission factors'!$B$41:$G$55,2,FALSE))</f>
        <v/>
      </c>
      <c r="P41" s="231" t="str">
        <f>IF(H41="","",VLOOKUP(H41,'Emission factors'!$A$10:$C$19,3,FALSE))</f>
        <v/>
      </c>
      <c r="Q41" s="282" t="str">
        <f t="shared" si="2"/>
        <v>ND</v>
      </c>
      <c r="R41" s="694" t="str">
        <f t="shared" si="3"/>
        <v>ND</v>
      </c>
      <c r="S41" s="694" t="str">
        <f t="shared" si="4"/>
        <v>ND</v>
      </c>
      <c r="T41" s="686" t="s">
        <v>284</v>
      </c>
      <c r="U41" s="709" t="str">
        <f t="shared" si="27"/>
        <v>ND</v>
      </c>
      <c r="V41" s="224" t="str">
        <f t="shared" si="28"/>
        <v/>
      </c>
      <c r="W41" s="225" t="str">
        <f t="shared" si="29"/>
        <v/>
      </c>
      <c r="X41" s="225" t="str">
        <f t="shared" si="30"/>
        <v/>
      </c>
      <c r="Y41" s="1143" t="s">
        <v>284</v>
      </c>
      <c r="Z41" s="1144"/>
      <c r="AA41" s="226" t="str">
        <f t="shared" si="31"/>
        <v/>
      </c>
      <c r="AB41" s="216"/>
      <c r="AC41" s="478"/>
      <c r="AD41" s="1248"/>
      <c r="AE41" s="522"/>
      <c r="AF41" s="735" t="str">
        <f>IF(M41="","",IF(M41="پيش‌فرض",40,IF(H41=" Natural Gas",Compositions!$BO$21,IF(H41="Other Gas 1",Compositions!$BO$30,IF(H41="Other Gas 2",Compositions!$BO$39,IF(H41="Other Gas 3",Compositions!$BW$21,IF(H41="Other Gas 4",Compositions!$BW$30,IF(H41="Other Gas 5",Compositions!$BW$39,IF(H41="LPG",Compositions!$BK$81,IF(H41="Heavy Gas oil",Compositions!$BK$83,IF(H41="Light Gas oil",Compositions!$BK$84,IF(H41="Fuel oil ",Compositions!$BK$85,""))))))))))       ))</f>
        <v/>
      </c>
      <c r="AG41" s="516" t="str">
        <f t="shared" si="9"/>
        <v>ND</v>
      </c>
      <c r="AH41" s="516" t="str">
        <f t="shared" si="10"/>
        <v>ND</v>
      </c>
      <c r="AI41" s="516" t="str">
        <f t="shared" si="11"/>
        <v>ND</v>
      </c>
      <c r="AJ41" s="1254"/>
      <c r="AK41" s="524" t="str">
        <f t="shared" si="12"/>
        <v>ND</v>
      </c>
      <c r="AL41" s="650" t="str">
        <f t="shared" si="13"/>
        <v/>
      </c>
      <c r="AM41" s="650" t="str">
        <f t="shared" si="14"/>
        <v/>
      </c>
      <c r="AN41" s="650" t="str">
        <f t="shared" si="15"/>
        <v/>
      </c>
      <c r="AO41" s="1254"/>
      <c r="AP41" s="528" t="str">
        <f t="shared" si="16"/>
        <v/>
      </c>
      <c r="AQ41" s="1249"/>
      <c r="AS41" s="719" t="str">
        <f t="shared" si="17"/>
        <v/>
      </c>
      <c r="AT41" s="719" t="str">
        <f t="shared" si="18"/>
        <v/>
      </c>
      <c r="AU41" s="719" t="str">
        <f t="shared" si="19"/>
        <v/>
      </c>
      <c r="AV41" s="1291"/>
      <c r="AW41" s="719" t="str">
        <f t="shared" si="20"/>
        <v/>
      </c>
      <c r="AY41" s="719" t="str">
        <f t="shared" si="21"/>
        <v/>
      </c>
      <c r="AZ41" s="719" t="str">
        <f t="shared" si="22"/>
        <v/>
      </c>
      <c r="BA41" s="719" t="str">
        <f t="shared" si="23"/>
        <v/>
      </c>
      <c r="BB41" s="1291"/>
      <c r="BC41" s="719" t="str">
        <f t="shared" si="24"/>
        <v/>
      </c>
    </row>
    <row r="42" spans="1:55" ht="21.45" customHeight="1" thickBot="1">
      <c r="A42" s="1041"/>
      <c r="B42" s="1101"/>
      <c r="C42" s="269" t="s">
        <v>990</v>
      </c>
      <c r="D42" s="270"/>
      <c r="E42" s="672"/>
      <c r="F42" s="764"/>
      <c r="G42" s="673"/>
      <c r="H42" s="671"/>
      <c r="I42" s="287"/>
      <c r="J42" s="285" t="str">
        <f>IF(H42="","",VLOOKUP(H42,'Emission factors'!$A$10:$C$19,2,FALSE))</f>
        <v/>
      </c>
      <c r="K42" s="237" t="str">
        <f t="shared" si="1"/>
        <v>.نيازي به وارد كردن اين داده نيست</v>
      </c>
      <c r="L42" s="238"/>
      <c r="M42" s="764"/>
      <c r="N42" s="239" t="str">
        <f>IF(AND(M42="واقعي",OR(H42=" Natural Gas",H42="Other Gas 1",H42="Other Gas 2",H42="Other Gas 3",H42="Other Gas 4",H42="Other Gas 5",H42="LPG",H42="Fuel oil ",H42="light gas oil",H42="Heavy gas oil")),IF((((VLOOKUP(H42,'Emission factors'!$B$41:$I$55,7,FALSE))="")),"در شيت Compositions آناليز و يا مشخصات سوخت را وارد كنيد",VLOOKUP(H42,'Emission factors'!$B$41:$I$55,7,FALSE)),"")</f>
        <v/>
      </c>
      <c r="O42" s="239" t="str">
        <f>IF(H42="","",VLOOKUP(H42,'Emission factors'!$B$41:$G$55,2,FALSE))</f>
        <v/>
      </c>
      <c r="P42" s="286" t="str">
        <f>IF(H42="","",VLOOKUP(H42,'Emission factors'!$A$10:$C$19,3,FALSE))</f>
        <v/>
      </c>
      <c r="Q42" s="282" t="str">
        <f t="shared" si="2"/>
        <v>ND</v>
      </c>
      <c r="R42" s="694" t="str">
        <f t="shared" si="3"/>
        <v>ND</v>
      </c>
      <c r="S42" s="694" t="str">
        <f t="shared" si="4"/>
        <v>ND</v>
      </c>
      <c r="T42" s="686" t="s">
        <v>284</v>
      </c>
      <c r="U42" s="240" t="str">
        <f t="shared" ref="U42" si="32">IF(OR(D42="",H42=""),"ND",IF(OR(H42=" Natural Gas",H42="Other Gas 1",H42="Other Gas 2",H42="Other Gas 3",H42="Other Gas 4",H42="Other Gas 5",H42="LPG"), 2.3, (IF(D42="Utility boilers",2.18,(IF(H42="Fuel oil ",0.8,0.57))))))</f>
        <v>ND</v>
      </c>
      <c r="V42" s="224" t="str">
        <f t="shared" si="5"/>
        <v/>
      </c>
      <c r="W42" s="225" t="str">
        <f t="shared" si="6"/>
        <v/>
      </c>
      <c r="X42" s="225" t="str">
        <f t="shared" si="7"/>
        <v/>
      </c>
      <c r="Y42" s="1143" t="s">
        <v>284</v>
      </c>
      <c r="Z42" s="1144"/>
      <c r="AA42" s="226" t="str">
        <f t="shared" si="8"/>
        <v/>
      </c>
      <c r="AB42" s="216"/>
      <c r="AC42" s="478"/>
      <c r="AD42" s="1248"/>
      <c r="AE42" s="525"/>
      <c r="AF42" s="735" t="str">
        <f>IF(M42="","",IF(M42="پيش‌فرض",40,IF(H42=" Natural Gas",Compositions!$BO$21,IF(H42="Other Gas 1",Compositions!$BO$30,IF(H42="Other Gas 2",Compositions!$BO$39,IF(H42="Other Gas 3",Compositions!$BW$21,IF(H42="Other Gas 4",Compositions!$BW$30,IF(H42="Other Gas 5",Compositions!$BW$39,IF(H42="LPG",Compositions!$BK$81,IF(H42="Heavy Gas oil",Compositions!$BK$83,IF(H42="Light Gas oil",Compositions!$BK$84,IF(H42="Fuel oil ",Compositions!$BK$85,""))))))))))       ))</f>
        <v/>
      </c>
      <c r="AG42" s="526" t="str">
        <f>IF(H42="Light Gas Oil",((IF(AND(E42="Boilers &lt; 100 Million Btu/hr",F42="عادي",G42="Uncontrolled, etc."),20,(IF(AND(E42="Boilers &gt; 100 Million Btu/hr",F42="عادي",G42="Uncontrolled, etc."),200,IF(AND(E42="Boilers &gt; 100 Million Btu/hr",F42="مماسي",G42="Uncontrolled, etc."),200,"ND")))))),(IF(H42="Heavy Gas Oil",(IF(AND(E42="Boilers &lt; 100 Million Btu/hr",F42="عادي",G42="Uncontrolled, etc."),20,(IF(AND(E42="Boilers &gt; 100 Million Btu/hr",F42="عادي",G42="Uncontrolled, etc."),40,IF(AND(E42="Boilers &gt; 100 Million Btu/hr",F42="مماسي",G42="Uncontrolled, etc."),40,"ND"))))),(IF(H42="Fuel oil ",(IF(AND(E42="Boilers &lt; 100 Million Btu/hr",F42="عادي",G42="Uncontrolled, etc."),20,(IF(AND(E42="Boilers &gt; 100 Million Btu/hr",F42="عادي",G42="Uncontrolled, etc."),20,IF(AND(E42="Boilers &gt; 100 Million Btu/hr",F42="مماسي",G42="Uncontrolled, etc."),20,IF(AND(E42="Boilers &gt; 100 Million Btu/hr",F42="عادي",G42="Controlled-Low NOx burners"),40,IF(AND(E42="Boilers &gt; 100 Million Btu/hr",F42="مماسي",G42="Controlled-Low NOx burners"),1000,"ND"))))))),(IF(OR(H42=" Natural Gas",H42="Other Gas 1",H42="Other Gas 2",H42="Other Gas 3",H42="Other Gas 4",H42="Other Gas 5",H42="LPG"),(IF(AND(E42="Boilers &lt; 100 Million Btu/hr",F42="عادي",G42="Uncontrolled, etc."),40,(IF(AND(E42="Boilers &lt; 100 Million Btu/hr",F42="عادي",G42="Controlled-Low NOx burners"),200,(IF(AND(E42="Boilers &lt; 100 Million Btu/hr",F42="عادي",G42="Controlled-Flue gas recirculation"),125, (IF(AND(E42="Boilers &gt; 100 Million Btu/hr",F42="عادي",G42="Uncontrolled, etc."),20,(IF(AND(E42="Boilers &gt; 100 Million Btu/hr",F42="عادي",G42="Controlled-Low NOx burners"),20,(IF(AND(E42="Boilers &gt; 100 Million Btu/hr",F42="عادي",G42="Controlled-Flue gas recirculation"),200,(IF(AND(F42="مماسي",G42="Uncontrolled, etc."),20,(IF(AND(F42="مماسي",G42="Controlled-Flue gas recirculation"),200,"ND"    )))) )))))) ) ))))),"ND")))))))</f>
        <v>ND</v>
      </c>
      <c r="AH42" s="526" t="str">
        <f>IF(AND(OR(F42="عادي",F42="مماسي"),OR(H42="Fuel oil ",H42="Light Gas Oil",H42="Heavy Gas Oil")),20,(     IF(OR(H42=" Natural Gas",H42="Other Gas 1",H42="Other Gas 2",H42="Other Gas 3",H42="Other Gas 4",H42="Other Gas 5",H42="LPG"), (IF(F42="عادي",(40),(IF(AND(F42="مماسي",G42="Uncontrolled, etc."),(125),(IF(AND(F42="مماسي",G42="Controlled-Flue gas recirculation"),200,"ND"))     ))  )),("ND"))    ))</f>
        <v>ND</v>
      </c>
      <c r="AI42" s="526" t="str">
        <f t="shared" si="11"/>
        <v>ND</v>
      </c>
      <c r="AJ42" s="1255"/>
      <c r="AK42" s="527" t="str">
        <f t="shared" si="12"/>
        <v>ND</v>
      </c>
      <c r="AL42" s="650" t="str">
        <f t="shared" si="13"/>
        <v/>
      </c>
      <c r="AM42" s="650" t="str">
        <f t="shared" si="14"/>
        <v/>
      </c>
      <c r="AN42" s="650" t="str">
        <f t="shared" si="15"/>
        <v/>
      </c>
      <c r="AO42" s="1255"/>
      <c r="AP42" s="528" t="str">
        <f t="shared" si="16"/>
        <v/>
      </c>
      <c r="AQ42" s="1249"/>
      <c r="AS42" s="719" t="str">
        <f t="shared" si="17"/>
        <v/>
      </c>
      <c r="AT42" s="719" t="str">
        <f t="shared" si="18"/>
        <v/>
      </c>
      <c r="AU42" s="719" t="str">
        <f t="shared" si="19"/>
        <v/>
      </c>
      <c r="AV42" s="1291"/>
      <c r="AW42" s="719" t="str">
        <f t="shared" si="20"/>
        <v/>
      </c>
      <c r="AY42" s="719" t="str">
        <f t="shared" si="21"/>
        <v/>
      </c>
      <c r="AZ42" s="719" t="str">
        <f t="shared" si="22"/>
        <v/>
      </c>
      <c r="BA42" s="719" t="str">
        <f t="shared" si="23"/>
        <v/>
      </c>
      <c r="BB42" s="1291"/>
      <c r="BC42" s="719" t="str">
        <f t="shared" si="24"/>
        <v/>
      </c>
    </row>
    <row r="43" spans="1:55" ht="19.95" customHeight="1" thickBot="1">
      <c r="A43" s="1065" t="s">
        <v>1029</v>
      </c>
      <c r="B43" s="1066"/>
      <c r="C43" s="1188"/>
      <c r="D43" s="1188"/>
      <c r="E43" s="1188"/>
      <c r="F43" s="1188"/>
      <c r="G43" s="1188"/>
      <c r="H43" s="1188"/>
      <c r="I43" s="1188"/>
      <c r="J43" s="1188"/>
      <c r="K43" s="1188"/>
      <c r="L43" s="1188"/>
      <c r="M43" s="1188"/>
      <c r="N43" s="1188"/>
      <c r="O43" s="1188"/>
      <c r="P43" s="1188"/>
      <c r="Q43" s="1066"/>
      <c r="R43" s="1066"/>
      <c r="S43" s="1066"/>
      <c r="T43" s="1066"/>
      <c r="U43" s="1066"/>
      <c r="V43" s="1066"/>
      <c r="W43" s="1066"/>
      <c r="X43" s="1066"/>
      <c r="Y43" s="1066"/>
      <c r="Z43" s="1066"/>
      <c r="AA43" s="1066"/>
      <c r="AB43" s="1067"/>
      <c r="AC43" s="478"/>
      <c r="AD43" s="1244"/>
      <c r="AE43" s="1245"/>
      <c r="AF43" s="1245"/>
      <c r="AG43" s="1245"/>
      <c r="AH43" s="1245"/>
      <c r="AI43" s="1245"/>
      <c r="AJ43" s="1245"/>
      <c r="AK43" s="1245"/>
      <c r="AL43" s="1245"/>
      <c r="AM43" s="1245"/>
      <c r="AN43" s="1245"/>
      <c r="AO43" s="1245"/>
      <c r="AP43" s="1245"/>
      <c r="AQ43" s="1246"/>
    </row>
    <row r="44" spans="1:55" ht="25.8" thickBot="1">
      <c r="A44" s="1040"/>
      <c r="B44" s="278" t="s">
        <v>116</v>
      </c>
      <c r="C44" s="1071" t="s">
        <v>994</v>
      </c>
      <c r="D44" s="1140" t="s">
        <v>132</v>
      </c>
      <c r="E44" s="1141"/>
      <c r="F44" s="1141"/>
      <c r="G44" s="1142"/>
      <c r="H44" s="1140" t="s">
        <v>135</v>
      </c>
      <c r="I44" s="1141"/>
      <c r="J44" s="1141"/>
      <c r="K44" s="1141"/>
      <c r="L44" s="1141"/>
      <c r="M44" s="1141"/>
      <c r="N44" s="1141"/>
      <c r="O44" s="1141"/>
      <c r="P44" s="1142"/>
      <c r="Q44" s="1073" t="s">
        <v>285</v>
      </c>
      <c r="R44" s="1074"/>
      <c r="S44" s="1074"/>
      <c r="T44" s="1074"/>
      <c r="U44" s="1074"/>
      <c r="V44" s="1073" t="s">
        <v>144</v>
      </c>
      <c r="W44" s="1074"/>
      <c r="X44" s="1074"/>
      <c r="Y44" s="1074"/>
      <c r="Z44" s="1074"/>
      <c r="AA44" s="1075"/>
      <c r="AB44" s="241"/>
      <c r="AC44" s="478"/>
      <c r="AD44" s="1247"/>
      <c r="AE44" s="1262" t="s">
        <v>1262</v>
      </c>
      <c r="AF44" s="1263"/>
      <c r="AG44" s="1263"/>
      <c r="AH44" s="1263"/>
      <c r="AI44" s="1263"/>
      <c r="AJ44" s="1263"/>
      <c r="AK44" s="1264"/>
      <c r="AL44" s="1263" t="s">
        <v>1258</v>
      </c>
      <c r="AM44" s="1263"/>
      <c r="AN44" s="1263"/>
      <c r="AO44" s="1263"/>
      <c r="AP44" s="1264"/>
      <c r="AQ44" s="1269"/>
    </row>
    <row r="45" spans="1:55" ht="21.45" customHeight="1">
      <c r="A45" s="1041"/>
      <c r="B45" s="1068" t="s">
        <v>111</v>
      </c>
      <c r="C45" s="1114"/>
      <c r="D45" s="1086" t="s">
        <v>754</v>
      </c>
      <c r="E45" s="1053"/>
      <c r="F45" s="1053"/>
      <c r="G45" s="1054"/>
      <c r="H45" s="1102" t="s">
        <v>85</v>
      </c>
      <c r="I45" s="1052" t="s">
        <v>148</v>
      </c>
      <c r="J45" s="1087"/>
      <c r="K45" s="1052" t="s">
        <v>143</v>
      </c>
      <c r="L45" s="1087"/>
      <c r="M45" s="1104" t="s">
        <v>136</v>
      </c>
      <c r="N45" s="1104"/>
      <c r="O45" s="1104"/>
      <c r="P45" s="1112"/>
      <c r="Q45" s="821" t="s">
        <v>40</v>
      </c>
      <c r="R45" s="696" t="s">
        <v>39</v>
      </c>
      <c r="S45" s="696" t="s">
        <v>145</v>
      </c>
      <c r="T45" s="1076" t="s">
        <v>147</v>
      </c>
      <c r="U45" s="9" t="s">
        <v>31</v>
      </c>
      <c r="V45" s="821" t="s">
        <v>40</v>
      </c>
      <c r="W45" s="696" t="s">
        <v>39</v>
      </c>
      <c r="X45" s="696" t="s">
        <v>145</v>
      </c>
      <c r="Y45" s="1078" t="s">
        <v>147</v>
      </c>
      <c r="Z45" s="1079"/>
      <c r="AA45" s="713" t="s">
        <v>31</v>
      </c>
      <c r="AB45" s="216"/>
      <c r="AC45" s="478"/>
      <c r="AD45" s="1248"/>
      <c r="AE45" s="1256" t="s">
        <v>1263</v>
      </c>
      <c r="AF45" s="1260" t="s">
        <v>1518</v>
      </c>
      <c r="AG45" s="1258" t="s">
        <v>1261</v>
      </c>
      <c r="AH45" s="1258"/>
      <c r="AI45" s="1258"/>
      <c r="AJ45" s="1258"/>
      <c r="AK45" s="1259"/>
      <c r="AL45" s="529" t="s">
        <v>40</v>
      </c>
      <c r="AM45" s="530" t="s">
        <v>39</v>
      </c>
      <c r="AN45" s="530" t="s">
        <v>145</v>
      </c>
      <c r="AO45" s="530" t="s">
        <v>147</v>
      </c>
      <c r="AP45" s="531" t="s">
        <v>31</v>
      </c>
      <c r="AQ45" s="1249"/>
      <c r="AS45" s="529" t="s">
        <v>40</v>
      </c>
      <c r="AT45" s="530" t="s">
        <v>39</v>
      </c>
      <c r="AU45" s="530" t="s">
        <v>145</v>
      </c>
      <c r="AV45" s="530" t="s">
        <v>147</v>
      </c>
      <c r="AW45" s="531" t="s">
        <v>31</v>
      </c>
      <c r="AY45" s="529" t="s">
        <v>40</v>
      </c>
      <c r="AZ45" s="530" t="s">
        <v>39</v>
      </c>
      <c r="BA45" s="530" t="s">
        <v>145</v>
      </c>
      <c r="BB45" s="530" t="s">
        <v>147</v>
      </c>
      <c r="BC45" s="531" t="s">
        <v>31</v>
      </c>
    </row>
    <row r="46" spans="1:55" ht="25.5" customHeight="1" thickBot="1">
      <c r="A46" s="1041"/>
      <c r="B46" s="1069"/>
      <c r="C46" s="1115"/>
      <c r="D46" s="1137"/>
      <c r="E46" s="1138"/>
      <c r="F46" s="1138"/>
      <c r="G46" s="1139"/>
      <c r="H46" s="1136"/>
      <c r="I46" s="1147"/>
      <c r="J46" s="1148"/>
      <c r="K46" s="1121"/>
      <c r="L46" s="1089"/>
      <c r="M46" s="707" t="s">
        <v>133</v>
      </c>
      <c r="N46" s="707" t="s">
        <v>137</v>
      </c>
      <c r="O46" s="707" t="s">
        <v>142</v>
      </c>
      <c r="P46" s="710" t="s">
        <v>138</v>
      </c>
      <c r="Q46" s="822" t="s">
        <v>286</v>
      </c>
      <c r="R46" s="697" t="s">
        <v>286</v>
      </c>
      <c r="S46" s="697" t="s">
        <v>286</v>
      </c>
      <c r="T46" s="1077"/>
      <c r="U46" s="812" t="s">
        <v>286</v>
      </c>
      <c r="V46" s="3" t="s">
        <v>146</v>
      </c>
      <c r="W46" s="1" t="s">
        <v>146</v>
      </c>
      <c r="X46" s="1" t="s">
        <v>146</v>
      </c>
      <c r="Y46" s="1080"/>
      <c r="Z46" s="1081"/>
      <c r="AA46" s="4" t="s">
        <v>146</v>
      </c>
      <c r="AB46" s="216"/>
      <c r="AC46" s="478"/>
      <c r="AD46" s="1248"/>
      <c r="AE46" s="1257"/>
      <c r="AF46" s="1261"/>
      <c r="AG46" s="519" t="s">
        <v>40</v>
      </c>
      <c r="AH46" s="519" t="s">
        <v>39</v>
      </c>
      <c r="AI46" s="519" t="s">
        <v>145</v>
      </c>
      <c r="AJ46" s="519" t="s">
        <v>147</v>
      </c>
      <c r="AK46" s="520" t="s">
        <v>31</v>
      </c>
      <c r="AL46" s="532" t="s">
        <v>1260</v>
      </c>
      <c r="AM46" s="519" t="s">
        <v>1260</v>
      </c>
      <c r="AN46" s="519" t="s">
        <v>1260</v>
      </c>
      <c r="AO46" s="519" t="s">
        <v>1260</v>
      </c>
      <c r="AP46" s="520" t="s">
        <v>1260</v>
      </c>
      <c r="AQ46" s="1249"/>
      <c r="AS46" s="1289" t="s">
        <v>1285</v>
      </c>
      <c r="AT46" s="1289"/>
      <c r="AU46" s="1289"/>
      <c r="AV46" s="1289"/>
      <c r="AW46" s="1289"/>
      <c r="AY46" s="1289" t="s">
        <v>1286</v>
      </c>
      <c r="AZ46" s="1289"/>
      <c r="BA46" s="1289"/>
      <c r="BB46" s="1289"/>
      <c r="BC46" s="1289"/>
    </row>
    <row r="47" spans="1:55" ht="19.05" customHeight="1">
      <c r="A47" s="1041"/>
      <c r="B47" s="1069"/>
      <c r="C47" s="218" t="s">
        <v>316</v>
      </c>
      <c r="D47" s="1132"/>
      <c r="E47" s="1133"/>
      <c r="F47" s="1133"/>
      <c r="G47" s="1134"/>
      <c r="H47" s="220"/>
      <c r="I47" s="1135"/>
      <c r="J47" s="1135"/>
      <c r="K47" s="1106" t="str">
        <f>IF(H47="","",VLOOKUP(H47,'Emission factors'!A25:C31,2,FALSE))</f>
        <v/>
      </c>
      <c r="L47" s="1107"/>
      <c r="M47" s="219"/>
      <c r="N47" s="242" t="str">
        <f>IF(AND(M47="واقعي",OR(H47=" Natural Gas",H47="Other Gas 1",H47="Other Gas 2",H47="Other Gas 3",H47="Other Gas 4",H47="Other Gas 5",H47=" Gas oil")),IF((((VLOOKUP(H47,'Emission factors'!$B$41:$I$55,7,FALSE))="")),"در شيت Compositions آناليز و يا مشخصات سوخت را وارد كنيد",VLOOKUP(H47,'Emission factors'!$B$41:$I$55,7,FALSE)),"")</f>
        <v/>
      </c>
      <c r="O47" s="242" t="str">
        <f>IF(H47="","",VLOOKUP(H47,'Emission factors'!$B$41:$G$55,2,FALSE))</f>
        <v/>
      </c>
      <c r="P47" s="223" t="str">
        <f>IF(H47="","",VLOOKUP(H47,'Emission factors'!A25:C31,3,FALSE))</f>
        <v/>
      </c>
      <c r="Q47" s="698" t="str">
        <f>IF(AND(OR(H47=" Natural Gas",H47="Other Gas 1",H47="Other Gas 2",H47="Other Gas 3",H47="Other Gas 4",H47="Other Gas 5"),D47="Uncontrolled"),137.6,IF(AND(H47=" Gas oil",D47="Uncontrolled"),378.7,IF(AND(OR(H47=" Natural Gas",H47="Other Gas 1",H47="Other Gas 2",H47="Other Gas 3",H47="Other Gas 4",H47="Other Gas 5"),D47="Controlled-Water Steam Injection"),55.9,IF(AND(H47=" Gas oil",D47="Controlled-Water Steam Injection"),103.3,IF(AND(OR(H47=" Natural Gas",H47="Other Gas 1",H47="Other Gas 2",H47="Other Gas 3",H47="Other Gas 4",H47="Other Gas 5"),D47="Controlled-Lean Premix"),42.6,"ND")))))</f>
        <v>ND</v>
      </c>
      <c r="R47" s="698" t="str">
        <f>IF(AND(OR(H47=" Natural Gas",H47="Other Gas 1",H47="Other Gas 2",H47="Other Gas 3",H47="Other Gas 4",H47="Other Gas 5"),D47="Uncontrolled"),35.3,IF(AND(H47=" Gas oil",D47="Uncontrolled"),1.24,IF(AND(OR(H47=" Natural Gas",H47="Other Gas 1",H47="Other Gas 2",H47="Other Gas 3",H47="Other Gas 4",H47="Other Gas 5"),D47="Controlled-Water Steam Injection"),12.9,IF(AND(H47=" Gas oil",D47="Controlled-Water Steam Injection"),32.7,IF(AND(OR(H47=" Natural Gas",H47="Other Gas 1",H47="Other Gas 2",H47="Other Gas 3",H47="Other Gas 4",H47="Other Gas 5"),D47="Controlled-Lean Premix"),6.45,"ND")))))</f>
        <v>ND</v>
      </c>
      <c r="S47" s="698" t="str">
        <f>IF(H47="","ND",IF(H47=" Gas Oil",5.16,2.84))</f>
        <v>ND</v>
      </c>
      <c r="T47" s="705" t="s">
        <v>284</v>
      </c>
      <c r="U47" s="243" t="str">
        <f t="shared" ref="U47:U54" si="33">IF(H47="","ND",IF(H47=" Gas Oil",0.18,0.9))</f>
        <v>ND</v>
      </c>
      <c r="V47" s="244" t="str">
        <f>IF(OR(Q47="ND",I47=""),"",IF(M47="","",(IF(M47="پيش‌فرض",((O47*Q47*I47)*(10^-6)),IF(AND(M47="واقعي",N47="در شيت Compositions آناليز و يا مشخصات سوخت را وارد كنيد"),"",((N47*Q47*I47)*(10^-6)))))))</f>
        <v/>
      </c>
      <c r="W47" s="245" t="str">
        <f>IF(OR(R47="ND",I47=""),"",IF(M47="","",(IF(M47="پيش‌فرض",((O47*R47*I47)*(10^-6)),IF(AND(M47="واقعي",N47="در شيت Compositions آناليز و يا مشخصات سوخت را وارد كنيد"),"",((N47*R47*I47)*(10^-6)))))))</f>
        <v/>
      </c>
      <c r="X47" s="245" t="str">
        <f>IF(OR(S47="ND",I47=""),"",IF(M47="","",(IF(M47="پيش‌فرض",((O47*S47*I47)*(10^-6)),IF(AND(M47="واقعي",N47="در شيت Compositions آناليز و يا مشخصات سوخت را وارد كنيد"),"",((N47*S47*I47)*(10^-6)))))))</f>
        <v/>
      </c>
      <c r="Y47" s="1145" t="s">
        <v>284</v>
      </c>
      <c r="Z47" s="1146"/>
      <c r="AA47" s="246" t="str">
        <f>IF(OR(U47="ND",I47=""),"",IF(M47="","",(IF(M47="پيش‌فرض",((O47*U47*I47)*(10^-6)),IF(AND(M47="واقعي",N47="در شيت Compositions آناليز و يا مشخصات سوخت را وارد كنيد"),"",((N47*U47*I47)*(10^-6)))))))</f>
        <v/>
      </c>
      <c r="AB47" s="247"/>
      <c r="AC47" s="478"/>
      <c r="AD47" s="1248"/>
      <c r="AE47" s="522"/>
      <c r="AF47" s="735" t="str">
        <f>IF(M47="","",IF(M47="پيش‌فرض",40,IF(H47=" Natural Gas",Compositions!$BO$21,IF(H47="Other Gas 1",Compositions!$BO$30,IF(H47="Other Gas 2",Compositions!$BO$39,IF(H47="Other Gas 3",Compositions!$BW$21,IF(H47="Other Gas 4",Compositions!$BW$30,IF(H47="Other Gas 5",Compositions!$BW$39,IF(H47=" Gas oil",Compositions!$BK$82,"")))))))       ))</f>
        <v/>
      </c>
      <c r="AG47" s="518" t="str">
        <f>IF(AND(OR(H47=" Natural Gas",H47="Other Gas 1",H47="Other Gas 2",H47="Other Gas 3",H47="Other Gas 4",H47="Other Gas 5"),D47="Uncontrolled"),20,IF(AND(H47=" Gas oil",D47="Uncontrolled"),125,IF(AND(OR(H47=" Natural Gas",H47="Other Gas 1",H47="Other Gas 2",H47="Other Gas 3",H47="Other Gas 4",H47="Other Gas 5"),D47="Controlled-Water Steam Injection"),20,IF(AND(H47=" Gas oil",D47="Controlled-Water Steam Injection"),40,IF(AND(OR(H47=" Natural Gas",H47="Other Gas 1",H47="Other Gas 2",H47="Other Gas 3",H47="Other Gas 4",H47="Other Gas 5"),D47="Controlled-Lean Premix"),200,"ND")))))</f>
        <v>ND</v>
      </c>
      <c r="AH47" s="518" t="str">
        <f>IF(AND(OR(H47=" Natural Gas",H47="Other Gas 1",H47="Other Gas 2",H47="Other Gas 3",H47="Other Gas 4",H47="Other Gas 5"),D47="Uncontrolled"),20,IF(AND(H47=" Gas oil",D47="Uncontrolled"),125,IF(AND(OR(H47=" Natural Gas",H47="Other Gas 1",H47="Other Gas 2",H47="Other Gas 3",H47="Other Gas 4",H47="Other Gas 5"),D47="Controlled-Water Steam Injection"),20,IF(AND(H47=" Gas oil",D47="Controlled-Water Steam Injection"),125,IF(AND(OR(H47=" Natural Gas",H47="Other Gas 1",H47="Other Gas 2",H47="Other Gas 3",H47="Other Gas 4",H47="Other Gas 5"),D47="Controlled-Lean Premix"),200,"ND")))))</f>
        <v>ND</v>
      </c>
      <c r="AI47" s="518" t="str">
        <f>IF(H47="","ND",IF(H47=" Gas Oil",125,125))</f>
        <v>ND</v>
      </c>
      <c r="AJ47" s="1265" t="s">
        <v>1257</v>
      </c>
      <c r="AK47" s="523" t="str">
        <f>IF(H47="","ND",IF(H47=" Gas Oil",1000,200))</f>
        <v>ND</v>
      </c>
      <c r="AL47" s="528" t="str">
        <f>IF(OR(AE47="",AF47="",AF47="ND",AG47="",AG47="ND"),"",(SQRT((AE47^2)+(AF47^2)+(AG47^2))))</f>
        <v/>
      </c>
      <c r="AM47" s="528" t="str">
        <f>IF(OR(AE47="",AF47="",AF47="ND",AH47="",AH47="ND"),"",(SQRT((AE47^2)+(AF47^2)+(AH47^2))))</f>
        <v/>
      </c>
      <c r="AN47" s="528" t="str">
        <f>IF(OR(AE47="",AF47="",AF47="ND",AI47="",AI47="ND"),"",(SQRT((AE47^2)+(AF47^2)+(AI47^2))))</f>
        <v/>
      </c>
      <c r="AO47" s="1265" t="s">
        <v>1257</v>
      </c>
      <c r="AP47" s="528" t="str">
        <f>IF(OR(AE47="",AF47="",AF47="ND",AK47="",AK47="ND"),"",(SQRT((AE47^2)+(AF47^2)+(AK47^2))))</f>
        <v/>
      </c>
      <c r="AQ47" s="1249"/>
      <c r="AS47" s="719" t="str">
        <f>IF(OR(V47="",AL47=""),"",V47*AL47)</f>
        <v/>
      </c>
      <c r="AT47" s="719" t="str">
        <f>IF(OR(W47="",AM47=""),"",W47*AM47)</f>
        <v/>
      </c>
      <c r="AU47" s="719" t="str">
        <f>IF(OR(X47="",AN47=""),"",X47*AN47)</f>
        <v/>
      </c>
      <c r="AV47" s="1292"/>
      <c r="AW47" s="719" t="str">
        <f>IF(OR(AA47="",AP47=""),"",AA47*AP47)</f>
        <v/>
      </c>
      <c r="AY47" s="719" t="str">
        <f>IF(AS47="","",AS47^2)</f>
        <v/>
      </c>
      <c r="AZ47" s="719" t="str">
        <f t="shared" ref="AZ47:AZ61" si="34">IF(AT47="","",AT47^2)</f>
        <v/>
      </c>
      <c r="BA47" s="719" t="str">
        <f t="shared" ref="BA47:BA61" si="35">IF(AU47="","",AU47^2)</f>
        <v/>
      </c>
      <c r="BB47" s="1292"/>
      <c r="BC47" s="719" t="str">
        <f>IF(AW47="","",AW47^2)</f>
        <v/>
      </c>
    </row>
    <row r="48" spans="1:55" ht="18.45" customHeight="1">
      <c r="A48" s="1041"/>
      <c r="B48" s="1069"/>
      <c r="C48" s="227" t="s">
        <v>317</v>
      </c>
      <c r="D48" s="1129"/>
      <c r="E48" s="1130"/>
      <c r="F48" s="1130"/>
      <c r="G48" s="1131"/>
      <c r="H48" s="678"/>
      <c r="I48" s="1122"/>
      <c r="J48" s="1122"/>
      <c r="K48" s="1108" t="str">
        <f>IF(H48="","",VLOOKUP(H48,'Emission factors'!A25:C31,2,FALSE))</f>
        <v/>
      </c>
      <c r="L48" s="1109"/>
      <c r="M48" s="248"/>
      <c r="N48" s="693" t="str">
        <f>IF(AND(M48="واقعي",OR(H48=" Natural Gas",H48="Other Gas 1",H48="Other Gas 2",H48="Other Gas 3",H48="Other Gas 4",H48="Other Gas 5",H48=" Gas oil")),IF((((VLOOKUP(H48,'Emission factors'!$B$41:$I$55,7,FALSE))="")),"در شيت Compositions آناليز و يا مشخصات سوخت را وارد كنيد",VLOOKUP(H48,'Emission factors'!$B$41:$I$55,7,FALSE)),"")</f>
        <v/>
      </c>
      <c r="O48" s="693" t="str">
        <f>IF(H48="","",VLOOKUP(H48,'Emission factors'!$B$41:$G$55,2,FALSE))</f>
        <v/>
      </c>
      <c r="P48" s="249" t="str">
        <f>IF(H48="","",VLOOKUP(H48,'Emission factors'!A25:C31,3,FALSE))</f>
        <v/>
      </c>
      <c r="Q48" s="694" t="str">
        <f t="shared" ref="Q48:Q61" si="36">IF(AND(OR(H48=" Natural Gas",H48="Other Gas 1",H48="Other Gas 2",H48="Other Gas 3",H48="Other Gas 4",H48="Other Gas 5"),D48="Uncontrolled"),137.6,IF(AND(H48=" Gas oil",D48="Uncontrolled"),378.7,IF(AND(OR(H48=" Natural Gas",H48="Other Gas 1",H48="Other Gas 2",H48="Other Gas 3",H48="Other Gas 4",H48="Other Gas 5"),D48="Controlled-Water Steam Injection"),55.9,IF(AND(H48=" Gas oil",D48="Controlled-Water Steam Injection"),103.3,IF(AND(OR(H48=" Natural Gas",H48="Other Gas 1",H48="Other Gas 2",H48="Other Gas 3",H48="Other Gas 4",H48="Other Gas 5"),D48="Controlled-Lean Premix"),42.6,"ND")))))</f>
        <v>ND</v>
      </c>
      <c r="R48" s="694" t="str">
        <f t="shared" ref="R48:R61" si="37">IF(AND(OR(H48=" Natural Gas",H48="Other Gas 1",H48="Other Gas 2",H48="Other Gas 3",H48="Other Gas 4",H48="Other Gas 5"),D48="Uncontrolled"),35.3,IF(AND(H48=" Gas oil",D48="Uncontrolled"),1.24,IF(AND(OR(H48=" Natural Gas",H48="Other Gas 1",H48="Other Gas 2",H48="Other Gas 3",H48="Other Gas 4",H48="Other Gas 5"),D48="Controlled-Water Steam Injection"),12.9,IF(AND(H48=" Gas oil",D48="Controlled-Water Steam Injection"),32.7,IF(AND(OR(H48=" Natural Gas",H48="Other Gas 1",H48="Other Gas 2",H48="Other Gas 3",H48="Other Gas 4",H48="Other Gas 5"),D48="Controlled-Lean Premix"),6.45,"ND")))))</f>
        <v>ND</v>
      </c>
      <c r="S48" s="694" t="str">
        <f t="shared" ref="S48:S61" si="38">IF(H48="","ND",IF(H48=" Gas Oil",5.16,2.84))</f>
        <v>ND</v>
      </c>
      <c r="T48" s="706" t="s">
        <v>284</v>
      </c>
      <c r="U48" s="709" t="str">
        <f t="shared" si="33"/>
        <v>ND</v>
      </c>
      <c r="V48" s="250" t="str">
        <f t="shared" ref="V48:V55" si="39">IF(OR(Q48="ND",I48=""),"",IF(M48="","",(IF(M48="پيش‌فرض",((O48*Q48*I48)*(10^-6)),IF(AND(M48="واقعي",N48="در شيت Compositions آناليز و يا مشخصات سوخت را وارد كنيد"),"",((N48*Q48*I48)*(10^-6)))))))</f>
        <v/>
      </c>
      <c r="W48" s="251" t="str">
        <f t="shared" ref="W48:W61" si="40">IF(OR(R48="ND",I48=""),"",IF(M48="","",(IF(M48="پيش‌فرض",((O48*R48*I48)*(10^-6)),IF(AND(M48="واقعي",N48="در شيت Compositions آناليز و يا مشخصات سوخت را وارد كنيد"),"",((N48*R48*I48)*(10^-6)))))))</f>
        <v/>
      </c>
      <c r="X48" s="251" t="str">
        <f t="shared" ref="X48:X61" si="41">IF(OR(S48="ND",I48=""),"",IF(M48="","",(IF(M48="پيش‌فرض",((O48*S48*I48)*(10^-6)),IF(AND(M48="واقعي",N48="در شيت Compositions آناليز و يا مشخصات سوخت را وارد كنيد"),"",((N48*S48*I48)*(10^-6)))))))</f>
        <v/>
      </c>
      <c r="Y48" s="1143" t="s">
        <v>284</v>
      </c>
      <c r="Z48" s="1144"/>
      <c r="AA48" s="252" t="str">
        <f t="shared" ref="AA48:AA61" si="42">IF(OR(U48="ND",I48=""),"",IF(M48="","",(IF(M48="پيش‌فرض",((O48*U48*I48)*(10^-6)),IF(AND(M48="واقعي",N48="در شيت Compositions آناليز و يا مشخصات سوخت را وارد كنيد"),"",((N48*U48*I48)*(10^-6)))))))</f>
        <v/>
      </c>
      <c r="AB48" s="247"/>
      <c r="AC48" s="478"/>
      <c r="AD48" s="1248"/>
      <c r="AE48" s="522"/>
      <c r="AF48" s="735" t="str">
        <f>IF(M48="","",IF(M48="پيش‌فرض",40,IF(H48=" Natural Gas",Compositions!$BO$21,IF(H48="Other Gas 1",Compositions!$BO$30,IF(H48="Other Gas 2",Compositions!$BO$39,IF(H48="Other Gas 3",Compositions!$BW$21,IF(H48="Other Gas 4",Compositions!$BW$30,IF(H48="Other Gas 5",Compositions!$BW$39,IF(H48=" Gas oil",Compositions!$BK$82,"")))))))       ))</f>
        <v/>
      </c>
      <c r="AG48" s="518" t="str">
        <f t="shared" ref="AG48:AG61" si="43">IF(AND(OR(H48=" Natural Gas",H48="Other Gas 1",H48="Other Gas 2",H48="Other Gas 3",H48="Other Gas 4",H48="Other Gas 5"),D48="Uncontrolled"),20,IF(AND(H48=" Gas oil",D48="Uncontrolled"),125,IF(AND(OR(H48=" Natural Gas",H48="Other Gas 1",H48="Other Gas 2",H48="Other Gas 3",H48="Other Gas 4",H48="Other Gas 5"),D48="Controlled-Water Steam Injection"),20,IF(AND(H48=" Gas oil",D48="Controlled-Water Steam Injection"),40,IF(AND(OR(H48=" Natural Gas",H48="Other Gas 1",H48="Other Gas 2",H48="Other Gas 3",H48="Other Gas 4",H48="Other Gas 5"),D48="Controlled-Lean Premix"),200,"ND")))))</f>
        <v>ND</v>
      </c>
      <c r="AH48" s="518" t="str">
        <f t="shared" ref="AH48:AH61" si="44">IF(AND(OR(H48=" Natural Gas",H48="Other Gas 1",H48="Other Gas 2",H48="Other Gas 3",H48="Other Gas 4",H48="Other Gas 5"),D48="Uncontrolled"),20,IF(AND(H48=" Gas oil",D48="Uncontrolled"),125,IF(AND(OR(H48=" Natural Gas",H48="Other Gas 1",H48="Other Gas 2",H48="Other Gas 3",H48="Other Gas 4",H48="Other Gas 5"),D48="Controlled-Water Steam Injection"),20,IF(AND(H48=" Gas oil",D48="Controlled-Water Steam Injection"),125,IF(AND(OR(H48=" Natural Gas",H48="Other Gas 1",H48="Other Gas 2",H48="Other Gas 3",H48="Other Gas 4",H48="Other Gas 5"),D48="Controlled-Lean Premix"),200,"ND")))))</f>
        <v>ND</v>
      </c>
      <c r="AI48" s="518" t="str">
        <f t="shared" ref="AI48:AI61" si="45">IF(H48="","ND",IF(H48=" Gas Oil",125,125))</f>
        <v>ND</v>
      </c>
      <c r="AJ48" s="1266"/>
      <c r="AK48" s="523" t="str">
        <f t="shared" ref="AK48:AK61" si="46">IF(H48="","ND",IF(H48=" Gas Oil",1000,200))</f>
        <v>ND</v>
      </c>
      <c r="AL48" s="528" t="str">
        <f t="shared" ref="AL48:AL61" si="47">IF(OR(AE48="",AF48="",AF48="ND",AG48="",AG48="ND"),"",(SQRT((AE48^2)+(AF48^2)+(AG48^2))))</f>
        <v/>
      </c>
      <c r="AM48" s="528" t="str">
        <f t="shared" ref="AM48:AM61" si="48">IF(OR(AE48="",AF48="",AF48="ND",AH48="",AH48="ND"),"",(SQRT((AE48^2)+(AF48^2)+(AH48^2))))</f>
        <v/>
      </c>
      <c r="AN48" s="528" t="str">
        <f t="shared" ref="AN48:AN61" si="49">IF(OR(AE48="",AF48="",AF48="ND",AI48="",AI48="ND"),"",(SQRT((AE48^2)+(AF48^2)+(AI48^2))))</f>
        <v/>
      </c>
      <c r="AO48" s="1266"/>
      <c r="AP48" s="528" t="str">
        <f t="shared" ref="AP48:AP61" si="50">IF(OR(AE48="",AF48="",AF48="ND",AK48="",AK48="ND"),"",(SQRT((AE48^2)+(AF48^2)+(AK48^2))))</f>
        <v/>
      </c>
      <c r="AQ48" s="1249"/>
      <c r="AS48" s="719" t="str">
        <f t="shared" ref="AS48:AS61" si="51">IF(OR(V48="",AL48=""),"",V48*AL48)</f>
        <v/>
      </c>
      <c r="AT48" s="719" t="str">
        <f t="shared" ref="AT48:AT61" si="52">IF(OR(W48="",AM48=""),"",W48*AM48)</f>
        <v/>
      </c>
      <c r="AU48" s="719" t="str">
        <f t="shared" ref="AU48" si="53">IF(OR(X48="",AN48=""),"",X48*AN48)</f>
        <v/>
      </c>
      <c r="AV48" s="1293"/>
      <c r="AW48" s="719" t="str">
        <f t="shared" ref="AW48:AW61" si="54">IF(OR(AA48="",AP48=""),"",AA48*AP48)</f>
        <v/>
      </c>
      <c r="AY48" s="719" t="str">
        <f t="shared" ref="AY48:AY61" si="55">IF(AS48="","",AS48^2)</f>
        <v/>
      </c>
      <c r="AZ48" s="719" t="str">
        <f t="shared" si="34"/>
        <v/>
      </c>
      <c r="BA48" s="719" t="str">
        <f t="shared" si="35"/>
        <v/>
      </c>
      <c r="BB48" s="1293"/>
      <c r="BC48" s="719" t="str">
        <f t="shared" ref="BC48:BC61" si="56">IF(AW48="","",AW48^2)</f>
        <v/>
      </c>
    </row>
    <row r="49" spans="1:55" ht="18.600000000000001">
      <c r="A49" s="1041"/>
      <c r="B49" s="1069"/>
      <c r="C49" s="227" t="s">
        <v>318</v>
      </c>
      <c r="D49" s="1123"/>
      <c r="E49" s="1124"/>
      <c r="F49" s="1124"/>
      <c r="G49" s="1125"/>
      <c r="H49" s="678"/>
      <c r="I49" s="1122"/>
      <c r="J49" s="1122"/>
      <c r="K49" s="1108" t="str">
        <f>IF(H49="","",VLOOKUP(H49,'Emission factors'!A25:C31,2,FALSE))</f>
        <v/>
      </c>
      <c r="L49" s="1109"/>
      <c r="M49" s="248"/>
      <c r="N49" s="693" t="str">
        <f>IF(AND(M49="واقعي",OR(H49=" Natural Gas",H49="Other Gas 1",H49="Other Gas 2",H49="Other Gas 3",H49="Other Gas 4",H49="Other Gas 5",H49=" Gas oil")),IF((((VLOOKUP(H49,'Emission factors'!$B$41:$I$55,7,FALSE))="")),"در شيت Compositions آناليز و يا مشخصات سوخت را وارد كنيد",VLOOKUP(H49,'Emission factors'!$B$41:$I$55,7,FALSE)),"")</f>
        <v/>
      </c>
      <c r="O49" s="693" t="str">
        <f>IF(H49="","",VLOOKUP(H49,'Emission factors'!$B$41:$G$55,2,FALSE))</f>
        <v/>
      </c>
      <c r="P49" s="249" t="str">
        <f>IF(H49="","",VLOOKUP(H49,'Emission factors'!A25:C31,3,FALSE))</f>
        <v/>
      </c>
      <c r="Q49" s="694" t="str">
        <f t="shared" si="36"/>
        <v>ND</v>
      </c>
      <c r="R49" s="694" t="str">
        <f t="shared" si="37"/>
        <v>ND</v>
      </c>
      <c r="S49" s="694" t="str">
        <f t="shared" si="38"/>
        <v>ND</v>
      </c>
      <c r="T49" s="706" t="s">
        <v>284</v>
      </c>
      <c r="U49" s="709" t="str">
        <f t="shared" si="33"/>
        <v>ND</v>
      </c>
      <c r="V49" s="250" t="str">
        <f t="shared" si="39"/>
        <v/>
      </c>
      <c r="W49" s="251" t="str">
        <f t="shared" si="40"/>
        <v/>
      </c>
      <c r="X49" s="251" t="str">
        <f t="shared" si="41"/>
        <v/>
      </c>
      <c r="Y49" s="1143" t="s">
        <v>284</v>
      </c>
      <c r="Z49" s="1144"/>
      <c r="AA49" s="252" t="str">
        <f t="shared" si="42"/>
        <v/>
      </c>
      <c r="AB49" s="247"/>
      <c r="AC49" s="478"/>
      <c r="AD49" s="1248"/>
      <c r="AE49" s="522"/>
      <c r="AF49" s="735" t="str">
        <f>IF(M49="","",IF(M49="پيش‌فرض",40,IF(H49=" Natural Gas",Compositions!$BO$21,IF(H49="Other Gas 1",Compositions!$BO$30,IF(H49="Other Gas 2",Compositions!$BO$39,IF(H49="Other Gas 3",Compositions!$BW$21,IF(H49="Other Gas 4",Compositions!$BW$30,IF(H49="Other Gas 5",Compositions!$BW$39,IF(H49=" Gas oil",Compositions!$BK$82,"")))))))       ))</f>
        <v/>
      </c>
      <c r="AG49" s="518" t="str">
        <f t="shared" si="43"/>
        <v>ND</v>
      </c>
      <c r="AH49" s="518" t="str">
        <f t="shared" si="44"/>
        <v>ND</v>
      </c>
      <c r="AI49" s="518" t="str">
        <f t="shared" si="45"/>
        <v>ND</v>
      </c>
      <c r="AJ49" s="1266"/>
      <c r="AK49" s="523" t="str">
        <f t="shared" si="46"/>
        <v>ND</v>
      </c>
      <c r="AL49" s="528" t="str">
        <f t="shared" si="47"/>
        <v/>
      </c>
      <c r="AM49" s="528" t="str">
        <f t="shared" si="48"/>
        <v/>
      </c>
      <c r="AN49" s="528" t="str">
        <f t="shared" si="49"/>
        <v/>
      </c>
      <c r="AO49" s="1266"/>
      <c r="AP49" s="528" t="str">
        <f t="shared" si="50"/>
        <v/>
      </c>
      <c r="AQ49" s="1249"/>
      <c r="AS49" s="719" t="str">
        <f t="shared" si="51"/>
        <v/>
      </c>
      <c r="AT49" s="719" t="str">
        <f t="shared" si="52"/>
        <v/>
      </c>
      <c r="AU49" s="719" t="str">
        <f>IF(OR(X49="",AN49=""),"",X49*AN49)</f>
        <v/>
      </c>
      <c r="AV49" s="1293"/>
      <c r="AW49" s="719" t="str">
        <f t="shared" si="54"/>
        <v/>
      </c>
      <c r="AY49" s="719" t="str">
        <f t="shared" si="55"/>
        <v/>
      </c>
      <c r="AZ49" s="719" t="str">
        <f t="shared" si="34"/>
        <v/>
      </c>
      <c r="BA49" s="719" t="str">
        <f t="shared" si="35"/>
        <v/>
      </c>
      <c r="BB49" s="1293"/>
      <c r="BC49" s="719" t="str">
        <f t="shared" si="56"/>
        <v/>
      </c>
    </row>
    <row r="50" spans="1:55" ht="18.600000000000001">
      <c r="A50" s="1041"/>
      <c r="B50" s="1069"/>
      <c r="C50" s="227" t="s">
        <v>319</v>
      </c>
      <c r="D50" s="1123"/>
      <c r="E50" s="1124"/>
      <c r="F50" s="1124"/>
      <c r="G50" s="1125"/>
      <c r="H50" s="678"/>
      <c r="I50" s="1122"/>
      <c r="J50" s="1122"/>
      <c r="K50" s="1108" t="str">
        <f>IF(H50="","",VLOOKUP(H50,'Emission factors'!A25:C31,2,FALSE))</f>
        <v/>
      </c>
      <c r="L50" s="1109"/>
      <c r="M50" s="248"/>
      <c r="N50" s="693" t="str">
        <f>IF(AND(M50="واقعي",OR(H50=" Natural Gas",H50="Other Gas 1",H50="Other Gas 2",H50="Other Gas 3",H50="Other Gas 4",H50="Other Gas 5",H50=" Gas oil")),IF((((VLOOKUP(H50,'Emission factors'!$B$41:$I$55,7,FALSE))="")),"در شيت Compositions آناليز و يا مشخصات سوخت را وارد كنيد",VLOOKUP(H50,'Emission factors'!$B$41:$I$55,7,FALSE)),"")</f>
        <v/>
      </c>
      <c r="O50" s="693" t="str">
        <f>IF(H50="","",VLOOKUP(H50,'Emission factors'!$B$41:$G$55,2,FALSE))</f>
        <v/>
      </c>
      <c r="P50" s="249" t="str">
        <f>IF(H50="","",VLOOKUP(H50,'Emission factors'!A25:C31,3,FALSE))</f>
        <v/>
      </c>
      <c r="Q50" s="694" t="str">
        <f t="shared" si="36"/>
        <v>ND</v>
      </c>
      <c r="R50" s="694" t="str">
        <f t="shared" si="37"/>
        <v>ND</v>
      </c>
      <c r="S50" s="694" t="str">
        <f t="shared" si="38"/>
        <v>ND</v>
      </c>
      <c r="T50" s="706" t="s">
        <v>284</v>
      </c>
      <c r="U50" s="709" t="str">
        <f t="shared" si="33"/>
        <v>ND</v>
      </c>
      <c r="V50" s="250" t="str">
        <f t="shared" si="39"/>
        <v/>
      </c>
      <c r="W50" s="251" t="str">
        <f t="shared" si="40"/>
        <v/>
      </c>
      <c r="X50" s="251" t="str">
        <f t="shared" si="41"/>
        <v/>
      </c>
      <c r="Y50" s="1143" t="s">
        <v>284</v>
      </c>
      <c r="Z50" s="1144"/>
      <c r="AA50" s="252" t="str">
        <f t="shared" si="42"/>
        <v/>
      </c>
      <c r="AB50" s="247"/>
      <c r="AC50" s="478"/>
      <c r="AD50" s="1248"/>
      <c r="AE50" s="522"/>
      <c r="AF50" s="735" t="str">
        <f>IF(M50="","",IF(M50="پيش‌فرض",40,IF(H50=" Natural Gas",Compositions!$BO$21,IF(H50="Other Gas 1",Compositions!$BO$30,IF(H50="Other Gas 2",Compositions!$BO$39,IF(H50="Other Gas 3",Compositions!$BW$21,IF(H50="Other Gas 4",Compositions!$BW$30,IF(H50="Other Gas 5",Compositions!$BW$39,IF(H50=" Gas oil",Compositions!$BK$82,"")))))))       ))</f>
        <v/>
      </c>
      <c r="AG50" s="518" t="str">
        <f t="shared" si="43"/>
        <v>ND</v>
      </c>
      <c r="AH50" s="518" t="str">
        <f t="shared" si="44"/>
        <v>ND</v>
      </c>
      <c r="AI50" s="518" t="str">
        <f t="shared" si="45"/>
        <v>ND</v>
      </c>
      <c r="AJ50" s="1266"/>
      <c r="AK50" s="523" t="str">
        <f t="shared" si="46"/>
        <v>ND</v>
      </c>
      <c r="AL50" s="528" t="str">
        <f t="shared" si="47"/>
        <v/>
      </c>
      <c r="AM50" s="528" t="str">
        <f t="shared" si="48"/>
        <v/>
      </c>
      <c r="AN50" s="528" t="str">
        <f t="shared" si="49"/>
        <v/>
      </c>
      <c r="AO50" s="1266"/>
      <c r="AP50" s="528" t="str">
        <f t="shared" si="50"/>
        <v/>
      </c>
      <c r="AQ50" s="1249"/>
      <c r="AS50" s="719" t="str">
        <f t="shared" si="51"/>
        <v/>
      </c>
      <c r="AT50" s="719" t="str">
        <f t="shared" si="52"/>
        <v/>
      </c>
      <c r="AU50" s="719" t="str">
        <f t="shared" ref="AU50:AU61" si="57">IF(OR(X50="",AN50=""),"",X50*AN50)</f>
        <v/>
      </c>
      <c r="AV50" s="1293"/>
      <c r="AW50" s="719" t="str">
        <f t="shared" si="54"/>
        <v/>
      </c>
      <c r="AY50" s="719" t="str">
        <f t="shared" si="55"/>
        <v/>
      </c>
      <c r="AZ50" s="719" t="str">
        <f t="shared" si="34"/>
        <v/>
      </c>
      <c r="BA50" s="719" t="str">
        <f t="shared" si="35"/>
        <v/>
      </c>
      <c r="BB50" s="1293"/>
      <c r="BC50" s="719" t="str">
        <f t="shared" si="56"/>
        <v/>
      </c>
    </row>
    <row r="51" spans="1:55" ht="18.600000000000001">
      <c r="A51" s="1041"/>
      <c r="B51" s="1069"/>
      <c r="C51" s="227" t="s">
        <v>320</v>
      </c>
      <c r="D51" s="1123"/>
      <c r="E51" s="1124"/>
      <c r="F51" s="1124"/>
      <c r="G51" s="1125"/>
      <c r="H51" s="678"/>
      <c r="I51" s="1122"/>
      <c r="J51" s="1122"/>
      <c r="K51" s="1108" t="str">
        <f>IF(H51="","",VLOOKUP(H51,'Emission factors'!A25:C31,2,FALSE))</f>
        <v/>
      </c>
      <c r="L51" s="1109"/>
      <c r="M51" s="248"/>
      <c r="N51" s="693" t="str">
        <f>IF(AND(M51="واقعي",OR(H51=" Natural Gas",H51="Other Gas 1",H51="Other Gas 2",H51="Other Gas 3",H51="Other Gas 4",H51="Other Gas 5",H51=" Gas oil")),IF((((VLOOKUP(H51,'Emission factors'!$B$41:$I$55,7,FALSE))="")),"در شيت Compositions آناليز و يا مشخصات سوخت را وارد كنيد",VLOOKUP(H51,'Emission factors'!$B$41:$I$55,7,FALSE)),"")</f>
        <v/>
      </c>
      <c r="O51" s="693" t="str">
        <f>IF(H51="","",VLOOKUP(H51,'Emission factors'!$B$41:$G$55,2,FALSE))</f>
        <v/>
      </c>
      <c r="P51" s="249" t="str">
        <f>IF(H51="","",VLOOKUP(H51,'Emission factors'!A25:C31,3,FALSE))</f>
        <v/>
      </c>
      <c r="Q51" s="694" t="str">
        <f t="shared" si="36"/>
        <v>ND</v>
      </c>
      <c r="R51" s="694" t="str">
        <f t="shared" si="37"/>
        <v>ND</v>
      </c>
      <c r="S51" s="694" t="str">
        <f t="shared" si="38"/>
        <v>ND</v>
      </c>
      <c r="T51" s="706" t="s">
        <v>284</v>
      </c>
      <c r="U51" s="709" t="str">
        <f t="shared" si="33"/>
        <v>ND</v>
      </c>
      <c r="V51" s="250" t="str">
        <f t="shared" si="39"/>
        <v/>
      </c>
      <c r="W51" s="251" t="str">
        <f t="shared" si="40"/>
        <v/>
      </c>
      <c r="X51" s="251" t="str">
        <f t="shared" si="41"/>
        <v/>
      </c>
      <c r="Y51" s="1143" t="s">
        <v>284</v>
      </c>
      <c r="Z51" s="1144"/>
      <c r="AA51" s="252" t="str">
        <f t="shared" si="42"/>
        <v/>
      </c>
      <c r="AB51" s="247"/>
      <c r="AC51" s="478"/>
      <c r="AD51" s="1248"/>
      <c r="AE51" s="522"/>
      <c r="AF51" s="735" t="str">
        <f>IF(M51="","",IF(M51="پيش‌فرض",40,IF(H51=" Natural Gas",Compositions!$BO$21,IF(H51="Other Gas 1",Compositions!$BO$30,IF(H51="Other Gas 2",Compositions!$BO$39,IF(H51="Other Gas 3",Compositions!$BW$21,IF(H51="Other Gas 4",Compositions!$BW$30,IF(H51="Other Gas 5",Compositions!$BW$39,IF(H51=" Gas oil",Compositions!$BK$82,"")))))))       ))</f>
        <v/>
      </c>
      <c r="AG51" s="518" t="str">
        <f t="shared" si="43"/>
        <v>ND</v>
      </c>
      <c r="AH51" s="518" t="str">
        <f t="shared" si="44"/>
        <v>ND</v>
      </c>
      <c r="AI51" s="518" t="str">
        <f t="shared" si="45"/>
        <v>ND</v>
      </c>
      <c r="AJ51" s="1266"/>
      <c r="AK51" s="523" t="str">
        <f t="shared" si="46"/>
        <v>ND</v>
      </c>
      <c r="AL51" s="528" t="str">
        <f t="shared" si="47"/>
        <v/>
      </c>
      <c r="AM51" s="528" t="str">
        <f t="shared" si="48"/>
        <v/>
      </c>
      <c r="AN51" s="528" t="str">
        <f t="shared" si="49"/>
        <v/>
      </c>
      <c r="AO51" s="1266"/>
      <c r="AP51" s="528" t="str">
        <f t="shared" si="50"/>
        <v/>
      </c>
      <c r="AQ51" s="1249"/>
      <c r="AS51" s="719" t="str">
        <f t="shared" si="51"/>
        <v/>
      </c>
      <c r="AT51" s="719" t="str">
        <f t="shared" si="52"/>
        <v/>
      </c>
      <c r="AU51" s="719" t="str">
        <f t="shared" si="57"/>
        <v/>
      </c>
      <c r="AV51" s="1293"/>
      <c r="AW51" s="719" t="str">
        <f t="shared" si="54"/>
        <v/>
      </c>
      <c r="AY51" s="719" t="str">
        <f t="shared" si="55"/>
        <v/>
      </c>
      <c r="AZ51" s="719" t="str">
        <f t="shared" si="34"/>
        <v/>
      </c>
      <c r="BA51" s="719" t="str">
        <f t="shared" si="35"/>
        <v/>
      </c>
      <c r="BB51" s="1293"/>
      <c r="BC51" s="719" t="str">
        <f t="shared" si="56"/>
        <v/>
      </c>
    </row>
    <row r="52" spans="1:55" ht="18.600000000000001">
      <c r="A52" s="1041"/>
      <c r="B52" s="1069"/>
      <c r="C52" s="227" t="s">
        <v>321</v>
      </c>
      <c r="D52" s="1123"/>
      <c r="E52" s="1124"/>
      <c r="F52" s="1124"/>
      <c r="G52" s="1125"/>
      <c r="H52" s="678"/>
      <c r="I52" s="1122"/>
      <c r="J52" s="1122"/>
      <c r="K52" s="1108" t="str">
        <f>IF(H52="","",VLOOKUP(H52,'Emission factors'!A25:C31,2,FALSE))</f>
        <v/>
      </c>
      <c r="L52" s="1109"/>
      <c r="M52" s="248"/>
      <c r="N52" s="693" t="str">
        <f>IF(AND(M52="واقعي",OR(H52=" Natural Gas",H52="Other Gas 1",H52="Other Gas 2",H52="Other Gas 3",H52="Other Gas 4",H52="Other Gas 5",H52=" Gas oil")),IF((((VLOOKUP(H52,'Emission factors'!$B$41:$I$55,7,FALSE))="")),"در شيت Compositions آناليز و يا مشخصات سوخت را وارد كنيد",VLOOKUP(H52,'Emission factors'!$B$41:$I$55,7,FALSE)),"")</f>
        <v/>
      </c>
      <c r="O52" s="693" t="str">
        <f>IF(H52="","",VLOOKUP(H52,'Emission factors'!$B$41:$G$55,2,FALSE))</f>
        <v/>
      </c>
      <c r="P52" s="249" t="str">
        <f>IF(H52="","",VLOOKUP(H52,'Emission factors'!A25:C31,3,FALSE))</f>
        <v/>
      </c>
      <c r="Q52" s="694" t="str">
        <f t="shared" si="36"/>
        <v>ND</v>
      </c>
      <c r="R52" s="694" t="str">
        <f t="shared" si="37"/>
        <v>ND</v>
      </c>
      <c r="S52" s="694" t="str">
        <f t="shared" si="38"/>
        <v>ND</v>
      </c>
      <c r="T52" s="706" t="s">
        <v>284</v>
      </c>
      <c r="U52" s="709" t="str">
        <f t="shared" si="33"/>
        <v>ND</v>
      </c>
      <c r="V52" s="250" t="str">
        <f t="shared" si="39"/>
        <v/>
      </c>
      <c r="W52" s="251" t="str">
        <f t="shared" si="40"/>
        <v/>
      </c>
      <c r="X52" s="251" t="str">
        <f t="shared" si="41"/>
        <v/>
      </c>
      <c r="Y52" s="1143" t="s">
        <v>284</v>
      </c>
      <c r="Z52" s="1144"/>
      <c r="AA52" s="252" t="str">
        <f t="shared" si="42"/>
        <v/>
      </c>
      <c r="AB52" s="247"/>
      <c r="AC52" s="478"/>
      <c r="AD52" s="1248"/>
      <c r="AE52" s="522"/>
      <c r="AF52" s="735" t="str">
        <f>IF(M52="","",IF(M52="پيش‌فرض",40,IF(H52=" Natural Gas",Compositions!$BO$21,IF(H52="Other Gas 1",Compositions!$BO$30,IF(H52="Other Gas 2",Compositions!$BO$39,IF(H52="Other Gas 3",Compositions!$BW$21,IF(H52="Other Gas 4",Compositions!$BW$30,IF(H52="Other Gas 5",Compositions!$BW$39,IF(H52=" Gas oil",Compositions!$BK$82,"")))))))       ))</f>
        <v/>
      </c>
      <c r="AG52" s="518" t="str">
        <f t="shared" si="43"/>
        <v>ND</v>
      </c>
      <c r="AH52" s="518" t="str">
        <f t="shared" si="44"/>
        <v>ND</v>
      </c>
      <c r="AI52" s="518" t="str">
        <f t="shared" si="45"/>
        <v>ND</v>
      </c>
      <c r="AJ52" s="1266"/>
      <c r="AK52" s="523" t="str">
        <f t="shared" si="46"/>
        <v>ND</v>
      </c>
      <c r="AL52" s="528" t="str">
        <f t="shared" si="47"/>
        <v/>
      </c>
      <c r="AM52" s="528" t="str">
        <f t="shared" si="48"/>
        <v/>
      </c>
      <c r="AN52" s="528" t="str">
        <f t="shared" si="49"/>
        <v/>
      </c>
      <c r="AO52" s="1266"/>
      <c r="AP52" s="528" t="str">
        <f t="shared" si="50"/>
        <v/>
      </c>
      <c r="AQ52" s="1249"/>
      <c r="AS52" s="719" t="str">
        <f t="shared" si="51"/>
        <v/>
      </c>
      <c r="AT52" s="719" t="str">
        <f t="shared" si="52"/>
        <v/>
      </c>
      <c r="AU52" s="719" t="str">
        <f t="shared" si="57"/>
        <v/>
      </c>
      <c r="AV52" s="1293"/>
      <c r="AW52" s="719" t="str">
        <f t="shared" si="54"/>
        <v/>
      </c>
      <c r="AY52" s="719" t="str">
        <f t="shared" si="55"/>
        <v/>
      </c>
      <c r="AZ52" s="719" t="str">
        <f t="shared" si="34"/>
        <v/>
      </c>
      <c r="BA52" s="719" t="str">
        <f t="shared" si="35"/>
        <v/>
      </c>
      <c r="BB52" s="1293"/>
      <c r="BC52" s="719" t="str">
        <f t="shared" si="56"/>
        <v/>
      </c>
    </row>
    <row r="53" spans="1:55" ht="18.600000000000001">
      <c r="A53" s="1041"/>
      <c r="B53" s="1069"/>
      <c r="C53" s="227" t="s">
        <v>322</v>
      </c>
      <c r="D53" s="1123"/>
      <c r="E53" s="1124"/>
      <c r="F53" s="1124"/>
      <c r="G53" s="1125"/>
      <c r="H53" s="678"/>
      <c r="I53" s="1122"/>
      <c r="J53" s="1122"/>
      <c r="K53" s="1108" t="str">
        <f>IF(H53="","",VLOOKUP(H53,'Emission factors'!A25:C31,2,FALSE))</f>
        <v/>
      </c>
      <c r="L53" s="1109"/>
      <c r="M53" s="248"/>
      <c r="N53" s="693" t="str">
        <f>IF(AND(M53="واقعي",OR(H53=" Natural Gas",H53="Other Gas 1",H53="Other Gas 2",H53="Other Gas 3",H53="Other Gas 4",H53="Other Gas 5",H53=" Gas oil")),IF((((VLOOKUP(H53,'Emission factors'!$B$41:$I$55,7,FALSE))="")),"در شيت Compositions آناليز و يا مشخصات سوخت را وارد كنيد",VLOOKUP(H53,'Emission factors'!$B$41:$I$55,7,FALSE)),"")</f>
        <v/>
      </c>
      <c r="O53" s="693" t="str">
        <f>IF(H53="","",VLOOKUP(H53,'Emission factors'!$B$41:$G$55,2,FALSE))</f>
        <v/>
      </c>
      <c r="P53" s="249" t="str">
        <f>IF(H53="","",VLOOKUP(H53,'Emission factors'!A25:C31,3,FALSE))</f>
        <v/>
      </c>
      <c r="Q53" s="694" t="str">
        <f t="shared" si="36"/>
        <v>ND</v>
      </c>
      <c r="R53" s="694" t="str">
        <f t="shared" si="37"/>
        <v>ND</v>
      </c>
      <c r="S53" s="694" t="str">
        <f t="shared" si="38"/>
        <v>ND</v>
      </c>
      <c r="T53" s="706" t="s">
        <v>284</v>
      </c>
      <c r="U53" s="709" t="str">
        <f t="shared" si="33"/>
        <v>ND</v>
      </c>
      <c r="V53" s="250" t="str">
        <f t="shared" si="39"/>
        <v/>
      </c>
      <c r="W53" s="251" t="str">
        <f t="shared" si="40"/>
        <v/>
      </c>
      <c r="X53" s="251" t="str">
        <f t="shared" si="41"/>
        <v/>
      </c>
      <c r="Y53" s="1143" t="s">
        <v>284</v>
      </c>
      <c r="Z53" s="1144"/>
      <c r="AA53" s="252" t="str">
        <f t="shared" si="42"/>
        <v/>
      </c>
      <c r="AB53" s="247"/>
      <c r="AC53" s="478"/>
      <c r="AD53" s="1248"/>
      <c r="AE53" s="522"/>
      <c r="AF53" s="735" t="str">
        <f>IF(M53="","",IF(M53="پيش‌فرض",40,IF(H53=" Natural Gas",Compositions!$BO$21,IF(H53="Other Gas 1",Compositions!$BO$30,IF(H53="Other Gas 2",Compositions!$BO$39,IF(H53="Other Gas 3",Compositions!$BW$21,IF(H53="Other Gas 4",Compositions!$BW$30,IF(H53="Other Gas 5",Compositions!$BW$39,IF(H53=" Gas oil",Compositions!$BK$82,"")))))))       ))</f>
        <v/>
      </c>
      <c r="AG53" s="518" t="str">
        <f t="shared" si="43"/>
        <v>ND</v>
      </c>
      <c r="AH53" s="518" t="str">
        <f t="shared" si="44"/>
        <v>ND</v>
      </c>
      <c r="AI53" s="518" t="str">
        <f t="shared" si="45"/>
        <v>ND</v>
      </c>
      <c r="AJ53" s="1266"/>
      <c r="AK53" s="523" t="str">
        <f t="shared" si="46"/>
        <v>ND</v>
      </c>
      <c r="AL53" s="528" t="str">
        <f t="shared" si="47"/>
        <v/>
      </c>
      <c r="AM53" s="528" t="str">
        <f t="shared" si="48"/>
        <v/>
      </c>
      <c r="AN53" s="528" t="str">
        <f t="shared" si="49"/>
        <v/>
      </c>
      <c r="AO53" s="1266"/>
      <c r="AP53" s="528" t="str">
        <f t="shared" si="50"/>
        <v/>
      </c>
      <c r="AQ53" s="1249"/>
      <c r="AS53" s="719" t="str">
        <f t="shared" si="51"/>
        <v/>
      </c>
      <c r="AT53" s="719" t="str">
        <f t="shared" si="52"/>
        <v/>
      </c>
      <c r="AU53" s="719" t="str">
        <f t="shared" si="57"/>
        <v/>
      </c>
      <c r="AV53" s="1293"/>
      <c r="AW53" s="719" t="str">
        <f t="shared" si="54"/>
        <v/>
      </c>
      <c r="AY53" s="719" t="str">
        <f t="shared" si="55"/>
        <v/>
      </c>
      <c r="AZ53" s="719" t="str">
        <f t="shared" si="34"/>
        <v/>
      </c>
      <c r="BA53" s="719" t="str">
        <f t="shared" si="35"/>
        <v/>
      </c>
      <c r="BB53" s="1293"/>
      <c r="BC53" s="719" t="str">
        <f t="shared" si="56"/>
        <v/>
      </c>
    </row>
    <row r="54" spans="1:55" ht="18.600000000000001">
      <c r="A54" s="1041"/>
      <c r="B54" s="1069"/>
      <c r="C54" s="227" t="s">
        <v>545</v>
      </c>
      <c r="D54" s="1123"/>
      <c r="E54" s="1124"/>
      <c r="F54" s="1124"/>
      <c r="G54" s="1125"/>
      <c r="H54" s="678"/>
      <c r="I54" s="1122"/>
      <c r="J54" s="1122"/>
      <c r="K54" s="1108" t="str">
        <f>IF(H54="","",VLOOKUP(H54,'Emission factors'!A25:C31,2,FALSE))</f>
        <v/>
      </c>
      <c r="L54" s="1109"/>
      <c r="M54" s="248"/>
      <c r="N54" s="693" t="str">
        <f>IF(AND(M54="واقعي",OR(H54=" Natural Gas",H54="Other Gas 1",H54="Other Gas 2",H54="Other Gas 3",H54="Other Gas 4",H54="Other Gas 5",H54=" Gas oil")),IF((((VLOOKUP(H54,'Emission factors'!$B$41:$I$55,7,FALSE))="")),"در شيت Compositions آناليز و يا مشخصات سوخت را وارد كنيد",VLOOKUP(H54,'Emission factors'!$B$41:$I$55,7,FALSE)),"")</f>
        <v/>
      </c>
      <c r="O54" s="693" t="str">
        <f>IF(H54="","",VLOOKUP(H54,'Emission factors'!$B$41:$G$55,2,FALSE))</f>
        <v/>
      </c>
      <c r="P54" s="249" t="str">
        <f>IF(H54="","",VLOOKUP(H54,'Emission factors'!A25:C31,3,FALSE))</f>
        <v/>
      </c>
      <c r="Q54" s="694" t="str">
        <f t="shared" si="36"/>
        <v>ND</v>
      </c>
      <c r="R54" s="694" t="str">
        <f t="shared" si="37"/>
        <v>ND</v>
      </c>
      <c r="S54" s="694" t="str">
        <f t="shared" si="38"/>
        <v>ND</v>
      </c>
      <c r="T54" s="706" t="s">
        <v>284</v>
      </c>
      <c r="U54" s="709" t="str">
        <f t="shared" si="33"/>
        <v>ND</v>
      </c>
      <c r="V54" s="250" t="str">
        <f t="shared" si="39"/>
        <v/>
      </c>
      <c r="W54" s="251" t="str">
        <f t="shared" si="40"/>
        <v/>
      </c>
      <c r="X54" s="251" t="str">
        <f t="shared" si="41"/>
        <v/>
      </c>
      <c r="Y54" s="1143" t="s">
        <v>284</v>
      </c>
      <c r="Z54" s="1144"/>
      <c r="AA54" s="252" t="str">
        <f t="shared" si="42"/>
        <v/>
      </c>
      <c r="AB54" s="247"/>
      <c r="AC54" s="478"/>
      <c r="AD54" s="1248"/>
      <c r="AE54" s="522"/>
      <c r="AF54" s="735" t="str">
        <f>IF(M54="","",IF(M54="پيش‌فرض",40,IF(H54=" Natural Gas",Compositions!$BO$21,IF(H54="Other Gas 1",Compositions!$BO$30,IF(H54="Other Gas 2",Compositions!$BO$39,IF(H54="Other Gas 3",Compositions!$BW$21,IF(H54="Other Gas 4",Compositions!$BW$30,IF(H54="Other Gas 5",Compositions!$BW$39,IF(H54=" Gas oil",Compositions!$BK$82,"")))))))       ))</f>
        <v/>
      </c>
      <c r="AG54" s="518" t="str">
        <f t="shared" si="43"/>
        <v>ND</v>
      </c>
      <c r="AH54" s="518" t="str">
        <f t="shared" si="44"/>
        <v>ND</v>
      </c>
      <c r="AI54" s="518" t="str">
        <f t="shared" si="45"/>
        <v>ND</v>
      </c>
      <c r="AJ54" s="1266"/>
      <c r="AK54" s="523" t="str">
        <f t="shared" si="46"/>
        <v>ND</v>
      </c>
      <c r="AL54" s="528" t="str">
        <f t="shared" si="47"/>
        <v/>
      </c>
      <c r="AM54" s="528" t="str">
        <f t="shared" si="48"/>
        <v/>
      </c>
      <c r="AN54" s="528" t="str">
        <f t="shared" si="49"/>
        <v/>
      </c>
      <c r="AO54" s="1266"/>
      <c r="AP54" s="528" t="str">
        <f t="shared" si="50"/>
        <v/>
      </c>
      <c r="AQ54" s="1249"/>
      <c r="AS54" s="719" t="str">
        <f t="shared" si="51"/>
        <v/>
      </c>
      <c r="AT54" s="719" t="str">
        <f t="shared" si="52"/>
        <v/>
      </c>
      <c r="AU54" s="719" t="str">
        <f t="shared" si="57"/>
        <v/>
      </c>
      <c r="AV54" s="1293"/>
      <c r="AW54" s="719" t="str">
        <f t="shared" si="54"/>
        <v/>
      </c>
      <c r="AY54" s="719" t="str">
        <f t="shared" si="55"/>
        <v/>
      </c>
      <c r="AZ54" s="719" t="str">
        <f t="shared" si="34"/>
        <v/>
      </c>
      <c r="BA54" s="719" t="str">
        <f t="shared" si="35"/>
        <v/>
      </c>
      <c r="BB54" s="1293"/>
      <c r="BC54" s="719" t="str">
        <f t="shared" si="56"/>
        <v/>
      </c>
    </row>
    <row r="55" spans="1:55" ht="18.600000000000001">
      <c r="A55" s="1041"/>
      <c r="B55" s="1069"/>
      <c r="C55" s="227" t="s">
        <v>547</v>
      </c>
      <c r="D55" s="1123"/>
      <c r="E55" s="1124"/>
      <c r="F55" s="1124"/>
      <c r="G55" s="1125"/>
      <c r="H55" s="678"/>
      <c r="I55" s="1122"/>
      <c r="J55" s="1122"/>
      <c r="K55" s="1108" t="str">
        <f>IF(H55="","",VLOOKUP(H55,'Emission factors'!A25:C31,2,FALSE))</f>
        <v/>
      </c>
      <c r="L55" s="1109"/>
      <c r="M55" s="248"/>
      <c r="N55" s="693" t="str">
        <f>IF(AND(M55="واقعي",OR(H55=" Natural Gas",H55="Other Gas 1",H55="Other Gas 2",H55="Other Gas 3",H55="Other Gas 4",H55="Other Gas 5",H55=" Gas oil")),IF((((VLOOKUP(H55,'Emission factors'!$B$41:$I$55,7,FALSE))="")),"در شيت Compositions آناليز و يا مشخصات سوخت را وارد كنيد",VLOOKUP(H55,'Emission factors'!$B$41:$I$55,7,FALSE)),"")</f>
        <v/>
      </c>
      <c r="O55" s="693" t="str">
        <f>IF(H55="","",VLOOKUP(H55,'Emission factors'!$B$41:$G$55,2,FALSE))</f>
        <v/>
      </c>
      <c r="P55" s="249" t="str">
        <f>IF(H55="","",VLOOKUP(H55,'Emission factors'!A25:C31,3,FALSE))</f>
        <v/>
      </c>
      <c r="Q55" s="694" t="str">
        <f t="shared" si="36"/>
        <v>ND</v>
      </c>
      <c r="R55" s="694" t="str">
        <f t="shared" si="37"/>
        <v>ND</v>
      </c>
      <c r="S55" s="694" t="str">
        <f t="shared" si="38"/>
        <v>ND</v>
      </c>
      <c r="T55" s="706" t="s">
        <v>284</v>
      </c>
      <c r="U55" s="709" t="str">
        <f>IF(H55="","ND",IF(H55=" Gas Oil",0.18,0.9))</f>
        <v>ND</v>
      </c>
      <c r="V55" s="250" t="str">
        <f t="shared" si="39"/>
        <v/>
      </c>
      <c r="W55" s="251" t="str">
        <f t="shared" si="40"/>
        <v/>
      </c>
      <c r="X55" s="251" t="str">
        <f t="shared" si="41"/>
        <v/>
      </c>
      <c r="Y55" s="1143" t="s">
        <v>284</v>
      </c>
      <c r="Z55" s="1144"/>
      <c r="AA55" s="252" t="str">
        <f>IF(OR(U55="ND",I55=""),"",IF(M55="","",(IF(M55="پيش‌فرض",((O55*U55*I55)*(10^-6)),IF(AND(M55="واقعي",N55="در شيت Compositions آناليز و يا مشخصات سوخت را وارد كنيد"),"",((N55*U55*I55)*(10^-6)))))))</f>
        <v/>
      </c>
      <c r="AB55" s="247"/>
      <c r="AC55" s="478"/>
      <c r="AD55" s="1248"/>
      <c r="AE55" s="522"/>
      <c r="AF55" s="735" t="str">
        <f>IF(M55="","",IF(M55="پيش‌فرض",40,IF(H55=" Natural Gas",Compositions!$BO$21,IF(H55="Other Gas 1",Compositions!$BO$30,IF(H55="Other Gas 2",Compositions!$BO$39,IF(H55="Other Gas 3",Compositions!$BW$21,IF(H55="Other Gas 4",Compositions!$BW$30,IF(H55="Other Gas 5",Compositions!$BW$39,IF(H55=" Gas oil",Compositions!$BK$82,"")))))))       ))</f>
        <v/>
      </c>
      <c r="AG55" s="518" t="str">
        <f t="shared" si="43"/>
        <v>ND</v>
      </c>
      <c r="AH55" s="518" t="str">
        <f t="shared" si="44"/>
        <v>ND</v>
      </c>
      <c r="AI55" s="518" t="str">
        <f t="shared" si="45"/>
        <v>ND</v>
      </c>
      <c r="AJ55" s="1266"/>
      <c r="AK55" s="523" t="str">
        <f t="shared" si="46"/>
        <v>ND</v>
      </c>
      <c r="AL55" s="528" t="str">
        <f t="shared" si="47"/>
        <v/>
      </c>
      <c r="AM55" s="528" t="str">
        <f t="shared" si="48"/>
        <v/>
      </c>
      <c r="AN55" s="528" t="str">
        <f t="shared" si="49"/>
        <v/>
      </c>
      <c r="AO55" s="1266"/>
      <c r="AP55" s="528" t="str">
        <f t="shared" si="50"/>
        <v/>
      </c>
      <c r="AQ55" s="1249"/>
      <c r="AS55" s="719" t="str">
        <f t="shared" si="51"/>
        <v/>
      </c>
      <c r="AT55" s="719" t="str">
        <f t="shared" si="52"/>
        <v/>
      </c>
      <c r="AU55" s="719" t="str">
        <f t="shared" si="57"/>
        <v/>
      </c>
      <c r="AV55" s="1293"/>
      <c r="AW55" s="719" t="str">
        <f t="shared" si="54"/>
        <v/>
      </c>
      <c r="AY55" s="719" t="str">
        <f t="shared" si="55"/>
        <v/>
      </c>
      <c r="AZ55" s="719" t="str">
        <f t="shared" si="34"/>
        <v/>
      </c>
      <c r="BA55" s="719" t="str">
        <f t="shared" si="35"/>
        <v/>
      </c>
      <c r="BB55" s="1293"/>
      <c r="BC55" s="719" t="str">
        <f t="shared" si="56"/>
        <v/>
      </c>
    </row>
    <row r="56" spans="1:55" ht="18.600000000000001">
      <c r="A56" s="1041"/>
      <c r="B56" s="1069"/>
      <c r="C56" s="227" t="s">
        <v>548</v>
      </c>
      <c r="D56" s="1123"/>
      <c r="E56" s="1124"/>
      <c r="F56" s="1124"/>
      <c r="G56" s="1125"/>
      <c r="H56" s="678"/>
      <c r="I56" s="1122"/>
      <c r="J56" s="1122"/>
      <c r="K56" s="1108" t="str">
        <f>IF(H56="","",VLOOKUP(H56,'Emission factors'!A26:C32,2,FALSE))</f>
        <v/>
      </c>
      <c r="L56" s="1109"/>
      <c r="M56" s="248"/>
      <c r="N56" s="693" t="str">
        <f>IF(AND(M56="واقعي",OR(H56=" Natural Gas",H56="Other Gas 1",H56="Other Gas 2",H56="Other Gas 3",H56="Other Gas 4",H56="Other Gas 5",H56=" Gas oil")),IF((((VLOOKUP(H56,'Emission factors'!$B$41:$I$55,7,FALSE))="")),"در شيت Compositions آناليز و يا مشخصات سوخت را وارد كنيد",VLOOKUP(H56,'Emission factors'!$B$41:$I$55,7,FALSE)),"")</f>
        <v/>
      </c>
      <c r="O56" s="693" t="str">
        <f>IF(H56="","",VLOOKUP(H56,'Emission factors'!$B$41:$G$55,2,FALSE))</f>
        <v/>
      </c>
      <c r="P56" s="249" t="str">
        <f>IF(H56="","",VLOOKUP(H56,'Emission factors'!A26:C32,3,FALSE))</f>
        <v/>
      </c>
      <c r="Q56" s="694" t="str">
        <f t="shared" ref="Q56:Q60" si="58">IF(AND(OR(H56=" Natural Gas",H56="Other Gas 1",H56="Other Gas 2",H56="Other Gas 3",H56="Other Gas 4",H56="Other Gas 5"),D56="Uncontrolled"),137.6,IF(AND(H56=" Gas oil",D56="Uncontrolled"),378.7,IF(AND(OR(H56=" Natural Gas",H56="Other Gas 1",H56="Other Gas 2",H56="Other Gas 3",H56="Other Gas 4",H56="Other Gas 5"),D56="Controlled-Water Steam Injection"),55.9,IF(AND(H56=" Gas oil",D56="Controlled-Water Steam Injection"),103.3,IF(AND(OR(H56=" Natural Gas",H56="Other Gas 1",H56="Other Gas 2",H56="Other Gas 3",H56="Other Gas 4",H56="Other Gas 5"),D56="Controlled-Lean Premix"),42.6,"ND")))))</f>
        <v>ND</v>
      </c>
      <c r="R56" s="694" t="str">
        <f t="shared" ref="R56:R60" si="59">IF(AND(OR(H56=" Natural Gas",H56="Other Gas 1",H56="Other Gas 2",H56="Other Gas 3",H56="Other Gas 4",H56="Other Gas 5"),D56="Uncontrolled"),35.3,IF(AND(H56=" Gas oil",D56="Uncontrolled"),1.24,IF(AND(OR(H56=" Natural Gas",H56="Other Gas 1",H56="Other Gas 2",H56="Other Gas 3",H56="Other Gas 4",H56="Other Gas 5"),D56="Controlled-Water Steam Injection"),12.9,IF(AND(H56=" Gas oil",D56="Controlled-Water Steam Injection"),32.7,IF(AND(OR(H56=" Natural Gas",H56="Other Gas 1",H56="Other Gas 2",H56="Other Gas 3",H56="Other Gas 4",H56="Other Gas 5"),D56="Controlled-Lean Premix"),6.45,"ND")))))</f>
        <v>ND</v>
      </c>
      <c r="S56" s="694" t="str">
        <f t="shared" ref="S56:S60" si="60">IF(H56="","ND",IF(H56=" Gas Oil",5.16,2.84))</f>
        <v>ND</v>
      </c>
      <c r="T56" s="706" t="s">
        <v>284</v>
      </c>
      <c r="U56" s="709" t="str">
        <f t="shared" ref="U56:U60" si="61">IF(H56="","ND",IF(H56=" Gas Oil",0.18,0.9))</f>
        <v>ND</v>
      </c>
      <c r="V56" s="250" t="str">
        <f t="shared" ref="V56:V60" si="62">IF(OR(Q56="ND",I56=""),"",IF(M56="","",(IF(M56="پيش‌فرض",((O56*Q56*I56)*(10^-6)),IF(AND(M56="واقعي",N56="در شيت Compositions آناليز و يا مشخصات سوخت را وارد كنيد"),"",((N56*Q56*I56)*(10^-6)))))))</f>
        <v/>
      </c>
      <c r="W56" s="251" t="str">
        <f t="shared" ref="W56:W60" si="63">IF(OR(R56="ND",I56=""),"",IF(M56="","",(IF(M56="پيش‌فرض",((O56*R56*I56)*(10^-6)),IF(AND(M56="واقعي",N56="در شيت Compositions آناليز و يا مشخصات سوخت را وارد كنيد"),"",((N56*R56*I56)*(10^-6)))))))</f>
        <v/>
      </c>
      <c r="X56" s="251" t="str">
        <f t="shared" ref="X56:X60" si="64">IF(OR(S56="ND",I56=""),"",IF(M56="","",(IF(M56="پيش‌فرض",((O56*S56*I56)*(10^-6)),IF(AND(M56="واقعي",N56="در شيت Compositions آناليز و يا مشخصات سوخت را وارد كنيد"),"",((N56*S56*I56)*(10^-6)))))))</f>
        <v/>
      </c>
      <c r="Y56" s="1143" t="s">
        <v>284</v>
      </c>
      <c r="Z56" s="1144"/>
      <c r="AA56" s="252" t="str">
        <f t="shared" ref="AA56:AA60" si="65">IF(OR(U56="ND",I56=""),"",IF(M56="","",(IF(M56="پيش‌فرض",((O56*U56*I56)*(10^-6)),IF(AND(M56="واقعي",N56="در شيت Compositions آناليز و يا مشخصات سوخت را وارد كنيد"),"",((N56*U56*I56)*(10^-6)))))))</f>
        <v/>
      </c>
      <c r="AB56" s="247"/>
      <c r="AC56" s="478"/>
      <c r="AD56" s="1248"/>
      <c r="AE56" s="522"/>
      <c r="AF56" s="735" t="str">
        <f>IF(M56="","",IF(M56="پيش‌فرض",40,IF(H56=" Natural Gas",Compositions!$BO$21,IF(H56="Other Gas 1",Compositions!$BO$30,IF(H56="Other Gas 2",Compositions!$BO$39,IF(H56="Other Gas 3",Compositions!$BW$21,IF(H56="Other Gas 4",Compositions!$BW$30,IF(H56="Other Gas 5",Compositions!$BW$39,IF(H56=" Gas oil",Compositions!$BK$82,"")))))))       ))</f>
        <v/>
      </c>
      <c r="AG56" s="518" t="str">
        <f t="shared" si="43"/>
        <v>ND</v>
      </c>
      <c r="AH56" s="518" t="str">
        <f t="shared" si="44"/>
        <v>ND</v>
      </c>
      <c r="AI56" s="518" t="str">
        <f t="shared" si="45"/>
        <v>ND</v>
      </c>
      <c r="AJ56" s="1266"/>
      <c r="AK56" s="523" t="str">
        <f t="shared" si="46"/>
        <v>ND</v>
      </c>
      <c r="AL56" s="528" t="str">
        <f t="shared" si="47"/>
        <v/>
      </c>
      <c r="AM56" s="528" t="str">
        <f t="shared" si="48"/>
        <v/>
      </c>
      <c r="AN56" s="528" t="str">
        <f t="shared" si="49"/>
        <v/>
      </c>
      <c r="AO56" s="1266"/>
      <c r="AP56" s="528" t="str">
        <f t="shared" si="50"/>
        <v/>
      </c>
      <c r="AQ56" s="1249"/>
      <c r="AS56" s="719" t="str">
        <f t="shared" si="51"/>
        <v/>
      </c>
      <c r="AT56" s="719" t="str">
        <f t="shared" si="52"/>
        <v/>
      </c>
      <c r="AU56" s="719" t="str">
        <f t="shared" si="57"/>
        <v/>
      </c>
      <c r="AV56" s="1293"/>
      <c r="AW56" s="719" t="str">
        <f t="shared" si="54"/>
        <v/>
      </c>
      <c r="AY56" s="719" t="str">
        <f t="shared" si="55"/>
        <v/>
      </c>
      <c r="AZ56" s="719" t="str">
        <f t="shared" si="34"/>
        <v/>
      </c>
      <c r="BA56" s="719" t="str">
        <f t="shared" si="35"/>
        <v/>
      </c>
      <c r="BB56" s="1293"/>
      <c r="BC56" s="719" t="str">
        <f t="shared" si="56"/>
        <v/>
      </c>
    </row>
    <row r="57" spans="1:55" ht="18.600000000000001">
      <c r="A57" s="1041"/>
      <c r="B57" s="1069"/>
      <c r="C57" s="227" t="s">
        <v>551</v>
      </c>
      <c r="D57" s="1123"/>
      <c r="E57" s="1124"/>
      <c r="F57" s="1124"/>
      <c r="G57" s="1125"/>
      <c r="H57" s="678"/>
      <c r="I57" s="1122"/>
      <c r="J57" s="1122"/>
      <c r="K57" s="1108" t="str">
        <f>IF(H57="","",VLOOKUP(H57,'Emission factors'!A27:C33,2,FALSE))</f>
        <v/>
      </c>
      <c r="L57" s="1109"/>
      <c r="M57" s="248"/>
      <c r="N57" s="693" t="str">
        <f>IF(AND(M57="واقعي",OR(H57=" Natural Gas",H57="Other Gas 1",H57="Other Gas 2",H57="Other Gas 3",H57="Other Gas 4",H57="Other Gas 5",H57=" Gas oil")),IF((((VLOOKUP(H57,'Emission factors'!$B$41:$I$55,7,FALSE))="")),"در شيت Compositions آناليز و يا مشخصات سوخت را وارد كنيد",VLOOKUP(H57,'Emission factors'!$B$41:$I$55,7,FALSE)),"")</f>
        <v/>
      </c>
      <c r="O57" s="693" t="str">
        <f>IF(H57="","",VLOOKUP(H57,'Emission factors'!$B$41:$G$55,2,FALSE))</f>
        <v/>
      </c>
      <c r="P57" s="249" t="str">
        <f>IF(H57="","",VLOOKUP(H57,'Emission factors'!A27:C33,3,FALSE))</f>
        <v/>
      </c>
      <c r="Q57" s="694" t="str">
        <f t="shared" si="58"/>
        <v>ND</v>
      </c>
      <c r="R57" s="694" t="str">
        <f t="shared" si="59"/>
        <v>ND</v>
      </c>
      <c r="S57" s="694" t="str">
        <f t="shared" si="60"/>
        <v>ND</v>
      </c>
      <c r="T57" s="706" t="s">
        <v>284</v>
      </c>
      <c r="U57" s="709" t="str">
        <f t="shared" si="61"/>
        <v>ND</v>
      </c>
      <c r="V57" s="250" t="str">
        <f t="shared" si="62"/>
        <v/>
      </c>
      <c r="W57" s="251" t="str">
        <f t="shared" si="63"/>
        <v/>
      </c>
      <c r="X57" s="251" t="str">
        <f t="shared" si="64"/>
        <v/>
      </c>
      <c r="Y57" s="1143" t="s">
        <v>284</v>
      </c>
      <c r="Z57" s="1144"/>
      <c r="AA57" s="252" t="str">
        <f t="shared" si="65"/>
        <v/>
      </c>
      <c r="AB57" s="247"/>
      <c r="AC57" s="478"/>
      <c r="AD57" s="1248"/>
      <c r="AE57" s="522"/>
      <c r="AF57" s="735" t="str">
        <f>IF(M57="","",IF(M57="پيش‌فرض",40,IF(H57=" Natural Gas",Compositions!$BO$21,IF(H57="Other Gas 1",Compositions!$BO$30,IF(H57="Other Gas 2",Compositions!$BO$39,IF(H57="Other Gas 3",Compositions!$BW$21,IF(H57="Other Gas 4",Compositions!$BW$30,IF(H57="Other Gas 5",Compositions!$BW$39,IF(H57=" Gas oil",Compositions!$BK$82,"")))))))       ))</f>
        <v/>
      </c>
      <c r="AG57" s="518" t="str">
        <f t="shared" si="43"/>
        <v>ND</v>
      </c>
      <c r="AH57" s="518" t="str">
        <f t="shared" si="44"/>
        <v>ND</v>
      </c>
      <c r="AI57" s="518" t="str">
        <f t="shared" si="45"/>
        <v>ND</v>
      </c>
      <c r="AJ57" s="1266"/>
      <c r="AK57" s="523" t="str">
        <f t="shared" si="46"/>
        <v>ND</v>
      </c>
      <c r="AL57" s="528" t="str">
        <f t="shared" si="47"/>
        <v/>
      </c>
      <c r="AM57" s="528" t="str">
        <f t="shared" si="48"/>
        <v/>
      </c>
      <c r="AN57" s="528" t="str">
        <f t="shared" si="49"/>
        <v/>
      </c>
      <c r="AO57" s="1266"/>
      <c r="AP57" s="528" t="str">
        <f t="shared" si="50"/>
        <v/>
      </c>
      <c r="AQ57" s="1249"/>
      <c r="AS57" s="719" t="str">
        <f t="shared" si="51"/>
        <v/>
      </c>
      <c r="AT57" s="719" t="str">
        <f t="shared" si="52"/>
        <v/>
      </c>
      <c r="AU57" s="719" t="str">
        <f t="shared" si="57"/>
        <v/>
      </c>
      <c r="AV57" s="1293"/>
      <c r="AW57" s="719" t="str">
        <f t="shared" si="54"/>
        <v/>
      </c>
      <c r="AY57" s="719" t="str">
        <f t="shared" si="55"/>
        <v/>
      </c>
      <c r="AZ57" s="719" t="str">
        <f t="shared" si="34"/>
        <v/>
      </c>
      <c r="BA57" s="719" t="str">
        <f t="shared" si="35"/>
        <v/>
      </c>
      <c r="BB57" s="1293"/>
      <c r="BC57" s="719" t="str">
        <f t="shared" si="56"/>
        <v/>
      </c>
    </row>
    <row r="58" spans="1:55" ht="18.600000000000001">
      <c r="A58" s="1041"/>
      <c r="B58" s="1069"/>
      <c r="C58" s="227" t="s">
        <v>972</v>
      </c>
      <c r="D58" s="1123"/>
      <c r="E58" s="1124"/>
      <c r="F58" s="1124"/>
      <c r="G58" s="1125"/>
      <c r="H58" s="678"/>
      <c r="I58" s="1122"/>
      <c r="J58" s="1122"/>
      <c r="K58" s="1108" t="str">
        <f>IF(H58="","",VLOOKUP(H58,'Emission factors'!A28:C34,2,FALSE))</f>
        <v/>
      </c>
      <c r="L58" s="1109"/>
      <c r="M58" s="248"/>
      <c r="N58" s="693" t="str">
        <f>IF(AND(M58="واقعي",OR(H58=" Natural Gas",H58="Other Gas 1",H58="Other Gas 2",H58="Other Gas 3",H58="Other Gas 4",H58="Other Gas 5",H58=" Gas oil")),IF((((VLOOKUP(H58,'Emission factors'!$B$41:$I$55,7,FALSE))="")),"در شيت Compositions آناليز و يا مشخصات سوخت را وارد كنيد",VLOOKUP(H58,'Emission factors'!$B$41:$I$55,7,FALSE)),"")</f>
        <v/>
      </c>
      <c r="O58" s="693" t="str">
        <f>IF(H58="","",VLOOKUP(H58,'Emission factors'!$B$41:$G$55,2,FALSE))</f>
        <v/>
      </c>
      <c r="P58" s="249" t="str">
        <f>IF(H58="","",VLOOKUP(H58,'Emission factors'!A28:C34,3,FALSE))</f>
        <v/>
      </c>
      <c r="Q58" s="694" t="str">
        <f t="shared" si="58"/>
        <v>ND</v>
      </c>
      <c r="R58" s="694" t="str">
        <f t="shared" si="59"/>
        <v>ND</v>
      </c>
      <c r="S58" s="694" t="str">
        <f t="shared" si="60"/>
        <v>ND</v>
      </c>
      <c r="T58" s="706" t="s">
        <v>284</v>
      </c>
      <c r="U58" s="709" t="str">
        <f t="shared" si="61"/>
        <v>ND</v>
      </c>
      <c r="V58" s="250" t="str">
        <f t="shared" si="62"/>
        <v/>
      </c>
      <c r="W58" s="251" t="str">
        <f t="shared" si="63"/>
        <v/>
      </c>
      <c r="X58" s="251" t="str">
        <f>IF(OR(S58="ND",I58=""),"",IF(M58="","",(IF(M58="پيش‌فرض",((O58*S58*I58)*(10^-6)),IF(AND(M58="واقعي",N58="در شيت Compositions آناليز و يا مشخصات سوخت را وارد كنيد"),"",((N58*S58*I58)*(10^-6)))))))</f>
        <v/>
      </c>
      <c r="Y58" s="1143" t="s">
        <v>284</v>
      </c>
      <c r="Z58" s="1144"/>
      <c r="AA58" s="252" t="str">
        <f t="shared" si="65"/>
        <v/>
      </c>
      <c r="AB58" s="247"/>
      <c r="AC58" s="478"/>
      <c r="AD58" s="1248"/>
      <c r="AE58" s="522"/>
      <c r="AF58" s="735" t="str">
        <f>IF(M58="","",IF(M58="پيش‌فرض",40,IF(H58=" Natural Gas",Compositions!$BO$21,IF(H58="Other Gas 1",Compositions!$BO$30,IF(H58="Other Gas 2",Compositions!$BO$39,IF(H58="Other Gas 3",Compositions!$BW$21,IF(H58="Other Gas 4",Compositions!$BW$30,IF(H58="Other Gas 5",Compositions!$BW$39,IF(H58=" Gas oil",Compositions!$BK$82,"")))))))       ))</f>
        <v/>
      </c>
      <c r="AG58" s="518" t="str">
        <f t="shared" si="43"/>
        <v>ND</v>
      </c>
      <c r="AH58" s="518" t="str">
        <f t="shared" si="44"/>
        <v>ND</v>
      </c>
      <c r="AI58" s="518" t="str">
        <f t="shared" si="45"/>
        <v>ND</v>
      </c>
      <c r="AJ58" s="1266"/>
      <c r="AK58" s="523" t="str">
        <f t="shared" si="46"/>
        <v>ND</v>
      </c>
      <c r="AL58" s="528" t="str">
        <f t="shared" si="47"/>
        <v/>
      </c>
      <c r="AM58" s="528" t="str">
        <f t="shared" si="48"/>
        <v/>
      </c>
      <c r="AN58" s="528" t="str">
        <f t="shared" si="49"/>
        <v/>
      </c>
      <c r="AO58" s="1266"/>
      <c r="AP58" s="528" t="str">
        <f t="shared" si="50"/>
        <v/>
      </c>
      <c r="AQ58" s="1249"/>
      <c r="AS58" s="719" t="str">
        <f t="shared" si="51"/>
        <v/>
      </c>
      <c r="AT58" s="719" t="str">
        <f t="shared" si="52"/>
        <v/>
      </c>
      <c r="AU58" s="719" t="str">
        <f t="shared" si="57"/>
        <v/>
      </c>
      <c r="AV58" s="1293"/>
      <c r="AW58" s="719" t="str">
        <f t="shared" si="54"/>
        <v/>
      </c>
      <c r="AY58" s="719" t="str">
        <f t="shared" si="55"/>
        <v/>
      </c>
      <c r="AZ58" s="719" t="str">
        <f t="shared" si="34"/>
        <v/>
      </c>
      <c r="BA58" s="719" t="str">
        <f t="shared" si="35"/>
        <v/>
      </c>
      <c r="BB58" s="1293"/>
      <c r="BC58" s="719" t="str">
        <f t="shared" si="56"/>
        <v/>
      </c>
    </row>
    <row r="59" spans="1:55" ht="18.600000000000001">
      <c r="A59" s="1041"/>
      <c r="B59" s="1069"/>
      <c r="C59" s="227" t="s">
        <v>973</v>
      </c>
      <c r="D59" s="1123"/>
      <c r="E59" s="1124"/>
      <c r="F59" s="1124"/>
      <c r="G59" s="1125"/>
      <c r="H59" s="678"/>
      <c r="I59" s="1122"/>
      <c r="J59" s="1122"/>
      <c r="K59" s="1108" t="str">
        <f>IF(H59="","",VLOOKUP(H59,'Emission factors'!A29:C35,2,FALSE))</f>
        <v/>
      </c>
      <c r="L59" s="1109"/>
      <c r="M59" s="248"/>
      <c r="N59" s="693" t="str">
        <f>IF(AND(M59="واقعي",OR(H59=" Natural Gas",H59="Other Gas 1",H59="Other Gas 2",H59="Other Gas 3",H59="Other Gas 4",H59="Other Gas 5",H59=" Gas oil")),IF((((VLOOKUP(H59,'Emission factors'!$B$41:$I$55,7,FALSE))="")),"در شيت Compositions آناليز و يا مشخصات سوخت را وارد كنيد",VLOOKUP(H59,'Emission factors'!$B$41:$I$55,7,FALSE)),"")</f>
        <v/>
      </c>
      <c r="O59" s="693" t="str">
        <f>IF(H59="","",VLOOKUP(H59,'Emission factors'!$B$41:$G$55,2,FALSE))</f>
        <v/>
      </c>
      <c r="P59" s="249" t="str">
        <f>IF(H59="","",VLOOKUP(H59,'Emission factors'!A29:C35,3,FALSE))</f>
        <v/>
      </c>
      <c r="Q59" s="694" t="str">
        <f t="shared" si="58"/>
        <v>ND</v>
      </c>
      <c r="R59" s="694" t="str">
        <f t="shared" si="59"/>
        <v>ND</v>
      </c>
      <c r="S59" s="694" t="str">
        <f t="shared" si="60"/>
        <v>ND</v>
      </c>
      <c r="T59" s="706" t="s">
        <v>284</v>
      </c>
      <c r="U59" s="709" t="str">
        <f t="shared" si="61"/>
        <v>ND</v>
      </c>
      <c r="V59" s="250" t="str">
        <f t="shared" si="62"/>
        <v/>
      </c>
      <c r="W59" s="251" t="str">
        <f t="shared" si="63"/>
        <v/>
      </c>
      <c r="X59" s="251" t="str">
        <f t="shared" si="64"/>
        <v/>
      </c>
      <c r="Y59" s="1143" t="s">
        <v>284</v>
      </c>
      <c r="Z59" s="1144"/>
      <c r="AA59" s="252" t="str">
        <f t="shared" si="65"/>
        <v/>
      </c>
      <c r="AB59" s="247"/>
      <c r="AC59" s="478"/>
      <c r="AD59" s="1248"/>
      <c r="AE59" s="522"/>
      <c r="AF59" s="735" t="str">
        <f>IF(M59="","",IF(M59="پيش‌فرض",40,IF(H59=" Natural Gas",Compositions!$BO$21,IF(H59="Other Gas 1",Compositions!$BO$30,IF(H59="Other Gas 2",Compositions!$BO$39,IF(H59="Other Gas 3",Compositions!$BW$21,IF(H59="Other Gas 4",Compositions!$BW$30,IF(H59="Other Gas 5",Compositions!$BW$39,IF(H59=" Gas oil",Compositions!$BK$82,"")))))))       ))</f>
        <v/>
      </c>
      <c r="AG59" s="518" t="str">
        <f t="shared" si="43"/>
        <v>ND</v>
      </c>
      <c r="AH59" s="518" t="str">
        <f t="shared" si="44"/>
        <v>ND</v>
      </c>
      <c r="AI59" s="518" t="str">
        <f t="shared" si="45"/>
        <v>ND</v>
      </c>
      <c r="AJ59" s="1266"/>
      <c r="AK59" s="523" t="str">
        <f t="shared" si="46"/>
        <v>ND</v>
      </c>
      <c r="AL59" s="528" t="str">
        <f t="shared" si="47"/>
        <v/>
      </c>
      <c r="AM59" s="528" t="str">
        <f t="shared" si="48"/>
        <v/>
      </c>
      <c r="AN59" s="528" t="str">
        <f t="shared" si="49"/>
        <v/>
      </c>
      <c r="AO59" s="1266"/>
      <c r="AP59" s="528" t="str">
        <f t="shared" si="50"/>
        <v/>
      </c>
      <c r="AQ59" s="1249"/>
      <c r="AS59" s="719" t="str">
        <f t="shared" si="51"/>
        <v/>
      </c>
      <c r="AT59" s="719" t="str">
        <f t="shared" si="52"/>
        <v/>
      </c>
      <c r="AU59" s="719" t="str">
        <f t="shared" si="57"/>
        <v/>
      </c>
      <c r="AV59" s="1293"/>
      <c r="AW59" s="719" t="str">
        <f t="shared" si="54"/>
        <v/>
      </c>
      <c r="AY59" s="719" t="str">
        <f t="shared" si="55"/>
        <v/>
      </c>
      <c r="AZ59" s="719" t="str">
        <f t="shared" si="34"/>
        <v/>
      </c>
      <c r="BA59" s="719" t="str">
        <f t="shared" si="35"/>
        <v/>
      </c>
      <c r="BB59" s="1293"/>
      <c r="BC59" s="719" t="str">
        <f t="shared" si="56"/>
        <v/>
      </c>
    </row>
    <row r="60" spans="1:55" ht="25.95" customHeight="1">
      <c r="A60" s="1041"/>
      <c r="B60" s="1069"/>
      <c r="C60" s="227" t="s">
        <v>974</v>
      </c>
      <c r="D60" s="1123"/>
      <c r="E60" s="1124"/>
      <c r="F60" s="1124"/>
      <c r="G60" s="1125"/>
      <c r="H60" s="678"/>
      <c r="I60" s="1122"/>
      <c r="J60" s="1122"/>
      <c r="K60" s="1108" t="str">
        <f>IF(H60="","",VLOOKUP(H60,'Emission factors'!A30:C36,2,FALSE))</f>
        <v/>
      </c>
      <c r="L60" s="1109"/>
      <c r="M60" s="248"/>
      <c r="N60" s="693" t="str">
        <f>IF(AND(M60="واقعي",OR(H60=" Natural Gas",H60="Other Gas 1",H60="Other Gas 2",H60="Other Gas 3",H60="Other Gas 4",H60="Other Gas 5",H60=" Gas oil")),IF((((VLOOKUP(H60,'Emission factors'!$B$41:$I$55,7,FALSE))="")),"در شيت Compositions آناليز و يا مشخصات سوخت را وارد كنيد",VLOOKUP(H60,'Emission factors'!$B$41:$I$55,7,FALSE)),"")</f>
        <v/>
      </c>
      <c r="O60" s="693" t="str">
        <f>IF(H60="","",VLOOKUP(H60,'Emission factors'!$B$41:$G$55,2,FALSE))</f>
        <v/>
      </c>
      <c r="P60" s="249" t="str">
        <f>IF(H60="","",VLOOKUP(H60,'Emission factors'!A30:C36,3,FALSE))</f>
        <v/>
      </c>
      <c r="Q60" s="694" t="str">
        <f t="shared" si="58"/>
        <v>ND</v>
      </c>
      <c r="R60" s="694" t="str">
        <f t="shared" si="59"/>
        <v>ND</v>
      </c>
      <c r="S60" s="694" t="str">
        <f t="shared" si="60"/>
        <v>ND</v>
      </c>
      <c r="T60" s="706" t="s">
        <v>284</v>
      </c>
      <c r="U60" s="709" t="str">
        <f t="shared" si="61"/>
        <v>ND</v>
      </c>
      <c r="V60" s="250" t="str">
        <f t="shared" si="62"/>
        <v/>
      </c>
      <c r="W60" s="251" t="str">
        <f t="shared" si="63"/>
        <v/>
      </c>
      <c r="X60" s="251" t="str">
        <f t="shared" si="64"/>
        <v/>
      </c>
      <c r="Y60" s="1143" t="s">
        <v>284</v>
      </c>
      <c r="Z60" s="1144"/>
      <c r="AA60" s="252" t="str">
        <f t="shared" si="65"/>
        <v/>
      </c>
      <c r="AB60" s="247"/>
      <c r="AC60" s="478"/>
      <c r="AD60" s="1248"/>
      <c r="AE60" s="522"/>
      <c r="AF60" s="735" t="str">
        <f>IF(M60="","",IF(M60="پيش‌فرض",40,IF(H60=" Natural Gas",Compositions!$BO$21,IF(H60="Other Gas 1",Compositions!$BO$30,IF(H60="Other Gas 2",Compositions!$BO$39,IF(H60="Other Gas 3",Compositions!$BW$21,IF(H60="Other Gas 4",Compositions!$BW$30,IF(H60="Other Gas 5",Compositions!$BW$39,IF(H60=" Gas oil",Compositions!$BK$82,"")))))))       ))</f>
        <v/>
      </c>
      <c r="AG60" s="518" t="str">
        <f t="shared" si="43"/>
        <v>ND</v>
      </c>
      <c r="AH60" s="518" t="str">
        <f t="shared" si="44"/>
        <v>ND</v>
      </c>
      <c r="AI60" s="518" t="str">
        <f t="shared" si="45"/>
        <v>ND</v>
      </c>
      <c r="AJ60" s="1266"/>
      <c r="AK60" s="523" t="str">
        <f t="shared" si="46"/>
        <v>ND</v>
      </c>
      <c r="AL60" s="528" t="str">
        <f t="shared" si="47"/>
        <v/>
      </c>
      <c r="AM60" s="528" t="str">
        <f t="shared" si="48"/>
        <v/>
      </c>
      <c r="AN60" s="528" t="str">
        <f t="shared" si="49"/>
        <v/>
      </c>
      <c r="AO60" s="1266"/>
      <c r="AP60" s="528" t="str">
        <f t="shared" si="50"/>
        <v/>
      </c>
      <c r="AQ60" s="1249"/>
      <c r="AS60" s="719" t="str">
        <f t="shared" si="51"/>
        <v/>
      </c>
      <c r="AT60" s="719" t="str">
        <f t="shared" si="52"/>
        <v/>
      </c>
      <c r="AU60" s="719" t="str">
        <f t="shared" si="57"/>
        <v/>
      </c>
      <c r="AV60" s="1293"/>
      <c r="AW60" s="719" t="str">
        <f t="shared" si="54"/>
        <v/>
      </c>
      <c r="AY60" s="719" t="str">
        <f t="shared" si="55"/>
        <v/>
      </c>
      <c r="AZ60" s="719" t="str">
        <f t="shared" si="34"/>
        <v/>
      </c>
      <c r="BA60" s="719" t="str">
        <f t="shared" si="35"/>
        <v/>
      </c>
      <c r="BB60" s="1293"/>
      <c r="BC60" s="719" t="str">
        <f t="shared" si="56"/>
        <v/>
      </c>
    </row>
    <row r="61" spans="1:55" ht="25.95" customHeight="1" thickBot="1">
      <c r="A61" s="1042"/>
      <c r="B61" s="1069"/>
      <c r="C61" s="227" t="s">
        <v>975</v>
      </c>
      <c r="D61" s="1126"/>
      <c r="E61" s="1127"/>
      <c r="F61" s="1127"/>
      <c r="G61" s="1128"/>
      <c r="H61" s="253"/>
      <c r="I61" s="1151"/>
      <c r="J61" s="1151"/>
      <c r="K61" s="1149" t="str">
        <f>IF(H61="","",VLOOKUP(H61,'Emission factors'!A25:C31,2,FALSE))</f>
        <v/>
      </c>
      <c r="L61" s="1150"/>
      <c r="M61" s="254"/>
      <c r="N61" s="255" t="str">
        <f>IF(AND(M61="واقعي",OR(H61=" Natural Gas",H61="Other Gas 1",H61="Other Gas 2",H61="Other Gas 3",H61="Other Gas 4",H61="Other Gas 5",H61=" Gas oil")),IF((((VLOOKUP(H61,'Emission factors'!$B$41:$I$55,7,FALSE))="")),"در شيت Compositions آناليز و يا مشخصات سوخت را وارد كنيد",VLOOKUP(H61,'Emission factors'!$B$41:$I$55,7,FALSE)),"")</f>
        <v/>
      </c>
      <c r="O61" s="255" t="str">
        <f>IF(H61="","",VLOOKUP(H61,'Emission factors'!$B$41:$G$55,2,FALSE))</f>
        <v/>
      </c>
      <c r="P61" s="256" t="str">
        <f>IF(H61="","",VLOOKUP(H61,'Emission factors'!A25:C31,3,FALSE))</f>
        <v/>
      </c>
      <c r="Q61" s="257" t="str">
        <f t="shared" si="36"/>
        <v>ND</v>
      </c>
      <c r="R61" s="257" t="str">
        <f t="shared" si="37"/>
        <v>ND</v>
      </c>
      <c r="S61" s="257" t="str">
        <f t="shared" si="38"/>
        <v>ND</v>
      </c>
      <c r="T61" s="258" t="s">
        <v>284</v>
      </c>
      <c r="U61" s="259" t="str">
        <f>IF(H61="","ND",IF(H61=" Gas Oil",0.18,0.9))</f>
        <v>ND</v>
      </c>
      <c r="V61" s="260" t="str">
        <f>IF(OR(Q61="ND",I61=""),"",IF(M61="","",(IF(M61="پيش‌فرض",((O61*Q61*I61)*(10^-6)),IF(AND(M61="واقعي",N61="در شيت Compositions آناليز و يا مشخصات سوخت را وارد كنيد"),"",((N61*Q61*I61)*(10^-6)))))))</f>
        <v/>
      </c>
      <c r="W61" s="261" t="str">
        <f t="shared" si="40"/>
        <v/>
      </c>
      <c r="X61" s="261" t="str">
        <f t="shared" si="41"/>
        <v/>
      </c>
      <c r="Y61" s="1250" t="s">
        <v>284</v>
      </c>
      <c r="Z61" s="1251"/>
      <c r="AA61" s="262" t="str">
        <f t="shared" si="42"/>
        <v/>
      </c>
      <c r="AB61" s="263"/>
      <c r="AC61" s="478"/>
      <c r="AD61" s="1268"/>
      <c r="AE61" s="533"/>
      <c r="AF61" s="735" t="str">
        <f>IF(M61="","",IF(M61="پيش‌فرض",40,IF(H61=" Natural Gas",Compositions!$BO$21,IF(H61="Other Gas 1",Compositions!$BO$30,IF(H61="Other Gas 2",Compositions!$BO$39,IF(H61="Other Gas 3",Compositions!$BW$21,IF(H61="Other Gas 4",Compositions!$BW$30,IF(H61="Other Gas 5",Compositions!$BW$39,IF(H61=" Gas oil",Compositions!$BK$82,"")))))))       ))</f>
        <v/>
      </c>
      <c r="AG61" s="518" t="str">
        <f t="shared" si="43"/>
        <v>ND</v>
      </c>
      <c r="AH61" s="518" t="str">
        <f t="shared" si="44"/>
        <v>ND</v>
      </c>
      <c r="AI61" s="518" t="str">
        <f t="shared" si="45"/>
        <v>ND</v>
      </c>
      <c r="AJ61" s="1267"/>
      <c r="AK61" s="523" t="str">
        <f t="shared" si="46"/>
        <v>ND</v>
      </c>
      <c r="AL61" s="528" t="str">
        <f t="shared" si="47"/>
        <v/>
      </c>
      <c r="AM61" s="528" t="str">
        <f t="shared" si="48"/>
        <v/>
      </c>
      <c r="AN61" s="528" t="str">
        <f t="shared" si="49"/>
        <v/>
      </c>
      <c r="AO61" s="1267"/>
      <c r="AP61" s="528" t="str">
        <f t="shared" si="50"/>
        <v/>
      </c>
      <c r="AQ61" s="1270"/>
      <c r="AS61" s="719" t="str">
        <f t="shared" si="51"/>
        <v/>
      </c>
      <c r="AT61" s="719" t="str">
        <f t="shared" si="52"/>
        <v/>
      </c>
      <c r="AU61" s="719" t="str">
        <f t="shared" si="57"/>
        <v/>
      </c>
      <c r="AV61" s="1294"/>
      <c r="AW61" s="719" t="str">
        <f t="shared" si="54"/>
        <v/>
      </c>
      <c r="AY61" s="719" t="str">
        <f t="shared" si="55"/>
        <v/>
      </c>
      <c r="AZ61" s="719" t="str">
        <f t="shared" si="34"/>
        <v/>
      </c>
      <c r="BA61" s="719" t="str">
        <f t="shared" si="35"/>
        <v/>
      </c>
      <c r="BB61" s="1294"/>
      <c r="BC61" s="719" t="str">
        <f t="shared" si="56"/>
        <v/>
      </c>
    </row>
    <row r="62" spans="1:55" ht="19.95" customHeight="1" thickBot="1">
      <c r="A62" s="1065" t="s">
        <v>1016</v>
      </c>
      <c r="B62" s="1066"/>
      <c r="C62" s="1066"/>
      <c r="D62" s="1066"/>
      <c r="E62" s="1066"/>
      <c r="F62" s="1066"/>
      <c r="G62" s="1066"/>
      <c r="H62" s="1066"/>
      <c r="I62" s="1066"/>
      <c r="J62" s="1066"/>
      <c r="K62" s="1066"/>
      <c r="L62" s="1066"/>
      <c r="M62" s="1066"/>
      <c r="N62" s="1066"/>
      <c r="O62" s="1066"/>
      <c r="P62" s="1066"/>
      <c r="Q62" s="1066"/>
      <c r="R62" s="1066"/>
      <c r="S62" s="1066"/>
      <c r="T62" s="1066"/>
      <c r="U62" s="1066"/>
      <c r="V62" s="1066"/>
      <c r="W62" s="1066"/>
      <c r="X62" s="1066"/>
      <c r="Y62" s="1066"/>
      <c r="Z62" s="1066"/>
      <c r="AA62" s="1066"/>
      <c r="AB62" s="1067"/>
      <c r="AC62" s="478"/>
      <c r="AD62" s="1244"/>
      <c r="AE62" s="1245"/>
      <c r="AF62" s="1245"/>
      <c r="AG62" s="1245"/>
      <c r="AH62" s="1245"/>
      <c r="AI62" s="1245"/>
      <c r="AJ62" s="1245"/>
      <c r="AK62" s="1245"/>
      <c r="AL62" s="1245"/>
      <c r="AM62" s="1245"/>
      <c r="AN62" s="1245"/>
      <c r="AO62" s="1245"/>
      <c r="AP62" s="1245"/>
      <c r="AQ62" s="1246"/>
    </row>
    <row r="63" spans="1:55" ht="25.95" customHeight="1" thickBot="1">
      <c r="A63" s="1040"/>
      <c r="B63" s="1068" t="s">
        <v>1049</v>
      </c>
      <c r="C63" s="1071" t="s">
        <v>997</v>
      </c>
      <c r="D63" s="1095" t="s">
        <v>132</v>
      </c>
      <c r="E63" s="1096"/>
      <c r="F63" s="1096"/>
      <c r="G63" s="1097"/>
      <c r="H63" s="1098" t="s">
        <v>135</v>
      </c>
      <c r="I63" s="1099"/>
      <c r="J63" s="1099"/>
      <c r="K63" s="1099"/>
      <c r="L63" s="1099"/>
      <c r="M63" s="1099"/>
      <c r="N63" s="1099"/>
      <c r="O63" s="1099"/>
      <c r="P63" s="1100"/>
      <c r="Q63" s="1073" t="s">
        <v>285</v>
      </c>
      <c r="R63" s="1074"/>
      <c r="S63" s="1074"/>
      <c r="T63" s="1074"/>
      <c r="U63" s="1074"/>
      <c r="V63" s="1073" t="s">
        <v>144</v>
      </c>
      <c r="W63" s="1074"/>
      <c r="X63" s="1074"/>
      <c r="Y63" s="1074"/>
      <c r="Z63" s="1074"/>
      <c r="AA63" s="1075"/>
      <c r="AB63" s="216"/>
      <c r="AC63" s="478"/>
      <c r="AD63" s="1247"/>
      <c r="AE63" s="1262" t="s">
        <v>1262</v>
      </c>
      <c r="AF63" s="1263"/>
      <c r="AG63" s="1263"/>
      <c r="AH63" s="1263"/>
      <c r="AI63" s="1263"/>
      <c r="AJ63" s="1263"/>
      <c r="AK63" s="1264"/>
      <c r="AL63" s="1263" t="s">
        <v>1258</v>
      </c>
      <c r="AM63" s="1263"/>
      <c r="AN63" s="1263"/>
      <c r="AO63" s="1263"/>
      <c r="AP63" s="1264"/>
      <c r="AQ63" s="1269"/>
    </row>
    <row r="64" spans="1:55" ht="55.05" customHeight="1">
      <c r="A64" s="1041"/>
      <c r="B64" s="1069"/>
      <c r="C64" s="1072"/>
      <c r="D64" s="1086" t="s">
        <v>999</v>
      </c>
      <c r="E64" s="1087"/>
      <c r="F64" s="1082" t="s">
        <v>1004</v>
      </c>
      <c r="G64" s="1083"/>
      <c r="H64" s="1093" t="s">
        <v>85</v>
      </c>
      <c r="I64" s="682" t="s">
        <v>1013</v>
      </c>
      <c r="J64" s="1047" t="s">
        <v>1017</v>
      </c>
      <c r="K64" s="1048"/>
      <c r="L64" s="1049"/>
      <c r="M64" s="1052" t="s">
        <v>1018</v>
      </c>
      <c r="N64" s="1053"/>
      <c r="O64" s="1053"/>
      <c r="P64" s="1054"/>
      <c r="Q64" s="711" t="s">
        <v>40</v>
      </c>
      <c r="R64" s="696" t="s">
        <v>39</v>
      </c>
      <c r="S64" s="696" t="s">
        <v>145</v>
      </c>
      <c r="T64" s="1076" t="s">
        <v>147</v>
      </c>
      <c r="U64" s="9" t="s">
        <v>31</v>
      </c>
      <c r="V64" s="821" t="s">
        <v>40</v>
      </c>
      <c r="W64" s="696" t="s">
        <v>39</v>
      </c>
      <c r="X64" s="696" t="s">
        <v>145</v>
      </c>
      <c r="Y64" s="1078" t="s">
        <v>147</v>
      </c>
      <c r="Z64" s="1079"/>
      <c r="AA64" s="713" t="s">
        <v>31</v>
      </c>
      <c r="AB64" s="216"/>
      <c r="AC64" s="478"/>
      <c r="AD64" s="1248"/>
      <c r="AE64" s="1256" t="s">
        <v>1519</v>
      </c>
      <c r="AF64" s="1260" t="s">
        <v>1517</v>
      </c>
      <c r="AG64" s="1258" t="s">
        <v>1261</v>
      </c>
      <c r="AH64" s="1258"/>
      <c r="AI64" s="1258"/>
      <c r="AJ64" s="1258"/>
      <c r="AK64" s="1259"/>
      <c r="AL64" s="529" t="s">
        <v>40</v>
      </c>
      <c r="AM64" s="530" t="s">
        <v>39</v>
      </c>
      <c r="AN64" s="530" t="s">
        <v>145</v>
      </c>
      <c r="AO64" s="530" t="s">
        <v>147</v>
      </c>
      <c r="AP64" s="531" t="s">
        <v>31</v>
      </c>
      <c r="AQ64" s="1249"/>
      <c r="AS64" s="529" t="s">
        <v>40</v>
      </c>
      <c r="AT64" s="530" t="s">
        <v>39</v>
      </c>
      <c r="AU64" s="530" t="s">
        <v>145</v>
      </c>
      <c r="AV64" s="530" t="s">
        <v>147</v>
      </c>
      <c r="AW64" s="531" t="s">
        <v>31</v>
      </c>
      <c r="AX64" s="217"/>
      <c r="AY64" s="529" t="s">
        <v>40</v>
      </c>
      <c r="AZ64" s="530" t="s">
        <v>39</v>
      </c>
      <c r="BA64" s="530" t="s">
        <v>145</v>
      </c>
      <c r="BB64" s="530" t="s">
        <v>147</v>
      </c>
      <c r="BC64" s="531" t="s">
        <v>31</v>
      </c>
    </row>
    <row r="65" spans="1:55" ht="37.049999999999997" customHeight="1" thickBot="1">
      <c r="A65" s="1041"/>
      <c r="B65" s="1069"/>
      <c r="C65" s="1072"/>
      <c r="D65" s="1088"/>
      <c r="E65" s="1089"/>
      <c r="F65" s="1084"/>
      <c r="G65" s="1085"/>
      <c r="H65" s="1094"/>
      <c r="I65" s="675" t="s">
        <v>998</v>
      </c>
      <c r="J65" s="681" t="s">
        <v>133</v>
      </c>
      <c r="K65" s="681" t="s">
        <v>137</v>
      </c>
      <c r="L65" s="799" t="s">
        <v>142</v>
      </c>
      <c r="M65" s="681" t="s">
        <v>133</v>
      </c>
      <c r="N65" s="681" t="s">
        <v>137</v>
      </c>
      <c r="O65" s="1050" t="s">
        <v>142</v>
      </c>
      <c r="P65" s="1051"/>
      <c r="Q65" s="534" t="s">
        <v>1012</v>
      </c>
      <c r="R65" s="535" t="s">
        <v>1012</v>
      </c>
      <c r="S65" s="697" t="s">
        <v>286</v>
      </c>
      <c r="T65" s="1077"/>
      <c r="U65" s="812" t="s">
        <v>286</v>
      </c>
      <c r="V65" s="822" t="s">
        <v>146</v>
      </c>
      <c r="W65" s="697" t="s">
        <v>146</v>
      </c>
      <c r="X65" s="697" t="s">
        <v>146</v>
      </c>
      <c r="Y65" s="1080"/>
      <c r="Z65" s="1081"/>
      <c r="AA65" s="714" t="s">
        <v>146</v>
      </c>
      <c r="AB65" s="216"/>
      <c r="AC65" s="478"/>
      <c r="AD65" s="1248"/>
      <c r="AE65" s="1257"/>
      <c r="AF65" s="1261"/>
      <c r="AG65" s="519" t="s">
        <v>40</v>
      </c>
      <c r="AH65" s="519" t="s">
        <v>39</v>
      </c>
      <c r="AI65" s="519" t="s">
        <v>145</v>
      </c>
      <c r="AJ65" s="519" t="s">
        <v>147</v>
      </c>
      <c r="AK65" s="520" t="s">
        <v>31</v>
      </c>
      <c r="AL65" s="532" t="s">
        <v>1260</v>
      </c>
      <c r="AM65" s="519" t="s">
        <v>1260</v>
      </c>
      <c r="AN65" s="519" t="s">
        <v>1260</v>
      </c>
      <c r="AO65" s="519" t="s">
        <v>1260</v>
      </c>
      <c r="AP65" s="520" t="s">
        <v>1260</v>
      </c>
      <c r="AQ65" s="1249"/>
      <c r="AS65" s="1289" t="s">
        <v>1285</v>
      </c>
      <c r="AT65" s="1289"/>
      <c r="AU65" s="1289"/>
      <c r="AV65" s="1289"/>
      <c r="AW65" s="1289"/>
      <c r="AY65" s="1289" t="s">
        <v>1286</v>
      </c>
      <c r="AZ65" s="1289"/>
      <c r="BA65" s="1289"/>
      <c r="BB65" s="1289"/>
      <c r="BC65" s="1289"/>
    </row>
    <row r="66" spans="1:55" ht="25.95" customHeight="1">
      <c r="A66" s="1041"/>
      <c r="B66" s="1069"/>
      <c r="C66" s="264" t="s">
        <v>316</v>
      </c>
      <c r="D66" s="1090"/>
      <c r="E66" s="1091"/>
      <c r="F66" s="1091"/>
      <c r="G66" s="1092"/>
      <c r="H66" s="288"/>
      <c r="I66" s="233"/>
      <c r="J66" s="248"/>
      <c r="K66" s="709" t="str">
        <f>IF(AND(J66="واقعي",H66=""), "نوع سوخت را مشخص كنيد",    (IF(     AND(J66="واقعي",OR(H66=" Natural Gas",H66="Other Gas 1",H66="Other Gas 2",H66="Other Gas 3",H66="Other Gas 4",H66="Other Gas 5")),     IF((     ((VLOOKUP(H66,'Emission factors'!$B$41:$I$55,7,FALSE))="")      ),"در شيت Compositions آناليز و يا مشخصات سوخت را وارد كنيد",VLOOKUP(H66,'Emission factors'!$B$41:$I$55,7,FALSE)),     "")))</f>
        <v/>
      </c>
      <c r="L66" s="694">
        <v>3.7999999999999999E-2</v>
      </c>
      <c r="M66" s="248"/>
      <c r="N66" s="709" t="str">
        <f>IF(AND(M66="واقعي",H66=""), "نوع سوخت را مشخص كنيد",    (IF(     AND(M66="واقعي",OR(H66=" Natural Gas",H66="Other Gas 1",H66="Other Gas 2",H66="Other Gas 3",H66="Other Gas 4",H66="Other Gas 5")),     IF((     ((VLOOKUP(H66,'Emission factors'!$B$41:$J$55,9,FALSE))="")      ),"در شيت Compositions آناليز و يا مشخصات سوخت را وارد كنيد",VLOOKUP(H66,'Emission factors'!$B$41:$J$55,9,FALSE)),     "")))</f>
        <v/>
      </c>
      <c r="O66" s="1055">
        <v>0.67279999999999995</v>
      </c>
      <c r="P66" s="1056"/>
      <c r="Q66" s="282" t="str">
        <f>IF(D66="","ND",(IF(D66="Boiler",2.1,IF(D66="Heater",1.8,IF(D66="Turbine",IF(F66="ساير مدل‌ها ",4.3,IF(F66="Ruston",2.5,IF(F66="AVON1533",5.2,IF(F66="AVON1534",3.7,IF(F66="Hispano",3.6,IF(F66="SGT200",4.8,"ND")))))),"ND")))))</f>
        <v>ND</v>
      </c>
      <c r="R66" s="694" t="str">
        <f>IF(D66="","ND",(IF(D66="Boiler",5.1,IF(D66="Heater",2.6,IF(D66="Turbine",IF(F66="ساير مدل‌ها ",6.2,IF(F66="Ruston",6.5,IF(F66="AVON1533",5.9,IF(F66="AVON1534",11.4,IF(F66="Hispano",3.5,IF(F66="SGT200",1.6,"ND")))))),"ND")))))</f>
        <v>ND</v>
      </c>
      <c r="S66" s="694" t="str">
        <f>IF(D66="","ND",IF(D66="Turbine",2.84,3.2))</f>
        <v>ND</v>
      </c>
      <c r="T66" s="706" t="s">
        <v>284</v>
      </c>
      <c r="U66" s="709" t="str">
        <f>IF(D66="","ND",IF(D66="Turbine",0.9,2.3))</f>
        <v>ND</v>
      </c>
      <c r="V66" s="224" t="str">
        <f>IF(Q66="ND","",IF(I66="","",(I66*Q66/(10^6))))</f>
        <v/>
      </c>
      <c r="W66" s="266" t="str">
        <f>IF(R66="ND","",IF(I66="","",(I66*R66/(10^6))))</f>
        <v/>
      </c>
      <c r="X66" s="266" t="str">
        <f>IF(OR(I66="",J66="",M66="",S66="",S66="ND",K66="در شيت Compositions آناليز و يا مشخصات سوخت را وارد كنيد",N66="در شيت Compositions آناليز و يا مشخصات سوخت را وارد كنيد"),  "", ((S66*    (I66/(IF(M66="واقعي",N66,O66)))  *(IF(J66="واقعي",K66,L66))) /(10^6)   ))</f>
        <v/>
      </c>
      <c r="Y66" s="1043" t="s">
        <v>284</v>
      </c>
      <c r="Z66" s="1044"/>
      <c r="AA66" s="267" t="str">
        <f>IF(OR(I66="",J66="",M66="",U66="",U66="ND",N66="در شيت Compositions آناليز و يا مشخصات سوخت را وارد كنيد",K66="در شيت Compositions آناليز و يا مشخصات سوخت را وارد كنيد"),  "", ((U66*    (I66/(IF(M66="واقعي",N66,O66)))  *(IF(J66="واقعي",K66,L66))) /(10^6)   ))</f>
        <v/>
      </c>
      <c r="AB66" s="216"/>
      <c r="AC66" s="478"/>
      <c r="AD66" s="1248"/>
      <c r="AE66" s="522"/>
      <c r="AF66" s="735" t="str">
        <f>IF(J66="","",IF(J66="پيش‌فرض",40,IF(H66=" Natural Gas",Compositions!$BO$21,IF(H66="Other Gas 1",Compositions!$BO$30,IF(H66="Other Gas 2",Compositions!$BO$39,IF(H66="Other Gas 3",Compositions!$BW$21,IF(H66="Other Gas 4",Compositions!$BW$30,IF(H66="Other Gas 5",Compositions!$BW$39,""))))))       ))</f>
        <v/>
      </c>
      <c r="AG66" s="518" t="str">
        <f>IF(D66="","ND",(IF(D66="Boiler",40,IF(D66="Heater",40,IF(D66="Turbine",IF(F66="ساير مدل‌ها ",40,IF(F66="Ruston",20,IF(F66="AVON1533",20,IF(F66="AVON1534",20,IF(F66="Hispano",20,IF(F66="SGT200",20,"ND")))))),"ND")))))</f>
        <v>ND</v>
      </c>
      <c r="AH66" s="518" t="str">
        <f>IF(D66="","ND",(IF(D66="Boiler",125,IF(D66="Heater",125,IF(D66="Turbine",IF(F66="ساير مدل‌ها ",40,IF(F66="Ruston",20,IF(F66="AVON1533",20,IF(F66="AVON1534",20,IF(F66="Hispano",20,IF(F66="SGT200",20,"ND")))))),"ND")))))</f>
        <v>ND</v>
      </c>
      <c r="AI66" s="518" t="str">
        <f>IF(D66="","ND",IF(D66="Turbine",125,200))</f>
        <v>ND</v>
      </c>
      <c r="AJ66" s="1265" t="s">
        <v>1257</v>
      </c>
      <c r="AK66" s="523" t="str">
        <f>IF(D66="","ND",IF(D66="Turbine",200,125))</f>
        <v>ND</v>
      </c>
      <c r="AL66" s="528" t="str">
        <f>IF(OR(AE66="",AG66="",AG66="ND"),"",(SQRT((AE66^2)+(AG66^2))))</f>
        <v/>
      </c>
      <c r="AM66" s="528" t="str">
        <f>IF(OR(AE66="",AH66="",AH66="ND"),"",(SQRT((AE66^2)+(AH66^2))))</f>
        <v/>
      </c>
      <c r="AN66" s="528" t="str">
        <f>IF(OR(AE66="",AF66="",AF66="ND",AI66="",AI66="ND"),"",(SQRT((AE66^2)+(AF66^2)+(AI66^2)+(40^2))))</f>
        <v/>
      </c>
      <c r="AO66" s="1265" t="s">
        <v>1257</v>
      </c>
      <c r="AP66" s="528" t="str">
        <f>IF(OR(AE66="",AF66="",AF66="ND",AK66="",AK66="ND"),"",(SQRT((AE66^2)+(AF66^2)+(AK66^2)+(40^2))))</f>
        <v/>
      </c>
      <c r="AQ66" s="1249"/>
      <c r="AS66" s="719" t="str">
        <f>IF(OR(V66="",AL66=""),"",V66*AL66)</f>
        <v/>
      </c>
      <c r="AT66" s="719" t="str">
        <f>IF(OR(W66="",AM66=""),"",W66*AM66)</f>
        <v/>
      </c>
      <c r="AU66" s="719" t="str">
        <f>IF(OR(X66="",AN66=""),"",X66*AN66)</f>
        <v/>
      </c>
      <c r="AV66" s="1292"/>
      <c r="AW66" s="719" t="str">
        <f>IF(OR(AA66="",AP66=""),"",AA66*AP66)</f>
        <v/>
      </c>
      <c r="AY66" s="719" t="str">
        <f>IF(AS66="","",AS66^2)</f>
        <v/>
      </c>
      <c r="AZ66" s="719" t="str">
        <f t="shared" ref="AZ66:AZ80" si="66">IF(AT66="","",AT66^2)</f>
        <v/>
      </c>
      <c r="BA66" s="719" t="str">
        <f t="shared" ref="BA66:BA80" si="67">IF(AU66="","",AU66^2)</f>
        <v/>
      </c>
      <c r="BB66" s="1292"/>
      <c r="BC66" s="719" t="str">
        <f>IF(AW66="","",AW66^2)</f>
        <v/>
      </c>
    </row>
    <row r="67" spans="1:55" ht="25.95" customHeight="1">
      <c r="A67" s="1041"/>
      <c r="B67" s="1069"/>
      <c r="C67" s="268" t="s">
        <v>317</v>
      </c>
      <c r="D67" s="1057"/>
      <c r="E67" s="1058"/>
      <c r="F67" s="1058"/>
      <c r="G67" s="1059"/>
      <c r="H67" s="289"/>
      <c r="I67" s="684"/>
      <c r="J67" s="763"/>
      <c r="K67" s="709" t="str">
        <f>IF(AND(J67="واقعي",H67=""), "نوع سوخت را مشخص كنيد",    (IF(     AND(J67="واقعي",OR(H67=" Natural Gas",H67="Other Gas 1",H67="Other Gas 2",H67="Other Gas 3",H67="Other Gas 4",H67="Other Gas 5")),     IF((     ((VLOOKUP(H67,'Emission factors'!$B$41:$I$55,7,FALSE))="")      ),"در شيت Compositions آناليز و يا مشخصات سوخت را وارد كنيد",VLOOKUP(H67,'Emission factors'!$B$41:$I$55,7,FALSE)),     "")))</f>
        <v/>
      </c>
      <c r="L67" s="693">
        <v>3.7999999999999999E-2</v>
      </c>
      <c r="M67" s="763"/>
      <c r="N67" s="709" t="str">
        <f>IF(AND(M67="واقعي",H67=""), "نوع سوخت را مشخص كنيد",    (IF(     AND(M67="واقعي",OR(H67=" Natural Gas",H67="Other Gas 1",H67="Other Gas 2",H67="Other Gas 3",H67="Other Gas 4",H67="Other Gas 5")),     IF((     ((VLOOKUP(H67,'Emission factors'!$B$41:$J$55,9,FALSE))="")      ),"در شيت Compositions آناليز و يا مشخصات سوخت را وارد كنيد",VLOOKUP(H67,'Emission factors'!$B$41:$J$55,9,FALSE)),     "")))</f>
        <v/>
      </c>
      <c r="O67" s="1045">
        <v>0.67279999999999995</v>
      </c>
      <c r="P67" s="1046"/>
      <c r="Q67" s="282" t="str">
        <f t="shared" ref="Q67:Q80" si="68">IF(D67="","ND",(IF(D67="Boiler",2.1,IF(D67="Heater",1.8,IF(D67="Turbine",IF(F67="ساير مدل‌ها ",4.3,IF(F67="Ruston",2.5,IF(F67="AVON1533",5.2,IF(F67="AVON1534",3.7,IF(F67="Hispano",3.6,IF(F67="SGT200",4.8,"ND")))))),"ND")))))</f>
        <v>ND</v>
      </c>
      <c r="R67" s="694" t="str">
        <f t="shared" ref="R67:R79" si="69">IF(D67="","ND",(IF(D67="Boiler",5.1,IF(D67="Heater",2.6,IF(D67="Turbine",IF(F67="ساير مدل‌ها ",6.2,IF(F67="Ruston",6.5,IF(F67="AVON1533",5.9,IF(F67="AVON1534",11.4,IF(F67="Hispano",3.5,IF(F67="SGT200",1.6,"ND")))))),"ND")))))</f>
        <v>ND</v>
      </c>
      <c r="S67" s="694" t="str">
        <f t="shared" ref="S67:S80" si="70">IF(D67="","ND",IF(D67="Turbine",2.84,3.2))</f>
        <v>ND</v>
      </c>
      <c r="T67" s="706" t="s">
        <v>284</v>
      </c>
      <c r="U67" s="709" t="str">
        <f t="shared" ref="U67:U80" si="71">IF(D67="","ND",IF(D67="Turbine",0.9,2.3))</f>
        <v>ND</v>
      </c>
      <c r="V67" s="224" t="str">
        <f t="shared" ref="V67:V80" si="72">IF(Q67="ND","",IF(I67="","",(I67*Q67/(10^6))))</f>
        <v/>
      </c>
      <c r="W67" s="266" t="str">
        <f t="shared" ref="W67:W80" si="73">IF(R67="ND","",IF(I67="","",(I67*R67/(10^6))))</f>
        <v/>
      </c>
      <c r="X67" s="266" t="str">
        <f t="shared" ref="X67:X80" si="74">IF(OR(I67="",J67="",M67="",S67="",S67="ND",K67="در شيت Compositions آناليز و يا مشخصات سوخت را وارد كنيد",N67="در شيت Compositions آناليز و يا مشخصات سوخت را وارد كنيد"),  "", ((S67*    (I67/(IF(M67="واقعي",N67,O67)))  *(IF(J67="واقعي",K67,L67))) /(10^6)   ))</f>
        <v/>
      </c>
      <c r="Y67" s="1043" t="s">
        <v>284</v>
      </c>
      <c r="Z67" s="1044"/>
      <c r="AA67" s="267" t="str">
        <f t="shared" ref="AA67:AA80" si="75">IF(OR(I67="",J67="",M67="",U67="",U67="ND",N67="در شيت Compositions آناليز و يا مشخصات سوخت را وارد كنيد",K67="در شيت Compositions آناليز و يا مشخصات سوخت را وارد كنيد"),  "", ((U67*    (I67/(IF(M67="واقعي",N67,O67)))  *(IF(J67="واقعي",K67,L67))) /(10^6)   ))</f>
        <v/>
      </c>
      <c r="AB67" s="216"/>
      <c r="AC67" s="478"/>
      <c r="AD67" s="1248"/>
      <c r="AE67" s="522"/>
      <c r="AF67" s="735" t="str">
        <f>IF(J67="","",IF(J67="پيش‌فرض",40,IF(H67=" Natural Gas",Compositions!$BO$21,IF(H67="Other Gas 1",Compositions!$BO$30,IF(H67="Other Gas 2",Compositions!$BO$39,IF(H67="Other Gas 3",Compositions!$BW$21,IF(H67="Other Gas 4",Compositions!$BW$30,IF(H67="Other Gas 5",Compositions!$BW$39,""))))))       ))</f>
        <v/>
      </c>
      <c r="AG67" s="518" t="str">
        <f t="shared" ref="AG67:AG80" si="76">IF(D67="","ND",(IF(D67="Boiler",40,IF(D67="Heater",40,IF(D67="Turbine",IF(F67="ساير مدل‌ها ",40,IF(F67="Ruston",20,IF(F67="AVON1533",20,IF(F67="AVON1534",20,IF(F67="Hispano",20,IF(F67="SGT200",20,"ND")))))),"ND")))))</f>
        <v>ND</v>
      </c>
      <c r="AH67" s="518" t="str">
        <f t="shared" ref="AH67:AH80" si="77">IF(D67="","ND",(IF(D67="Boiler",125,IF(D67="Heater",125,IF(D67="Turbine",IF(F67="ساير مدل‌ها ",40,IF(F67="Ruston",20,IF(F67="AVON1533",20,IF(F67="AVON1534",20,IF(F67="Hispano",20,IF(F67="SGT200",20,"ND")))))),"ND")))))</f>
        <v>ND</v>
      </c>
      <c r="AI67" s="518" t="str">
        <f t="shared" ref="AI67:AI80" si="78">IF(D67="","ND",IF(D67="Turbine",125,200))</f>
        <v>ND</v>
      </c>
      <c r="AJ67" s="1266"/>
      <c r="AK67" s="523" t="str">
        <f t="shared" ref="AK67:AK79" si="79">IF(D67="","ND",IF(D67="Turbine",200,125))</f>
        <v>ND</v>
      </c>
      <c r="AL67" s="528" t="str">
        <f t="shared" ref="AL67:AL80" si="80">IF(OR(AE67="",AG67="",AG67="ND"),"",(SQRT((AE67^2)+(AG67^2))))</f>
        <v/>
      </c>
      <c r="AM67" s="528" t="str">
        <f t="shared" ref="AM67:AM79" si="81">IF(OR(AE67="",AH67="",AH67="ND"),"",(SQRT((AE67^2)+(AH67^2))))</f>
        <v/>
      </c>
      <c r="AN67" s="528" t="str">
        <f t="shared" ref="AN67:AN80" si="82">IF(OR(AE67="",AF67="",AF67="ND",AI67="",AI67="ND"),"",(SQRT((AE67^2)+(AF67^2)+(AI67^2)+(40^2))))</f>
        <v/>
      </c>
      <c r="AO67" s="1266"/>
      <c r="AP67" s="528" t="str">
        <f t="shared" ref="AP67:AP80" si="83">IF(OR(AE67="",AF67="",AF67="ND",AK67="",AK67="ND"),"",(SQRT((AE67^2)+(AF67^2)+(AK67^2)+(40^2))))</f>
        <v/>
      </c>
      <c r="AQ67" s="1249"/>
      <c r="AS67" s="719" t="str">
        <f t="shared" ref="AS67:AS80" si="84">IF(OR(V67="",AL67=""),"",V67*AL67)</f>
        <v/>
      </c>
      <c r="AT67" s="719" t="str">
        <f t="shared" ref="AT67:AT80" si="85">IF(OR(W67="",AM67=""),"",W67*AM67)</f>
        <v/>
      </c>
      <c r="AU67" s="719" t="str">
        <f t="shared" ref="AU67" si="86">IF(OR(X67="",AN67=""),"",X67*AN67)</f>
        <v/>
      </c>
      <c r="AV67" s="1293"/>
      <c r="AW67" s="719" t="str">
        <f t="shared" ref="AW67:AW80" si="87">IF(OR(AA67="",AP67=""),"",AA67*AP67)</f>
        <v/>
      </c>
      <c r="AY67" s="719" t="str">
        <f t="shared" ref="AY67:AY80" si="88">IF(AS67="","",AS67^2)</f>
        <v/>
      </c>
      <c r="AZ67" s="719" t="str">
        <f t="shared" si="66"/>
        <v/>
      </c>
      <c r="BA67" s="719" t="str">
        <f t="shared" si="67"/>
        <v/>
      </c>
      <c r="BB67" s="1293"/>
      <c r="BC67" s="719" t="str">
        <f t="shared" ref="BC67:BC80" si="89">IF(AW67="","",AW67^2)</f>
        <v/>
      </c>
    </row>
    <row r="68" spans="1:55" ht="25.95" customHeight="1">
      <c r="A68" s="1041"/>
      <c r="B68" s="1069"/>
      <c r="C68" s="268" t="s">
        <v>318</v>
      </c>
      <c r="D68" s="1057"/>
      <c r="E68" s="1058"/>
      <c r="F68" s="1058"/>
      <c r="G68" s="1059"/>
      <c r="H68" s="289"/>
      <c r="I68" s="684"/>
      <c r="J68" s="763"/>
      <c r="K68" s="709" t="str">
        <f>IF(AND(J68="واقعي",H68=""), "نوع سوخت را مشخص كنيد",    (IF(     AND(J68="واقعي",OR(H68=" Natural Gas",H68="Other Gas 1",H68="Other Gas 2",H68="Other Gas 3",H68="Other Gas 4",H68="Other Gas 5")),     IF((     ((VLOOKUP(H68,'Emission factors'!$B$41:$I$55,7,FALSE))="")      ),"در شيت Compositions آناليز و يا مشخصات سوخت را وارد كنيد",VLOOKUP(H68,'Emission factors'!$B$41:$I$55,7,FALSE)),     "")))</f>
        <v/>
      </c>
      <c r="L68" s="693">
        <v>3.7999999999999999E-2</v>
      </c>
      <c r="M68" s="763"/>
      <c r="N68" s="709" t="str">
        <f>IF(AND(M68="واقعي",H68=""), "نوع سوخت را مشخص كنيد",    (IF(     AND(M68="واقعي",OR(H68=" Natural Gas",H68="Other Gas 1",H68="Other Gas 2",H68="Other Gas 3",H68="Other Gas 4",H68="Other Gas 5")),     IF((     ((VLOOKUP(H68,'Emission factors'!$B$41:$J$55,9,FALSE))="")      ),"در شيت Compositions آناليز و يا مشخصات سوخت را وارد كنيد",VLOOKUP(H68,'Emission factors'!$B$41:$J$55,9,FALSE)),     "")))</f>
        <v/>
      </c>
      <c r="O68" s="1045">
        <v>0.67279999999999995</v>
      </c>
      <c r="P68" s="1046"/>
      <c r="Q68" s="282" t="str">
        <f t="shared" si="68"/>
        <v>ND</v>
      </c>
      <c r="R68" s="694" t="str">
        <f t="shared" si="69"/>
        <v>ND</v>
      </c>
      <c r="S68" s="694" t="str">
        <f t="shared" si="70"/>
        <v>ND</v>
      </c>
      <c r="T68" s="706" t="s">
        <v>284</v>
      </c>
      <c r="U68" s="709" t="str">
        <f t="shared" si="71"/>
        <v>ND</v>
      </c>
      <c r="V68" s="224" t="str">
        <f t="shared" si="72"/>
        <v/>
      </c>
      <c r="W68" s="266" t="str">
        <f t="shared" si="73"/>
        <v/>
      </c>
      <c r="X68" s="266" t="str">
        <f t="shared" si="74"/>
        <v/>
      </c>
      <c r="Y68" s="1043" t="s">
        <v>284</v>
      </c>
      <c r="Z68" s="1044"/>
      <c r="AA68" s="267" t="str">
        <f t="shared" si="75"/>
        <v/>
      </c>
      <c r="AB68" s="216"/>
      <c r="AC68" s="478"/>
      <c r="AD68" s="1248"/>
      <c r="AE68" s="522"/>
      <c r="AF68" s="735" t="str">
        <f>IF(J68="","",IF(J68="پيش‌فرض",40,IF(H68=" Natural Gas",Compositions!$BO$21,IF(H68="Other Gas 1",Compositions!$BO$30,IF(H68="Other Gas 2",Compositions!$BO$39,IF(H68="Other Gas 3",Compositions!$BW$21,IF(H68="Other Gas 4",Compositions!$BW$30,IF(H68="Other Gas 5",Compositions!$BW$39,""))))))       ))</f>
        <v/>
      </c>
      <c r="AG68" s="518" t="str">
        <f t="shared" si="76"/>
        <v>ND</v>
      </c>
      <c r="AH68" s="518" t="str">
        <f t="shared" si="77"/>
        <v>ND</v>
      </c>
      <c r="AI68" s="518" t="str">
        <f t="shared" si="78"/>
        <v>ND</v>
      </c>
      <c r="AJ68" s="1266"/>
      <c r="AK68" s="523" t="str">
        <f t="shared" si="79"/>
        <v>ND</v>
      </c>
      <c r="AL68" s="528" t="str">
        <f t="shared" si="80"/>
        <v/>
      </c>
      <c r="AM68" s="528" t="str">
        <f t="shared" si="81"/>
        <v/>
      </c>
      <c r="AN68" s="528" t="str">
        <f t="shared" si="82"/>
        <v/>
      </c>
      <c r="AO68" s="1266"/>
      <c r="AP68" s="528" t="str">
        <f t="shared" si="83"/>
        <v/>
      </c>
      <c r="AQ68" s="1249"/>
      <c r="AS68" s="719" t="str">
        <f t="shared" si="84"/>
        <v/>
      </c>
      <c r="AT68" s="719" t="str">
        <f t="shared" si="85"/>
        <v/>
      </c>
      <c r="AU68" s="719" t="str">
        <f>IF(OR(X68="",AN68=""),"",X68*AN68)</f>
        <v/>
      </c>
      <c r="AV68" s="1293"/>
      <c r="AW68" s="719" t="str">
        <f t="shared" si="87"/>
        <v/>
      </c>
      <c r="AY68" s="719" t="str">
        <f t="shared" si="88"/>
        <v/>
      </c>
      <c r="AZ68" s="719" t="str">
        <f t="shared" si="66"/>
        <v/>
      </c>
      <c r="BA68" s="719" t="str">
        <f t="shared" si="67"/>
        <v/>
      </c>
      <c r="BB68" s="1293"/>
      <c r="BC68" s="719" t="str">
        <f t="shared" si="89"/>
        <v/>
      </c>
    </row>
    <row r="69" spans="1:55" ht="25.95" customHeight="1">
      <c r="A69" s="1041"/>
      <c r="B69" s="1069"/>
      <c r="C69" s="268" t="s">
        <v>319</v>
      </c>
      <c r="D69" s="1057"/>
      <c r="E69" s="1058"/>
      <c r="F69" s="1058"/>
      <c r="G69" s="1059"/>
      <c r="H69" s="289"/>
      <c r="I69" s="684"/>
      <c r="J69" s="763"/>
      <c r="K69" s="709" t="str">
        <f>IF(AND(J69="واقعي",H69=""), "نوع سوخت را مشخص كنيد",    (IF(     AND(J69="واقعي",OR(H69=" Natural Gas",H69="Other Gas 1",H69="Other Gas 2",H69="Other Gas 3",H69="Other Gas 4",H69="Other Gas 5")),     IF((     ((VLOOKUP(H69,'Emission factors'!$B$41:$I$55,7,FALSE))="")      ),"در شيت Compositions آناليز و يا مشخصات سوخت را وارد كنيد",VLOOKUP(H69,'Emission factors'!$B$41:$I$55,7,FALSE)),     "")))</f>
        <v/>
      </c>
      <c r="L69" s="693">
        <v>3.7999999999999999E-2</v>
      </c>
      <c r="M69" s="763"/>
      <c r="N69" s="709" t="str">
        <f>IF(AND(M69="واقعي",H69=""), "نوع سوخت را مشخص كنيد",    (IF(     AND(M69="واقعي",OR(H69=" Natural Gas",H69="Other Gas 1",H69="Other Gas 2",H69="Other Gas 3",H69="Other Gas 4",H69="Other Gas 5")),     IF((     ((VLOOKUP(H69,'Emission factors'!$B$41:$J$55,9,FALSE))="")      ),"در شيت Compositions آناليز و يا مشخصات سوخت را وارد كنيد",VLOOKUP(H69,'Emission factors'!$B$41:$J$55,9,FALSE)),     "")))</f>
        <v/>
      </c>
      <c r="O69" s="1045">
        <v>0.67279999999999995</v>
      </c>
      <c r="P69" s="1046"/>
      <c r="Q69" s="282" t="str">
        <f t="shared" si="68"/>
        <v>ND</v>
      </c>
      <c r="R69" s="694" t="str">
        <f t="shared" si="69"/>
        <v>ND</v>
      </c>
      <c r="S69" s="694" t="str">
        <f t="shared" si="70"/>
        <v>ND</v>
      </c>
      <c r="T69" s="706" t="s">
        <v>284</v>
      </c>
      <c r="U69" s="709" t="str">
        <f t="shared" si="71"/>
        <v>ND</v>
      </c>
      <c r="V69" s="224" t="str">
        <f t="shared" si="72"/>
        <v/>
      </c>
      <c r="W69" s="266" t="str">
        <f t="shared" si="73"/>
        <v/>
      </c>
      <c r="X69" s="266" t="str">
        <f t="shared" si="74"/>
        <v/>
      </c>
      <c r="Y69" s="1043" t="s">
        <v>284</v>
      </c>
      <c r="Z69" s="1044"/>
      <c r="AA69" s="267" t="str">
        <f t="shared" si="75"/>
        <v/>
      </c>
      <c r="AB69" s="216"/>
      <c r="AC69" s="478"/>
      <c r="AD69" s="1248"/>
      <c r="AE69" s="522"/>
      <c r="AF69" s="735" t="str">
        <f>IF(J69="","",IF(J69="پيش‌فرض",40,IF(H69=" Natural Gas",Compositions!$BO$21,IF(H69="Other Gas 1",Compositions!$BO$30,IF(H69="Other Gas 2",Compositions!$BO$39,IF(H69="Other Gas 3",Compositions!$BW$21,IF(H69="Other Gas 4",Compositions!$BW$30,IF(H69="Other Gas 5",Compositions!$BW$39,""))))))       ))</f>
        <v/>
      </c>
      <c r="AG69" s="518" t="str">
        <f t="shared" si="76"/>
        <v>ND</v>
      </c>
      <c r="AH69" s="518" t="str">
        <f t="shared" si="77"/>
        <v>ND</v>
      </c>
      <c r="AI69" s="518" t="str">
        <f t="shared" si="78"/>
        <v>ND</v>
      </c>
      <c r="AJ69" s="1266"/>
      <c r="AK69" s="523" t="str">
        <f t="shared" si="79"/>
        <v>ND</v>
      </c>
      <c r="AL69" s="528" t="str">
        <f t="shared" si="80"/>
        <v/>
      </c>
      <c r="AM69" s="528" t="str">
        <f t="shared" si="81"/>
        <v/>
      </c>
      <c r="AN69" s="528" t="str">
        <f t="shared" si="82"/>
        <v/>
      </c>
      <c r="AO69" s="1266"/>
      <c r="AP69" s="528" t="str">
        <f t="shared" si="83"/>
        <v/>
      </c>
      <c r="AQ69" s="1249"/>
      <c r="AS69" s="719" t="str">
        <f t="shared" si="84"/>
        <v/>
      </c>
      <c r="AT69" s="719" t="str">
        <f t="shared" si="85"/>
        <v/>
      </c>
      <c r="AU69" s="719" t="str">
        <f t="shared" ref="AU69:AU80" si="90">IF(OR(X69="",AN69=""),"",X69*AN69)</f>
        <v/>
      </c>
      <c r="AV69" s="1293"/>
      <c r="AW69" s="719" t="str">
        <f t="shared" si="87"/>
        <v/>
      </c>
      <c r="AY69" s="719" t="str">
        <f t="shared" si="88"/>
        <v/>
      </c>
      <c r="AZ69" s="719" t="str">
        <f t="shared" si="66"/>
        <v/>
      </c>
      <c r="BA69" s="719" t="str">
        <f t="shared" si="67"/>
        <v/>
      </c>
      <c r="BB69" s="1293"/>
      <c r="BC69" s="719" t="str">
        <f t="shared" si="89"/>
        <v/>
      </c>
    </row>
    <row r="70" spans="1:55" ht="25.95" customHeight="1">
      <c r="A70" s="1041"/>
      <c r="B70" s="1069"/>
      <c r="C70" s="268" t="s">
        <v>320</v>
      </c>
      <c r="D70" s="1057"/>
      <c r="E70" s="1058"/>
      <c r="F70" s="1058"/>
      <c r="G70" s="1059"/>
      <c r="H70" s="289"/>
      <c r="I70" s="684"/>
      <c r="J70" s="763"/>
      <c r="K70" s="709" t="str">
        <f>IF(AND(J70="واقعي",H70=""), "نوع سوخت را مشخص كنيد",    (IF(     AND(J70="واقعي",OR(H70=" Natural Gas",H70="Other Gas 1",H70="Other Gas 2",H70="Other Gas 3",H70="Other Gas 4",H70="Other Gas 5")),     IF((     ((VLOOKUP(H70,'Emission factors'!$B$41:$I$55,7,FALSE))="")      ),"در شيت Compositions آناليز و يا مشخصات سوخت را وارد كنيد",VLOOKUP(H70,'Emission factors'!$B$41:$I$55,7,FALSE)),     "")))</f>
        <v/>
      </c>
      <c r="L70" s="693">
        <v>3.7999999999999999E-2</v>
      </c>
      <c r="M70" s="763"/>
      <c r="N70" s="709" t="str">
        <f>IF(AND(M70="واقعي",H70=""), "نوع سوخت را مشخص كنيد",    (IF(     AND(M70="واقعي",OR(H70=" Natural Gas",H70="Other Gas 1",H70="Other Gas 2",H70="Other Gas 3",H70="Other Gas 4",H70="Other Gas 5")),     IF((     ((VLOOKUP(H70,'Emission factors'!$B$41:$J$55,9,FALSE))="")      ),"در شيت Compositions آناليز و يا مشخصات سوخت را وارد كنيد",VLOOKUP(H70,'Emission factors'!$B$41:$J$55,9,FALSE)),     "")))</f>
        <v/>
      </c>
      <c r="O70" s="1045">
        <v>0.67279999999999995</v>
      </c>
      <c r="P70" s="1046"/>
      <c r="Q70" s="282" t="str">
        <f t="shared" si="68"/>
        <v>ND</v>
      </c>
      <c r="R70" s="694" t="str">
        <f t="shared" si="69"/>
        <v>ND</v>
      </c>
      <c r="S70" s="694" t="str">
        <f t="shared" si="70"/>
        <v>ND</v>
      </c>
      <c r="T70" s="706" t="s">
        <v>284</v>
      </c>
      <c r="U70" s="709" t="str">
        <f t="shared" si="71"/>
        <v>ND</v>
      </c>
      <c r="V70" s="224" t="str">
        <f t="shared" si="72"/>
        <v/>
      </c>
      <c r="W70" s="266" t="str">
        <f t="shared" si="73"/>
        <v/>
      </c>
      <c r="X70" s="266" t="str">
        <f t="shared" si="74"/>
        <v/>
      </c>
      <c r="Y70" s="1043" t="s">
        <v>284</v>
      </c>
      <c r="Z70" s="1044"/>
      <c r="AA70" s="267" t="str">
        <f t="shared" si="75"/>
        <v/>
      </c>
      <c r="AB70" s="216"/>
      <c r="AC70" s="478"/>
      <c r="AD70" s="1248"/>
      <c r="AE70" s="522"/>
      <c r="AF70" s="735" t="str">
        <f>IF(J70="","",IF(J70="پيش‌فرض",40,IF(H70=" Natural Gas",Compositions!$BO$21,IF(H70="Other Gas 1",Compositions!$BO$30,IF(H70="Other Gas 2",Compositions!$BO$39,IF(H70="Other Gas 3",Compositions!$BW$21,IF(H70="Other Gas 4",Compositions!$BW$30,IF(H70="Other Gas 5",Compositions!$BW$39,""))))))       ))</f>
        <v/>
      </c>
      <c r="AG70" s="518" t="str">
        <f t="shared" si="76"/>
        <v>ND</v>
      </c>
      <c r="AH70" s="518" t="str">
        <f t="shared" si="77"/>
        <v>ND</v>
      </c>
      <c r="AI70" s="518" t="str">
        <f t="shared" si="78"/>
        <v>ND</v>
      </c>
      <c r="AJ70" s="1266"/>
      <c r="AK70" s="523" t="str">
        <f t="shared" si="79"/>
        <v>ND</v>
      </c>
      <c r="AL70" s="528" t="str">
        <f t="shared" si="80"/>
        <v/>
      </c>
      <c r="AM70" s="528" t="str">
        <f t="shared" si="81"/>
        <v/>
      </c>
      <c r="AN70" s="528" t="str">
        <f t="shared" si="82"/>
        <v/>
      </c>
      <c r="AO70" s="1266"/>
      <c r="AP70" s="528" t="str">
        <f t="shared" si="83"/>
        <v/>
      </c>
      <c r="AQ70" s="1249"/>
      <c r="AS70" s="719" t="str">
        <f t="shared" si="84"/>
        <v/>
      </c>
      <c r="AT70" s="719" t="str">
        <f t="shared" si="85"/>
        <v/>
      </c>
      <c r="AU70" s="719" t="str">
        <f t="shared" si="90"/>
        <v/>
      </c>
      <c r="AV70" s="1293"/>
      <c r="AW70" s="719" t="str">
        <f t="shared" si="87"/>
        <v/>
      </c>
      <c r="AY70" s="719" t="str">
        <f t="shared" si="88"/>
        <v/>
      </c>
      <c r="AZ70" s="719" t="str">
        <f t="shared" si="66"/>
        <v/>
      </c>
      <c r="BA70" s="719" t="str">
        <f t="shared" si="67"/>
        <v/>
      </c>
      <c r="BB70" s="1293"/>
      <c r="BC70" s="719" t="str">
        <f t="shared" si="89"/>
        <v/>
      </c>
    </row>
    <row r="71" spans="1:55" ht="25.95" customHeight="1">
      <c r="A71" s="1041"/>
      <c r="B71" s="1069"/>
      <c r="C71" s="268" t="s">
        <v>321</v>
      </c>
      <c r="D71" s="1057"/>
      <c r="E71" s="1058"/>
      <c r="F71" s="1058"/>
      <c r="G71" s="1059"/>
      <c r="H71" s="289"/>
      <c r="I71" s="684"/>
      <c r="J71" s="763"/>
      <c r="K71" s="709" t="str">
        <f>IF(AND(J71="واقعي",H71=""), "نوع سوخت را مشخص كنيد",    (IF(     AND(J71="واقعي",OR(H71=" Natural Gas",H71="Other Gas 1",H71="Other Gas 2",H71="Other Gas 3",H71="Other Gas 4",H71="Other Gas 5")),     IF((     ((VLOOKUP(H71,'Emission factors'!$B$41:$I$55,7,FALSE))="")      ),"در شيت Compositions آناليز و يا مشخصات سوخت را وارد كنيد",VLOOKUP(H71,'Emission factors'!$B$41:$I$55,7,FALSE)),     "")))</f>
        <v/>
      </c>
      <c r="L71" s="693">
        <v>3.7999999999999999E-2</v>
      </c>
      <c r="M71" s="763"/>
      <c r="N71" s="709" t="str">
        <f>IF(AND(M71="واقعي",H71=""), "نوع سوخت را مشخص كنيد",    (IF(     AND(M71="واقعي",OR(H71=" Natural Gas",H71="Other Gas 1",H71="Other Gas 2",H71="Other Gas 3",H71="Other Gas 4",H71="Other Gas 5")),     IF((     ((VLOOKUP(H71,'Emission factors'!$B$41:$J$55,9,FALSE))="")      ),"در شيت Compositions آناليز و يا مشخصات سوخت را وارد كنيد",VLOOKUP(H71,'Emission factors'!$B$41:$J$55,9,FALSE)),     "")))</f>
        <v/>
      </c>
      <c r="O71" s="1045">
        <v>0.67279999999999995</v>
      </c>
      <c r="P71" s="1046"/>
      <c r="Q71" s="282" t="str">
        <f t="shared" si="68"/>
        <v>ND</v>
      </c>
      <c r="R71" s="694" t="str">
        <f t="shared" si="69"/>
        <v>ND</v>
      </c>
      <c r="S71" s="694" t="str">
        <f t="shared" si="70"/>
        <v>ND</v>
      </c>
      <c r="T71" s="706" t="s">
        <v>284</v>
      </c>
      <c r="U71" s="709" t="str">
        <f t="shared" si="71"/>
        <v>ND</v>
      </c>
      <c r="V71" s="224" t="str">
        <f t="shared" si="72"/>
        <v/>
      </c>
      <c r="W71" s="266" t="str">
        <f t="shared" si="73"/>
        <v/>
      </c>
      <c r="X71" s="266" t="str">
        <f t="shared" si="74"/>
        <v/>
      </c>
      <c r="Y71" s="1043" t="s">
        <v>284</v>
      </c>
      <c r="Z71" s="1044"/>
      <c r="AA71" s="267" t="str">
        <f t="shared" si="75"/>
        <v/>
      </c>
      <c r="AB71" s="216"/>
      <c r="AC71" s="478"/>
      <c r="AD71" s="1248"/>
      <c r="AE71" s="522"/>
      <c r="AF71" s="735" t="str">
        <f>IF(J71="","",IF(J71="پيش‌فرض",40,IF(H71=" Natural Gas",Compositions!$BO$21,IF(H71="Other Gas 1",Compositions!$BO$30,IF(H71="Other Gas 2",Compositions!$BO$39,IF(H71="Other Gas 3",Compositions!$BW$21,IF(H71="Other Gas 4",Compositions!$BW$30,IF(H71="Other Gas 5",Compositions!$BW$39,""))))))       ))</f>
        <v/>
      </c>
      <c r="AG71" s="518" t="str">
        <f t="shared" si="76"/>
        <v>ND</v>
      </c>
      <c r="AH71" s="518" t="str">
        <f t="shared" si="77"/>
        <v>ND</v>
      </c>
      <c r="AI71" s="518" t="str">
        <f t="shared" si="78"/>
        <v>ND</v>
      </c>
      <c r="AJ71" s="1266"/>
      <c r="AK71" s="523" t="str">
        <f t="shared" si="79"/>
        <v>ND</v>
      </c>
      <c r="AL71" s="528" t="str">
        <f t="shared" si="80"/>
        <v/>
      </c>
      <c r="AM71" s="528" t="str">
        <f t="shared" si="81"/>
        <v/>
      </c>
      <c r="AN71" s="528" t="str">
        <f t="shared" si="82"/>
        <v/>
      </c>
      <c r="AO71" s="1266"/>
      <c r="AP71" s="528" t="str">
        <f t="shared" si="83"/>
        <v/>
      </c>
      <c r="AQ71" s="1249"/>
      <c r="AS71" s="719" t="str">
        <f t="shared" si="84"/>
        <v/>
      </c>
      <c r="AT71" s="719" t="str">
        <f t="shared" si="85"/>
        <v/>
      </c>
      <c r="AU71" s="719" t="str">
        <f t="shared" si="90"/>
        <v/>
      </c>
      <c r="AV71" s="1293"/>
      <c r="AW71" s="719" t="str">
        <f t="shared" si="87"/>
        <v/>
      </c>
      <c r="AY71" s="719" t="str">
        <f t="shared" si="88"/>
        <v/>
      </c>
      <c r="AZ71" s="719" t="str">
        <f t="shared" si="66"/>
        <v/>
      </c>
      <c r="BA71" s="719" t="str">
        <f t="shared" si="67"/>
        <v/>
      </c>
      <c r="BB71" s="1293"/>
      <c r="BC71" s="719" t="str">
        <f t="shared" si="89"/>
        <v/>
      </c>
    </row>
    <row r="72" spans="1:55" ht="25.95" customHeight="1">
      <c r="A72" s="1041"/>
      <c r="B72" s="1069"/>
      <c r="C72" s="268" t="s">
        <v>322</v>
      </c>
      <c r="D72" s="1057"/>
      <c r="E72" s="1058"/>
      <c r="F72" s="1058"/>
      <c r="G72" s="1059"/>
      <c r="H72" s="289"/>
      <c r="I72" s="684"/>
      <c r="J72" s="763"/>
      <c r="K72" s="709" t="str">
        <f>IF(AND(J72="واقعي",H72=""), "نوع سوخت را مشخص كنيد",    (IF(     AND(J72="واقعي",OR(H72=" Natural Gas",H72="Other Gas 1",H72="Other Gas 2",H72="Other Gas 3",H72="Other Gas 4",H72="Other Gas 5")),     IF((     ((VLOOKUP(H72,'Emission factors'!$B$41:$I$55,7,FALSE))="")      ),"در شيت Compositions آناليز و يا مشخصات سوخت را وارد كنيد",VLOOKUP(H72,'Emission factors'!$B$41:$I$55,7,FALSE)),     "")))</f>
        <v/>
      </c>
      <c r="L72" s="693">
        <v>3.7999999999999999E-2</v>
      </c>
      <c r="M72" s="763"/>
      <c r="N72" s="709" t="str">
        <f>IF(AND(M72="واقعي",H72=""), "نوع سوخت را مشخص كنيد",    (IF(     AND(M72="واقعي",OR(H72=" Natural Gas",H72="Other Gas 1",H72="Other Gas 2",H72="Other Gas 3",H72="Other Gas 4",H72="Other Gas 5")),     IF((     ((VLOOKUP(H72,'Emission factors'!$B$41:$J$55,9,FALSE))="")      ),"در شيت Compositions آناليز و يا مشخصات سوخت را وارد كنيد",VLOOKUP(H72,'Emission factors'!$B$41:$J$55,9,FALSE)),     "")))</f>
        <v/>
      </c>
      <c r="O72" s="1045">
        <v>0.67279999999999995</v>
      </c>
      <c r="P72" s="1046"/>
      <c r="Q72" s="282" t="str">
        <f t="shared" si="68"/>
        <v>ND</v>
      </c>
      <c r="R72" s="694" t="str">
        <f t="shared" si="69"/>
        <v>ND</v>
      </c>
      <c r="S72" s="694" t="str">
        <f t="shared" si="70"/>
        <v>ND</v>
      </c>
      <c r="T72" s="706" t="s">
        <v>284</v>
      </c>
      <c r="U72" s="709" t="str">
        <f t="shared" si="71"/>
        <v>ND</v>
      </c>
      <c r="V72" s="224" t="str">
        <f t="shared" si="72"/>
        <v/>
      </c>
      <c r="W72" s="266" t="str">
        <f t="shared" si="73"/>
        <v/>
      </c>
      <c r="X72" s="266" t="str">
        <f t="shared" si="74"/>
        <v/>
      </c>
      <c r="Y72" s="1043" t="s">
        <v>284</v>
      </c>
      <c r="Z72" s="1044"/>
      <c r="AA72" s="267" t="str">
        <f t="shared" si="75"/>
        <v/>
      </c>
      <c r="AB72" s="216"/>
      <c r="AC72" s="478"/>
      <c r="AD72" s="1248"/>
      <c r="AE72" s="522"/>
      <c r="AF72" s="735" t="str">
        <f>IF(J72="","",IF(J72="پيش‌فرض",40,IF(H72=" Natural Gas",Compositions!$BO$21,IF(H72="Other Gas 1",Compositions!$BO$30,IF(H72="Other Gas 2",Compositions!$BO$39,IF(H72="Other Gas 3",Compositions!$BW$21,IF(H72="Other Gas 4",Compositions!$BW$30,IF(H72="Other Gas 5",Compositions!$BW$39,""))))))       ))</f>
        <v/>
      </c>
      <c r="AG72" s="518" t="str">
        <f t="shared" si="76"/>
        <v>ND</v>
      </c>
      <c r="AH72" s="518" t="str">
        <f t="shared" si="77"/>
        <v>ND</v>
      </c>
      <c r="AI72" s="518" t="str">
        <f t="shared" si="78"/>
        <v>ND</v>
      </c>
      <c r="AJ72" s="1266"/>
      <c r="AK72" s="523" t="str">
        <f t="shared" si="79"/>
        <v>ND</v>
      </c>
      <c r="AL72" s="528" t="str">
        <f t="shared" si="80"/>
        <v/>
      </c>
      <c r="AM72" s="528" t="str">
        <f t="shared" si="81"/>
        <v/>
      </c>
      <c r="AN72" s="528" t="str">
        <f t="shared" si="82"/>
        <v/>
      </c>
      <c r="AO72" s="1266"/>
      <c r="AP72" s="528" t="str">
        <f t="shared" si="83"/>
        <v/>
      </c>
      <c r="AQ72" s="1249"/>
      <c r="AS72" s="719" t="str">
        <f t="shared" si="84"/>
        <v/>
      </c>
      <c r="AT72" s="719" t="str">
        <f t="shared" si="85"/>
        <v/>
      </c>
      <c r="AU72" s="719" t="str">
        <f t="shared" si="90"/>
        <v/>
      </c>
      <c r="AV72" s="1293"/>
      <c r="AW72" s="719" t="str">
        <f t="shared" si="87"/>
        <v/>
      </c>
      <c r="AY72" s="719" t="str">
        <f t="shared" si="88"/>
        <v/>
      </c>
      <c r="AZ72" s="719" t="str">
        <f t="shared" si="66"/>
        <v/>
      </c>
      <c r="BA72" s="719" t="str">
        <f t="shared" si="67"/>
        <v/>
      </c>
      <c r="BB72" s="1293"/>
      <c r="BC72" s="719" t="str">
        <f t="shared" si="89"/>
        <v/>
      </c>
    </row>
    <row r="73" spans="1:55" ht="25.95" customHeight="1">
      <c r="A73" s="1041"/>
      <c r="B73" s="1069"/>
      <c r="C73" s="268" t="s">
        <v>545</v>
      </c>
      <c r="D73" s="1057"/>
      <c r="E73" s="1058"/>
      <c r="F73" s="1058"/>
      <c r="G73" s="1059"/>
      <c r="H73" s="289"/>
      <c r="I73" s="684"/>
      <c r="J73" s="763"/>
      <c r="K73" s="709" t="str">
        <f>IF(AND(J73="واقعي",H73=""), "نوع سوخت را مشخص كنيد",    (IF(     AND(J73="واقعي",OR(H73=" Natural Gas",H73="Other Gas 1",H73="Other Gas 2",H73="Other Gas 3",H73="Other Gas 4",H73="Other Gas 5")),     IF((     ((VLOOKUP(H73,'Emission factors'!$B$41:$I$55,7,FALSE))="")      ),"در شيت Compositions آناليز و يا مشخصات سوخت را وارد كنيد",VLOOKUP(H73,'Emission factors'!$B$41:$I$55,7,FALSE)),     "")))</f>
        <v/>
      </c>
      <c r="L73" s="693">
        <v>3.7999999999999999E-2</v>
      </c>
      <c r="M73" s="763"/>
      <c r="N73" s="709" t="str">
        <f>IF(AND(M73="واقعي",H73=""), "نوع سوخت را مشخص كنيد",    (IF(     AND(M73="واقعي",OR(H73=" Natural Gas",H73="Other Gas 1",H73="Other Gas 2",H73="Other Gas 3",H73="Other Gas 4",H73="Other Gas 5")),     IF((     ((VLOOKUP(H73,'Emission factors'!$B$41:$J$55,9,FALSE))="")      ),"در شيت Compositions آناليز و يا مشخصات سوخت را وارد كنيد",VLOOKUP(H73,'Emission factors'!$B$41:$J$55,9,FALSE)),     "")))</f>
        <v/>
      </c>
      <c r="O73" s="1045">
        <v>0.67279999999999995</v>
      </c>
      <c r="P73" s="1046"/>
      <c r="Q73" s="282" t="str">
        <f t="shared" si="68"/>
        <v>ND</v>
      </c>
      <c r="R73" s="694" t="str">
        <f t="shared" si="69"/>
        <v>ND</v>
      </c>
      <c r="S73" s="694" t="str">
        <f t="shared" si="70"/>
        <v>ND</v>
      </c>
      <c r="T73" s="706" t="s">
        <v>284</v>
      </c>
      <c r="U73" s="709" t="str">
        <f t="shared" si="71"/>
        <v>ND</v>
      </c>
      <c r="V73" s="224" t="str">
        <f t="shared" si="72"/>
        <v/>
      </c>
      <c r="W73" s="266" t="str">
        <f t="shared" si="73"/>
        <v/>
      </c>
      <c r="X73" s="266" t="str">
        <f t="shared" si="74"/>
        <v/>
      </c>
      <c r="Y73" s="1043" t="s">
        <v>284</v>
      </c>
      <c r="Z73" s="1044"/>
      <c r="AA73" s="267" t="str">
        <f t="shared" si="75"/>
        <v/>
      </c>
      <c r="AB73" s="216"/>
      <c r="AC73" s="478"/>
      <c r="AD73" s="1248"/>
      <c r="AE73" s="522"/>
      <c r="AF73" s="735" t="str">
        <f>IF(J73="","",IF(J73="پيش‌فرض",40,IF(H73=" Natural Gas",Compositions!$BO$21,IF(H73="Other Gas 1",Compositions!$BO$30,IF(H73="Other Gas 2",Compositions!$BO$39,IF(H73="Other Gas 3",Compositions!$BW$21,IF(H73="Other Gas 4",Compositions!$BW$30,IF(H73="Other Gas 5",Compositions!$BW$39,""))))))       ))</f>
        <v/>
      </c>
      <c r="AG73" s="518" t="str">
        <f t="shared" si="76"/>
        <v>ND</v>
      </c>
      <c r="AH73" s="518" t="str">
        <f t="shared" si="77"/>
        <v>ND</v>
      </c>
      <c r="AI73" s="518" t="str">
        <f t="shared" si="78"/>
        <v>ND</v>
      </c>
      <c r="AJ73" s="1266"/>
      <c r="AK73" s="523" t="str">
        <f t="shared" si="79"/>
        <v>ND</v>
      </c>
      <c r="AL73" s="528" t="str">
        <f t="shared" si="80"/>
        <v/>
      </c>
      <c r="AM73" s="528" t="str">
        <f t="shared" si="81"/>
        <v/>
      </c>
      <c r="AN73" s="528" t="str">
        <f t="shared" si="82"/>
        <v/>
      </c>
      <c r="AO73" s="1266"/>
      <c r="AP73" s="528" t="str">
        <f t="shared" si="83"/>
        <v/>
      </c>
      <c r="AQ73" s="1249"/>
      <c r="AS73" s="719" t="str">
        <f t="shared" si="84"/>
        <v/>
      </c>
      <c r="AT73" s="719" t="str">
        <f t="shared" si="85"/>
        <v/>
      </c>
      <c r="AU73" s="719" t="str">
        <f t="shared" si="90"/>
        <v/>
      </c>
      <c r="AV73" s="1293"/>
      <c r="AW73" s="719" t="str">
        <f t="shared" si="87"/>
        <v/>
      </c>
      <c r="AY73" s="719" t="str">
        <f t="shared" si="88"/>
        <v/>
      </c>
      <c r="AZ73" s="719" t="str">
        <f t="shared" si="66"/>
        <v/>
      </c>
      <c r="BA73" s="719" t="str">
        <f t="shared" si="67"/>
        <v/>
      </c>
      <c r="BB73" s="1293"/>
      <c r="BC73" s="719" t="str">
        <f t="shared" si="89"/>
        <v/>
      </c>
    </row>
    <row r="74" spans="1:55" ht="25.95" customHeight="1">
      <c r="A74" s="1041"/>
      <c r="B74" s="1069"/>
      <c r="C74" s="268" t="s">
        <v>547</v>
      </c>
      <c r="D74" s="1057"/>
      <c r="E74" s="1058"/>
      <c r="F74" s="1058"/>
      <c r="G74" s="1059"/>
      <c r="H74" s="289"/>
      <c r="I74" s="684"/>
      <c r="J74" s="763"/>
      <c r="K74" s="709" t="str">
        <f>IF(AND(J74="واقعي",H74=""), "نوع سوخت را مشخص كنيد",    (IF(     AND(J74="واقعي",OR(H74=" Natural Gas",H74="Other Gas 1",H74="Other Gas 2",H74="Other Gas 3",H74="Other Gas 4",H74="Other Gas 5")),     IF((     ((VLOOKUP(H74,'Emission factors'!$B$41:$I$55,7,FALSE))="")      ),"در شيت Compositions آناليز و يا مشخصات سوخت را وارد كنيد",VLOOKUP(H74,'Emission factors'!$B$41:$I$55,7,FALSE)),     "")))</f>
        <v/>
      </c>
      <c r="L74" s="693">
        <v>3.7999999999999999E-2</v>
      </c>
      <c r="M74" s="763"/>
      <c r="N74" s="709" t="str">
        <f>IF(AND(M74="واقعي",H74=""), "نوع سوخت را مشخص كنيد",    (IF(     AND(M74="واقعي",OR(H74=" Natural Gas",H74="Other Gas 1",H74="Other Gas 2",H74="Other Gas 3",H74="Other Gas 4",H74="Other Gas 5")),     IF((     ((VLOOKUP(H74,'Emission factors'!$B$41:$J$55,9,FALSE))="")      ),"در شيت Compositions آناليز و يا مشخصات سوخت را وارد كنيد",VLOOKUP(H74,'Emission factors'!$B$41:$J$55,9,FALSE)),     "")))</f>
        <v/>
      </c>
      <c r="O74" s="1045">
        <v>0.67279999999999995</v>
      </c>
      <c r="P74" s="1046"/>
      <c r="Q74" s="282" t="str">
        <f t="shared" si="68"/>
        <v>ND</v>
      </c>
      <c r="R74" s="694" t="str">
        <f t="shared" si="69"/>
        <v>ND</v>
      </c>
      <c r="S74" s="694" t="str">
        <f t="shared" si="70"/>
        <v>ND</v>
      </c>
      <c r="T74" s="706" t="s">
        <v>284</v>
      </c>
      <c r="U74" s="709" t="str">
        <f t="shared" si="71"/>
        <v>ND</v>
      </c>
      <c r="V74" s="224" t="str">
        <f t="shared" si="72"/>
        <v/>
      </c>
      <c r="W74" s="266" t="str">
        <f t="shared" si="73"/>
        <v/>
      </c>
      <c r="X74" s="266" t="str">
        <f t="shared" si="74"/>
        <v/>
      </c>
      <c r="Y74" s="1043" t="s">
        <v>284</v>
      </c>
      <c r="Z74" s="1044"/>
      <c r="AA74" s="267" t="str">
        <f t="shared" si="75"/>
        <v/>
      </c>
      <c r="AB74" s="216"/>
      <c r="AC74" s="478"/>
      <c r="AD74" s="1248"/>
      <c r="AE74" s="522"/>
      <c r="AF74" s="735" t="str">
        <f>IF(J74="","",IF(J74="پيش‌فرض",40,IF(H74=" Natural Gas",Compositions!$BO$21,IF(H74="Other Gas 1",Compositions!$BO$30,IF(H74="Other Gas 2",Compositions!$BO$39,IF(H74="Other Gas 3",Compositions!$BW$21,IF(H74="Other Gas 4",Compositions!$BW$30,IF(H74="Other Gas 5",Compositions!$BW$39,""))))))       ))</f>
        <v/>
      </c>
      <c r="AG74" s="518" t="str">
        <f t="shared" si="76"/>
        <v>ND</v>
      </c>
      <c r="AH74" s="518" t="str">
        <f t="shared" si="77"/>
        <v>ND</v>
      </c>
      <c r="AI74" s="518" t="str">
        <f t="shared" si="78"/>
        <v>ND</v>
      </c>
      <c r="AJ74" s="1266"/>
      <c r="AK74" s="523" t="str">
        <f t="shared" si="79"/>
        <v>ND</v>
      </c>
      <c r="AL74" s="528" t="str">
        <f t="shared" si="80"/>
        <v/>
      </c>
      <c r="AM74" s="528" t="str">
        <f t="shared" si="81"/>
        <v/>
      </c>
      <c r="AN74" s="528" t="str">
        <f t="shared" si="82"/>
        <v/>
      </c>
      <c r="AO74" s="1266"/>
      <c r="AP74" s="528" t="str">
        <f t="shared" si="83"/>
        <v/>
      </c>
      <c r="AQ74" s="1249"/>
      <c r="AS74" s="719" t="str">
        <f t="shared" si="84"/>
        <v/>
      </c>
      <c r="AT74" s="719" t="str">
        <f t="shared" si="85"/>
        <v/>
      </c>
      <c r="AU74" s="719" t="str">
        <f t="shared" si="90"/>
        <v/>
      </c>
      <c r="AV74" s="1293"/>
      <c r="AW74" s="719" t="str">
        <f t="shared" si="87"/>
        <v/>
      </c>
      <c r="AY74" s="719" t="str">
        <f t="shared" si="88"/>
        <v/>
      </c>
      <c r="AZ74" s="719" t="str">
        <f t="shared" si="66"/>
        <v/>
      </c>
      <c r="BA74" s="719" t="str">
        <f t="shared" si="67"/>
        <v/>
      </c>
      <c r="BB74" s="1293"/>
      <c r="BC74" s="719" t="str">
        <f t="shared" si="89"/>
        <v/>
      </c>
    </row>
    <row r="75" spans="1:55" ht="25.95" customHeight="1">
      <c r="A75" s="1041"/>
      <c r="B75" s="1069"/>
      <c r="C75" s="268" t="s">
        <v>548</v>
      </c>
      <c r="D75" s="1057"/>
      <c r="E75" s="1058"/>
      <c r="F75" s="1058"/>
      <c r="G75" s="1059"/>
      <c r="H75" s="289"/>
      <c r="I75" s="684"/>
      <c r="J75" s="763"/>
      <c r="K75" s="709" t="str">
        <f>IF(AND(J75="واقعي",H75=""), "نوع سوخت را مشخص كنيد",    (IF(     AND(J75="واقعي",OR(H75=" Natural Gas",H75="Other Gas 1",H75="Other Gas 2",H75="Other Gas 3",H75="Other Gas 4",H75="Other Gas 5")),     IF((     ((VLOOKUP(H75,'Emission factors'!$B$41:$I$55,7,FALSE))="")      ),"در شيت Compositions آناليز و يا مشخصات سوخت را وارد كنيد",VLOOKUP(H75,'Emission factors'!$B$41:$I$55,7,FALSE)),     "")))</f>
        <v/>
      </c>
      <c r="L75" s="693">
        <v>3.7999999999999999E-2</v>
      </c>
      <c r="M75" s="763"/>
      <c r="N75" s="709" t="str">
        <f>IF(AND(M75="واقعي",H75=""), "نوع سوخت را مشخص كنيد",    (IF(     AND(M75="واقعي",OR(H75=" Natural Gas",H75="Other Gas 1",H75="Other Gas 2",H75="Other Gas 3",H75="Other Gas 4",H75="Other Gas 5")),     IF((     ((VLOOKUP(H75,'Emission factors'!$B$41:$J$55,9,FALSE))="")      ),"در شيت Compositions آناليز و يا مشخصات سوخت را وارد كنيد",VLOOKUP(H75,'Emission factors'!$B$41:$J$55,9,FALSE)),     "")))</f>
        <v/>
      </c>
      <c r="O75" s="1045">
        <v>0.67279999999999995</v>
      </c>
      <c r="P75" s="1046"/>
      <c r="Q75" s="282" t="str">
        <f t="shared" si="68"/>
        <v>ND</v>
      </c>
      <c r="R75" s="694" t="str">
        <f t="shared" si="69"/>
        <v>ND</v>
      </c>
      <c r="S75" s="694" t="str">
        <f t="shared" si="70"/>
        <v>ND</v>
      </c>
      <c r="T75" s="706" t="s">
        <v>284</v>
      </c>
      <c r="U75" s="709" t="str">
        <f t="shared" si="71"/>
        <v>ND</v>
      </c>
      <c r="V75" s="224" t="str">
        <f t="shared" si="72"/>
        <v/>
      </c>
      <c r="W75" s="266" t="str">
        <f t="shared" si="73"/>
        <v/>
      </c>
      <c r="X75" s="266" t="str">
        <f t="shared" si="74"/>
        <v/>
      </c>
      <c r="Y75" s="1043" t="s">
        <v>284</v>
      </c>
      <c r="Z75" s="1044"/>
      <c r="AA75" s="267" t="str">
        <f t="shared" si="75"/>
        <v/>
      </c>
      <c r="AB75" s="216"/>
      <c r="AC75" s="478"/>
      <c r="AD75" s="1248"/>
      <c r="AE75" s="522"/>
      <c r="AF75" s="735" t="str">
        <f>IF(J75="","",IF(J75="پيش‌فرض",40,IF(H75=" Natural Gas",Compositions!$BO$21,IF(H75="Other Gas 1",Compositions!$BO$30,IF(H75="Other Gas 2",Compositions!$BO$39,IF(H75="Other Gas 3",Compositions!$BW$21,IF(H75="Other Gas 4",Compositions!$BW$30,IF(H75="Other Gas 5",Compositions!$BW$39,""))))))       ))</f>
        <v/>
      </c>
      <c r="AG75" s="518" t="str">
        <f t="shared" si="76"/>
        <v>ND</v>
      </c>
      <c r="AH75" s="518" t="str">
        <f t="shared" si="77"/>
        <v>ND</v>
      </c>
      <c r="AI75" s="518" t="str">
        <f t="shared" si="78"/>
        <v>ND</v>
      </c>
      <c r="AJ75" s="1266"/>
      <c r="AK75" s="523" t="str">
        <f t="shared" si="79"/>
        <v>ND</v>
      </c>
      <c r="AL75" s="528" t="str">
        <f t="shared" si="80"/>
        <v/>
      </c>
      <c r="AM75" s="528" t="str">
        <f t="shared" si="81"/>
        <v/>
      </c>
      <c r="AN75" s="528" t="str">
        <f t="shared" si="82"/>
        <v/>
      </c>
      <c r="AO75" s="1266"/>
      <c r="AP75" s="528" t="str">
        <f t="shared" si="83"/>
        <v/>
      </c>
      <c r="AQ75" s="1249"/>
      <c r="AS75" s="719" t="str">
        <f t="shared" si="84"/>
        <v/>
      </c>
      <c r="AT75" s="719" t="str">
        <f t="shared" si="85"/>
        <v/>
      </c>
      <c r="AU75" s="719" t="str">
        <f t="shared" si="90"/>
        <v/>
      </c>
      <c r="AV75" s="1293"/>
      <c r="AW75" s="719" t="str">
        <f t="shared" si="87"/>
        <v/>
      </c>
      <c r="AY75" s="719" t="str">
        <f t="shared" si="88"/>
        <v/>
      </c>
      <c r="AZ75" s="719" t="str">
        <f t="shared" si="66"/>
        <v/>
      </c>
      <c r="BA75" s="719" t="str">
        <f t="shared" si="67"/>
        <v/>
      </c>
      <c r="BB75" s="1293"/>
      <c r="BC75" s="719" t="str">
        <f t="shared" si="89"/>
        <v/>
      </c>
    </row>
    <row r="76" spans="1:55" ht="25.95" customHeight="1">
      <c r="A76" s="1041"/>
      <c r="B76" s="1069"/>
      <c r="C76" s="268" t="s">
        <v>551</v>
      </c>
      <c r="D76" s="1057"/>
      <c r="E76" s="1058"/>
      <c r="F76" s="1058"/>
      <c r="G76" s="1059"/>
      <c r="H76" s="289"/>
      <c r="I76" s="684"/>
      <c r="J76" s="763"/>
      <c r="K76" s="709" t="str">
        <f>IF(AND(J76="واقعي",H76=""), "نوع سوخت را مشخص كنيد",    (IF(     AND(J76="واقعي",OR(H76=" Natural Gas",H76="Other Gas 1",H76="Other Gas 2",H76="Other Gas 3",H76="Other Gas 4",H76="Other Gas 5")),     IF((     ((VLOOKUP(H76,'Emission factors'!$B$41:$I$55,7,FALSE))="")      ),"در شيت Compositions آناليز و يا مشخصات سوخت را وارد كنيد",VLOOKUP(H76,'Emission factors'!$B$41:$I$55,7,FALSE)),     "")))</f>
        <v/>
      </c>
      <c r="L76" s="693">
        <v>3.7999999999999999E-2</v>
      </c>
      <c r="M76" s="763"/>
      <c r="N76" s="709" t="str">
        <f>IF(AND(M76="واقعي",H76=""), "نوع سوخت را مشخص كنيد",    (IF(     AND(M76="واقعي",OR(H76=" Natural Gas",H76="Other Gas 1",H76="Other Gas 2",H76="Other Gas 3",H76="Other Gas 4",H76="Other Gas 5")),     IF((     ((VLOOKUP(H76,'Emission factors'!$B$41:$J$55,9,FALSE))="")      ),"در شيت Compositions آناليز و يا مشخصات سوخت را وارد كنيد",VLOOKUP(H76,'Emission factors'!$B$41:$J$55,9,FALSE)),     "")))</f>
        <v/>
      </c>
      <c r="O76" s="1045">
        <v>0.67279999999999995</v>
      </c>
      <c r="P76" s="1046"/>
      <c r="Q76" s="282" t="str">
        <f t="shared" si="68"/>
        <v>ND</v>
      </c>
      <c r="R76" s="694" t="str">
        <f t="shared" si="69"/>
        <v>ND</v>
      </c>
      <c r="S76" s="694" t="str">
        <f t="shared" si="70"/>
        <v>ND</v>
      </c>
      <c r="T76" s="706" t="s">
        <v>284</v>
      </c>
      <c r="U76" s="709" t="str">
        <f t="shared" si="71"/>
        <v>ND</v>
      </c>
      <c r="V76" s="224" t="str">
        <f t="shared" si="72"/>
        <v/>
      </c>
      <c r="W76" s="266" t="str">
        <f t="shared" si="73"/>
        <v/>
      </c>
      <c r="X76" s="266" t="str">
        <f t="shared" si="74"/>
        <v/>
      </c>
      <c r="Y76" s="1043" t="s">
        <v>284</v>
      </c>
      <c r="Z76" s="1044"/>
      <c r="AA76" s="267" t="str">
        <f t="shared" si="75"/>
        <v/>
      </c>
      <c r="AB76" s="216"/>
      <c r="AC76" s="478"/>
      <c r="AD76" s="1248"/>
      <c r="AE76" s="522"/>
      <c r="AF76" s="735" t="str">
        <f>IF(J76="","",IF(J76="پيش‌فرض",40,IF(H76=" Natural Gas",Compositions!$BO$21,IF(H76="Other Gas 1",Compositions!$BO$30,IF(H76="Other Gas 2",Compositions!$BO$39,IF(H76="Other Gas 3",Compositions!$BW$21,IF(H76="Other Gas 4",Compositions!$BW$30,IF(H76="Other Gas 5",Compositions!$BW$39,""))))))       ))</f>
        <v/>
      </c>
      <c r="AG76" s="518" t="str">
        <f t="shared" si="76"/>
        <v>ND</v>
      </c>
      <c r="AH76" s="518" t="str">
        <f t="shared" si="77"/>
        <v>ND</v>
      </c>
      <c r="AI76" s="518" t="str">
        <f t="shared" si="78"/>
        <v>ND</v>
      </c>
      <c r="AJ76" s="1266"/>
      <c r="AK76" s="523" t="str">
        <f t="shared" si="79"/>
        <v>ND</v>
      </c>
      <c r="AL76" s="528" t="str">
        <f t="shared" si="80"/>
        <v/>
      </c>
      <c r="AM76" s="528" t="str">
        <f t="shared" si="81"/>
        <v/>
      </c>
      <c r="AN76" s="528" t="str">
        <f t="shared" si="82"/>
        <v/>
      </c>
      <c r="AO76" s="1266"/>
      <c r="AP76" s="528" t="str">
        <f t="shared" si="83"/>
        <v/>
      </c>
      <c r="AQ76" s="1249"/>
      <c r="AS76" s="719" t="str">
        <f t="shared" si="84"/>
        <v/>
      </c>
      <c r="AT76" s="719" t="str">
        <f t="shared" si="85"/>
        <v/>
      </c>
      <c r="AU76" s="719" t="str">
        <f t="shared" si="90"/>
        <v/>
      </c>
      <c r="AV76" s="1293"/>
      <c r="AW76" s="719" t="str">
        <f t="shared" si="87"/>
        <v/>
      </c>
      <c r="AY76" s="719" t="str">
        <f t="shared" si="88"/>
        <v/>
      </c>
      <c r="AZ76" s="719" t="str">
        <f t="shared" si="66"/>
        <v/>
      </c>
      <c r="BA76" s="719" t="str">
        <f t="shared" si="67"/>
        <v/>
      </c>
      <c r="BB76" s="1293"/>
      <c r="BC76" s="719" t="str">
        <f t="shared" si="89"/>
        <v/>
      </c>
    </row>
    <row r="77" spans="1:55" ht="25.95" customHeight="1">
      <c r="A77" s="1041"/>
      <c r="B77" s="1069"/>
      <c r="C77" s="268" t="s">
        <v>972</v>
      </c>
      <c r="D77" s="1057"/>
      <c r="E77" s="1058"/>
      <c r="F77" s="1058"/>
      <c r="G77" s="1059"/>
      <c r="H77" s="289"/>
      <c r="I77" s="684"/>
      <c r="J77" s="763"/>
      <c r="K77" s="709" t="str">
        <f>IF(AND(J77="واقعي",H77=""), "نوع سوخت را مشخص كنيد",    (IF(     AND(J77="واقعي",OR(H77=" Natural Gas",H77="Other Gas 1",H77="Other Gas 2",H77="Other Gas 3",H77="Other Gas 4",H77="Other Gas 5")),     IF((     ((VLOOKUP(H77,'Emission factors'!$B$41:$I$55,7,FALSE))="")      ),"در شيت Compositions آناليز و يا مشخصات سوخت را وارد كنيد",VLOOKUP(H77,'Emission factors'!$B$41:$I$55,7,FALSE)),     "")))</f>
        <v/>
      </c>
      <c r="L77" s="693">
        <v>3.7999999999999999E-2</v>
      </c>
      <c r="M77" s="763"/>
      <c r="N77" s="709" t="str">
        <f>IF(AND(M77="واقعي",H77=""), "نوع سوخت را مشخص كنيد",    (IF(     AND(M77="واقعي",OR(H77=" Natural Gas",H77="Other Gas 1",H77="Other Gas 2",H77="Other Gas 3",H77="Other Gas 4",H77="Other Gas 5")),     IF((     ((VLOOKUP(H77,'Emission factors'!$B$41:$J$55,9,FALSE))="")      ),"در شيت Compositions آناليز و يا مشخصات سوخت را وارد كنيد",VLOOKUP(H77,'Emission factors'!$B$41:$J$55,9,FALSE)),     "")))</f>
        <v/>
      </c>
      <c r="O77" s="1045">
        <v>0.67279999999999995</v>
      </c>
      <c r="P77" s="1046"/>
      <c r="Q77" s="282" t="str">
        <f t="shared" si="68"/>
        <v>ND</v>
      </c>
      <c r="R77" s="694" t="str">
        <f t="shared" si="69"/>
        <v>ND</v>
      </c>
      <c r="S77" s="694" t="str">
        <f t="shared" si="70"/>
        <v>ND</v>
      </c>
      <c r="T77" s="706" t="s">
        <v>284</v>
      </c>
      <c r="U77" s="709" t="str">
        <f t="shared" si="71"/>
        <v>ND</v>
      </c>
      <c r="V77" s="224" t="str">
        <f t="shared" si="72"/>
        <v/>
      </c>
      <c r="W77" s="266" t="str">
        <f t="shared" si="73"/>
        <v/>
      </c>
      <c r="X77" s="266" t="str">
        <f t="shared" si="74"/>
        <v/>
      </c>
      <c r="Y77" s="1043" t="s">
        <v>284</v>
      </c>
      <c r="Z77" s="1044"/>
      <c r="AA77" s="267" t="str">
        <f t="shared" si="75"/>
        <v/>
      </c>
      <c r="AB77" s="216"/>
      <c r="AC77" s="478"/>
      <c r="AD77" s="1248"/>
      <c r="AE77" s="522"/>
      <c r="AF77" s="735" t="str">
        <f>IF(J77="","",IF(J77="پيش‌فرض",40,IF(H77=" Natural Gas",Compositions!$BO$21,IF(H77="Other Gas 1",Compositions!$BO$30,IF(H77="Other Gas 2",Compositions!$BO$39,IF(H77="Other Gas 3",Compositions!$BW$21,IF(H77="Other Gas 4",Compositions!$BW$30,IF(H77="Other Gas 5",Compositions!$BW$39,""))))))       ))</f>
        <v/>
      </c>
      <c r="AG77" s="518" t="str">
        <f t="shared" si="76"/>
        <v>ND</v>
      </c>
      <c r="AH77" s="518" t="str">
        <f t="shared" si="77"/>
        <v>ND</v>
      </c>
      <c r="AI77" s="518" t="str">
        <f t="shared" si="78"/>
        <v>ND</v>
      </c>
      <c r="AJ77" s="1266"/>
      <c r="AK77" s="523" t="str">
        <f t="shared" si="79"/>
        <v>ND</v>
      </c>
      <c r="AL77" s="528" t="str">
        <f t="shared" si="80"/>
        <v/>
      </c>
      <c r="AM77" s="528" t="str">
        <f t="shared" si="81"/>
        <v/>
      </c>
      <c r="AN77" s="528" t="str">
        <f t="shared" si="82"/>
        <v/>
      </c>
      <c r="AO77" s="1266"/>
      <c r="AP77" s="528" t="str">
        <f t="shared" si="83"/>
        <v/>
      </c>
      <c r="AQ77" s="1249"/>
      <c r="AS77" s="719" t="str">
        <f t="shared" si="84"/>
        <v/>
      </c>
      <c r="AT77" s="719" t="str">
        <f t="shared" si="85"/>
        <v/>
      </c>
      <c r="AU77" s="719" t="str">
        <f t="shared" si="90"/>
        <v/>
      </c>
      <c r="AV77" s="1293"/>
      <c r="AW77" s="719" t="str">
        <f t="shared" si="87"/>
        <v/>
      </c>
      <c r="AY77" s="719" t="str">
        <f t="shared" si="88"/>
        <v/>
      </c>
      <c r="AZ77" s="719" t="str">
        <f t="shared" si="66"/>
        <v/>
      </c>
      <c r="BA77" s="719" t="str">
        <f t="shared" si="67"/>
        <v/>
      </c>
      <c r="BB77" s="1293"/>
      <c r="BC77" s="719" t="str">
        <f t="shared" si="89"/>
        <v/>
      </c>
    </row>
    <row r="78" spans="1:55" ht="25.95" customHeight="1">
      <c r="A78" s="1041"/>
      <c r="B78" s="1069"/>
      <c r="C78" s="268" t="s">
        <v>973</v>
      </c>
      <c r="D78" s="1057"/>
      <c r="E78" s="1058"/>
      <c r="F78" s="1058"/>
      <c r="G78" s="1059"/>
      <c r="H78" s="289"/>
      <c r="I78" s="684"/>
      <c r="J78" s="763"/>
      <c r="K78" s="709" t="str">
        <f>IF(AND(J78="واقعي",H78=""), "نوع سوخت را مشخص كنيد",    (IF(     AND(J78="واقعي",OR(H78=" Natural Gas",H78="Other Gas 1",H78="Other Gas 2",H78="Other Gas 3",H78="Other Gas 4",H78="Other Gas 5")),     IF((     ((VLOOKUP(H78,'Emission factors'!$B$41:$I$55,7,FALSE))="")      ),"در شيت Compositions آناليز و يا مشخصات سوخت را وارد كنيد",VLOOKUP(H78,'Emission factors'!$B$41:$I$55,7,FALSE)),     "")))</f>
        <v/>
      </c>
      <c r="L78" s="693">
        <v>3.7999999999999999E-2</v>
      </c>
      <c r="M78" s="763"/>
      <c r="N78" s="709" t="str">
        <f>IF(AND(M78="واقعي",H78=""), "نوع سوخت را مشخص كنيد",    (IF(     AND(M78="واقعي",OR(H78=" Natural Gas",H78="Other Gas 1",H78="Other Gas 2",H78="Other Gas 3",H78="Other Gas 4",H78="Other Gas 5")),     IF((     ((VLOOKUP(H78,'Emission factors'!$B$41:$J$55,9,FALSE))="")      ),"در شيت Compositions آناليز و يا مشخصات سوخت را وارد كنيد",VLOOKUP(H78,'Emission factors'!$B$41:$J$55,9,FALSE)),     "")))</f>
        <v/>
      </c>
      <c r="O78" s="1045">
        <v>0.67279999999999995</v>
      </c>
      <c r="P78" s="1046"/>
      <c r="Q78" s="282" t="str">
        <f t="shared" si="68"/>
        <v>ND</v>
      </c>
      <c r="R78" s="694" t="str">
        <f t="shared" si="69"/>
        <v>ND</v>
      </c>
      <c r="S78" s="694" t="str">
        <f t="shared" si="70"/>
        <v>ND</v>
      </c>
      <c r="T78" s="706" t="s">
        <v>284</v>
      </c>
      <c r="U78" s="709" t="str">
        <f t="shared" si="71"/>
        <v>ND</v>
      </c>
      <c r="V78" s="224" t="str">
        <f t="shared" si="72"/>
        <v/>
      </c>
      <c r="W78" s="266" t="str">
        <f t="shared" si="73"/>
        <v/>
      </c>
      <c r="X78" s="266" t="str">
        <f t="shared" si="74"/>
        <v/>
      </c>
      <c r="Y78" s="1043" t="s">
        <v>284</v>
      </c>
      <c r="Z78" s="1044"/>
      <c r="AA78" s="267" t="str">
        <f t="shared" si="75"/>
        <v/>
      </c>
      <c r="AB78" s="216"/>
      <c r="AC78" s="478"/>
      <c r="AD78" s="1248"/>
      <c r="AE78" s="522"/>
      <c r="AF78" s="735" t="str">
        <f>IF(J78="","",IF(J78="پيش‌فرض",40,IF(H78=" Natural Gas",Compositions!$BO$21,IF(H78="Other Gas 1",Compositions!$BO$30,IF(H78="Other Gas 2",Compositions!$BO$39,IF(H78="Other Gas 3",Compositions!$BW$21,IF(H78="Other Gas 4",Compositions!$BW$30,IF(H78="Other Gas 5",Compositions!$BW$39,""))))))       ))</f>
        <v/>
      </c>
      <c r="AG78" s="518" t="str">
        <f t="shared" si="76"/>
        <v>ND</v>
      </c>
      <c r="AH78" s="518" t="str">
        <f t="shared" si="77"/>
        <v>ND</v>
      </c>
      <c r="AI78" s="518" t="str">
        <f t="shared" si="78"/>
        <v>ND</v>
      </c>
      <c r="AJ78" s="1266"/>
      <c r="AK78" s="523" t="str">
        <f t="shared" si="79"/>
        <v>ND</v>
      </c>
      <c r="AL78" s="528" t="str">
        <f t="shared" si="80"/>
        <v/>
      </c>
      <c r="AM78" s="528" t="str">
        <f t="shared" si="81"/>
        <v/>
      </c>
      <c r="AN78" s="528" t="str">
        <f t="shared" si="82"/>
        <v/>
      </c>
      <c r="AO78" s="1266"/>
      <c r="AP78" s="528" t="str">
        <f t="shared" si="83"/>
        <v/>
      </c>
      <c r="AQ78" s="1249"/>
      <c r="AS78" s="719" t="str">
        <f t="shared" si="84"/>
        <v/>
      </c>
      <c r="AT78" s="719" t="str">
        <f t="shared" si="85"/>
        <v/>
      </c>
      <c r="AU78" s="719" t="str">
        <f t="shared" si="90"/>
        <v/>
      </c>
      <c r="AV78" s="1293"/>
      <c r="AW78" s="719" t="str">
        <f t="shared" si="87"/>
        <v/>
      </c>
      <c r="AY78" s="719" t="str">
        <f t="shared" si="88"/>
        <v/>
      </c>
      <c r="AZ78" s="719" t="str">
        <f t="shared" si="66"/>
        <v/>
      </c>
      <c r="BA78" s="719" t="str">
        <f t="shared" si="67"/>
        <v/>
      </c>
      <c r="BB78" s="1293"/>
      <c r="BC78" s="719" t="str">
        <f t="shared" si="89"/>
        <v/>
      </c>
    </row>
    <row r="79" spans="1:55" ht="25.95" customHeight="1">
      <c r="A79" s="1041"/>
      <c r="B79" s="1069"/>
      <c r="C79" s="268" t="s">
        <v>974</v>
      </c>
      <c r="D79" s="1057"/>
      <c r="E79" s="1058"/>
      <c r="F79" s="1058"/>
      <c r="G79" s="1059"/>
      <c r="H79" s="289"/>
      <c r="I79" s="684"/>
      <c r="J79" s="763"/>
      <c r="K79" s="709" t="str">
        <f>IF(AND(J79="واقعي",H79=""), "نوع سوخت را مشخص كنيد",    (IF(     AND(J79="واقعي",OR(H79=" Natural Gas",H79="Other Gas 1",H79="Other Gas 2",H79="Other Gas 3",H79="Other Gas 4",H79="Other Gas 5")),     IF((     ((VLOOKUP(H79,'Emission factors'!$B$41:$I$55,7,FALSE))="")      ),"در شيت Compositions آناليز و يا مشخصات سوخت را وارد كنيد",VLOOKUP(H79,'Emission factors'!$B$41:$I$55,7,FALSE)),     "")))</f>
        <v/>
      </c>
      <c r="L79" s="693">
        <v>3.7999999999999999E-2</v>
      </c>
      <c r="M79" s="763"/>
      <c r="N79" s="709" t="str">
        <f>IF(AND(M79="واقعي",H79=""), "نوع سوخت را مشخص كنيد",    (IF(     AND(M79="واقعي",OR(H79=" Natural Gas",H79="Other Gas 1",H79="Other Gas 2",H79="Other Gas 3",H79="Other Gas 4",H79="Other Gas 5")),     IF((     ((VLOOKUP(H79,'Emission factors'!$B$41:$J$55,9,FALSE))="")      ),"در شيت Compositions آناليز و يا مشخصات سوخت را وارد كنيد",VLOOKUP(H79,'Emission factors'!$B$41:$J$55,9,FALSE)),     "")))</f>
        <v/>
      </c>
      <c r="O79" s="1045">
        <v>0.67279999999999995</v>
      </c>
      <c r="P79" s="1046"/>
      <c r="Q79" s="282" t="str">
        <f t="shared" si="68"/>
        <v>ND</v>
      </c>
      <c r="R79" s="694" t="str">
        <f t="shared" si="69"/>
        <v>ND</v>
      </c>
      <c r="S79" s="694" t="str">
        <f t="shared" si="70"/>
        <v>ND</v>
      </c>
      <c r="T79" s="706" t="s">
        <v>284</v>
      </c>
      <c r="U79" s="709" t="str">
        <f t="shared" si="71"/>
        <v>ND</v>
      </c>
      <c r="V79" s="224" t="str">
        <f t="shared" si="72"/>
        <v/>
      </c>
      <c r="W79" s="266" t="str">
        <f t="shared" si="73"/>
        <v/>
      </c>
      <c r="X79" s="266" t="str">
        <f t="shared" si="74"/>
        <v/>
      </c>
      <c r="Y79" s="1043" t="s">
        <v>284</v>
      </c>
      <c r="Z79" s="1044"/>
      <c r="AA79" s="267" t="str">
        <f t="shared" si="75"/>
        <v/>
      </c>
      <c r="AB79" s="216"/>
      <c r="AC79" s="478"/>
      <c r="AD79" s="1248"/>
      <c r="AE79" s="522"/>
      <c r="AF79" s="735" t="str">
        <f>IF(J79="","",IF(J79="پيش‌فرض",40,IF(H79=" Natural Gas",Compositions!$BO$21,IF(H79="Other Gas 1",Compositions!$BO$30,IF(H79="Other Gas 2",Compositions!$BO$39,IF(H79="Other Gas 3",Compositions!$BW$21,IF(H79="Other Gas 4",Compositions!$BW$30,IF(H79="Other Gas 5",Compositions!$BW$39,""))))))       ))</f>
        <v/>
      </c>
      <c r="AG79" s="518" t="str">
        <f t="shared" si="76"/>
        <v>ND</v>
      </c>
      <c r="AH79" s="518" t="str">
        <f t="shared" si="77"/>
        <v>ND</v>
      </c>
      <c r="AI79" s="518" t="str">
        <f t="shared" si="78"/>
        <v>ND</v>
      </c>
      <c r="AJ79" s="1266"/>
      <c r="AK79" s="523" t="str">
        <f t="shared" si="79"/>
        <v>ND</v>
      </c>
      <c r="AL79" s="528" t="str">
        <f t="shared" si="80"/>
        <v/>
      </c>
      <c r="AM79" s="528" t="str">
        <f t="shared" si="81"/>
        <v/>
      </c>
      <c r="AN79" s="528" t="str">
        <f t="shared" si="82"/>
        <v/>
      </c>
      <c r="AO79" s="1266"/>
      <c r="AP79" s="528" t="str">
        <f t="shared" si="83"/>
        <v/>
      </c>
      <c r="AQ79" s="1249"/>
      <c r="AS79" s="719" t="str">
        <f t="shared" si="84"/>
        <v/>
      </c>
      <c r="AT79" s="719" t="str">
        <f t="shared" si="85"/>
        <v/>
      </c>
      <c r="AU79" s="719" t="str">
        <f t="shared" si="90"/>
        <v/>
      </c>
      <c r="AV79" s="1293"/>
      <c r="AW79" s="719" t="str">
        <f t="shared" si="87"/>
        <v/>
      </c>
      <c r="AY79" s="719" t="str">
        <f t="shared" si="88"/>
        <v/>
      </c>
      <c r="AZ79" s="719" t="str">
        <f t="shared" si="66"/>
        <v/>
      </c>
      <c r="BA79" s="719" t="str">
        <f t="shared" si="67"/>
        <v/>
      </c>
      <c r="BB79" s="1293"/>
      <c r="BC79" s="719" t="str">
        <f t="shared" si="89"/>
        <v/>
      </c>
    </row>
    <row r="80" spans="1:55" ht="25.95" customHeight="1" thickBot="1">
      <c r="A80" s="1041"/>
      <c r="B80" s="1070"/>
      <c r="C80" s="269" t="s">
        <v>975</v>
      </c>
      <c r="D80" s="1060"/>
      <c r="E80" s="1061"/>
      <c r="F80" s="1061"/>
      <c r="G80" s="1062"/>
      <c r="H80" s="290"/>
      <c r="I80" s="291"/>
      <c r="J80" s="764"/>
      <c r="K80" s="832" t="str">
        <f>IF(AND(J80="واقعي",H80=""), "نوع سوخت را مشخص كنيد",    (IF(     AND(J80="واقعي",OR(H80=" Natural Gas",H80="Other Gas 1",H80="Other Gas 2",H80="Other Gas 3",H80="Other Gas 4",H80="Other Gas 5")),     IF((     ((VLOOKUP(H80,'Emission factors'!$B$41:$I$55,7,FALSE))="")      ),"در شيت Compositions آناليز و يا مشخصات سوخت را وارد كنيد",VLOOKUP(H80,'Emission factors'!$B$41:$I$55,7,FALSE)),     "")))</f>
        <v/>
      </c>
      <c r="L80" s="692">
        <v>3.7999999999999999E-2</v>
      </c>
      <c r="M80" s="764"/>
      <c r="N80" s="832" t="str">
        <f>IF(AND(M80="واقعي",H80=""), "نوع سوخت را مشخص كنيد",    (IF(     AND(M80="واقعي",OR(H80=" Natural Gas",H80="Other Gas 1",H80="Other Gas 2",H80="Other Gas 3",H80="Other Gas 4",H80="Other Gas 5")),     IF((     ((VLOOKUP(H80,'Emission factors'!$B$41:$J$55,9,FALSE))="")      ),"در شيت Compositions آناليز و يا مشخصات سوخت را وارد كنيد",VLOOKUP(H80,'Emission factors'!$B$41:$J$55,9,FALSE)),     "")))</f>
        <v/>
      </c>
      <c r="O80" s="1063">
        <v>0.67279999999999995</v>
      </c>
      <c r="P80" s="1064"/>
      <c r="Q80" s="282" t="str">
        <f t="shared" si="68"/>
        <v>ND</v>
      </c>
      <c r="R80" s="694" t="str">
        <f>IF(D80="","ND",(IF(D80="Boiler",5.1,IF(D80="Heater",2.6,IF(D80="Turbine",IF(F80="ساير مدل‌ها ",6.2,IF(F80="Ruston",6.5,IF(F80="AVON1533",5.9,IF(F80="AVON1534",11.4,IF(F80="Hispano",3.5,IF(F80="SGT200",1.6,"ND")))))),"ND")))))</f>
        <v>ND</v>
      </c>
      <c r="S80" s="694" t="str">
        <f t="shared" si="70"/>
        <v>ND</v>
      </c>
      <c r="T80" s="706" t="s">
        <v>284</v>
      </c>
      <c r="U80" s="709" t="str">
        <f t="shared" si="71"/>
        <v>ND</v>
      </c>
      <c r="V80" s="224" t="str">
        <f t="shared" si="72"/>
        <v/>
      </c>
      <c r="W80" s="266" t="str">
        <f t="shared" si="73"/>
        <v/>
      </c>
      <c r="X80" s="266" t="str">
        <f t="shared" si="74"/>
        <v/>
      </c>
      <c r="Y80" s="1043" t="s">
        <v>284</v>
      </c>
      <c r="Z80" s="1044"/>
      <c r="AA80" s="267" t="str">
        <f t="shared" si="75"/>
        <v/>
      </c>
      <c r="AB80" s="216"/>
      <c r="AC80" s="478"/>
      <c r="AD80" s="1268"/>
      <c r="AE80" s="533"/>
      <c r="AF80" s="735" t="str">
        <f>IF(J80="","",IF(J80="پيش‌فرض",40,IF(H80=" Natural Gas",Compositions!$BO$21,IF(H80="Other Gas 1",Compositions!$BO$30,IF(H80="Other Gas 2",Compositions!$BO$39,IF(H80="Other Gas 3",Compositions!$BW$21,IF(H80="Other Gas 4",Compositions!$BW$30,IF(H80="Other Gas 5",Compositions!$BW$39,""))))))       ))</f>
        <v/>
      </c>
      <c r="AG80" s="518" t="str">
        <f t="shared" si="76"/>
        <v>ND</v>
      </c>
      <c r="AH80" s="518" t="str">
        <f t="shared" si="77"/>
        <v>ND</v>
      </c>
      <c r="AI80" s="518" t="str">
        <f t="shared" si="78"/>
        <v>ND</v>
      </c>
      <c r="AJ80" s="1267"/>
      <c r="AK80" s="523" t="str">
        <f>IF(D80="","ND",IF(D80="Turbine",200,125))</f>
        <v>ND</v>
      </c>
      <c r="AL80" s="528" t="str">
        <f t="shared" si="80"/>
        <v/>
      </c>
      <c r="AM80" s="528" t="str">
        <f>IF(OR(AE80="",AH80="",AH80="ND"),"",(SQRT((AE80^2)+(AH80^2))))</f>
        <v/>
      </c>
      <c r="AN80" s="528" t="str">
        <f t="shared" si="82"/>
        <v/>
      </c>
      <c r="AO80" s="1267"/>
      <c r="AP80" s="528" t="str">
        <f t="shared" si="83"/>
        <v/>
      </c>
      <c r="AQ80" s="1270"/>
      <c r="AS80" s="719" t="str">
        <f t="shared" si="84"/>
        <v/>
      </c>
      <c r="AT80" s="719" t="str">
        <f t="shared" si="85"/>
        <v/>
      </c>
      <c r="AU80" s="719" t="str">
        <f t="shared" si="90"/>
        <v/>
      </c>
      <c r="AV80" s="1294"/>
      <c r="AW80" s="719" t="str">
        <f t="shared" si="87"/>
        <v/>
      </c>
      <c r="AY80" s="719" t="str">
        <f t="shared" si="88"/>
        <v/>
      </c>
      <c r="AZ80" s="719" t="str">
        <f t="shared" si="66"/>
        <v/>
      </c>
      <c r="BA80" s="719" t="str">
        <f t="shared" si="67"/>
        <v/>
      </c>
      <c r="BB80" s="1294"/>
      <c r="BC80" s="719" t="str">
        <f t="shared" si="89"/>
        <v/>
      </c>
    </row>
    <row r="81" spans="1:55" ht="19.95" customHeight="1" thickBot="1">
      <c r="A81" s="1065" t="s">
        <v>287</v>
      </c>
      <c r="B81" s="1066"/>
      <c r="C81" s="1188"/>
      <c r="D81" s="1188"/>
      <c r="E81" s="1188"/>
      <c r="F81" s="1188"/>
      <c r="G81" s="1188"/>
      <c r="H81" s="1188"/>
      <c r="I81" s="1188"/>
      <c r="J81" s="1188"/>
      <c r="K81" s="1188"/>
      <c r="L81" s="1188"/>
      <c r="M81" s="1188"/>
      <c r="N81" s="1188"/>
      <c r="O81" s="1188"/>
      <c r="P81" s="1188"/>
      <c r="Q81" s="1066"/>
      <c r="R81" s="1066"/>
      <c r="S81" s="1066"/>
      <c r="T81" s="1066"/>
      <c r="U81" s="1066"/>
      <c r="V81" s="1066"/>
      <c r="W81" s="1066"/>
      <c r="X81" s="1066"/>
      <c r="Y81" s="1066"/>
      <c r="Z81" s="1066"/>
      <c r="AA81" s="1066"/>
      <c r="AB81" s="1067"/>
      <c r="AC81" s="478"/>
      <c r="AD81" s="1244"/>
      <c r="AE81" s="1245"/>
      <c r="AF81" s="1245"/>
      <c r="AG81" s="1245"/>
      <c r="AH81" s="1245"/>
      <c r="AI81" s="1245"/>
      <c r="AJ81" s="1245"/>
      <c r="AK81" s="1245"/>
      <c r="AL81" s="1245"/>
      <c r="AM81" s="1245"/>
      <c r="AN81" s="1245"/>
      <c r="AO81" s="1245"/>
      <c r="AP81" s="1245"/>
      <c r="AQ81" s="1246"/>
    </row>
    <row r="82" spans="1:55" ht="29.55" customHeight="1" thickBot="1">
      <c r="A82" s="1040"/>
      <c r="B82" s="2" t="s">
        <v>116</v>
      </c>
      <c r="C82" s="1068" t="s">
        <v>749</v>
      </c>
      <c r="D82" s="1204" t="s">
        <v>751</v>
      </c>
      <c r="E82" s="1205"/>
      <c r="F82" s="1205"/>
      <c r="G82" s="1205"/>
      <c r="H82" s="1205"/>
      <c r="I82" s="1205"/>
      <c r="J82" s="1205"/>
      <c r="K82" s="1205"/>
      <c r="L82" s="1205"/>
      <c r="M82" s="1205"/>
      <c r="N82" s="1205"/>
      <c r="O82" s="1205"/>
      <c r="P82" s="1206"/>
      <c r="Q82" s="1232"/>
      <c r="R82" s="1233"/>
      <c r="S82" s="1233"/>
      <c r="T82" s="1233"/>
      <c r="U82" s="1234"/>
      <c r="V82" s="1252" t="s">
        <v>144</v>
      </c>
      <c r="W82" s="1252"/>
      <c r="X82" s="1252"/>
      <c r="Y82" s="1252"/>
      <c r="Z82" s="1252"/>
      <c r="AA82" s="1252"/>
      <c r="AB82" s="1189"/>
      <c r="AC82" s="478"/>
      <c r="AD82" s="1247"/>
      <c r="AE82" s="1262" t="s">
        <v>1262</v>
      </c>
      <c r="AF82" s="1263"/>
      <c r="AG82" s="1263"/>
      <c r="AH82" s="1263"/>
      <c r="AI82" s="1263"/>
      <c r="AJ82" s="1263"/>
      <c r="AK82" s="1264"/>
      <c r="AL82" s="1263" t="s">
        <v>1258</v>
      </c>
      <c r="AM82" s="1263"/>
      <c r="AN82" s="1263"/>
      <c r="AO82" s="1263"/>
      <c r="AP82" s="1263"/>
      <c r="AQ82" s="1247"/>
    </row>
    <row r="83" spans="1:55" ht="51" customHeight="1">
      <c r="A83" s="1041"/>
      <c r="B83" s="1228" t="s">
        <v>302</v>
      </c>
      <c r="C83" s="1101"/>
      <c r="D83" s="1209" t="s">
        <v>748</v>
      </c>
      <c r="E83" s="1104" t="s">
        <v>750</v>
      </c>
      <c r="F83" s="1104"/>
      <c r="G83" s="1104" t="s">
        <v>288</v>
      </c>
      <c r="H83" s="1104" t="s">
        <v>311</v>
      </c>
      <c r="I83" s="682" t="s">
        <v>840</v>
      </c>
      <c r="J83" s="1110" t="s">
        <v>744</v>
      </c>
      <c r="K83" s="1104" t="s">
        <v>1050</v>
      </c>
      <c r="L83" s="1104"/>
      <c r="M83" s="1104"/>
      <c r="N83" s="1152" t="s">
        <v>745</v>
      </c>
      <c r="O83" s="1104" t="s">
        <v>303</v>
      </c>
      <c r="P83" s="1112"/>
      <c r="Q83" s="1086"/>
      <c r="R83" s="1053"/>
      <c r="S83" s="1053"/>
      <c r="T83" s="1053"/>
      <c r="U83" s="1054"/>
      <c r="V83" s="1239" t="s">
        <v>40</v>
      </c>
      <c r="W83" s="1171" t="s">
        <v>39</v>
      </c>
      <c r="X83" s="1171" t="s">
        <v>145</v>
      </c>
      <c r="Y83" s="696" t="s">
        <v>147</v>
      </c>
      <c r="Z83" s="696" t="s">
        <v>147</v>
      </c>
      <c r="AA83" s="1241" t="s">
        <v>31</v>
      </c>
      <c r="AB83" s="1190"/>
      <c r="AC83" s="478"/>
      <c r="AD83" s="1248"/>
      <c r="AE83" s="1256" t="s">
        <v>1264</v>
      </c>
      <c r="AF83" s="1260" t="s">
        <v>1265</v>
      </c>
      <c r="AG83" s="1258" t="s">
        <v>1261</v>
      </c>
      <c r="AH83" s="1258"/>
      <c r="AI83" s="1258"/>
      <c r="AJ83" s="1258"/>
      <c r="AK83" s="1259"/>
      <c r="AL83" s="529" t="s">
        <v>40</v>
      </c>
      <c r="AM83" s="530" t="s">
        <v>39</v>
      </c>
      <c r="AN83" s="530" t="s">
        <v>145</v>
      </c>
      <c r="AO83" s="530" t="s">
        <v>147</v>
      </c>
      <c r="AP83" s="537" t="s">
        <v>31</v>
      </c>
      <c r="AQ83" s="1248"/>
      <c r="AS83" s="529" t="s">
        <v>40</v>
      </c>
      <c r="AT83" s="530" t="s">
        <v>39</v>
      </c>
      <c r="AU83" s="530" t="s">
        <v>145</v>
      </c>
      <c r="AV83" s="530" t="s">
        <v>147</v>
      </c>
      <c r="AW83" s="531" t="s">
        <v>31</v>
      </c>
      <c r="AX83" s="217"/>
      <c r="AY83" s="529" t="s">
        <v>40</v>
      </c>
      <c r="AZ83" s="530" t="s">
        <v>39</v>
      </c>
      <c r="BA83" s="530" t="s">
        <v>145</v>
      </c>
      <c r="BB83" s="530" t="s">
        <v>147</v>
      </c>
      <c r="BC83" s="531" t="s">
        <v>31</v>
      </c>
    </row>
    <row r="84" spans="1:55" ht="43.05" customHeight="1" thickBot="1">
      <c r="A84" s="1041"/>
      <c r="B84" s="1101"/>
      <c r="C84" s="1101"/>
      <c r="D84" s="1210"/>
      <c r="E84" s="1211"/>
      <c r="F84" s="1211"/>
      <c r="G84" s="1211"/>
      <c r="H84" s="1211"/>
      <c r="I84" s="271" t="s">
        <v>1019</v>
      </c>
      <c r="J84" s="1207"/>
      <c r="K84" s="1211"/>
      <c r="L84" s="1211"/>
      <c r="M84" s="1211"/>
      <c r="N84" s="1153"/>
      <c r="O84" s="1211"/>
      <c r="P84" s="1238"/>
      <c r="Q84" s="1088"/>
      <c r="R84" s="1157"/>
      <c r="S84" s="1157"/>
      <c r="T84" s="1157"/>
      <c r="U84" s="1158"/>
      <c r="V84" s="1240"/>
      <c r="W84" s="1172"/>
      <c r="X84" s="1172"/>
      <c r="Y84" s="292" t="s">
        <v>306</v>
      </c>
      <c r="Z84" s="697" t="s">
        <v>753</v>
      </c>
      <c r="AA84" s="1242"/>
      <c r="AB84" s="1190"/>
      <c r="AC84" s="478"/>
      <c r="AD84" s="1248"/>
      <c r="AE84" s="1257"/>
      <c r="AF84" s="1261"/>
      <c r="AG84" s="519" t="s">
        <v>40</v>
      </c>
      <c r="AH84" s="519" t="s">
        <v>39</v>
      </c>
      <c r="AI84" s="519" t="s">
        <v>145</v>
      </c>
      <c r="AJ84" s="519" t="s">
        <v>147</v>
      </c>
      <c r="AK84" s="520" t="s">
        <v>31</v>
      </c>
      <c r="AL84" s="532" t="s">
        <v>1260</v>
      </c>
      <c r="AM84" s="519" t="s">
        <v>1260</v>
      </c>
      <c r="AN84" s="519" t="s">
        <v>1260</v>
      </c>
      <c r="AO84" s="519" t="s">
        <v>1260</v>
      </c>
      <c r="AP84" s="538" t="s">
        <v>1260</v>
      </c>
      <c r="AQ84" s="1248"/>
      <c r="AS84" s="1289" t="s">
        <v>1285</v>
      </c>
      <c r="AT84" s="1289"/>
      <c r="AU84" s="1289"/>
      <c r="AV84" s="1289"/>
      <c r="AW84" s="1289"/>
      <c r="AY84" s="1289" t="s">
        <v>1286</v>
      </c>
      <c r="AZ84" s="1289"/>
      <c r="BA84" s="1289"/>
      <c r="BB84" s="1289"/>
      <c r="BC84" s="1289"/>
    </row>
    <row r="85" spans="1:55" ht="22.05" customHeight="1">
      <c r="A85" s="1041"/>
      <c r="B85" s="1101"/>
      <c r="C85" s="1193" t="s">
        <v>316</v>
      </c>
      <c r="D85" s="1196"/>
      <c r="E85" s="1192"/>
      <c r="F85" s="1192"/>
      <c r="G85" s="272" t="s">
        <v>290</v>
      </c>
      <c r="H85" s="1200" t="str">
        <f>IF(E85="","",VLOOKUP(E85,'Emission factors'!$A$61:$D$74,4,FALSE))</f>
        <v/>
      </c>
      <c r="I85" s="1221" t="str">
        <f>IF(AND(J85="",J86="",J87="",J88=""),"",SUM(J85:J88))</f>
        <v/>
      </c>
      <c r="J85" s="273"/>
      <c r="K85" s="1173" t="str">
        <f>IF(E85="","",VLOOKUP(E85,'Emission factors'!$A$61:$E$74,5,FALSE))</f>
        <v/>
      </c>
      <c r="L85" s="1173"/>
      <c r="M85" s="1173"/>
      <c r="N85" s="704"/>
      <c r="O85" s="1173" t="str">
        <f>IF(E85="","",VLOOKUP(E85,'Emission factors'!$A$61:$C$74,3,FALSE))</f>
        <v/>
      </c>
      <c r="P85" s="1208"/>
      <c r="Q85" s="1165" t="s">
        <v>1051</v>
      </c>
      <c r="R85" s="1166"/>
      <c r="S85" s="1166"/>
      <c r="T85" s="1166"/>
      <c r="U85" s="1167"/>
      <c r="V85" s="1235" t="s">
        <v>313</v>
      </c>
      <c r="W85" s="1236" t="s">
        <v>313</v>
      </c>
      <c r="X85" s="1237" t="s">
        <v>313</v>
      </c>
      <c r="Y85" s="293" t="str">
        <f>IF(OR(J85="",N85="",E85=""),"",((J85*N85)*(10^-9)*(64/32)))</f>
        <v/>
      </c>
      <c r="Z85" s="1154" t="str">
        <f>IF(AND(Y85="",Y86="",Y87="",Y88=""),"",SUM(Y85:Y88))</f>
        <v/>
      </c>
      <c r="AA85" s="1243" t="s">
        <v>313</v>
      </c>
      <c r="AB85" s="1191"/>
      <c r="AC85" s="478"/>
      <c r="AD85" s="1248"/>
      <c r="AE85" s="522"/>
      <c r="AF85" s="833"/>
      <c r="AG85" s="1295" t="s">
        <v>1268</v>
      </c>
      <c r="AH85" s="1296"/>
      <c r="AI85" s="1296"/>
      <c r="AJ85" s="1296"/>
      <c r="AK85" s="1297"/>
      <c r="AL85" s="1271" t="s">
        <v>1266</v>
      </c>
      <c r="AM85" s="1272"/>
      <c r="AN85" s="1273"/>
      <c r="AO85" s="528" t="str">
        <f>IF(OR(AE85="",AF85=""),"",(SQRT((AE85^2)+(AF85^2))))</f>
        <v/>
      </c>
      <c r="AP85" s="1280" t="s">
        <v>1267</v>
      </c>
      <c r="AQ85" s="1248"/>
      <c r="AS85" s="1290"/>
      <c r="AT85" s="1290"/>
      <c r="AU85" s="1290"/>
      <c r="AV85" s="521" t="str">
        <f>IF(OR(Y85="",AO85=""),"",Y85*AO85)</f>
        <v/>
      </c>
      <c r="AW85" s="1290"/>
      <c r="AY85" s="1290"/>
      <c r="AZ85" s="1290"/>
      <c r="BA85" s="1290"/>
      <c r="BB85" s="516" t="str">
        <f>IF(AV85="","",AV85^2)</f>
        <v/>
      </c>
      <c r="BC85" s="1290"/>
    </row>
    <row r="86" spans="1:55" ht="22.05" customHeight="1">
      <c r="A86" s="1041"/>
      <c r="B86" s="1101"/>
      <c r="C86" s="1194"/>
      <c r="D86" s="1197"/>
      <c r="E86" s="1058"/>
      <c r="F86" s="1058"/>
      <c r="G86" s="274" t="s">
        <v>291</v>
      </c>
      <c r="H86" s="1201"/>
      <c r="I86" s="1222"/>
      <c r="J86" s="795"/>
      <c r="K86" s="1161" t="str">
        <f>IF(E85="","",VLOOKUP(E85,'Emission factors'!$A$61:$E$74,5,FALSE))</f>
        <v/>
      </c>
      <c r="L86" s="1161"/>
      <c r="M86" s="1161"/>
      <c r="N86" s="669"/>
      <c r="O86" s="1161" t="str">
        <f>IF(E85="","",VLOOKUP(E85,'Emission factors'!$A$61:$C$74,3,FALSE))</f>
        <v/>
      </c>
      <c r="P86" s="1163"/>
      <c r="Q86" s="1165"/>
      <c r="R86" s="1166"/>
      <c r="S86" s="1166"/>
      <c r="T86" s="1166"/>
      <c r="U86" s="1167"/>
      <c r="V86" s="1235"/>
      <c r="W86" s="1236"/>
      <c r="X86" s="1237"/>
      <c r="Y86" s="294" t="str">
        <f>IF(OR(J86="",N86="",E85=""),"",((J86*N86)*(10^-9)*(64/32)))</f>
        <v/>
      </c>
      <c r="Z86" s="1155"/>
      <c r="AA86" s="1243"/>
      <c r="AB86" s="1191"/>
      <c r="AC86" s="478"/>
      <c r="AD86" s="1248"/>
      <c r="AE86" s="522"/>
      <c r="AF86" s="834"/>
      <c r="AG86" s="1298"/>
      <c r="AH86" s="1299"/>
      <c r="AI86" s="1299"/>
      <c r="AJ86" s="1299"/>
      <c r="AK86" s="1300"/>
      <c r="AL86" s="1274"/>
      <c r="AM86" s="1275"/>
      <c r="AN86" s="1276"/>
      <c r="AO86" s="528" t="str">
        <f t="shared" ref="AO86:AO114" si="91">IF(OR(AE86="",AF86=""),"",(SQRT((AE86^2)+(AF86^2))))</f>
        <v/>
      </c>
      <c r="AP86" s="1281"/>
      <c r="AQ86" s="1248"/>
      <c r="AS86" s="1290"/>
      <c r="AT86" s="1290"/>
      <c r="AU86" s="1290"/>
      <c r="AV86" s="521" t="str">
        <f t="shared" ref="AV86:AV140" si="92">IF(OR(Y86="",AO86=""),"",Y86*AO86)</f>
        <v/>
      </c>
      <c r="AW86" s="1290"/>
      <c r="AY86" s="1290"/>
      <c r="AZ86" s="1290"/>
      <c r="BA86" s="1290"/>
      <c r="BB86" s="516" t="str">
        <f t="shared" ref="BB86:BB140" si="93">IF(AV86="","",AV86^2)</f>
        <v/>
      </c>
      <c r="BC86" s="1290"/>
    </row>
    <row r="87" spans="1:55" ht="22.05" customHeight="1">
      <c r="A87" s="1041"/>
      <c r="B87" s="1101"/>
      <c r="C87" s="1194"/>
      <c r="D87" s="1197"/>
      <c r="E87" s="1058"/>
      <c r="F87" s="1058"/>
      <c r="G87" s="274" t="s">
        <v>292</v>
      </c>
      <c r="H87" s="1201"/>
      <c r="I87" s="1222"/>
      <c r="J87" s="795"/>
      <c r="K87" s="1161" t="str">
        <f>IF(E85="","",VLOOKUP(E85,'Emission factors'!$A$61:$E$74,5,FALSE))</f>
        <v/>
      </c>
      <c r="L87" s="1161"/>
      <c r="M87" s="1161"/>
      <c r="N87" s="669"/>
      <c r="O87" s="1161" t="str">
        <f>IF(E85="","",VLOOKUP(E85,'Emission factors'!$A$61:$C$74,3,FALSE))</f>
        <v/>
      </c>
      <c r="P87" s="1163"/>
      <c r="Q87" s="1165"/>
      <c r="R87" s="1166"/>
      <c r="S87" s="1166"/>
      <c r="T87" s="1166"/>
      <c r="U87" s="1167"/>
      <c r="V87" s="1235"/>
      <c r="W87" s="1236"/>
      <c r="X87" s="1237"/>
      <c r="Y87" s="294" t="str">
        <f>IF(OR(J87="",N87="",E85=""),"",((J87*N87)*(10^-9)*(64/32)))</f>
        <v/>
      </c>
      <c r="Z87" s="1155"/>
      <c r="AA87" s="1243"/>
      <c r="AB87" s="1191"/>
      <c r="AC87" s="478"/>
      <c r="AD87" s="1248"/>
      <c r="AE87" s="522"/>
      <c r="AF87" s="834"/>
      <c r="AG87" s="1298"/>
      <c r="AH87" s="1299"/>
      <c r="AI87" s="1299"/>
      <c r="AJ87" s="1299"/>
      <c r="AK87" s="1300"/>
      <c r="AL87" s="1274"/>
      <c r="AM87" s="1275"/>
      <c r="AN87" s="1276"/>
      <c r="AO87" s="528" t="str">
        <f t="shared" si="91"/>
        <v/>
      </c>
      <c r="AP87" s="1281"/>
      <c r="AQ87" s="1248"/>
      <c r="AS87" s="1290"/>
      <c r="AT87" s="1290"/>
      <c r="AU87" s="1290"/>
      <c r="AV87" s="521" t="str">
        <f t="shared" si="92"/>
        <v/>
      </c>
      <c r="AW87" s="1290"/>
      <c r="AY87" s="1290"/>
      <c r="AZ87" s="1290"/>
      <c r="BA87" s="1290"/>
      <c r="BB87" s="516" t="str">
        <f t="shared" si="93"/>
        <v/>
      </c>
      <c r="BC87" s="1290"/>
    </row>
    <row r="88" spans="1:55" ht="22.05" customHeight="1" thickBot="1">
      <c r="A88" s="1041"/>
      <c r="B88" s="1101"/>
      <c r="C88" s="1195"/>
      <c r="D88" s="1198"/>
      <c r="E88" s="1061"/>
      <c r="F88" s="1061"/>
      <c r="G88" s="275" t="s">
        <v>293</v>
      </c>
      <c r="H88" s="1202"/>
      <c r="I88" s="1223"/>
      <c r="J88" s="276"/>
      <c r="K88" s="1159" t="str">
        <f>IF(E85="","",VLOOKUP(E85,'Emission factors'!$A$61:$E$74,5,FALSE))</f>
        <v/>
      </c>
      <c r="L88" s="1159"/>
      <c r="M88" s="1159"/>
      <c r="N88" s="672"/>
      <c r="O88" s="1159" t="str">
        <f>IF(E85="","",VLOOKUP(E85,'Emission factors'!$A$61:$C$74,3,FALSE))</f>
        <v/>
      </c>
      <c r="P88" s="1160"/>
      <c r="Q88" s="1165"/>
      <c r="R88" s="1166"/>
      <c r="S88" s="1166"/>
      <c r="T88" s="1166"/>
      <c r="U88" s="1167"/>
      <c r="V88" s="1235"/>
      <c r="W88" s="1236"/>
      <c r="X88" s="1237"/>
      <c r="Y88" s="689" t="str">
        <f>IF(OR(J88="",N88="",E85=""),"",((J88*N88)*(10^-9)*(64/32)))</f>
        <v/>
      </c>
      <c r="Z88" s="1156"/>
      <c r="AA88" s="1243"/>
      <c r="AB88" s="1191"/>
      <c r="AC88" s="478"/>
      <c r="AD88" s="1248"/>
      <c r="AE88" s="522"/>
      <c r="AF88" s="834"/>
      <c r="AG88" s="1298"/>
      <c r="AH88" s="1299"/>
      <c r="AI88" s="1299"/>
      <c r="AJ88" s="1299"/>
      <c r="AK88" s="1300"/>
      <c r="AL88" s="1274"/>
      <c r="AM88" s="1275"/>
      <c r="AN88" s="1276"/>
      <c r="AO88" s="528" t="str">
        <f t="shared" si="91"/>
        <v/>
      </c>
      <c r="AP88" s="1281"/>
      <c r="AQ88" s="1248"/>
      <c r="AS88" s="1290"/>
      <c r="AT88" s="1290"/>
      <c r="AU88" s="1290"/>
      <c r="AV88" s="521" t="str">
        <f t="shared" si="92"/>
        <v/>
      </c>
      <c r="AW88" s="1290"/>
      <c r="AY88" s="1290"/>
      <c r="AZ88" s="1290"/>
      <c r="BA88" s="1290"/>
      <c r="BB88" s="516" t="str">
        <f t="shared" si="93"/>
        <v/>
      </c>
      <c r="BC88" s="1290"/>
    </row>
    <row r="89" spans="1:55" ht="22.05" customHeight="1">
      <c r="A89" s="1041"/>
      <c r="B89" s="1069"/>
      <c r="C89" s="1194" t="s">
        <v>317</v>
      </c>
      <c r="D89" s="1199"/>
      <c r="E89" s="1091"/>
      <c r="F89" s="1091"/>
      <c r="G89" s="277" t="s">
        <v>290</v>
      </c>
      <c r="H89" s="1203" t="str">
        <f>IF(E89="","",VLOOKUP(E89,'Emission factors'!$A$61:$D$74,4,FALSE))</f>
        <v/>
      </c>
      <c r="I89" s="1221" t="str">
        <f>IF(AND(J89="",J90="",J91="",J92=""),"",SUM(J89:J92))</f>
        <v/>
      </c>
      <c r="J89" s="797"/>
      <c r="K89" s="1162" t="str">
        <f>IF(E89="","",VLOOKUP(E89,'Emission factors'!$A$61:$E$74,5,FALSE))</f>
        <v/>
      </c>
      <c r="L89" s="1162"/>
      <c r="M89" s="1162"/>
      <c r="N89" s="679"/>
      <c r="O89" s="1162" t="str">
        <f>IF(E89="","",VLOOKUP(E89,'Emission factors'!$A$61:$C$74,3,FALSE))</f>
        <v/>
      </c>
      <c r="P89" s="1164"/>
      <c r="Q89" s="1165"/>
      <c r="R89" s="1166"/>
      <c r="S89" s="1166"/>
      <c r="T89" s="1166"/>
      <c r="U89" s="1167"/>
      <c r="V89" s="1235"/>
      <c r="W89" s="1236"/>
      <c r="X89" s="1236"/>
      <c r="Y89" s="293" t="str">
        <f>IF(OR(J89="",N89="",E89=""),"",((J89*N89)*(10^-9)*(64/32)))</f>
        <v/>
      </c>
      <c r="Z89" s="1154" t="str">
        <f>IF(AND(Y89="",Y90="",Y91="",Y92=""),"",SUM(Y89:Y92))</f>
        <v/>
      </c>
      <c r="AA89" s="1237"/>
      <c r="AB89" s="1191"/>
      <c r="AC89" s="478"/>
      <c r="AD89" s="1248"/>
      <c r="AE89" s="522"/>
      <c r="AF89" s="834"/>
      <c r="AG89" s="1298"/>
      <c r="AH89" s="1299"/>
      <c r="AI89" s="1299"/>
      <c r="AJ89" s="1299"/>
      <c r="AK89" s="1300"/>
      <c r="AL89" s="1274"/>
      <c r="AM89" s="1275"/>
      <c r="AN89" s="1276"/>
      <c r="AO89" s="528" t="str">
        <f t="shared" si="91"/>
        <v/>
      </c>
      <c r="AP89" s="1281"/>
      <c r="AQ89" s="1248"/>
      <c r="AS89" s="1290"/>
      <c r="AT89" s="1290"/>
      <c r="AU89" s="1290"/>
      <c r="AV89" s="521" t="str">
        <f t="shared" si="92"/>
        <v/>
      </c>
      <c r="AW89" s="1290"/>
      <c r="AY89" s="1290"/>
      <c r="AZ89" s="1290"/>
      <c r="BA89" s="1290"/>
      <c r="BB89" s="516" t="str">
        <f t="shared" si="93"/>
        <v/>
      </c>
      <c r="BC89" s="1290"/>
    </row>
    <row r="90" spans="1:55" ht="22.05" customHeight="1">
      <c r="A90" s="1041"/>
      <c r="B90" s="1069"/>
      <c r="C90" s="1194"/>
      <c r="D90" s="1197"/>
      <c r="E90" s="1058"/>
      <c r="F90" s="1058"/>
      <c r="G90" s="274" t="s">
        <v>291</v>
      </c>
      <c r="H90" s="1201"/>
      <c r="I90" s="1222"/>
      <c r="J90" s="795"/>
      <c r="K90" s="1161" t="str">
        <f>IF(E89="","",VLOOKUP(E89,'Emission factors'!$A$61:$E$74,5,FALSE))</f>
        <v/>
      </c>
      <c r="L90" s="1161"/>
      <c r="M90" s="1161"/>
      <c r="N90" s="669"/>
      <c r="O90" s="1161" t="str">
        <f>IF(E89="","",VLOOKUP(E89,'Emission factors'!$A$61:$C$74,3,FALSE))</f>
        <v/>
      </c>
      <c r="P90" s="1163"/>
      <c r="Q90" s="1165"/>
      <c r="R90" s="1166"/>
      <c r="S90" s="1166"/>
      <c r="T90" s="1166"/>
      <c r="U90" s="1167"/>
      <c r="V90" s="1235"/>
      <c r="W90" s="1236"/>
      <c r="X90" s="1236"/>
      <c r="Y90" s="294" t="str">
        <f>IF(OR(J90="",N90="",E89=""),"",((J90*N90)*(10^-9)*(64/32)))</f>
        <v/>
      </c>
      <c r="Z90" s="1155"/>
      <c r="AA90" s="1237"/>
      <c r="AB90" s="1191"/>
      <c r="AC90" s="478"/>
      <c r="AD90" s="1248"/>
      <c r="AE90" s="522"/>
      <c r="AF90" s="834"/>
      <c r="AG90" s="1298"/>
      <c r="AH90" s="1299"/>
      <c r="AI90" s="1299"/>
      <c r="AJ90" s="1299"/>
      <c r="AK90" s="1300"/>
      <c r="AL90" s="1274"/>
      <c r="AM90" s="1275"/>
      <c r="AN90" s="1276"/>
      <c r="AO90" s="528" t="str">
        <f t="shared" si="91"/>
        <v/>
      </c>
      <c r="AP90" s="1281"/>
      <c r="AQ90" s="1248"/>
      <c r="AS90" s="1290"/>
      <c r="AT90" s="1290"/>
      <c r="AU90" s="1290"/>
      <c r="AV90" s="521" t="str">
        <f t="shared" si="92"/>
        <v/>
      </c>
      <c r="AW90" s="1290"/>
      <c r="AY90" s="1290"/>
      <c r="AZ90" s="1290"/>
      <c r="BA90" s="1290"/>
      <c r="BB90" s="516" t="str">
        <f t="shared" si="93"/>
        <v/>
      </c>
      <c r="BC90" s="1290"/>
    </row>
    <row r="91" spans="1:55" ht="22.05" customHeight="1">
      <c r="A91" s="1041"/>
      <c r="B91" s="1069"/>
      <c r="C91" s="1194"/>
      <c r="D91" s="1197"/>
      <c r="E91" s="1058"/>
      <c r="F91" s="1058"/>
      <c r="G91" s="274" t="s">
        <v>292</v>
      </c>
      <c r="H91" s="1201"/>
      <c r="I91" s="1222"/>
      <c r="J91" s="795"/>
      <c r="K91" s="1161" t="str">
        <f>IF(E89="","",VLOOKUP(E89,'Emission factors'!$A$61:$E$74,5,FALSE))</f>
        <v/>
      </c>
      <c r="L91" s="1161"/>
      <c r="M91" s="1161"/>
      <c r="N91" s="669"/>
      <c r="O91" s="1161" t="str">
        <f>IF(E89="","",VLOOKUP(E89,'Emission factors'!$A$61:$C$74,3,FALSE))</f>
        <v/>
      </c>
      <c r="P91" s="1163"/>
      <c r="Q91" s="1165"/>
      <c r="R91" s="1166"/>
      <c r="S91" s="1166"/>
      <c r="T91" s="1166"/>
      <c r="U91" s="1167"/>
      <c r="V91" s="1235"/>
      <c r="W91" s="1236"/>
      <c r="X91" s="1236"/>
      <c r="Y91" s="294" t="str">
        <f>IF(OR(J91="",N91="",E89=""),"",((J91*N91)*(10^-9)*(64/32)))</f>
        <v/>
      </c>
      <c r="Z91" s="1155"/>
      <c r="AA91" s="1237"/>
      <c r="AB91" s="1191"/>
      <c r="AC91" s="478"/>
      <c r="AD91" s="1248"/>
      <c r="AE91" s="522"/>
      <c r="AF91" s="834"/>
      <c r="AG91" s="1298"/>
      <c r="AH91" s="1299"/>
      <c r="AI91" s="1299"/>
      <c r="AJ91" s="1299"/>
      <c r="AK91" s="1300"/>
      <c r="AL91" s="1274"/>
      <c r="AM91" s="1275"/>
      <c r="AN91" s="1276"/>
      <c r="AO91" s="528" t="str">
        <f t="shared" si="91"/>
        <v/>
      </c>
      <c r="AP91" s="1281"/>
      <c r="AQ91" s="1248"/>
      <c r="AS91" s="1290"/>
      <c r="AT91" s="1290"/>
      <c r="AU91" s="1290"/>
      <c r="AV91" s="521" t="str">
        <f t="shared" si="92"/>
        <v/>
      </c>
      <c r="AW91" s="1290"/>
      <c r="AY91" s="1290"/>
      <c r="AZ91" s="1290"/>
      <c r="BA91" s="1290"/>
      <c r="BB91" s="516" t="str">
        <f t="shared" si="93"/>
        <v/>
      </c>
      <c r="BC91" s="1290"/>
    </row>
    <row r="92" spans="1:55" ht="22.05" customHeight="1" thickBot="1">
      <c r="A92" s="1041"/>
      <c r="B92" s="1069"/>
      <c r="C92" s="1195"/>
      <c r="D92" s="1198"/>
      <c r="E92" s="1061"/>
      <c r="F92" s="1061"/>
      <c r="G92" s="275" t="s">
        <v>293</v>
      </c>
      <c r="H92" s="1202"/>
      <c r="I92" s="1223"/>
      <c r="J92" s="276"/>
      <c r="K92" s="1159" t="str">
        <f>IF(E89="","",VLOOKUP(E89,'Emission factors'!$A$61:$E$74,5,FALSE))</f>
        <v/>
      </c>
      <c r="L92" s="1159"/>
      <c r="M92" s="1159"/>
      <c r="N92" s="672"/>
      <c r="O92" s="1159" t="str">
        <f>IF(E89="","",VLOOKUP(E89,'Emission factors'!$A$61:$C$74,3,FALSE))</f>
        <v/>
      </c>
      <c r="P92" s="1160"/>
      <c r="Q92" s="1165"/>
      <c r="R92" s="1166"/>
      <c r="S92" s="1166"/>
      <c r="T92" s="1166"/>
      <c r="U92" s="1167"/>
      <c r="V92" s="1235"/>
      <c r="W92" s="1236"/>
      <c r="X92" s="1236"/>
      <c r="Y92" s="689" t="str">
        <f>IF(OR(J92="",N92="",E89=""),"",((J92*N92)*(10^-9)*(64/32)))</f>
        <v/>
      </c>
      <c r="Z92" s="1156"/>
      <c r="AA92" s="1237"/>
      <c r="AB92" s="1191"/>
      <c r="AC92" s="478"/>
      <c r="AD92" s="1248"/>
      <c r="AE92" s="522"/>
      <c r="AF92" s="834"/>
      <c r="AG92" s="1298"/>
      <c r="AH92" s="1299"/>
      <c r="AI92" s="1299"/>
      <c r="AJ92" s="1299"/>
      <c r="AK92" s="1300"/>
      <c r="AL92" s="1274"/>
      <c r="AM92" s="1275"/>
      <c r="AN92" s="1276"/>
      <c r="AO92" s="528" t="str">
        <f t="shared" si="91"/>
        <v/>
      </c>
      <c r="AP92" s="1281"/>
      <c r="AQ92" s="1248"/>
      <c r="AS92" s="1290"/>
      <c r="AT92" s="1290"/>
      <c r="AU92" s="1290"/>
      <c r="AV92" s="521" t="str">
        <f t="shared" si="92"/>
        <v/>
      </c>
      <c r="AW92" s="1290"/>
      <c r="AY92" s="1290"/>
      <c r="AZ92" s="1290"/>
      <c r="BA92" s="1290"/>
      <c r="BB92" s="516" t="str">
        <f t="shared" si="93"/>
        <v/>
      </c>
      <c r="BC92" s="1290"/>
    </row>
    <row r="93" spans="1:55" ht="22.05" customHeight="1">
      <c r="A93" s="1041"/>
      <c r="B93" s="1069"/>
      <c r="C93" s="1193" t="s">
        <v>318</v>
      </c>
      <c r="D93" s="1196"/>
      <c r="E93" s="1192"/>
      <c r="F93" s="1192"/>
      <c r="G93" s="272" t="s">
        <v>290</v>
      </c>
      <c r="H93" s="1200" t="str">
        <f>IF(E93="","",VLOOKUP(E93,'Emission factors'!$A$61:$D$74,4,FALSE))</f>
        <v/>
      </c>
      <c r="I93" s="1221" t="str">
        <f t="shared" ref="I93" si="94">IF(AND(J93="",J94="",J95="",J96=""),"",SUM(J93:J96))</f>
        <v/>
      </c>
      <c r="J93" s="273"/>
      <c r="K93" s="1173" t="str">
        <f>IF(E93="","",VLOOKUP(E93,'Emission factors'!$A$61:$E$74,5,FALSE))</f>
        <v/>
      </c>
      <c r="L93" s="1173"/>
      <c r="M93" s="1173"/>
      <c r="N93" s="704"/>
      <c r="O93" s="1173" t="str">
        <f>IF(E93="","",VLOOKUP(E93,'Emission factors'!$A$61:$C$74,3,FALSE))</f>
        <v/>
      </c>
      <c r="P93" s="1208"/>
      <c r="Q93" s="1165"/>
      <c r="R93" s="1166"/>
      <c r="S93" s="1166"/>
      <c r="T93" s="1166"/>
      <c r="U93" s="1167"/>
      <c r="V93" s="1235"/>
      <c r="W93" s="1236"/>
      <c r="X93" s="1236"/>
      <c r="Y93" s="293" t="str">
        <f>IF(OR(J93="",N93="",E93=""),"",((J93*N93)*(10^-9)*(64/32)))</f>
        <v/>
      </c>
      <c r="Z93" s="1154" t="str">
        <f t="shared" ref="Z93" si="95">IF(AND(Y93="",Y94="",Y95="",Y96=""),"",SUM(Y93:Y96))</f>
        <v/>
      </c>
      <c r="AA93" s="1237"/>
      <c r="AB93" s="1191"/>
      <c r="AC93" s="478"/>
      <c r="AD93" s="1248"/>
      <c r="AE93" s="522"/>
      <c r="AF93" s="834"/>
      <c r="AG93" s="1298"/>
      <c r="AH93" s="1299"/>
      <c r="AI93" s="1299"/>
      <c r="AJ93" s="1299"/>
      <c r="AK93" s="1300"/>
      <c r="AL93" s="1274"/>
      <c r="AM93" s="1275"/>
      <c r="AN93" s="1276"/>
      <c r="AO93" s="528" t="str">
        <f t="shared" si="91"/>
        <v/>
      </c>
      <c r="AP93" s="1281"/>
      <c r="AQ93" s="1248"/>
      <c r="AS93" s="1290"/>
      <c r="AT93" s="1290"/>
      <c r="AU93" s="1290"/>
      <c r="AV93" s="521" t="str">
        <f t="shared" si="92"/>
        <v/>
      </c>
      <c r="AW93" s="1290"/>
      <c r="AY93" s="1290"/>
      <c r="AZ93" s="1290"/>
      <c r="BA93" s="1290"/>
      <c r="BB93" s="516" t="str">
        <f t="shared" si="93"/>
        <v/>
      </c>
      <c r="BC93" s="1290"/>
    </row>
    <row r="94" spans="1:55" ht="22.05" customHeight="1">
      <c r="A94" s="1041"/>
      <c r="B94" s="1069"/>
      <c r="C94" s="1194"/>
      <c r="D94" s="1197"/>
      <c r="E94" s="1058"/>
      <c r="F94" s="1058"/>
      <c r="G94" s="274" t="s">
        <v>291</v>
      </c>
      <c r="H94" s="1201"/>
      <c r="I94" s="1222"/>
      <c r="J94" s="795"/>
      <c r="K94" s="1161" t="str">
        <f>IF(E93="","",VLOOKUP(E93,'Emission factors'!$A$61:$E$74,5,FALSE))</f>
        <v/>
      </c>
      <c r="L94" s="1161"/>
      <c r="M94" s="1161"/>
      <c r="N94" s="669"/>
      <c r="O94" s="1161" t="str">
        <f>IF(E93="","",VLOOKUP(E93,'Emission factors'!$A$61:$C$74,3,FALSE))</f>
        <v/>
      </c>
      <c r="P94" s="1163"/>
      <c r="Q94" s="1165"/>
      <c r="R94" s="1166"/>
      <c r="S94" s="1166"/>
      <c r="T94" s="1166"/>
      <c r="U94" s="1167"/>
      <c r="V94" s="1235"/>
      <c r="W94" s="1236"/>
      <c r="X94" s="1236"/>
      <c r="Y94" s="294" t="str">
        <f>IF(OR(J94="",N94="",E93=""),"",((J94*N94)*(10^-9)*(64/32)))</f>
        <v/>
      </c>
      <c r="Z94" s="1155"/>
      <c r="AA94" s="1237"/>
      <c r="AB94" s="1191"/>
      <c r="AC94" s="478"/>
      <c r="AD94" s="1248"/>
      <c r="AE94" s="522"/>
      <c r="AF94" s="834"/>
      <c r="AG94" s="1298"/>
      <c r="AH94" s="1299"/>
      <c r="AI94" s="1299"/>
      <c r="AJ94" s="1299"/>
      <c r="AK94" s="1300"/>
      <c r="AL94" s="1274"/>
      <c r="AM94" s="1275"/>
      <c r="AN94" s="1276"/>
      <c r="AO94" s="528" t="str">
        <f t="shared" si="91"/>
        <v/>
      </c>
      <c r="AP94" s="1281"/>
      <c r="AQ94" s="1248"/>
      <c r="AS94" s="1290"/>
      <c r="AT94" s="1290"/>
      <c r="AU94" s="1290"/>
      <c r="AV94" s="521" t="str">
        <f t="shared" si="92"/>
        <v/>
      </c>
      <c r="AW94" s="1290"/>
      <c r="AY94" s="1290"/>
      <c r="AZ94" s="1290"/>
      <c r="BA94" s="1290"/>
      <c r="BB94" s="516" t="str">
        <f t="shared" si="93"/>
        <v/>
      </c>
      <c r="BC94" s="1290"/>
    </row>
    <row r="95" spans="1:55" ht="22.05" customHeight="1">
      <c r="A95" s="1041"/>
      <c r="B95" s="1069"/>
      <c r="C95" s="1194"/>
      <c r="D95" s="1197"/>
      <c r="E95" s="1058"/>
      <c r="F95" s="1058"/>
      <c r="G95" s="274" t="s">
        <v>292</v>
      </c>
      <c r="H95" s="1201"/>
      <c r="I95" s="1222"/>
      <c r="J95" s="795"/>
      <c r="K95" s="1161" t="str">
        <f>IF(E93="","",VLOOKUP(E93,'Emission factors'!$A$61:$E$74,5,FALSE))</f>
        <v/>
      </c>
      <c r="L95" s="1161"/>
      <c r="M95" s="1161"/>
      <c r="N95" s="669"/>
      <c r="O95" s="1161" t="str">
        <f>IF(E93="","",VLOOKUP(E93,'Emission factors'!$A$61:$C$74,3,FALSE))</f>
        <v/>
      </c>
      <c r="P95" s="1163"/>
      <c r="Q95" s="1165"/>
      <c r="R95" s="1166"/>
      <c r="S95" s="1166"/>
      <c r="T95" s="1166"/>
      <c r="U95" s="1167"/>
      <c r="V95" s="1235"/>
      <c r="W95" s="1236"/>
      <c r="X95" s="1236"/>
      <c r="Y95" s="294" t="str">
        <f>IF(OR(J95="",N95="",E93=""),"",((J95*N95)*(10^-9)*(64/32)))</f>
        <v/>
      </c>
      <c r="Z95" s="1155"/>
      <c r="AA95" s="1237"/>
      <c r="AB95" s="1191"/>
      <c r="AC95" s="478"/>
      <c r="AD95" s="1248"/>
      <c r="AE95" s="522"/>
      <c r="AF95" s="834"/>
      <c r="AG95" s="1298"/>
      <c r="AH95" s="1299"/>
      <c r="AI95" s="1299"/>
      <c r="AJ95" s="1299"/>
      <c r="AK95" s="1300"/>
      <c r="AL95" s="1274"/>
      <c r="AM95" s="1275"/>
      <c r="AN95" s="1276"/>
      <c r="AO95" s="528" t="str">
        <f t="shared" si="91"/>
        <v/>
      </c>
      <c r="AP95" s="1281"/>
      <c r="AQ95" s="1248"/>
      <c r="AS95" s="1290"/>
      <c r="AT95" s="1290"/>
      <c r="AU95" s="1290"/>
      <c r="AV95" s="521" t="str">
        <f t="shared" si="92"/>
        <v/>
      </c>
      <c r="AW95" s="1290"/>
      <c r="AY95" s="1290"/>
      <c r="AZ95" s="1290"/>
      <c r="BA95" s="1290"/>
      <c r="BB95" s="516" t="str">
        <f t="shared" si="93"/>
        <v/>
      </c>
      <c r="BC95" s="1290"/>
    </row>
    <row r="96" spans="1:55" ht="22.05" customHeight="1" thickBot="1">
      <c r="A96" s="1041"/>
      <c r="B96" s="1069"/>
      <c r="C96" s="1195"/>
      <c r="D96" s="1198"/>
      <c r="E96" s="1061"/>
      <c r="F96" s="1061"/>
      <c r="G96" s="275" t="s">
        <v>293</v>
      </c>
      <c r="H96" s="1202"/>
      <c r="I96" s="1223"/>
      <c r="J96" s="276"/>
      <c r="K96" s="1159" t="str">
        <f>IF(E93="","",VLOOKUP(E93,'Emission factors'!$A$61:$E$74,5,FALSE))</f>
        <v/>
      </c>
      <c r="L96" s="1159"/>
      <c r="M96" s="1159"/>
      <c r="N96" s="672"/>
      <c r="O96" s="1159" t="str">
        <f>IF(E93="","",VLOOKUP(E93,'Emission factors'!$A$61:$C$74,3,FALSE))</f>
        <v/>
      </c>
      <c r="P96" s="1160"/>
      <c r="Q96" s="1165"/>
      <c r="R96" s="1166"/>
      <c r="S96" s="1166"/>
      <c r="T96" s="1166"/>
      <c r="U96" s="1167"/>
      <c r="V96" s="1235"/>
      <c r="W96" s="1236"/>
      <c r="X96" s="1236"/>
      <c r="Y96" s="689" t="str">
        <f>IF(OR(J96="",N96="",E93=""),"",((J96*N96)*(10^-9)*(64/32)))</f>
        <v/>
      </c>
      <c r="Z96" s="1156"/>
      <c r="AA96" s="1237"/>
      <c r="AB96" s="1191"/>
      <c r="AC96" s="478"/>
      <c r="AD96" s="1248"/>
      <c r="AE96" s="522"/>
      <c r="AF96" s="834"/>
      <c r="AG96" s="1298"/>
      <c r="AH96" s="1299"/>
      <c r="AI96" s="1299"/>
      <c r="AJ96" s="1299"/>
      <c r="AK96" s="1300"/>
      <c r="AL96" s="1274"/>
      <c r="AM96" s="1275"/>
      <c r="AN96" s="1276"/>
      <c r="AO96" s="528" t="str">
        <f t="shared" si="91"/>
        <v/>
      </c>
      <c r="AP96" s="1281"/>
      <c r="AQ96" s="1248"/>
      <c r="AS96" s="1290"/>
      <c r="AT96" s="1290"/>
      <c r="AU96" s="1290"/>
      <c r="AV96" s="521" t="str">
        <f t="shared" si="92"/>
        <v/>
      </c>
      <c r="AW96" s="1290"/>
      <c r="AY96" s="1290"/>
      <c r="AZ96" s="1290"/>
      <c r="BA96" s="1290"/>
      <c r="BB96" s="516" t="str">
        <f t="shared" si="93"/>
        <v/>
      </c>
      <c r="BC96" s="1290"/>
    </row>
    <row r="97" spans="1:55" ht="22.05" customHeight="1">
      <c r="A97" s="1041"/>
      <c r="B97" s="1069"/>
      <c r="C97" s="1193" t="s">
        <v>319</v>
      </c>
      <c r="D97" s="1196"/>
      <c r="E97" s="1192"/>
      <c r="F97" s="1192"/>
      <c r="G97" s="272" t="s">
        <v>290</v>
      </c>
      <c r="H97" s="1200" t="str">
        <f>IF(E97="","",VLOOKUP(E97,'Emission factors'!$A$61:$D$74,4,FALSE))</f>
        <v/>
      </c>
      <c r="I97" s="1221" t="str">
        <f t="shared" ref="I97" si="96">IF(AND(J97="",J98="",J99="",J100=""),"",SUM(J97:J100))</f>
        <v/>
      </c>
      <c r="J97" s="273"/>
      <c r="K97" s="1173" t="str">
        <f>IF(E97="","",VLOOKUP(E97,'Emission factors'!$A$61:$E$74,5,FALSE))</f>
        <v/>
      </c>
      <c r="L97" s="1173"/>
      <c r="M97" s="1173"/>
      <c r="N97" s="704"/>
      <c r="O97" s="1173" t="str">
        <f>IF(E97="","",VLOOKUP(E97,'Emission factors'!$A$61:$C$74,3,FALSE))</f>
        <v/>
      </c>
      <c r="P97" s="1208"/>
      <c r="Q97" s="1165"/>
      <c r="R97" s="1166"/>
      <c r="S97" s="1166"/>
      <c r="T97" s="1166"/>
      <c r="U97" s="1167"/>
      <c r="V97" s="1235"/>
      <c r="W97" s="1236"/>
      <c r="X97" s="1236"/>
      <c r="Y97" s="293" t="str">
        <f>IF(OR(J97="",N97="",E97=""),"",((J97*N97)*(10^-9)*(64/32)))</f>
        <v/>
      </c>
      <c r="Z97" s="1154" t="str">
        <f t="shared" ref="Z97" si="97">IF(AND(Y97="",Y98="",Y99="",Y100=""),"",SUM(Y97:Y100))</f>
        <v/>
      </c>
      <c r="AA97" s="1237"/>
      <c r="AB97" s="1191"/>
      <c r="AC97" s="478"/>
      <c r="AD97" s="1248"/>
      <c r="AE97" s="522"/>
      <c r="AF97" s="834"/>
      <c r="AG97" s="1298"/>
      <c r="AH97" s="1299"/>
      <c r="AI97" s="1299"/>
      <c r="AJ97" s="1299"/>
      <c r="AK97" s="1300"/>
      <c r="AL97" s="1274"/>
      <c r="AM97" s="1275"/>
      <c r="AN97" s="1276"/>
      <c r="AO97" s="528" t="str">
        <f t="shared" si="91"/>
        <v/>
      </c>
      <c r="AP97" s="1281"/>
      <c r="AQ97" s="1248"/>
      <c r="AS97" s="1290"/>
      <c r="AT97" s="1290"/>
      <c r="AU97" s="1290"/>
      <c r="AV97" s="521" t="str">
        <f t="shared" si="92"/>
        <v/>
      </c>
      <c r="AW97" s="1290"/>
      <c r="AY97" s="1290"/>
      <c r="AZ97" s="1290"/>
      <c r="BA97" s="1290"/>
      <c r="BB97" s="516" t="str">
        <f t="shared" si="93"/>
        <v/>
      </c>
      <c r="BC97" s="1290"/>
    </row>
    <row r="98" spans="1:55" ht="22.05" customHeight="1">
      <c r="A98" s="1041"/>
      <c r="B98" s="1069"/>
      <c r="C98" s="1194"/>
      <c r="D98" s="1197"/>
      <c r="E98" s="1058"/>
      <c r="F98" s="1058"/>
      <c r="G98" s="274" t="s">
        <v>291</v>
      </c>
      <c r="H98" s="1201"/>
      <c r="I98" s="1222"/>
      <c r="J98" s="795"/>
      <c r="K98" s="1161" t="str">
        <f>IF(E97="","",VLOOKUP(E97,'Emission factors'!$A$61:$E$74,5,FALSE))</f>
        <v/>
      </c>
      <c r="L98" s="1161"/>
      <c r="M98" s="1161"/>
      <c r="N98" s="669"/>
      <c r="O98" s="1161" t="str">
        <f>IF(E97="","",VLOOKUP(E97,'Emission factors'!$A$61:$C$74,3,FALSE))</f>
        <v/>
      </c>
      <c r="P98" s="1163"/>
      <c r="Q98" s="1165"/>
      <c r="R98" s="1166"/>
      <c r="S98" s="1166"/>
      <c r="T98" s="1166"/>
      <c r="U98" s="1167"/>
      <c r="V98" s="1235"/>
      <c r="W98" s="1236"/>
      <c r="X98" s="1236"/>
      <c r="Y98" s="294" t="str">
        <f>IF(OR(J98="",N98="",E97=""),"",((J98*N98)*(10^-9)*(64/32)))</f>
        <v/>
      </c>
      <c r="Z98" s="1155"/>
      <c r="AA98" s="1237"/>
      <c r="AB98" s="1191"/>
      <c r="AC98" s="478"/>
      <c r="AD98" s="1248"/>
      <c r="AE98" s="522"/>
      <c r="AF98" s="834"/>
      <c r="AG98" s="1298"/>
      <c r="AH98" s="1299"/>
      <c r="AI98" s="1299"/>
      <c r="AJ98" s="1299"/>
      <c r="AK98" s="1300"/>
      <c r="AL98" s="1274"/>
      <c r="AM98" s="1275"/>
      <c r="AN98" s="1276"/>
      <c r="AO98" s="528" t="str">
        <f t="shared" si="91"/>
        <v/>
      </c>
      <c r="AP98" s="1281"/>
      <c r="AQ98" s="1248"/>
      <c r="AS98" s="1290"/>
      <c r="AT98" s="1290"/>
      <c r="AU98" s="1290"/>
      <c r="AV98" s="521" t="str">
        <f t="shared" si="92"/>
        <v/>
      </c>
      <c r="AW98" s="1290"/>
      <c r="AY98" s="1290"/>
      <c r="AZ98" s="1290"/>
      <c r="BA98" s="1290"/>
      <c r="BB98" s="516" t="str">
        <f t="shared" si="93"/>
        <v/>
      </c>
      <c r="BC98" s="1290"/>
    </row>
    <row r="99" spans="1:55" ht="22.05" customHeight="1">
      <c r="A99" s="1041"/>
      <c r="B99" s="1069"/>
      <c r="C99" s="1194"/>
      <c r="D99" s="1197"/>
      <c r="E99" s="1058"/>
      <c r="F99" s="1058"/>
      <c r="G99" s="274" t="s">
        <v>292</v>
      </c>
      <c r="H99" s="1201"/>
      <c r="I99" s="1222"/>
      <c r="J99" s="795"/>
      <c r="K99" s="1161" t="str">
        <f>IF(E97="","",VLOOKUP(E97,'Emission factors'!$A$61:$E$74,5,FALSE))</f>
        <v/>
      </c>
      <c r="L99" s="1161"/>
      <c r="M99" s="1161"/>
      <c r="N99" s="669"/>
      <c r="O99" s="1161" t="str">
        <f>IF(E97="","",VLOOKUP(E97,'Emission factors'!$A$61:$C$74,3,FALSE))</f>
        <v/>
      </c>
      <c r="P99" s="1163"/>
      <c r="Q99" s="1165"/>
      <c r="R99" s="1166"/>
      <c r="S99" s="1166"/>
      <c r="T99" s="1166"/>
      <c r="U99" s="1167"/>
      <c r="V99" s="1235"/>
      <c r="W99" s="1236"/>
      <c r="X99" s="1236"/>
      <c r="Y99" s="294" t="str">
        <f>IF(OR(J99="",N99="",E97=""),"",((J99*N99)*(10^-9)*(64/32)))</f>
        <v/>
      </c>
      <c r="Z99" s="1155"/>
      <c r="AA99" s="1237"/>
      <c r="AB99" s="1191"/>
      <c r="AC99" s="478"/>
      <c r="AD99" s="1248"/>
      <c r="AE99" s="522"/>
      <c r="AF99" s="834"/>
      <c r="AG99" s="1298"/>
      <c r="AH99" s="1299"/>
      <c r="AI99" s="1299"/>
      <c r="AJ99" s="1299"/>
      <c r="AK99" s="1300"/>
      <c r="AL99" s="1274"/>
      <c r="AM99" s="1275"/>
      <c r="AN99" s="1276"/>
      <c r="AO99" s="528" t="str">
        <f t="shared" si="91"/>
        <v/>
      </c>
      <c r="AP99" s="1281"/>
      <c r="AQ99" s="1248"/>
      <c r="AS99" s="1290"/>
      <c r="AT99" s="1290"/>
      <c r="AU99" s="1290"/>
      <c r="AV99" s="521" t="str">
        <f t="shared" si="92"/>
        <v/>
      </c>
      <c r="AW99" s="1290"/>
      <c r="AY99" s="1290"/>
      <c r="AZ99" s="1290"/>
      <c r="BA99" s="1290"/>
      <c r="BB99" s="516" t="str">
        <f t="shared" si="93"/>
        <v/>
      </c>
      <c r="BC99" s="1290"/>
    </row>
    <row r="100" spans="1:55" ht="22.05" customHeight="1" thickBot="1">
      <c r="A100" s="1041"/>
      <c r="B100" s="1069"/>
      <c r="C100" s="1195"/>
      <c r="D100" s="1198"/>
      <c r="E100" s="1061"/>
      <c r="F100" s="1061"/>
      <c r="G100" s="275" t="s">
        <v>293</v>
      </c>
      <c r="H100" s="1202"/>
      <c r="I100" s="1223"/>
      <c r="J100" s="276"/>
      <c r="K100" s="1159" t="str">
        <f>IF(E97="","",VLOOKUP(E97,'Emission factors'!$A$61:$E$74,5,FALSE))</f>
        <v/>
      </c>
      <c r="L100" s="1159"/>
      <c r="M100" s="1159"/>
      <c r="N100" s="672"/>
      <c r="O100" s="1159" t="str">
        <f>IF(E97="","",VLOOKUP(E97,'Emission factors'!$A$61:$C$74,3,FALSE))</f>
        <v/>
      </c>
      <c r="P100" s="1160"/>
      <c r="Q100" s="1165"/>
      <c r="R100" s="1166"/>
      <c r="S100" s="1166"/>
      <c r="T100" s="1166"/>
      <c r="U100" s="1167"/>
      <c r="V100" s="1235"/>
      <c r="W100" s="1236"/>
      <c r="X100" s="1236"/>
      <c r="Y100" s="689" t="str">
        <f>IF(OR(J100="",N100="",E97=""),"",((J100*N100)*(10^-9)*(64/32)))</f>
        <v/>
      </c>
      <c r="Z100" s="1156"/>
      <c r="AA100" s="1237"/>
      <c r="AB100" s="1191"/>
      <c r="AC100" s="478"/>
      <c r="AD100" s="1248"/>
      <c r="AE100" s="522"/>
      <c r="AF100" s="834"/>
      <c r="AG100" s="1298"/>
      <c r="AH100" s="1299"/>
      <c r="AI100" s="1299"/>
      <c r="AJ100" s="1299"/>
      <c r="AK100" s="1300"/>
      <c r="AL100" s="1274"/>
      <c r="AM100" s="1275"/>
      <c r="AN100" s="1276"/>
      <c r="AO100" s="528" t="str">
        <f t="shared" si="91"/>
        <v/>
      </c>
      <c r="AP100" s="1281"/>
      <c r="AQ100" s="1248"/>
      <c r="AS100" s="1290"/>
      <c r="AT100" s="1290"/>
      <c r="AU100" s="1290"/>
      <c r="AV100" s="521" t="str">
        <f t="shared" si="92"/>
        <v/>
      </c>
      <c r="AW100" s="1290"/>
      <c r="AY100" s="1290"/>
      <c r="AZ100" s="1290"/>
      <c r="BA100" s="1290"/>
      <c r="BB100" s="516" t="str">
        <f t="shared" si="93"/>
        <v/>
      </c>
      <c r="BC100" s="1290"/>
    </row>
    <row r="101" spans="1:55" ht="22.05" customHeight="1">
      <c r="A101" s="1041"/>
      <c r="B101" s="1069"/>
      <c r="C101" s="1193" t="s">
        <v>320</v>
      </c>
      <c r="D101" s="1196"/>
      <c r="E101" s="1192"/>
      <c r="F101" s="1192"/>
      <c r="G101" s="272" t="s">
        <v>290</v>
      </c>
      <c r="H101" s="1200" t="str">
        <f>IF(E101="","",VLOOKUP(E101,'Emission factors'!$A$61:$D$74,4,FALSE))</f>
        <v/>
      </c>
      <c r="I101" s="1221" t="str">
        <f>IF(AND(J101="",J102="",J103="",J104=""),"",SUM(J101:J104))</f>
        <v/>
      </c>
      <c r="J101" s="273"/>
      <c r="K101" s="1173" t="str">
        <f>IF(E101="","",VLOOKUP(E101,'Emission factors'!$A$61:$E$74,5,FALSE))</f>
        <v/>
      </c>
      <c r="L101" s="1173"/>
      <c r="M101" s="1173"/>
      <c r="N101" s="704"/>
      <c r="O101" s="1173" t="str">
        <f>IF(E101="","",VLOOKUP(E101,'Emission factors'!$A$61:$C$74,3,FALSE))</f>
        <v/>
      </c>
      <c r="P101" s="1208"/>
      <c r="Q101" s="1165"/>
      <c r="R101" s="1166"/>
      <c r="S101" s="1166"/>
      <c r="T101" s="1166"/>
      <c r="U101" s="1167"/>
      <c r="V101" s="1235"/>
      <c r="W101" s="1236"/>
      <c r="X101" s="1236"/>
      <c r="Y101" s="293" t="str">
        <f>IF(OR(J101="",N101="",E101=""),"",((J101*N101)*(10^-9)*(64/32)))</f>
        <v/>
      </c>
      <c r="Z101" s="1154" t="str">
        <f>IF(AND(Y101="",Y102="",Y103="",Y104=""),"",SUM(Y101:Y104))</f>
        <v/>
      </c>
      <c r="AA101" s="1237"/>
      <c r="AB101" s="1191"/>
      <c r="AC101" s="478"/>
      <c r="AD101" s="1248"/>
      <c r="AE101" s="522"/>
      <c r="AF101" s="834"/>
      <c r="AG101" s="1298"/>
      <c r="AH101" s="1299"/>
      <c r="AI101" s="1299"/>
      <c r="AJ101" s="1299"/>
      <c r="AK101" s="1300"/>
      <c r="AL101" s="1274"/>
      <c r="AM101" s="1275"/>
      <c r="AN101" s="1276"/>
      <c r="AO101" s="528" t="str">
        <f t="shared" si="91"/>
        <v/>
      </c>
      <c r="AP101" s="1281"/>
      <c r="AQ101" s="1248"/>
      <c r="AS101" s="1290"/>
      <c r="AT101" s="1290"/>
      <c r="AU101" s="1290"/>
      <c r="AV101" s="521" t="str">
        <f t="shared" si="92"/>
        <v/>
      </c>
      <c r="AW101" s="1290"/>
      <c r="AY101" s="1290"/>
      <c r="AZ101" s="1290"/>
      <c r="BA101" s="1290"/>
      <c r="BB101" s="516" t="str">
        <f t="shared" si="93"/>
        <v/>
      </c>
      <c r="BC101" s="1290"/>
    </row>
    <row r="102" spans="1:55" ht="22.05" customHeight="1">
      <c r="A102" s="1041"/>
      <c r="B102" s="1069"/>
      <c r="C102" s="1194"/>
      <c r="D102" s="1197"/>
      <c r="E102" s="1058"/>
      <c r="F102" s="1058"/>
      <c r="G102" s="274" t="s">
        <v>291</v>
      </c>
      <c r="H102" s="1201"/>
      <c r="I102" s="1222"/>
      <c r="J102" s="795"/>
      <c r="K102" s="1161" t="str">
        <f>IF(E101="","",VLOOKUP(E101,'Emission factors'!$A$61:$E$74,5,FALSE))</f>
        <v/>
      </c>
      <c r="L102" s="1161"/>
      <c r="M102" s="1161"/>
      <c r="N102" s="669"/>
      <c r="O102" s="1161" t="str">
        <f>IF(E101="","",VLOOKUP(E101,'Emission factors'!$A$61:$C$74,3,FALSE))</f>
        <v/>
      </c>
      <c r="P102" s="1163"/>
      <c r="Q102" s="1165"/>
      <c r="R102" s="1166"/>
      <c r="S102" s="1166"/>
      <c r="T102" s="1166"/>
      <c r="U102" s="1167"/>
      <c r="V102" s="1235"/>
      <c r="W102" s="1236"/>
      <c r="X102" s="1236"/>
      <c r="Y102" s="294" t="str">
        <f>IF(OR(J102="",N102="",E101=""),"",((J102*N102)*(10^-9)*(64/32)))</f>
        <v/>
      </c>
      <c r="Z102" s="1155"/>
      <c r="AA102" s="1237"/>
      <c r="AB102" s="1191"/>
      <c r="AC102" s="478"/>
      <c r="AD102" s="1248"/>
      <c r="AE102" s="522"/>
      <c r="AF102" s="834"/>
      <c r="AG102" s="1298"/>
      <c r="AH102" s="1299"/>
      <c r="AI102" s="1299"/>
      <c r="AJ102" s="1299"/>
      <c r="AK102" s="1300"/>
      <c r="AL102" s="1274"/>
      <c r="AM102" s="1275"/>
      <c r="AN102" s="1276"/>
      <c r="AO102" s="528" t="str">
        <f t="shared" si="91"/>
        <v/>
      </c>
      <c r="AP102" s="1281"/>
      <c r="AQ102" s="1248"/>
      <c r="AS102" s="1290"/>
      <c r="AT102" s="1290"/>
      <c r="AU102" s="1290"/>
      <c r="AV102" s="521" t="str">
        <f t="shared" si="92"/>
        <v/>
      </c>
      <c r="AW102" s="1290"/>
      <c r="AY102" s="1290"/>
      <c r="AZ102" s="1290"/>
      <c r="BA102" s="1290"/>
      <c r="BB102" s="516" t="str">
        <f t="shared" si="93"/>
        <v/>
      </c>
      <c r="BC102" s="1290"/>
    </row>
    <row r="103" spans="1:55" ht="22.05" customHeight="1">
      <c r="A103" s="1041"/>
      <c r="B103" s="1069"/>
      <c r="C103" s="1194"/>
      <c r="D103" s="1197"/>
      <c r="E103" s="1058"/>
      <c r="F103" s="1058"/>
      <c r="G103" s="274" t="s">
        <v>292</v>
      </c>
      <c r="H103" s="1201"/>
      <c r="I103" s="1222"/>
      <c r="J103" s="795"/>
      <c r="K103" s="1161" t="str">
        <f>IF(E101="","",VLOOKUP(E101,'Emission factors'!$A$61:$E$74,5,FALSE))</f>
        <v/>
      </c>
      <c r="L103" s="1161"/>
      <c r="M103" s="1161"/>
      <c r="N103" s="669"/>
      <c r="O103" s="1161" t="str">
        <f>IF(E101="","",VLOOKUP(E101,'Emission factors'!$A$61:$C$74,3,FALSE))</f>
        <v/>
      </c>
      <c r="P103" s="1163"/>
      <c r="Q103" s="1165"/>
      <c r="R103" s="1166"/>
      <c r="S103" s="1166"/>
      <c r="T103" s="1166"/>
      <c r="U103" s="1167"/>
      <c r="V103" s="1235"/>
      <c r="W103" s="1236"/>
      <c r="X103" s="1236"/>
      <c r="Y103" s="294" t="str">
        <f>IF(OR(J103="",N103="",E101=""),"",((J103*N103)*(10^-9)*(64/32)))</f>
        <v/>
      </c>
      <c r="Z103" s="1155"/>
      <c r="AA103" s="1237"/>
      <c r="AB103" s="1191"/>
      <c r="AC103" s="478"/>
      <c r="AD103" s="1248"/>
      <c r="AE103" s="522"/>
      <c r="AF103" s="834"/>
      <c r="AG103" s="1298"/>
      <c r="AH103" s="1299"/>
      <c r="AI103" s="1299"/>
      <c r="AJ103" s="1299"/>
      <c r="AK103" s="1300"/>
      <c r="AL103" s="1274"/>
      <c r="AM103" s="1275"/>
      <c r="AN103" s="1276"/>
      <c r="AO103" s="528" t="str">
        <f t="shared" si="91"/>
        <v/>
      </c>
      <c r="AP103" s="1281"/>
      <c r="AQ103" s="1248"/>
      <c r="AS103" s="1290"/>
      <c r="AT103" s="1290"/>
      <c r="AU103" s="1290"/>
      <c r="AV103" s="521" t="str">
        <f t="shared" si="92"/>
        <v/>
      </c>
      <c r="AW103" s="1290"/>
      <c r="AY103" s="1290"/>
      <c r="AZ103" s="1290"/>
      <c r="BA103" s="1290"/>
      <c r="BB103" s="516" t="str">
        <f t="shared" si="93"/>
        <v/>
      </c>
      <c r="BC103" s="1290"/>
    </row>
    <row r="104" spans="1:55" ht="22.05" customHeight="1" thickBot="1">
      <c r="A104" s="1041"/>
      <c r="B104" s="1069"/>
      <c r="C104" s="1195"/>
      <c r="D104" s="1198"/>
      <c r="E104" s="1061"/>
      <c r="F104" s="1061"/>
      <c r="G104" s="275" t="s">
        <v>293</v>
      </c>
      <c r="H104" s="1202"/>
      <c r="I104" s="1223"/>
      <c r="J104" s="276"/>
      <c r="K104" s="1159" t="str">
        <f>IF(E101="","",VLOOKUP(E101,'Emission factors'!$A$61:$E$74,5,FALSE))</f>
        <v/>
      </c>
      <c r="L104" s="1159"/>
      <c r="M104" s="1159"/>
      <c r="N104" s="672"/>
      <c r="O104" s="1159" t="str">
        <f>IF(E101="","",VLOOKUP(E101,'Emission factors'!$A$61:$C$74,3,FALSE))</f>
        <v/>
      </c>
      <c r="P104" s="1160"/>
      <c r="Q104" s="1165"/>
      <c r="R104" s="1166"/>
      <c r="S104" s="1166"/>
      <c r="T104" s="1166"/>
      <c r="U104" s="1167"/>
      <c r="V104" s="1235"/>
      <c r="W104" s="1236"/>
      <c r="X104" s="1236"/>
      <c r="Y104" s="689" t="str">
        <f>IF(OR(J104="",N104="",E101=""),"",((J104*N104)*(10^-9)*(64/32)))</f>
        <v/>
      </c>
      <c r="Z104" s="1156"/>
      <c r="AA104" s="1237"/>
      <c r="AB104" s="1191"/>
      <c r="AC104" s="478"/>
      <c r="AD104" s="1248"/>
      <c r="AE104" s="522"/>
      <c r="AF104" s="834"/>
      <c r="AG104" s="1298"/>
      <c r="AH104" s="1299"/>
      <c r="AI104" s="1299"/>
      <c r="AJ104" s="1299"/>
      <c r="AK104" s="1300"/>
      <c r="AL104" s="1274"/>
      <c r="AM104" s="1275"/>
      <c r="AN104" s="1276"/>
      <c r="AO104" s="528" t="str">
        <f t="shared" si="91"/>
        <v/>
      </c>
      <c r="AP104" s="1281"/>
      <c r="AQ104" s="1248"/>
      <c r="AS104" s="1290"/>
      <c r="AT104" s="1290"/>
      <c r="AU104" s="1290"/>
      <c r="AV104" s="521" t="str">
        <f t="shared" si="92"/>
        <v/>
      </c>
      <c r="AW104" s="1290"/>
      <c r="AY104" s="1290"/>
      <c r="AZ104" s="1290"/>
      <c r="BA104" s="1290"/>
      <c r="BB104" s="516" t="str">
        <f t="shared" si="93"/>
        <v/>
      </c>
      <c r="BC104" s="1290"/>
    </row>
    <row r="105" spans="1:55" ht="22.05" customHeight="1">
      <c r="A105" s="1041"/>
      <c r="B105" s="1069"/>
      <c r="C105" s="1193" t="s">
        <v>321</v>
      </c>
      <c r="D105" s="1196"/>
      <c r="E105" s="1192"/>
      <c r="F105" s="1192"/>
      <c r="G105" s="272" t="s">
        <v>290</v>
      </c>
      <c r="H105" s="1200" t="str">
        <f>IF(E105="","",VLOOKUP(E105,'Emission factors'!$A$61:$D$74,4,FALSE))</f>
        <v/>
      </c>
      <c r="I105" s="1221" t="str">
        <f>IF(AND(J105="",J106="",J107="",J108=""),"",SUM(J105:J108))</f>
        <v/>
      </c>
      <c r="J105" s="273"/>
      <c r="K105" s="1173" t="str">
        <f>IF(E105="","",VLOOKUP(E105,'Emission factors'!$A$61:$E$74,5,FALSE))</f>
        <v/>
      </c>
      <c r="L105" s="1173"/>
      <c r="M105" s="1173"/>
      <c r="N105" s="704"/>
      <c r="O105" s="1173" t="str">
        <f>IF(E105="","",VLOOKUP(E105,'Emission factors'!$A$61:$C$74,3,FALSE))</f>
        <v/>
      </c>
      <c r="P105" s="1208"/>
      <c r="Q105" s="1165"/>
      <c r="R105" s="1166"/>
      <c r="S105" s="1166"/>
      <c r="T105" s="1166"/>
      <c r="U105" s="1167"/>
      <c r="V105" s="1235"/>
      <c r="W105" s="1236"/>
      <c r="X105" s="1236"/>
      <c r="Y105" s="293" t="str">
        <f>IF(OR(J105="",N105="",E105=""),"",((J105*N105)*(10^-9)*(64/32)))</f>
        <v/>
      </c>
      <c r="Z105" s="1154" t="str">
        <f>IF(AND(Y105="",Y106="",Y107="",Y108=""),"",SUM(Y105:Y108))</f>
        <v/>
      </c>
      <c r="AA105" s="1237"/>
      <c r="AB105" s="1191"/>
      <c r="AC105" s="478"/>
      <c r="AD105" s="1248"/>
      <c r="AE105" s="522"/>
      <c r="AF105" s="834"/>
      <c r="AG105" s="1298"/>
      <c r="AH105" s="1299"/>
      <c r="AI105" s="1299"/>
      <c r="AJ105" s="1299"/>
      <c r="AK105" s="1300"/>
      <c r="AL105" s="1274"/>
      <c r="AM105" s="1275"/>
      <c r="AN105" s="1276"/>
      <c r="AO105" s="528" t="str">
        <f t="shared" si="91"/>
        <v/>
      </c>
      <c r="AP105" s="1281"/>
      <c r="AQ105" s="1248"/>
      <c r="AS105" s="1290"/>
      <c r="AT105" s="1290"/>
      <c r="AU105" s="1290"/>
      <c r="AV105" s="521" t="str">
        <f t="shared" si="92"/>
        <v/>
      </c>
      <c r="AW105" s="1290"/>
      <c r="AY105" s="1290"/>
      <c r="AZ105" s="1290"/>
      <c r="BA105" s="1290"/>
      <c r="BB105" s="516" t="str">
        <f t="shared" si="93"/>
        <v/>
      </c>
      <c r="BC105" s="1290"/>
    </row>
    <row r="106" spans="1:55" ht="22.05" customHeight="1">
      <c r="A106" s="1041"/>
      <c r="B106" s="1069"/>
      <c r="C106" s="1194"/>
      <c r="D106" s="1197"/>
      <c r="E106" s="1058"/>
      <c r="F106" s="1058"/>
      <c r="G106" s="274" t="s">
        <v>291</v>
      </c>
      <c r="H106" s="1201"/>
      <c r="I106" s="1222"/>
      <c r="J106" s="795"/>
      <c r="K106" s="1161" t="str">
        <f>IF(E105="","",VLOOKUP(E105,'Emission factors'!$A$61:$E$74,5,FALSE))</f>
        <v/>
      </c>
      <c r="L106" s="1161"/>
      <c r="M106" s="1161"/>
      <c r="N106" s="669"/>
      <c r="O106" s="1161" t="str">
        <f>IF(E105="","",VLOOKUP(E105,'Emission factors'!$A$61:$C$74,3,FALSE))</f>
        <v/>
      </c>
      <c r="P106" s="1163"/>
      <c r="Q106" s="1165"/>
      <c r="R106" s="1166"/>
      <c r="S106" s="1166"/>
      <c r="T106" s="1166"/>
      <c r="U106" s="1167"/>
      <c r="V106" s="1235"/>
      <c r="W106" s="1236"/>
      <c r="X106" s="1236"/>
      <c r="Y106" s="294" t="str">
        <f>IF(OR(J106="",N106="",E105=""),"",((J106*N106)*(10^-9)*(64/32)))</f>
        <v/>
      </c>
      <c r="Z106" s="1155"/>
      <c r="AA106" s="1237"/>
      <c r="AB106" s="1191"/>
      <c r="AC106" s="478"/>
      <c r="AD106" s="1248"/>
      <c r="AE106" s="522"/>
      <c r="AF106" s="834"/>
      <c r="AG106" s="1298"/>
      <c r="AH106" s="1299"/>
      <c r="AI106" s="1299"/>
      <c r="AJ106" s="1299"/>
      <c r="AK106" s="1300"/>
      <c r="AL106" s="1274"/>
      <c r="AM106" s="1275"/>
      <c r="AN106" s="1276"/>
      <c r="AO106" s="528" t="str">
        <f t="shared" si="91"/>
        <v/>
      </c>
      <c r="AP106" s="1281"/>
      <c r="AQ106" s="1248"/>
      <c r="AS106" s="1290"/>
      <c r="AT106" s="1290"/>
      <c r="AU106" s="1290"/>
      <c r="AV106" s="521" t="str">
        <f t="shared" si="92"/>
        <v/>
      </c>
      <c r="AW106" s="1290"/>
      <c r="AY106" s="1290"/>
      <c r="AZ106" s="1290"/>
      <c r="BA106" s="1290"/>
      <c r="BB106" s="516" t="str">
        <f t="shared" si="93"/>
        <v/>
      </c>
      <c r="BC106" s="1290"/>
    </row>
    <row r="107" spans="1:55" ht="22.05" customHeight="1">
      <c r="A107" s="1041"/>
      <c r="B107" s="1069"/>
      <c r="C107" s="1194"/>
      <c r="D107" s="1197"/>
      <c r="E107" s="1058"/>
      <c r="F107" s="1058"/>
      <c r="G107" s="274" t="s">
        <v>292</v>
      </c>
      <c r="H107" s="1201"/>
      <c r="I107" s="1222"/>
      <c r="J107" s="795"/>
      <c r="K107" s="1161" t="str">
        <f>IF(E105="","",VLOOKUP(E105,'Emission factors'!$A$61:$E$74,5,FALSE))</f>
        <v/>
      </c>
      <c r="L107" s="1161"/>
      <c r="M107" s="1161"/>
      <c r="N107" s="669"/>
      <c r="O107" s="1161" t="str">
        <f>IF(E105="","",VLOOKUP(E105,'Emission factors'!$A$61:$C$74,3,FALSE))</f>
        <v/>
      </c>
      <c r="P107" s="1163"/>
      <c r="Q107" s="1165"/>
      <c r="R107" s="1166"/>
      <c r="S107" s="1166"/>
      <c r="T107" s="1166"/>
      <c r="U107" s="1167"/>
      <c r="V107" s="1235"/>
      <c r="W107" s="1236"/>
      <c r="X107" s="1236"/>
      <c r="Y107" s="294" t="str">
        <f>IF(OR(J107="",N107="",E105=""),"",((J107*N107)*(10^-9)*(64/32)))</f>
        <v/>
      </c>
      <c r="Z107" s="1155"/>
      <c r="AA107" s="1237"/>
      <c r="AB107" s="1191"/>
      <c r="AC107" s="478"/>
      <c r="AD107" s="1248"/>
      <c r="AE107" s="522"/>
      <c r="AF107" s="834"/>
      <c r="AG107" s="1298"/>
      <c r="AH107" s="1299"/>
      <c r="AI107" s="1299"/>
      <c r="AJ107" s="1299"/>
      <c r="AK107" s="1300"/>
      <c r="AL107" s="1274"/>
      <c r="AM107" s="1275"/>
      <c r="AN107" s="1276"/>
      <c r="AO107" s="528" t="str">
        <f t="shared" si="91"/>
        <v/>
      </c>
      <c r="AP107" s="1281"/>
      <c r="AQ107" s="1248"/>
      <c r="AS107" s="1290"/>
      <c r="AT107" s="1290"/>
      <c r="AU107" s="1290"/>
      <c r="AV107" s="521" t="str">
        <f t="shared" si="92"/>
        <v/>
      </c>
      <c r="AW107" s="1290"/>
      <c r="AY107" s="1290"/>
      <c r="AZ107" s="1290"/>
      <c r="BA107" s="1290"/>
      <c r="BB107" s="516" t="str">
        <f t="shared" si="93"/>
        <v/>
      </c>
      <c r="BC107" s="1290"/>
    </row>
    <row r="108" spans="1:55" ht="22.05" customHeight="1" thickBot="1">
      <c r="A108" s="1041"/>
      <c r="B108" s="1069"/>
      <c r="C108" s="1195"/>
      <c r="D108" s="1198"/>
      <c r="E108" s="1061"/>
      <c r="F108" s="1061"/>
      <c r="G108" s="275" t="s">
        <v>293</v>
      </c>
      <c r="H108" s="1202"/>
      <c r="I108" s="1223"/>
      <c r="J108" s="276"/>
      <c r="K108" s="1159" t="str">
        <f>IF(E105="","",VLOOKUP(E105,'Emission factors'!$A$61:$E$74,5,FALSE))</f>
        <v/>
      </c>
      <c r="L108" s="1159"/>
      <c r="M108" s="1159"/>
      <c r="N108" s="672"/>
      <c r="O108" s="1159" t="str">
        <f>IF(E105="","",VLOOKUP(E105,'Emission factors'!$A$61:$C$74,3,FALSE))</f>
        <v/>
      </c>
      <c r="P108" s="1160"/>
      <c r="Q108" s="1165"/>
      <c r="R108" s="1166"/>
      <c r="S108" s="1166"/>
      <c r="T108" s="1166"/>
      <c r="U108" s="1167"/>
      <c r="V108" s="1235"/>
      <c r="W108" s="1236"/>
      <c r="X108" s="1236"/>
      <c r="Y108" s="689" t="str">
        <f>IF(OR(J108="",N108="",E105=""),"",((J108*N108)*(10^-9)*(64/32)))</f>
        <v/>
      </c>
      <c r="Z108" s="1156"/>
      <c r="AA108" s="1237"/>
      <c r="AB108" s="1191"/>
      <c r="AC108" s="478"/>
      <c r="AD108" s="1248"/>
      <c r="AE108" s="522"/>
      <c r="AF108" s="834"/>
      <c r="AG108" s="1298"/>
      <c r="AH108" s="1299"/>
      <c r="AI108" s="1299"/>
      <c r="AJ108" s="1299"/>
      <c r="AK108" s="1300"/>
      <c r="AL108" s="1274"/>
      <c r="AM108" s="1275"/>
      <c r="AN108" s="1276"/>
      <c r="AO108" s="528" t="str">
        <f t="shared" si="91"/>
        <v/>
      </c>
      <c r="AP108" s="1281"/>
      <c r="AQ108" s="1248"/>
      <c r="AS108" s="1290"/>
      <c r="AT108" s="1290"/>
      <c r="AU108" s="1290"/>
      <c r="AV108" s="521" t="str">
        <f t="shared" si="92"/>
        <v/>
      </c>
      <c r="AW108" s="1290"/>
      <c r="AY108" s="1290"/>
      <c r="AZ108" s="1290"/>
      <c r="BA108" s="1290"/>
      <c r="BB108" s="516" t="str">
        <f t="shared" si="93"/>
        <v/>
      </c>
      <c r="BC108" s="1290"/>
    </row>
    <row r="109" spans="1:55" ht="22.05" customHeight="1">
      <c r="A109" s="1041"/>
      <c r="B109" s="1069"/>
      <c r="C109" s="1193" t="s">
        <v>322</v>
      </c>
      <c r="D109" s="1196"/>
      <c r="E109" s="1192"/>
      <c r="F109" s="1192"/>
      <c r="G109" s="272" t="s">
        <v>290</v>
      </c>
      <c r="H109" s="1200" t="str">
        <f>IF(E109="","",VLOOKUP(E109,'Emission factors'!$A$61:$D$74,4,FALSE))</f>
        <v/>
      </c>
      <c r="I109" s="1221" t="str">
        <f>IF(AND(J109="",J110="",J111="",J112=""),"",SUM(J109:J112))</f>
        <v/>
      </c>
      <c r="J109" s="273"/>
      <c r="K109" s="1173" t="str">
        <f>IF(E109="","",VLOOKUP(E109,'Emission factors'!$A$61:$E$74,5,FALSE))</f>
        <v/>
      </c>
      <c r="L109" s="1173"/>
      <c r="M109" s="1173"/>
      <c r="N109" s="704"/>
      <c r="O109" s="1173" t="str">
        <f>IF(E109="","",VLOOKUP(E109,'Emission factors'!$A$61:$C$74,3,FALSE))</f>
        <v/>
      </c>
      <c r="P109" s="1208"/>
      <c r="Q109" s="1165"/>
      <c r="R109" s="1166"/>
      <c r="S109" s="1166"/>
      <c r="T109" s="1166"/>
      <c r="U109" s="1167"/>
      <c r="V109" s="1235"/>
      <c r="W109" s="1236"/>
      <c r="X109" s="1236"/>
      <c r="Y109" s="293" t="str">
        <f>IF(OR(J109="",N109="",E109=""),"",((J109*N109)*(10^-9)*(64/32)))</f>
        <v/>
      </c>
      <c r="Z109" s="1154" t="str">
        <f>IF(AND(Y109="",Y110="",Y111="",Y112=""),"",SUM(Y109:Y112))</f>
        <v/>
      </c>
      <c r="AA109" s="1237"/>
      <c r="AB109" s="1191"/>
      <c r="AC109" s="478"/>
      <c r="AD109" s="1248"/>
      <c r="AE109" s="522"/>
      <c r="AF109" s="834"/>
      <c r="AG109" s="1298"/>
      <c r="AH109" s="1299"/>
      <c r="AI109" s="1299"/>
      <c r="AJ109" s="1299"/>
      <c r="AK109" s="1300"/>
      <c r="AL109" s="1274"/>
      <c r="AM109" s="1275"/>
      <c r="AN109" s="1276"/>
      <c r="AO109" s="528" t="str">
        <f t="shared" si="91"/>
        <v/>
      </c>
      <c r="AP109" s="1281"/>
      <c r="AQ109" s="1248"/>
      <c r="AS109" s="1290"/>
      <c r="AT109" s="1290"/>
      <c r="AU109" s="1290"/>
      <c r="AV109" s="521" t="str">
        <f t="shared" si="92"/>
        <v/>
      </c>
      <c r="AW109" s="1290"/>
      <c r="AY109" s="1290"/>
      <c r="AZ109" s="1290"/>
      <c r="BA109" s="1290"/>
      <c r="BB109" s="516" t="str">
        <f t="shared" si="93"/>
        <v/>
      </c>
      <c r="BC109" s="1290"/>
    </row>
    <row r="110" spans="1:55" ht="22.05" customHeight="1">
      <c r="A110" s="1041"/>
      <c r="B110" s="1069"/>
      <c r="C110" s="1194"/>
      <c r="D110" s="1197"/>
      <c r="E110" s="1058"/>
      <c r="F110" s="1058"/>
      <c r="G110" s="274" t="s">
        <v>291</v>
      </c>
      <c r="H110" s="1201"/>
      <c r="I110" s="1222"/>
      <c r="J110" s="795"/>
      <c r="K110" s="1161" t="str">
        <f>IF(E109="","",VLOOKUP(E109,'Emission factors'!$A$61:$E$74,5,FALSE))</f>
        <v/>
      </c>
      <c r="L110" s="1161"/>
      <c r="M110" s="1161"/>
      <c r="N110" s="669"/>
      <c r="O110" s="1161" t="str">
        <f>IF(E109="","",VLOOKUP(E109,'Emission factors'!$A$61:$C$74,3,FALSE))</f>
        <v/>
      </c>
      <c r="P110" s="1163"/>
      <c r="Q110" s="1165"/>
      <c r="R110" s="1166"/>
      <c r="S110" s="1166"/>
      <c r="T110" s="1166"/>
      <c r="U110" s="1167"/>
      <c r="V110" s="1235"/>
      <c r="W110" s="1236"/>
      <c r="X110" s="1236"/>
      <c r="Y110" s="294" t="str">
        <f>IF(OR(J110="",N110="",E109=""),"",((J110*N110)*(10^-9)*(64/32)))</f>
        <v/>
      </c>
      <c r="Z110" s="1155"/>
      <c r="AA110" s="1237"/>
      <c r="AB110" s="1191"/>
      <c r="AC110" s="478"/>
      <c r="AD110" s="1248"/>
      <c r="AE110" s="522"/>
      <c r="AF110" s="834"/>
      <c r="AG110" s="1298"/>
      <c r="AH110" s="1299"/>
      <c r="AI110" s="1299"/>
      <c r="AJ110" s="1299"/>
      <c r="AK110" s="1300"/>
      <c r="AL110" s="1274"/>
      <c r="AM110" s="1275"/>
      <c r="AN110" s="1276"/>
      <c r="AO110" s="528" t="str">
        <f t="shared" si="91"/>
        <v/>
      </c>
      <c r="AP110" s="1281"/>
      <c r="AQ110" s="1248"/>
      <c r="AS110" s="1290"/>
      <c r="AT110" s="1290"/>
      <c r="AU110" s="1290"/>
      <c r="AV110" s="521" t="str">
        <f t="shared" si="92"/>
        <v/>
      </c>
      <c r="AW110" s="1290"/>
      <c r="AY110" s="1290"/>
      <c r="AZ110" s="1290"/>
      <c r="BA110" s="1290"/>
      <c r="BB110" s="516" t="str">
        <f t="shared" si="93"/>
        <v/>
      </c>
      <c r="BC110" s="1290"/>
    </row>
    <row r="111" spans="1:55" ht="22.05" customHeight="1">
      <c r="A111" s="1041"/>
      <c r="B111" s="1069"/>
      <c r="C111" s="1194"/>
      <c r="D111" s="1197"/>
      <c r="E111" s="1058"/>
      <c r="F111" s="1058"/>
      <c r="G111" s="274" t="s">
        <v>292</v>
      </c>
      <c r="H111" s="1201"/>
      <c r="I111" s="1222"/>
      <c r="J111" s="795"/>
      <c r="K111" s="1161" t="str">
        <f>IF(E109="","",VLOOKUP(E109,'Emission factors'!$A$61:$E$74,5,FALSE))</f>
        <v/>
      </c>
      <c r="L111" s="1161"/>
      <c r="M111" s="1161"/>
      <c r="N111" s="669"/>
      <c r="O111" s="1161" t="str">
        <f>IF(E109="","",VLOOKUP(E109,'Emission factors'!$A$61:$C$74,3,FALSE))</f>
        <v/>
      </c>
      <c r="P111" s="1163"/>
      <c r="Q111" s="1165"/>
      <c r="R111" s="1166"/>
      <c r="S111" s="1166"/>
      <c r="T111" s="1166"/>
      <c r="U111" s="1167"/>
      <c r="V111" s="1235"/>
      <c r="W111" s="1236"/>
      <c r="X111" s="1236"/>
      <c r="Y111" s="294" t="str">
        <f>IF(OR(J111="",N111="",E109=""),"",((J111*N111)*(10^-9)*(64/32)))</f>
        <v/>
      </c>
      <c r="Z111" s="1155"/>
      <c r="AA111" s="1237"/>
      <c r="AB111" s="1191"/>
      <c r="AC111" s="478"/>
      <c r="AD111" s="1248"/>
      <c r="AE111" s="522"/>
      <c r="AF111" s="834"/>
      <c r="AG111" s="1298"/>
      <c r="AH111" s="1299"/>
      <c r="AI111" s="1299"/>
      <c r="AJ111" s="1299"/>
      <c r="AK111" s="1300"/>
      <c r="AL111" s="1274"/>
      <c r="AM111" s="1275"/>
      <c r="AN111" s="1276"/>
      <c r="AO111" s="528" t="str">
        <f t="shared" si="91"/>
        <v/>
      </c>
      <c r="AP111" s="1281"/>
      <c r="AQ111" s="1248"/>
      <c r="AS111" s="1290"/>
      <c r="AT111" s="1290"/>
      <c r="AU111" s="1290"/>
      <c r="AV111" s="521" t="str">
        <f t="shared" si="92"/>
        <v/>
      </c>
      <c r="AW111" s="1290"/>
      <c r="AY111" s="1290"/>
      <c r="AZ111" s="1290"/>
      <c r="BA111" s="1290"/>
      <c r="BB111" s="516" t="str">
        <f t="shared" si="93"/>
        <v/>
      </c>
      <c r="BC111" s="1290"/>
    </row>
    <row r="112" spans="1:55" ht="22.05" customHeight="1" thickBot="1">
      <c r="A112" s="1041"/>
      <c r="B112" s="1069"/>
      <c r="C112" s="1195"/>
      <c r="D112" s="1198"/>
      <c r="E112" s="1061"/>
      <c r="F112" s="1061"/>
      <c r="G112" s="275" t="s">
        <v>293</v>
      </c>
      <c r="H112" s="1202"/>
      <c r="I112" s="1223"/>
      <c r="J112" s="276"/>
      <c r="K112" s="1159" t="str">
        <f>IF(E109="","",VLOOKUP(E109,'Emission factors'!$A$61:$E$74,5,FALSE))</f>
        <v/>
      </c>
      <c r="L112" s="1159"/>
      <c r="M112" s="1159"/>
      <c r="N112" s="672"/>
      <c r="O112" s="1159" t="str">
        <f>IF(E109="","",VLOOKUP(E109,'Emission factors'!$A$61:$C$74,3,FALSE))</f>
        <v/>
      </c>
      <c r="P112" s="1160"/>
      <c r="Q112" s="1165"/>
      <c r="R112" s="1166"/>
      <c r="S112" s="1166"/>
      <c r="T112" s="1166"/>
      <c r="U112" s="1167"/>
      <c r="V112" s="1235"/>
      <c r="W112" s="1236"/>
      <c r="X112" s="1236"/>
      <c r="Y112" s="689" t="str">
        <f>IF(OR(J112="",N112="",E109=""),"",((J112*N112)*(10^-9)*(64/32)))</f>
        <v/>
      </c>
      <c r="Z112" s="1156"/>
      <c r="AA112" s="1237"/>
      <c r="AB112" s="1191"/>
      <c r="AC112" s="478"/>
      <c r="AD112" s="1248"/>
      <c r="AE112" s="522"/>
      <c r="AF112" s="834"/>
      <c r="AG112" s="1298"/>
      <c r="AH112" s="1299"/>
      <c r="AI112" s="1299"/>
      <c r="AJ112" s="1299"/>
      <c r="AK112" s="1300"/>
      <c r="AL112" s="1274"/>
      <c r="AM112" s="1275"/>
      <c r="AN112" s="1276"/>
      <c r="AO112" s="528" t="str">
        <f t="shared" si="91"/>
        <v/>
      </c>
      <c r="AP112" s="1281"/>
      <c r="AQ112" s="1248"/>
      <c r="AS112" s="1290"/>
      <c r="AT112" s="1290"/>
      <c r="AU112" s="1290"/>
      <c r="AV112" s="521" t="str">
        <f t="shared" si="92"/>
        <v/>
      </c>
      <c r="AW112" s="1290"/>
      <c r="AY112" s="1290"/>
      <c r="AZ112" s="1290"/>
      <c r="BA112" s="1290"/>
      <c r="BB112" s="516" t="str">
        <f t="shared" si="93"/>
        <v/>
      </c>
      <c r="BC112" s="1290"/>
    </row>
    <row r="113" spans="1:55" ht="22.05" customHeight="1">
      <c r="A113" s="1041"/>
      <c r="B113" s="1069"/>
      <c r="C113" s="1193" t="s">
        <v>545</v>
      </c>
      <c r="D113" s="1196"/>
      <c r="E113" s="1192"/>
      <c r="F113" s="1192"/>
      <c r="G113" s="272" t="s">
        <v>290</v>
      </c>
      <c r="H113" s="1200" t="str">
        <f>IF(E113="","",VLOOKUP(E113,'Emission factors'!$A$61:$D$74,4,FALSE))</f>
        <v/>
      </c>
      <c r="I113" s="1221" t="str">
        <f>IF(AND(J113="",J114="",J115="",J116=""),"",SUM(J113:J116))</f>
        <v/>
      </c>
      <c r="J113" s="273"/>
      <c r="K113" s="1173" t="str">
        <f>IF(E113="","",VLOOKUP(E113,'Emission factors'!$A$61:$E$74,5,FALSE))</f>
        <v/>
      </c>
      <c r="L113" s="1173"/>
      <c r="M113" s="1173"/>
      <c r="N113" s="704"/>
      <c r="O113" s="1173" t="str">
        <f>IF(E113="","",VLOOKUP(E113,'Emission factors'!$A$61:$C$74,3,FALSE))</f>
        <v/>
      </c>
      <c r="P113" s="1208"/>
      <c r="Q113" s="1165"/>
      <c r="R113" s="1166"/>
      <c r="S113" s="1166"/>
      <c r="T113" s="1166"/>
      <c r="U113" s="1167"/>
      <c r="V113" s="1235"/>
      <c r="W113" s="1236"/>
      <c r="X113" s="1236"/>
      <c r="Y113" s="293" t="str">
        <f>IF(OR(J113="",N113="",E113=""),"",((J113*N113)*(10^-9)*(64/32)))</f>
        <v/>
      </c>
      <c r="Z113" s="1154" t="str">
        <f>IF(AND(Y113="",Y114="",Y115="",Y116=""),"",SUM(Y113:Y116))</f>
        <v/>
      </c>
      <c r="AA113" s="1237"/>
      <c r="AB113" s="1191"/>
      <c r="AC113" s="478"/>
      <c r="AD113" s="1248"/>
      <c r="AE113" s="522"/>
      <c r="AF113" s="834"/>
      <c r="AG113" s="1298"/>
      <c r="AH113" s="1299"/>
      <c r="AI113" s="1299"/>
      <c r="AJ113" s="1299"/>
      <c r="AK113" s="1300"/>
      <c r="AL113" s="1274"/>
      <c r="AM113" s="1275"/>
      <c r="AN113" s="1276"/>
      <c r="AO113" s="528" t="str">
        <f t="shared" si="91"/>
        <v/>
      </c>
      <c r="AP113" s="1281"/>
      <c r="AQ113" s="1248"/>
      <c r="AS113" s="1290"/>
      <c r="AT113" s="1290"/>
      <c r="AU113" s="1290"/>
      <c r="AV113" s="521" t="str">
        <f t="shared" si="92"/>
        <v/>
      </c>
      <c r="AW113" s="1290"/>
      <c r="AY113" s="1290"/>
      <c r="AZ113" s="1290"/>
      <c r="BA113" s="1290"/>
      <c r="BB113" s="516" t="str">
        <f t="shared" si="93"/>
        <v/>
      </c>
      <c r="BC113" s="1290"/>
    </row>
    <row r="114" spans="1:55" ht="22.05" customHeight="1">
      <c r="A114" s="1041"/>
      <c r="B114" s="1069"/>
      <c r="C114" s="1194"/>
      <c r="D114" s="1197"/>
      <c r="E114" s="1058"/>
      <c r="F114" s="1058"/>
      <c r="G114" s="274" t="s">
        <v>291</v>
      </c>
      <c r="H114" s="1201"/>
      <c r="I114" s="1222"/>
      <c r="J114" s="795"/>
      <c r="K114" s="1161" t="str">
        <f>IF(E113="","",VLOOKUP(E113,'Emission factors'!$A$61:$E$74,5,FALSE))</f>
        <v/>
      </c>
      <c r="L114" s="1161"/>
      <c r="M114" s="1161"/>
      <c r="N114" s="669"/>
      <c r="O114" s="1161" t="str">
        <f>IF(E113="","",VLOOKUP(E113,'Emission factors'!$A$61:$C$74,3,FALSE))</f>
        <v/>
      </c>
      <c r="P114" s="1163"/>
      <c r="Q114" s="1165"/>
      <c r="R114" s="1166"/>
      <c r="S114" s="1166"/>
      <c r="T114" s="1166"/>
      <c r="U114" s="1167"/>
      <c r="V114" s="1235"/>
      <c r="W114" s="1236"/>
      <c r="X114" s="1236"/>
      <c r="Y114" s="294" t="str">
        <f>IF(OR(J114="",N114="",E113=""),"",((J114*N114)*(10^-9)*(64/32)))</f>
        <v/>
      </c>
      <c r="Z114" s="1155"/>
      <c r="AA114" s="1237"/>
      <c r="AB114" s="1191"/>
      <c r="AC114" s="478"/>
      <c r="AD114" s="1248"/>
      <c r="AE114" s="522"/>
      <c r="AF114" s="834"/>
      <c r="AG114" s="1298"/>
      <c r="AH114" s="1299"/>
      <c r="AI114" s="1299"/>
      <c r="AJ114" s="1299"/>
      <c r="AK114" s="1300"/>
      <c r="AL114" s="1274"/>
      <c r="AM114" s="1275"/>
      <c r="AN114" s="1276"/>
      <c r="AO114" s="528" t="str">
        <f t="shared" si="91"/>
        <v/>
      </c>
      <c r="AP114" s="1281"/>
      <c r="AQ114" s="1248"/>
      <c r="AS114" s="1290"/>
      <c r="AT114" s="1290"/>
      <c r="AU114" s="1290"/>
      <c r="AV114" s="521" t="str">
        <f t="shared" si="92"/>
        <v/>
      </c>
      <c r="AW114" s="1290"/>
      <c r="AY114" s="1290"/>
      <c r="AZ114" s="1290"/>
      <c r="BA114" s="1290"/>
      <c r="BB114" s="516" t="str">
        <f t="shared" si="93"/>
        <v/>
      </c>
      <c r="BC114" s="1290"/>
    </row>
    <row r="115" spans="1:55" ht="22.05" customHeight="1">
      <c r="A115" s="1041"/>
      <c r="B115" s="1069"/>
      <c r="C115" s="1194"/>
      <c r="D115" s="1197"/>
      <c r="E115" s="1058"/>
      <c r="F115" s="1058"/>
      <c r="G115" s="274" t="s">
        <v>292</v>
      </c>
      <c r="H115" s="1201"/>
      <c r="I115" s="1222"/>
      <c r="J115" s="795"/>
      <c r="K115" s="1161" t="str">
        <f>IF(E113="","",VLOOKUP(E113,'Emission factors'!$A$61:$E$74,5,FALSE))</f>
        <v/>
      </c>
      <c r="L115" s="1161"/>
      <c r="M115" s="1161"/>
      <c r="N115" s="669"/>
      <c r="O115" s="1161" t="str">
        <f>IF(E113="","",VLOOKUP(E113,'Emission factors'!$A$61:$C$74,3,FALSE))</f>
        <v/>
      </c>
      <c r="P115" s="1163"/>
      <c r="Q115" s="1165"/>
      <c r="R115" s="1166"/>
      <c r="S115" s="1166"/>
      <c r="T115" s="1166"/>
      <c r="U115" s="1167"/>
      <c r="V115" s="1235"/>
      <c r="W115" s="1236"/>
      <c r="X115" s="1236"/>
      <c r="Y115" s="294" t="str">
        <f>IF(OR(J115="",N115="",E113=""),"",((J115*N115)*(10^-9)*(64/32)))</f>
        <v/>
      </c>
      <c r="Z115" s="1155"/>
      <c r="AA115" s="1237"/>
      <c r="AB115" s="1191"/>
      <c r="AC115" s="478"/>
      <c r="AD115" s="1248"/>
      <c r="AE115" s="522"/>
      <c r="AF115" s="834"/>
      <c r="AG115" s="1298"/>
      <c r="AH115" s="1299"/>
      <c r="AI115" s="1299"/>
      <c r="AJ115" s="1299"/>
      <c r="AK115" s="1300"/>
      <c r="AL115" s="1274"/>
      <c r="AM115" s="1275"/>
      <c r="AN115" s="1276"/>
      <c r="AO115" s="528" t="str">
        <f>IF(OR(AE115="",AF115=""),"",(SQRT((AE115^2)+(AF115^2))))</f>
        <v/>
      </c>
      <c r="AP115" s="1281"/>
      <c r="AQ115" s="1248"/>
      <c r="AS115" s="1290"/>
      <c r="AT115" s="1290"/>
      <c r="AU115" s="1290"/>
      <c r="AV115" s="521" t="str">
        <f t="shared" si="92"/>
        <v/>
      </c>
      <c r="AW115" s="1290"/>
      <c r="AY115" s="1290"/>
      <c r="AZ115" s="1290"/>
      <c r="BA115" s="1290"/>
      <c r="BB115" s="516" t="str">
        <f t="shared" si="93"/>
        <v/>
      </c>
      <c r="BC115" s="1290"/>
    </row>
    <row r="116" spans="1:55" ht="22.05" customHeight="1" thickBot="1">
      <c r="A116" s="1041"/>
      <c r="B116" s="1069"/>
      <c r="C116" s="1195"/>
      <c r="D116" s="1198"/>
      <c r="E116" s="1061"/>
      <c r="F116" s="1061"/>
      <c r="G116" s="275" t="s">
        <v>293</v>
      </c>
      <c r="H116" s="1202"/>
      <c r="I116" s="1223"/>
      <c r="J116" s="276"/>
      <c r="K116" s="1159" t="str">
        <f>IF(E113="","",VLOOKUP(E113,'Emission factors'!$A$61:$E$74,5,FALSE))</f>
        <v/>
      </c>
      <c r="L116" s="1159"/>
      <c r="M116" s="1159"/>
      <c r="N116" s="672"/>
      <c r="O116" s="1159" t="str">
        <f>IF(E113="","",VLOOKUP(E113,'Emission factors'!$A$61:$C$74,3,FALSE))</f>
        <v/>
      </c>
      <c r="P116" s="1160"/>
      <c r="Q116" s="1165"/>
      <c r="R116" s="1166"/>
      <c r="S116" s="1166"/>
      <c r="T116" s="1166"/>
      <c r="U116" s="1167"/>
      <c r="V116" s="1235"/>
      <c r="W116" s="1236"/>
      <c r="X116" s="1236"/>
      <c r="Y116" s="689" t="str">
        <f>IF(OR(J116="",N116="",E113=""),"",((J116*N116)*(10^-9)*(64/32)))</f>
        <v/>
      </c>
      <c r="Z116" s="1156"/>
      <c r="AA116" s="1237"/>
      <c r="AB116" s="1191"/>
      <c r="AC116" s="478"/>
      <c r="AD116" s="1248"/>
      <c r="AE116" s="522"/>
      <c r="AF116" s="834"/>
      <c r="AG116" s="1298"/>
      <c r="AH116" s="1299"/>
      <c r="AI116" s="1299"/>
      <c r="AJ116" s="1299"/>
      <c r="AK116" s="1300"/>
      <c r="AL116" s="1274"/>
      <c r="AM116" s="1275"/>
      <c r="AN116" s="1276"/>
      <c r="AO116" s="528" t="str">
        <f t="shared" ref="AO116:AO140" si="98">IF(OR(AE116="",AF116=""),"",(SQRT((AE116^2)+(AF116^2))))</f>
        <v/>
      </c>
      <c r="AP116" s="1281"/>
      <c r="AQ116" s="1248"/>
      <c r="AS116" s="1290"/>
      <c r="AT116" s="1290"/>
      <c r="AU116" s="1290"/>
      <c r="AV116" s="521" t="str">
        <f t="shared" si="92"/>
        <v/>
      </c>
      <c r="AW116" s="1290"/>
      <c r="AY116" s="1290"/>
      <c r="AZ116" s="1290"/>
      <c r="BA116" s="1290"/>
      <c r="BB116" s="516" t="str">
        <f t="shared" si="93"/>
        <v/>
      </c>
      <c r="BC116" s="1290"/>
    </row>
    <row r="117" spans="1:55" ht="22.05" customHeight="1">
      <c r="A117" s="1041"/>
      <c r="B117" s="1069"/>
      <c r="C117" s="1193" t="s">
        <v>547</v>
      </c>
      <c r="D117" s="1196"/>
      <c r="E117" s="1192"/>
      <c r="F117" s="1192"/>
      <c r="G117" s="272" t="s">
        <v>290</v>
      </c>
      <c r="H117" s="1200" t="str">
        <f>IF(E117="","",VLOOKUP(E117,'Emission factors'!$A$61:$D$74,4,FALSE))</f>
        <v/>
      </c>
      <c r="I117" s="1221" t="str">
        <f>IF(AND(J117="",J118="",J119="",J120=""),"",SUM(J117:J120))</f>
        <v/>
      </c>
      <c r="J117" s="273"/>
      <c r="K117" s="1173" t="str">
        <f>IF(E117="","",VLOOKUP(E117,'Emission factors'!$A$61:$E$74,5,FALSE))</f>
        <v/>
      </c>
      <c r="L117" s="1173"/>
      <c r="M117" s="1173"/>
      <c r="N117" s="704"/>
      <c r="O117" s="1173" t="str">
        <f>IF(E117="","",VLOOKUP(E117,'Emission factors'!$A$61:$C$74,3,FALSE))</f>
        <v/>
      </c>
      <c r="P117" s="1208"/>
      <c r="Q117" s="1165"/>
      <c r="R117" s="1166"/>
      <c r="S117" s="1166"/>
      <c r="T117" s="1166"/>
      <c r="U117" s="1167"/>
      <c r="V117" s="1235"/>
      <c r="W117" s="1236"/>
      <c r="X117" s="1236"/>
      <c r="Y117" s="293" t="str">
        <f>IF(OR(J117="",N117="",E117=""),"",((J117*N117)*(10^-9)*(64/32)))</f>
        <v/>
      </c>
      <c r="Z117" s="1154" t="str">
        <f>IF(AND(Y117="",Y118="",Y119="",Y120=""),"",SUM(Y117:Y120))</f>
        <v/>
      </c>
      <c r="AA117" s="1237"/>
      <c r="AB117" s="1191"/>
      <c r="AC117" s="478"/>
      <c r="AD117" s="1248"/>
      <c r="AE117" s="522"/>
      <c r="AF117" s="834"/>
      <c r="AG117" s="1298"/>
      <c r="AH117" s="1299"/>
      <c r="AI117" s="1299"/>
      <c r="AJ117" s="1299"/>
      <c r="AK117" s="1300"/>
      <c r="AL117" s="1274"/>
      <c r="AM117" s="1275"/>
      <c r="AN117" s="1276"/>
      <c r="AO117" s="528" t="str">
        <f t="shared" si="98"/>
        <v/>
      </c>
      <c r="AP117" s="1281"/>
      <c r="AQ117" s="1248"/>
      <c r="AS117" s="1290"/>
      <c r="AT117" s="1290"/>
      <c r="AU117" s="1290"/>
      <c r="AV117" s="521" t="str">
        <f t="shared" si="92"/>
        <v/>
      </c>
      <c r="AW117" s="1290"/>
      <c r="AY117" s="1290"/>
      <c r="AZ117" s="1290"/>
      <c r="BA117" s="1290"/>
      <c r="BB117" s="516" t="str">
        <f t="shared" si="93"/>
        <v/>
      </c>
      <c r="BC117" s="1290"/>
    </row>
    <row r="118" spans="1:55" ht="22.05" customHeight="1">
      <c r="A118" s="1041"/>
      <c r="B118" s="1069"/>
      <c r="C118" s="1194"/>
      <c r="D118" s="1197"/>
      <c r="E118" s="1058"/>
      <c r="F118" s="1058"/>
      <c r="G118" s="274" t="s">
        <v>291</v>
      </c>
      <c r="H118" s="1201"/>
      <c r="I118" s="1222"/>
      <c r="J118" s="795"/>
      <c r="K118" s="1161" t="str">
        <f>IF(E117="","",VLOOKUP(E117,'Emission factors'!$A$61:$E$74,5,FALSE))</f>
        <v/>
      </c>
      <c r="L118" s="1161"/>
      <c r="M118" s="1161"/>
      <c r="N118" s="669"/>
      <c r="O118" s="1161" t="str">
        <f>IF(E117="","",VLOOKUP(E117,'Emission factors'!$A$61:$C$74,3,FALSE))</f>
        <v/>
      </c>
      <c r="P118" s="1163"/>
      <c r="Q118" s="1165"/>
      <c r="R118" s="1166"/>
      <c r="S118" s="1166"/>
      <c r="T118" s="1166"/>
      <c r="U118" s="1167"/>
      <c r="V118" s="1235"/>
      <c r="W118" s="1236"/>
      <c r="X118" s="1236"/>
      <c r="Y118" s="294" t="str">
        <f>IF(OR(J118="",N118="",E117=""),"",((J118*N118)*(10^-9)*(64/32)))</f>
        <v/>
      </c>
      <c r="Z118" s="1155"/>
      <c r="AA118" s="1237"/>
      <c r="AB118" s="1191"/>
      <c r="AC118" s="478"/>
      <c r="AD118" s="1248"/>
      <c r="AE118" s="522"/>
      <c r="AF118" s="834"/>
      <c r="AG118" s="1298"/>
      <c r="AH118" s="1299"/>
      <c r="AI118" s="1299"/>
      <c r="AJ118" s="1299"/>
      <c r="AK118" s="1300"/>
      <c r="AL118" s="1274"/>
      <c r="AM118" s="1275"/>
      <c r="AN118" s="1276"/>
      <c r="AO118" s="528" t="str">
        <f t="shared" si="98"/>
        <v/>
      </c>
      <c r="AP118" s="1281"/>
      <c r="AQ118" s="1248"/>
      <c r="AS118" s="1290"/>
      <c r="AT118" s="1290"/>
      <c r="AU118" s="1290"/>
      <c r="AV118" s="521" t="str">
        <f t="shared" si="92"/>
        <v/>
      </c>
      <c r="AW118" s="1290"/>
      <c r="AY118" s="1290"/>
      <c r="AZ118" s="1290"/>
      <c r="BA118" s="1290"/>
      <c r="BB118" s="516" t="str">
        <f t="shared" si="93"/>
        <v/>
      </c>
      <c r="BC118" s="1290"/>
    </row>
    <row r="119" spans="1:55" ht="22.05" customHeight="1">
      <c r="A119" s="1041"/>
      <c r="B119" s="1069"/>
      <c r="C119" s="1194"/>
      <c r="D119" s="1197"/>
      <c r="E119" s="1058"/>
      <c r="F119" s="1058"/>
      <c r="G119" s="274" t="s">
        <v>292</v>
      </c>
      <c r="H119" s="1201"/>
      <c r="I119" s="1222"/>
      <c r="J119" s="795"/>
      <c r="K119" s="1161" t="str">
        <f>IF(E117="","",VLOOKUP(E117,'Emission factors'!$A$61:$E$74,5,FALSE))</f>
        <v/>
      </c>
      <c r="L119" s="1161"/>
      <c r="M119" s="1161"/>
      <c r="N119" s="669"/>
      <c r="O119" s="1161" t="str">
        <f>IF(E117="","",VLOOKUP(E117,'Emission factors'!$A$61:$C$74,3,FALSE))</f>
        <v/>
      </c>
      <c r="P119" s="1163"/>
      <c r="Q119" s="1165"/>
      <c r="R119" s="1166"/>
      <c r="S119" s="1166"/>
      <c r="T119" s="1166"/>
      <c r="U119" s="1167"/>
      <c r="V119" s="1235"/>
      <c r="W119" s="1236"/>
      <c r="X119" s="1236"/>
      <c r="Y119" s="294" t="str">
        <f>IF(OR(J119="",N119="",E117=""),"",((J119*N119)*(10^-9)*(64/32)))</f>
        <v/>
      </c>
      <c r="Z119" s="1155"/>
      <c r="AA119" s="1237"/>
      <c r="AB119" s="1191"/>
      <c r="AC119" s="478"/>
      <c r="AD119" s="1248"/>
      <c r="AE119" s="522"/>
      <c r="AF119" s="834"/>
      <c r="AG119" s="1298"/>
      <c r="AH119" s="1299"/>
      <c r="AI119" s="1299"/>
      <c r="AJ119" s="1299"/>
      <c r="AK119" s="1300"/>
      <c r="AL119" s="1274"/>
      <c r="AM119" s="1275"/>
      <c r="AN119" s="1276"/>
      <c r="AO119" s="528" t="str">
        <f t="shared" si="98"/>
        <v/>
      </c>
      <c r="AP119" s="1281"/>
      <c r="AQ119" s="1248"/>
      <c r="AS119" s="1290"/>
      <c r="AT119" s="1290"/>
      <c r="AU119" s="1290"/>
      <c r="AV119" s="521" t="str">
        <f t="shared" si="92"/>
        <v/>
      </c>
      <c r="AW119" s="1290"/>
      <c r="AY119" s="1290"/>
      <c r="AZ119" s="1290"/>
      <c r="BA119" s="1290"/>
      <c r="BB119" s="516" t="str">
        <f t="shared" si="93"/>
        <v/>
      </c>
      <c r="BC119" s="1290"/>
    </row>
    <row r="120" spans="1:55" ht="22.05" customHeight="1" thickBot="1">
      <c r="A120" s="1041"/>
      <c r="B120" s="1069"/>
      <c r="C120" s="1195"/>
      <c r="D120" s="1198"/>
      <c r="E120" s="1061"/>
      <c r="F120" s="1061"/>
      <c r="G120" s="275" t="s">
        <v>293</v>
      </c>
      <c r="H120" s="1202"/>
      <c r="I120" s="1223"/>
      <c r="J120" s="276"/>
      <c r="K120" s="1159" t="str">
        <f>IF(E117="","",VLOOKUP(E117,'Emission factors'!$A$61:$E$74,5,FALSE))</f>
        <v/>
      </c>
      <c r="L120" s="1159"/>
      <c r="M120" s="1159"/>
      <c r="N120" s="672"/>
      <c r="O120" s="1159" t="str">
        <f>IF(E117="","",VLOOKUP(E117,'Emission factors'!$A$61:$C$74,3,FALSE))</f>
        <v/>
      </c>
      <c r="P120" s="1160"/>
      <c r="Q120" s="1165"/>
      <c r="R120" s="1166"/>
      <c r="S120" s="1166"/>
      <c r="T120" s="1166"/>
      <c r="U120" s="1167"/>
      <c r="V120" s="1235"/>
      <c r="W120" s="1236"/>
      <c r="X120" s="1236"/>
      <c r="Y120" s="689" t="str">
        <f>IF(OR(J120="",N120="",E117=""),"",((J120*N120)*(10^-9)*(64/32)))</f>
        <v/>
      </c>
      <c r="Z120" s="1156"/>
      <c r="AA120" s="1237"/>
      <c r="AB120" s="1191"/>
      <c r="AC120" s="478"/>
      <c r="AD120" s="1248"/>
      <c r="AE120" s="522"/>
      <c r="AF120" s="834"/>
      <c r="AG120" s="1298"/>
      <c r="AH120" s="1299"/>
      <c r="AI120" s="1299"/>
      <c r="AJ120" s="1299"/>
      <c r="AK120" s="1300"/>
      <c r="AL120" s="1274"/>
      <c r="AM120" s="1275"/>
      <c r="AN120" s="1276"/>
      <c r="AO120" s="528" t="str">
        <f t="shared" si="98"/>
        <v/>
      </c>
      <c r="AP120" s="1281"/>
      <c r="AQ120" s="1248"/>
      <c r="AS120" s="1290"/>
      <c r="AT120" s="1290"/>
      <c r="AU120" s="1290"/>
      <c r="AV120" s="521" t="str">
        <f t="shared" si="92"/>
        <v/>
      </c>
      <c r="AW120" s="1290"/>
      <c r="AY120" s="1290"/>
      <c r="AZ120" s="1290"/>
      <c r="BA120" s="1290"/>
      <c r="BB120" s="516" t="str">
        <f t="shared" si="93"/>
        <v/>
      </c>
      <c r="BC120" s="1290"/>
    </row>
    <row r="121" spans="1:55" ht="22.05" customHeight="1">
      <c r="A121" s="1041"/>
      <c r="B121" s="1069"/>
      <c r="C121" s="1193" t="s">
        <v>548</v>
      </c>
      <c r="D121" s="1196"/>
      <c r="E121" s="1192"/>
      <c r="F121" s="1192"/>
      <c r="G121" s="272" t="s">
        <v>290</v>
      </c>
      <c r="H121" s="1200" t="str">
        <f>IF(E121="","",VLOOKUP(E121,'Emission factors'!$A$61:$D$74,4,FALSE))</f>
        <v/>
      </c>
      <c r="I121" s="1221" t="str">
        <f>IF(AND(J121="",J122="",J123="",J124=""),"",SUM(J121:J124))</f>
        <v/>
      </c>
      <c r="J121" s="273"/>
      <c r="K121" s="1173" t="str">
        <f>IF(E121="","",VLOOKUP(E121,'Emission factors'!$A$61:$E$74,5,FALSE))</f>
        <v/>
      </c>
      <c r="L121" s="1173"/>
      <c r="M121" s="1173"/>
      <c r="N121" s="704"/>
      <c r="O121" s="1173" t="str">
        <f>IF(E121="","",VLOOKUP(E121,'Emission factors'!$A$61:$C$74,3,FALSE))</f>
        <v/>
      </c>
      <c r="P121" s="1208"/>
      <c r="Q121" s="1165"/>
      <c r="R121" s="1166"/>
      <c r="S121" s="1166"/>
      <c r="T121" s="1166"/>
      <c r="U121" s="1167"/>
      <c r="V121" s="1235"/>
      <c r="W121" s="1236"/>
      <c r="X121" s="1236"/>
      <c r="Y121" s="293" t="str">
        <f>IF(OR(J121="",N121="",E121=""),"",((J121*N121)*(10^-9)*(64/32)))</f>
        <v/>
      </c>
      <c r="Z121" s="1154" t="str">
        <f>IF(AND(Y121="",Y122="",Y123="",Y124=""),"",SUM(Y121:Y124))</f>
        <v/>
      </c>
      <c r="AA121" s="1237"/>
      <c r="AB121" s="1191"/>
      <c r="AC121" s="478"/>
      <c r="AD121" s="1248"/>
      <c r="AE121" s="522"/>
      <c r="AF121" s="834"/>
      <c r="AG121" s="1298"/>
      <c r="AH121" s="1299"/>
      <c r="AI121" s="1299"/>
      <c r="AJ121" s="1299"/>
      <c r="AK121" s="1300"/>
      <c r="AL121" s="1274"/>
      <c r="AM121" s="1275"/>
      <c r="AN121" s="1276"/>
      <c r="AO121" s="528" t="str">
        <f t="shared" si="98"/>
        <v/>
      </c>
      <c r="AP121" s="1281"/>
      <c r="AQ121" s="1248"/>
      <c r="AS121" s="1290"/>
      <c r="AT121" s="1290"/>
      <c r="AU121" s="1290"/>
      <c r="AV121" s="521" t="str">
        <f t="shared" si="92"/>
        <v/>
      </c>
      <c r="AW121" s="1290"/>
      <c r="AY121" s="1290"/>
      <c r="AZ121" s="1290"/>
      <c r="BA121" s="1290"/>
      <c r="BB121" s="516" t="str">
        <f t="shared" si="93"/>
        <v/>
      </c>
      <c r="BC121" s="1290"/>
    </row>
    <row r="122" spans="1:55" ht="22.05" customHeight="1">
      <c r="A122" s="1041"/>
      <c r="B122" s="1069"/>
      <c r="C122" s="1194"/>
      <c r="D122" s="1197"/>
      <c r="E122" s="1058"/>
      <c r="F122" s="1058"/>
      <c r="G122" s="274" t="s">
        <v>291</v>
      </c>
      <c r="H122" s="1201"/>
      <c r="I122" s="1222"/>
      <c r="J122" s="795"/>
      <c r="K122" s="1161" t="str">
        <f>IF(E121="","",VLOOKUP(E121,'Emission factors'!$A$61:$E$74,5,FALSE))</f>
        <v/>
      </c>
      <c r="L122" s="1161"/>
      <c r="M122" s="1161"/>
      <c r="N122" s="669"/>
      <c r="O122" s="1161" t="str">
        <f>IF(E121="","",VLOOKUP(E121,'Emission factors'!$A$61:$C$74,3,FALSE))</f>
        <v/>
      </c>
      <c r="P122" s="1163"/>
      <c r="Q122" s="1165"/>
      <c r="R122" s="1166"/>
      <c r="S122" s="1166"/>
      <c r="T122" s="1166"/>
      <c r="U122" s="1167"/>
      <c r="V122" s="1235"/>
      <c r="W122" s="1236"/>
      <c r="X122" s="1236"/>
      <c r="Y122" s="294" t="str">
        <f>IF(OR(J122="",N122="",E121=""),"",((J122*N122)*(10^-9)*(64/32)))</f>
        <v/>
      </c>
      <c r="Z122" s="1155"/>
      <c r="AA122" s="1237"/>
      <c r="AB122" s="1191"/>
      <c r="AC122" s="478"/>
      <c r="AD122" s="1248"/>
      <c r="AE122" s="522"/>
      <c r="AF122" s="834"/>
      <c r="AG122" s="1298"/>
      <c r="AH122" s="1299"/>
      <c r="AI122" s="1299"/>
      <c r="AJ122" s="1299"/>
      <c r="AK122" s="1300"/>
      <c r="AL122" s="1274"/>
      <c r="AM122" s="1275"/>
      <c r="AN122" s="1276"/>
      <c r="AO122" s="528" t="str">
        <f t="shared" si="98"/>
        <v/>
      </c>
      <c r="AP122" s="1281"/>
      <c r="AQ122" s="1248"/>
      <c r="AS122" s="1290"/>
      <c r="AT122" s="1290"/>
      <c r="AU122" s="1290"/>
      <c r="AV122" s="521" t="str">
        <f t="shared" si="92"/>
        <v/>
      </c>
      <c r="AW122" s="1290"/>
      <c r="AY122" s="1290"/>
      <c r="AZ122" s="1290"/>
      <c r="BA122" s="1290"/>
      <c r="BB122" s="516" t="str">
        <f t="shared" si="93"/>
        <v/>
      </c>
      <c r="BC122" s="1290"/>
    </row>
    <row r="123" spans="1:55" ht="22.05" customHeight="1">
      <c r="A123" s="1041"/>
      <c r="B123" s="1069"/>
      <c r="C123" s="1194"/>
      <c r="D123" s="1197"/>
      <c r="E123" s="1058"/>
      <c r="F123" s="1058"/>
      <c r="G123" s="274" t="s">
        <v>292</v>
      </c>
      <c r="H123" s="1201"/>
      <c r="I123" s="1222"/>
      <c r="J123" s="795"/>
      <c r="K123" s="1161" t="str">
        <f>IF(E121="","",VLOOKUP(E121,'Emission factors'!$A$61:$E$74,5,FALSE))</f>
        <v/>
      </c>
      <c r="L123" s="1161"/>
      <c r="M123" s="1161"/>
      <c r="N123" s="669"/>
      <c r="O123" s="1161" t="str">
        <f>IF(E121="","",VLOOKUP(E121,'Emission factors'!$A$61:$C$74,3,FALSE))</f>
        <v/>
      </c>
      <c r="P123" s="1163"/>
      <c r="Q123" s="1165"/>
      <c r="R123" s="1166"/>
      <c r="S123" s="1166"/>
      <c r="T123" s="1166"/>
      <c r="U123" s="1167"/>
      <c r="V123" s="1235"/>
      <c r="W123" s="1236"/>
      <c r="X123" s="1236"/>
      <c r="Y123" s="294" t="str">
        <f>IF(OR(J123="",N123="",E121=""),"",((J123*N123)*(10^-9)*(64/32)))</f>
        <v/>
      </c>
      <c r="Z123" s="1155"/>
      <c r="AA123" s="1237"/>
      <c r="AB123" s="1191"/>
      <c r="AC123" s="478"/>
      <c r="AD123" s="1248"/>
      <c r="AE123" s="522"/>
      <c r="AF123" s="834"/>
      <c r="AG123" s="1298"/>
      <c r="AH123" s="1299"/>
      <c r="AI123" s="1299"/>
      <c r="AJ123" s="1299"/>
      <c r="AK123" s="1300"/>
      <c r="AL123" s="1274"/>
      <c r="AM123" s="1275"/>
      <c r="AN123" s="1276"/>
      <c r="AO123" s="528" t="str">
        <f t="shared" si="98"/>
        <v/>
      </c>
      <c r="AP123" s="1281"/>
      <c r="AQ123" s="1248"/>
      <c r="AS123" s="1290"/>
      <c r="AT123" s="1290"/>
      <c r="AU123" s="1290"/>
      <c r="AV123" s="521" t="str">
        <f t="shared" si="92"/>
        <v/>
      </c>
      <c r="AW123" s="1290"/>
      <c r="AY123" s="1290"/>
      <c r="AZ123" s="1290"/>
      <c r="BA123" s="1290"/>
      <c r="BB123" s="516" t="str">
        <f t="shared" si="93"/>
        <v/>
      </c>
      <c r="BC123" s="1290"/>
    </row>
    <row r="124" spans="1:55" ht="22.05" customHeight="1" thickBot="1">
      <c r="A124" s="1041"/>
      <c r="B124" s="1069"/>
      <c r="C124" s="1195"/>
      <c r="D124" s="1198"/>
      <c r="E124" s="1061"/>
      <c r="F124" s="1061"/>
      <c r="G124" s="275" t="s">
        <v>293</v>
      </c>
      <c r="H124" s="1202"/>
      <c r="I124" s="1223"/>
      <c r="J124" s="276"/>
      <c r="K124" s="1159" t="str">
        <f>IF(E121="","",VLOOKUP(E121,'Emission factors'!$A$61:$E$74,5,FALSE))</f>
        <v/>
      </c>
      <c r="L124" s="1159"/>
      <c r="M124" s="1159"/>
      <c r="N124" s="672"/>
      <c r="O124" s="1159" t="str">
        <f>IF(E121="","",VLOOKUP(E121,'Emission factors'!$A$61:$C$74,3,FALSE))</f>
        <v/>
      </c>
      <c r="P124" s="1160"/>
      <c r="Q124" s="1165"/>
      <c r="R124" s="1166"/>
      <c r="S124" s="1166"/>
      <c r="T124" s="1166"/>
      <c r="U124" s="1167"/>
      <c r="V124" s="1235"/>
      <c r="W124" s="1236"/>
      <c r="X124" s="1236"/>
      <c r="Y124" s="689" t="str">
        <f>IF(OR(J124="",N124="",E121=""),"",((J124*N124)*(10^-9)*(64/32)))</f>
        <v/>
      </c>
      <c r="Z124" s="1156"/>
      <c r="AA124" s="1237"/>
      <c r="AB124" s="1191"/>
      <c r="AC124" s="478"/>
      <c r="AD124" s="1248"/>
      <c r="AE124" s="522"/>
      <c r="AF124" s="834"/>
      <c r="AG124" s="1298"/>
      <c r="AH124" s="1299"/>
      <c r="AI124" s="1299"/>
      <c r="AJ124" s="1299"/>
      <c r="AK124" s="1300"/>
      <c r="AL124" s="1274"/>
      <c r="AM124" s="1275"/>
      <c r="AN124" s="1276"/>
      <c r="AO124" s="528" t="str">
        <f t="shared" si="98"/>
        <v/>
      </c>
      <c r="AP124" s="1281"/>
      <c r="AQ124" s="1248"/>
      <c r="AS124" s="1290"/>
      <c r="AT124" s="1290"/>
      <c r="AU124" s="1290"/>
      <c r="AV124" s="521" t="str">
        <f t="shared" si="92"/>
        <v/>
      </c>
      <c r="AW124" s="1290"/>
      <c r="AY124" s="1290"/>
      <c r="AZ124" s="1290"/>
      <c r="BA124" s="1290"/>
      <c r="BB124" s="516" t="str">
        <f t="shared" si="93"/>
        <v/>
      </c>
      <c r="BC124" s="1290"/>
    </row>
    <row r="125" spans="1:55" ht="22.05" customHeight="1">
      <c r="A125" s="1041"/>
      <c r="B125" s="1069"/>
      <c r="C125" s="1193" t="s">
        <v>551</v>
      </c>
      <c r="D125" s="1196"/>
      <c r="E125" s="1192"/>
      <c r="F125" s="1192"/>
      <c r="G125" s="272" t="s">
        <v>290</v>
      </c>
      <c r="H125" s="1200" t="str">
        <f>IF(E125="","",VLOOKUP(E125,'Emission factors'!$A$61:$D$74,4,FALSE))</f>
        <v/>
      </c>
      <c r="I125" s="1221" t="str">
        <f>IF(AND(J125="",J126="",J127="",J128=""),"",SUM(J125:J128))</f>
        <v/>
      </c>
      <c r="J125" s="273"/>
      <c r="K125" s="1173" t="str">
        <f>IF(E125="","",VLOOKUP(E125,'Emission factors'!$A$61:$E$74,5,FALSE))</f>
        <v/>
      </c>
      <c r="L125" s="1173"/>
      <c r="M125" s="1173"/>
      <c r="N125" s="704"/>
      <c r="O125" s="1173" t="str">
        <f>IF(E125="","",VLOOKUP(E125,'Emission factors'!$A$61:$C$74,3,FALSE))</f>
        <v/>
      </c>
      <c r="P125" s="1208"/>
      <c r="Q125" s="1165"/>
      <c r="R125" s="1166"/>
      <c r="S125" s="1166"/>
      <c r="T125" s="1166"/>
      <c r="U125" s="1167"/>
      <c r="V125" s="1235"/>
      <c r="W125" s="1236"/>
      <c r="X125" s="1236"/>
      <c r="Y125" s="293" t="str">
        <f>IF(OR(J125="",N125="",E125=""),"",((J125*N125)*(10^-9)*(64/32)))</f>
        <v/>
      </c>
      <c r="Z125" s="1154" t="str">
        <f>IF(AND(Y125="",Y126="",Y127="",Y128=""),"",SUM(Y125:Y128))</f>
        <v/>
      </c>
      <c r="AA125" s="1237"/>
      <c r="AB125" s="1191"/>
      <c r="AC125" s="478"/>
      <c r="AD125" s="1248"/>
      <c r="AE125" s="522"/>
      <c r="AF125" s="834"/>
      <c r="AG125" s="1298"/>
      <c r="AH125" s="1299"/>
      <c r="AI125" s="1299"/>
      <c r="AJ125" s="1299"/>
      <c r="AK125" s="1300"/>
      <c r="AL125" s="1274"/>
      <c r="AM125" s="1275"/>
      <c r="AN125" s="1276"/>
      <c r="AO125" s="528" t="str">
        <f t="shared" si="98"/>
        <v/>
      </c>
      <c r="AP125" s="1281"/>
      <c r="AQ125" s="1248"/>
      <c r="AS125" s="1290"/>
      <c r="AT125" s="1290"/>
      <c r="AU125" s="1290"/>
      <c r="AV125" s="521" t="str">
        <f t="shared" si="92"/>
        <v/>
      </c>
      <c r="AW125" s="1290"/>
      <c r="AY125" s="1290"/>
      <c r="AZ125" s="1290"/>
      <c r="BA125" s="1290"/>
      <c r="BB125" s="516" t="str">
        <f t="shared" si="93"/>
        <v/>
      </c>
      <c r="BC125" s="1290"/>
    </row>
    <row r="126" spans="1:55" ht="22.05" customHeight="1">
      <c r="A126" s="1041"/>
      <c r="B126" s="1069"/>
      <c r="C126" s="1194"/>
      <c r="D126" s="1197"/>
      <c r="E126" s="1058"/>
      <c r="F126" s="1058"/>
      <c r="G126" s="274" t="s">
        <v>291</v>
      </c>
      <c r="H126" s="1201"/>
      <c r="I126" s="1222"/>
      <c r="J126" s="795"/>
      <c r="K126" s="1161" t="str">
        <f>IF(E125="","",VLOOKUP(E125,'Emission factors'!$A$61:$E$74,5,FALSE))</f>
        <v/>
      </c>
      <c r="L126" s="1161"/>
      <c r="M126" s="1161"/>
      <c r="N126" s="669"/>
      <c r="O126" s="1161" t="str">
        <f>IF(E125="","",VLOOKUP(E125,'Emission factors'!$A$61:$C$74,3,FALSE))</f>
        <v/>
      </c>
      <c r="P126" s="1163"/>
      <c r="Q126" s="1165"/>
      <c r="R126" s="1166"/>
      <c r="S126" s="1166"/>
      <c r="T126" s="1166"/>
      <c r="U126" s="1167"/>
      <c r="V126" s="1235"/>
      <c r="W126" s="1236"/>
      <c r="X126" s="1236"/>
      <c r="Y126" s="294" t="str">
        <f>IF(OR(J126="",N126="",E125=""),"",((J126*N126)*(10^-9)*(64/32)))</f>
        <v/>
      </c>
      <c r="Z126" s="1155"/>
      <c r="AA126" s="1237"/>
      <c r="AB126" s="1191"/>
      <c r="AC126" s="478"/>
      <c r="AD126" s="1248"/>
      <c r="AE126" s="522"/>
      <c r="AF126" s="834"/>
      <c r="AG126" s="1298"/>
      <c r="AH126" s="1299"/>
      <c r="AI126" s="1299"/>
      <c r="AJ126" s="1299"/>
      <c r="AK126" s="1300"/>
      <c r="AL126" s="1274"/>
      <c r="AM126" s="1275"/>
      <c r="AN126" s="1276"/>
      <c r="AO126" s="528" t="str">
        <f t="shared" si="98"/>
        <v/>
      </c>
      <c r="AP126" s="1281"/>
      <c r="AQ126" s="1248"/>
      <c r="AS126" s="1290"/>
      <c r="AT126" s="1290"/>
      <c r="AU126" s="1290"/>
      <c r="AV126" s="521" t="str">
        <f t="shared" si="92"/>
        <v/>
      </c>
      <c r="AW126" s="1290"/>
      <c r="AY126" s="1290"/>
      <c r="AZ126" s="1290"/>
      <c r="BA126" s="1290"/>
      <c r="BB126" s="516" t="str">
        <f t="shared" si="93"/>
        <v/>
      </c>
      <c r="BC126" s="1290"/>
    </row>
    <row r="127" spans="1:55" ht="22.05" customHeight="1">
      <c r="A127" s="1041"/>
      <c r="B127" s="1069"/>
      <c r="C127" s="1194"/>
      <c r="D127" s="1197"/>
      <c r="E127" s="1058"/>
      <c r="F127" s="1058"/>
      <c r="G127" s="274" t="s">
        <v>292</v>
      </c>
      <c r="H127" s="1201"/>
      <c r="I127" s="1222"/>
      <c r="J127" s="795"/>
      <c r="K127" s="1161" t="str">
        <f>IF(E125="","",VLOOKUP(E125,'Emission factors'!$A$61:$E$74,5,FALSE))</f>
        <v/>
      </c>
      <c r="L127" s="1161"/>
      <c r="M127" s="1161"/>
      <c r="N127" s="669"/>
      <c r="O127" s="1161" t="str">
        <f>IF(E125="","",VLOOKUP(E125,'Emission factors'!$A$61:$C$74,3,FALSE))</f>
        <v/>
      </c>
      <c r="P127" s="1163"/>
      <c r="Q127" s="1165"/>
      <c r="R127" s="1166"/>
      <c r="S127" s="1166"/>
      <c r="T127" s="1166"/>
      <c r="U127" s="1167"/>
      <c r="V127" s="1235"/>
      <c r="W127" s="1236"/>
      <c r="X127" s="1236"/>
      <c r="Y127" s="294" t="str">
        <f>IF(OR(J127="",N127="",E125=""),"",((J127*N127)*(10^-9)*(64/32)))</f>
        <v/>
      </c>
      <c r="Z127" s="1155"/>
      <c r="AA127" s="1237"/>
      <c r="AB127" s="1191"/>
      <c r="AC127" s="478"/>
      <c r="AD127" s="1248"/>
      <c r="AE127" s="522"/>
      <c r="AF127" s="834"/>
      <c r="AG127" s="1298"/>
      <c r="AH127" s="1299"/>
      <c r="AI127" s="1299"/>
      <c r="AJ127" s="1299"/>
      <c r="AK127" s="1300"/>
      <c r="AL127" s="1274"/>
      <c r="AM127" s="1275"/>
      <c r="AN127" s="1276"/>
      <c r="AO127" s="528" t="str">
        <f t="shared" si="98"/>
        <v/>
      </c>
      <c r="AP127" s="1281"/>
      <c r="AQ127" s="1248"/>
      <c r="AS127" s="1290"/>
      <c r="AT127" s="1290"/>
      <c r="AU127" s="1290"/>
      <c r="AV127" s="521" t="str">
        <f t="shared" si="92"/>
        <v/>
      </c>
      <c r="AW127" s="1290"/>
      <c r="AY127" s="1290"/>
      <c r="AZ127" s="1290"/>
      <c r="BA127" s="1290"/>
      <c r="BB127" s="516" t="str">
        <f t="shared" si="93"/>
        <v/>
      </c>
      <c r="BC127" s="1290"/>
    </row>
    <row r="128" spans="1:55" ht="22.05" customHeight="1" thickBot="1">
      <c r="A128" s="1041"/>
      <c r="B128" s="1069"/>
      <c r="C128" s="1195"/>
      <c r="D128" s="1198"/>
      <c r="E128" s="1061"/>
      <c r="F128" s="1061"/>
      <c r="G128" s="275" t="s">
        <v>293</v>
      </c>
      <c r="H128" s="1202"/>
      <c r="I128" s="1223"/>
      <c r="J128" s="276"/>
      <c r="K128" s="1159" t="str">
        <f>IF(E125="","",VLOOKUP(E125,'Emission factors'!$A$61:$E$74,5,FALSE))</f>
        <v/>
      </c>
      <c r="L128" s="1159"/>
      <c r="M128" s="1159"/>
      <c r="N128" s="672"/>
      <c r="O128" s="1159" t="str">
        <f>IF(E125="","",VLOOKUP(E125,'Emission factors'!$A$61:$C$74,3,FALSE))</f>
        <v/>
      </c>
      <c r="P128" s="1160"/>
      <c r="Q128" s="1165"/>
      <c r="R128" s="1166"/>
      <c r="S128" s="1166"/>
      <c r="T128" s="1166"/>
      <c r="U128" s="1167"/>
      <c r="V128" s="1235"/>
      <c r="W128" s="1236"/>
      <c r="X128" s="1236"/>
      <c r="Y128" s="689" t="str">
        <f>IF(OR(J128="",N128="",E125=""),"",((J128*N128)*(10^-9)*(64/32)))</f>
        <v/>
      </c>
      <c r="Z128" s="1156"/>
      <c r="AA128" s="1237"/>
      <c r="AB128" s="1191"/>
      <c r="AC128" s="478"/>
      <c r="AD128" s="1248"/>
      <c r="AE128" s="522"/>
      <c r="AF128" s="834"/>
      <c r="AG128" s="1298"/>
      <c r="AH128" s="1299"/>
      <c r="AI128" s="1299"/>
      <c r="AJ128" s="1299"/>
      <c r="AK128" s="1300"/>
      <c r="AL128" s="1274"/>
      <c r="AM128" s="1275"/>
      <c r="AN128" s="1276"/>
      <c r="AO128" s="528" t="str">
        <f t="shared" si="98"/>
        <v/>
      </c>
      <c r="AP128" s="1281"/>
      <c r="AQ128" s="1248"/>
      <c r="AS128" s="1290"/>
      <c r="AT128" s="1290"/>
      <c r="AU128" s="1290"/>
      <c r="AV128" s="521" t="str">
        <f t="shared" si="92"/>
        <v/>
      </c>
      <c r="AW128" s="1290"/>
      <c r="AY128" s="1290"/>
      <c r="AZ128" s="1290"/>
      <c r="BA128" s="1290"/>
      <c r="BB128" s="516" t="str">
        <f t="shared" si="93"/>
        <v/>
      </c>
      <c r="BC128" s="1290"/>
    </row>
    <row r="129" spans="1:55" ht="22.05" customHeight="1">
      <c r="A129" s="1041"/>
      <c r="B129" s="1069"/>
      <c r="C129" s="1193" t="s">
        <v>972</v>
      </c>
      <c r="D129" s="1196"/>
      <c r="E129" s="1192"/>
      <c r="F129" s="1192"/>
      <c r="G129" s="272" t="s">
        <v>290</v>
      </c>
      <c r="H129" s="1200" t="str">
        <f>IF(E129="","",VLOOKUP(E129,'Emission factors'!$A$61:$D$74,4,FALSE))</f>
        <v/>
      </c>
      <c r="I129" s="1221" t="str">
        <f>IF(AND(J129="",J130="",J131="",J132=""),"",SUM(J129:J132))</f>
        <v/>
      </c>
      <c r="J129" s="273"/>
      <c r="K129" s="1173" t="str">
        <f>IF(E129="","",VLOOKUP(E129,'Emission factors'!$A$61:$E$74,5,FALSE))</f>
        <v/>
      </c>
      <c r="L129" s="1173"/>
      <c r="M129" s="1173"/>
      <c r="N129" s="704"/>
      <c r="O129" s="1173" t="str">
        <f>IF(E129="","",VLOOKUP(E129,'Emission factors'!$A$61:$C$74,3,FALSE))</f>
        <v/>
      </c>
      <c r="P129" s="1208"/>
      <c r="Q129" s="1165"/>
      <c r="R129" s="1166"/>
      <c r="S129" s="1166"/>
      <c r="T129" s="1166"/>
      <c r="U129" s="1167"/>
      <c r="V129" s="1235"/>
      <c r="W129" s="1236"/>
      <c r="X129" s="1236"/>
      <c r="Y129" s="293" t="str">
        <f>IF(OR(J129="",N129="",E129=""),"",((J129*N129)*(10^-9)*(64/32)))</f>
        <v/>
      </c>
      <c r="Z129" s="1154" t="str">
        <f>IF(AND(Y129="",Y130="",Y131="",Y132=""),"",SUM(Y129:Y132))</f>
        <v/>
      </c>
      <c r="AA129" s="1237"/>
      <c r="AB129" s="1191"/>
      <c r="AC129" s="478"/>
      <c r="AD129" s="1248"/>
      <c r="AE129" s="522"/>
      <c r="AF129" s="834"/>
      <c r="AG129" s="1298"/>
      <c r="AH129" s="1299"/>
      <c r="AI129" s="1299"/>
      <c r="AJ129" s="1299"/>
      <c r="AK129" s="1300"/>
      <c r="AL129" s="1274"/>
      <c r="AM129" s="1275"/>
      <c r="AN129" s="1276"/>
      <c r="AO129" s="528" t="str">
        <f t="shared" si="98"/>
        <v/>
      </c>
      <c r="AP129" s="1281"/>
      <c r="AQ129" s="1248"/>
      <c r="AS129" s="1290"/>
      <c r="AT129" s="1290"/>
      <c r="AU129" s="1290"/>
      <c r="AV129" s="521" t="str">
        <f t="shared" si="92"/>
        <v/>
      </c>
      <c r="AW129" s="1290"/>
      <c r="AY129" s="1290"/>
      <c r="AZ129" s="1290"/>
      <c r="BA129" s="1290"/>
      <c r="BB129" s="516" t="str">
        <f t="shared" si="93"/>
        <v/>
      </c>
      <c r="BC129" s="1290"/>
    </row>
    <row r="130" spans="1:55" ht="22.05" customHeight="1">
      <c r="A130" s="1041"/>
      <c r="B130" s="1069"/>
      <c r="C130" s="1194"/>
      <c r="D130" s="1197"/>
      <c r="E130" s="1058"/>
      <c r="F130" s="1058"/>
      <c r="G130" s="274" t="s">
        <v>291</v>
      </c>
      <c r="H130" s="1201"/>
      <c r="I130" s="1222"/>
      <c r="J130" s="795"/>
      <c r="K130" s="1161" t="str">
        <f>IF(E129="","",VLOOKUP(E129,'Emission factors'!$A$61:$E$74,5,FALSE))</f>
        <v/>
      </c>
      <c r="L130" s="1161"/>
      <c r="M130" s="1161"/>
      <c r="N130" s="669"/>
      <c r="O130" s="1161" t="str">
        <f>IF(E129="","",VLOOKUP(E129,'Emission factors'!$A$61:$C$74,3,FALSE))</f>
        <v/>
      </c>
      <c r="P130" s="1163"/>
      <c r="Q130" s="1165"/>
      <c r="R130" s="1166"/>
      <c r="S130" s="1166"/>
      <c r="T130" s="1166"/>
      <c r="U130" s="1167"/>
      <c r="V130" s="1235"/>
      <c r="W130" s="1236"/>
      <c r="X130" s="1236"/>
      <c r="Y130" s="294" t="str">
        <f>IF(OR(J130="",N130="",E129=""),"",((J130*N130)*(10^-9)*(64/32)))</f>
        <v/>
      </c>
      <c r="Z130" s="1155"/>
      <c r="AA130" s="1237"/>
      <c r="AB130" s="1191"/>
      <c r="AC130" s="478"/>
      <c r="AD130" s="1248"/>
      <c r="AE130" s="522"/>
      <c r="AF130" s="834"/>
      <c r="AG130" s="1298"/>
      <c r="AH130" s="1299"/>
      <c r="AI130" s="1299"/>
      <c r="AJ130" s="1299"/>
      <c r="AK130" s="1300"/>
      <c r="AL130" s="1274"/>
      <c r="AM130" s="1275"/>
      <c r="AN130" s="1276"/>
      <c r="AO130" s="528" t="str">
        <f t="shared" si="98"/>
        <v/>
      </c>
      <c r="AP130" s="1281"/>
      <c r="AQ130" s="1248"/>
      <c r="AS130" s="1290"/>
      <c r="AT130" s="1290"/>
      <c r="AU130" s="1290"/>
      <c r="AV130" s="521" t="str">
        <f t="shared" si="92"/>
        <v/>
      </c>
      <c r="AW130" s="1290"/>
      <c r="AY130" s="1290"/>
      <c r="AZ130" s="1290"/>
      <c r="BA130" s="1290"/>
      <c r="BB130" s="516" t="str">
        <f t="shared" si="93"/>
        <v/>
      </c>
      <c r="BC130" s="1290"/>
    </row>
    <row r="131" spans="1:55" ht="22.05" customHeight="1">
      <c r="A131" s="1041"/>
      <c r="B131" s="1069"/>
      <c r="C131" s="1194"/>
      <c r="D131" s="1197"/>
      <c r="E131" s="1058"/>
      <c r="F131" s="1058"/>
      <c r="G131" s="274" t="s">
        <v>292</v>
      </c>
      <c r="H131" s="1201"/>
      <c r="I131" s="1222"/>
      <c r="J131" s="795"/>
      <c r="K131" s="1161" t="str">
        <f>IF(E129="","",VLOOKUP(E129,'Emission factors'!$A$61:$E$74,5,FALSE))</f>
        <v/>
      </c>
      <c r="L131" s="1161"/>
      <c r="M131" s="1161"/>
      <c r="N131" s="669"/>
      <c r="O131" s="1161" t="str">
        <f>IF(E129="","",VLOOKUP(E129,'Emission factors'!$A$61:$C$74,3,FALSE))</f>
        <v/>
      </c>
      <c r="P131" s="1163"/>
      <c r="Q131" s="1165"/>
      <c r="R131" s="1166"/>
      <c r="S131" s="1166"/>
      <c r="T131" s="1166"/>
      <c r="U131" s="1167"/>
      <c r="V131" s="1235"/>
      <c r="W131" s="1236"/>
      <c r="X131" s="1236"/>
      <c r="Y131" s="294" t="str">
        <f>IF(OR(J131="",N131="",E129=""),"",((J131*N131)*(10^-9)*(64/32)))</f>
        <v/>
      </c>
      <c r="Z131" s="1155"/>
      <c r="AA131" s="1237"/>
      <c r="AB131" s="1191"/>
      <c r="AC131" s="478"/>
      <c r="AD131" s="1248"/>
      <c r="AE131" s="522"/>
      <c r="AF131" s="834"/>
      <c r="AG131" s="1298"/>
      <c r="AH131" s="1299"/>
      <c r="AI131" s="1299"/>
      <c r="AJ131" s="1299"/>
      <c r="AK131" s="1300"/>
      <c r="AL131" s="1274"/>
      <c r="AM131" s="1275"/>
      <c r="AN131" s="1276"/>
      <c r="AO131" s="528" t="str">
        <f t="shared" si="98"/>
        <v/>
      </c>
      <c r="AP131" s="1281"/>
      <c r="AQ131" s="1248"/>
      <c r="AS131" s="1290"/>
      <c r="AT131" s="1290"/>
      <c r="AU131" s="1290"/>
      <c r="AV131" s="521" t="str">
        <f t="shared" si="92"/>
        <v/>
      </c>
      <c r="AW131" s="1290"/>
      <c r="AY131" s="1290"/>
      <c r="AZ131" s="1290"/>
      <c r="BA131" s="1290"/>
      <c r="BB131" s="516" t="str">
        <f t="shared" si="93"/>
        <v/>
      </c>
      <c r="BC131" s="1290"/>
    </row>
    <row r="132" spans="1:55" ht="22.05" customHeight="1" thickBot="1">
      <c r="A132" s="1041"/>
      <c r="B132" s="1069"/>
      <c r="C132" s="1195"/>
      <c r="D132" s="1198"/>
      <c r="E132" s="1061"/>
      <c r="F132" s="1061"/>
      <c r="G132" s="275" t="s">
        <v>293</v>
      </c>
      <c r="H132" s="1202"/>
      <c r="I132" s="1223"/>
      <c r="J132" s="276"/>
      <c r="K132" s="1159" t="str">
        <f>IF(E129="","",VLOOKUP(E129,'Emission factors'!$A$61:$E$74,5,FALSE))</f>
        <v/>
      </c>
      <c r="L132" s="1159"/>
      <c r="M132" s="1159"/>
      <c r="N132" s="672"/>
      <c r="O132" s="1159" t="str">
        <f>IF(E129="","",VLOOKUP(E129,'Emission factors'!$A$61:$C$74,3,FALSE))</f>
        <v/>
      </c>
      <c r="P132" s="1160"/>
      <c r="Q132" s="1165"/>
      <c r="R132" s="1166"/>
      <c r="S132" s="1166"/>
      <c r="T132" s="1166"/>
      <c r="U132" s="1167"/>
      <c r="V132" s="1235"/>
      <c r="W132" s="1236"/>
      <c r="X132" s="1236"/>
      <c r="Y132" s="689" t="str">
        <f>IF(OR(J132="",N132="",E129=""),"",((J132*N132)*(10^-9)*(64/32)))</f>
        <v/>
      </c>
      <c r="Z132" s="1156"/>
      <c r="AA132" s="1237"/>
      <c r="AB132" s="1191"/>
      <c r="AC132" s="478"/>
      <c r="AD132" s="1248"/>
      <c r="AE132" s="522"/>
      <c r="AF132" s="834"/>
      <c r="AG132" s="1298"/>
      <c r="AH132" s="1299"/>
      <c r="AI132" s="1299"/>
      <c r="AJ132" s="1299"/>
      <c r="AK132" s="1300"/>
      <c r="AL132" s="1274"/>
      <c r="AM132" s="1275"/>
      <c r="AN132" s="1276"/>
      <c r="AO132" s="528" t="str">
        <f t="shared" si="98"/>
        <v/>
      </c>
      <c r="AP132" s="1281"/>
      <c r="AQ132" s="1248"/>
      <c r="AS132" s="1290"/>
      <c r="AT132" s="1290"/>
      <c r="AU132" s="1290"/>
      <c r="AV132" s="521" t="str">
        <f t="shared" si="92"/>
        <v/>
      </c>
      <c r="AW132" s="1290"/>
      <c r="AY132" s="1290"/>
      <c r="AZ132" s="1290"/>
      <c r="BA132" s="1290"/>
      <c r="BB132" s="516" t="str">
        <f t="shared" si="93"/>
        <v/>
      </c>
      <c r="BC132" s="1290"/>
    </row>
    <row r="133" spans="1:55" ht="22.05" customHeight="1">
      <c r="A133" s="1041"/>
      <c r="B133" s="1069"/>
      <c r="C133" s="1193" t="s">
        <v>973</v>
      </c>
      <c r="D133" s="1196"/>
      <c r="E133" s="1192"/>
      <c r="F133" s="1192"/>
      <c r="G133" s="272" t="s">
        <v>290</v>
      </c>
      <c r="H133" s="1200" t="str">
        <f>IF(E133="","",VLOOKUP(E133,'Emission factors'!$A$61:$D$74,4,FALSE))</f>
        <v/>
      </c>
      <c r="I133" s="1221" t="str">
        <f>IF(AND(J133="",J134="",J135="",J136=""),"",SUM(J133:J136))</f>
        <v/>
      </c>
      <c r="J133" s="273"/>
      <c r="K133" s="1173" t="str">
        <f>IF(E133="","",VLOOKUP(E133,'Emission factors'!$A$61:$E$74,5,FALSE))</f>
        <v/>
      </c>
      <c r="L133" s="1173"/>
      <c r="M133" s="1173"/>
      <c r="N133" s="704"/>
      <c r="O133" s="1173" t="str">
        <f>IF(E133="","",VLOOKUP(E133,'Emission factors'!$A$61:$C$74,3,FALSE))</f>
        <v/>
      </c>
      <c r="P133" s="1208"/>
      <c r="Q133" s="1165"/>
      <c r="R133" s="1166"/>
      <c r="S133" s="1166"/>
      <c r="T133" s="1166"/>
      <c r="U133" s="1167"/>
      <c r="V133" s="1235"/>
      <c r="W133" s="1236"/>
      <c r="X133" s="1236"/>
      <c r="Y133" s="293" t="str">
        <f>IF(OR(J133="",N133="",E133=""),"",((J133*N133)*(10^-9)*(64/32)))</f>
        <v/>
      </c>
      <c r="Z133" s="1154" t="str">
        <f>IF(AND(Y133="",Y134="",Y135="",Y136=""),"",SUM(Y133:Y136))</f>
        <v/>
      </c>
      <c r="AA133" s="1237"/>
      <c r="AB133" s="1191"/>
      <c r="AC133" s="478"/>
      <c r="AD133" s="1248"/>
      <c r="AE133" s="522"/>
      <c r="AF133" s="834"/>
      <c r="AG133" s="1298"/>
      <c r="AH133" s="1299"/>
      <c r="AI133" s="1299"/>
      <c r="AJ133" s="1299"/>
      <c r="AK133" s="1300"/>
      <c r="AL133" s="1274"/>
      <c r="AM133" s="1275"/>
      <c r="AN133" s="1276"/>
      <c r="AO133" s="528" t="str">
        <f t="shared" si="98"/>
        <v/>
      </c>
      <c r="AP133" s="1281"/>
      <c r="AQ133" s="1248"/>
      <c r="AS133" s="1290"/>
      <c r="AT133" s="1290"/>
      <c r="AU133" s="1290"/>
      <c r="AV133" s="521" t="str">
        <f t="shared" si="92"/>
        <v/>
      </c>
      <c r="AW133" s="1290"/>
      <c r="AY133" s="1290"/>
      <c r="AZ133" s="1290"/>
      <c r="BA133" s="1290"/>
      <c r="BB133" s="516" t="str">
        <f t="shared" si="93"/>
        <v/>
      </c>
      <c r="BC133" s="1290"/>
    </row>
    <row r="134" spans="1:55" ht="22.05" customHeight="1">
      <c r="A134" s="1041"/>
      <c r="B134" s="1069"/>
      <c r="C134" s="1194"/>
      <c r="D134" s="1197"/>
      <c r="E134" s="1058"/>
      <c r="F134" s="1058"/>
      <c r="G134" s="274" t="s">
        <v>291</v>
      </c>
      <c r="H134" s="1201"/>
      <c r="I134" s="1222"/>
      <c r="J134" s="795"/>
      <c r="K134" s="1161" t="str">
        <f>IF(E133="","",VLOOKUP(E133,'Emission factors'!$A$61:$E$74,5,FALSE))</f>
        <v/>
      </c>
      <c r="L134" s="1161"/>
      <c r="M134" s="1161"/>
      <c r="N134" s="669"/>
      <c r="O134" s="1161" t="str">
        <f>IF(E133="","",VLOOKUP(E133,'Emission factors'!$A$61:$C$74,3,FALSE))</f>
        <v/>
      </c>
      <c r="P134" s="1163"/>
      <c r="Q134" s="1165"/>
      <c r="R134" s="1166"/>
      <c r="S134" s="1166"/>
      <c r="T134" s="1166"/>
      <c r="U134" s="1167"/>
      <c r="V134" s="1235"/>
      <c r="W134" s="1236"/>
      <c r="X134" s="1236"/>
      <c r="Y134" s="294" t="str">
        <f>IF(OR(J134="",N134="",E133=""),"",((J134*N134)*(10^-9)*(64/32)))</f>
        <v/>
      </c>
      <c r="Z134" s="1155"/>
      <c r="AA134" s="1237"/>
      <c r="AB134" s="1191"/>
      <c r="AC134" s="478"/>
      <c r="AD134" s="1248"/>
      <c r="AE134" s="522"/>
      <c r="AF134" s="834"/>
      <c r="AG134" s="1298"/>
      <c r="AH134" s="1299"/>
      <c r="AI134" s="1299"/>
      <c r="AJ134" s="1299"/>
      <c r="AK134" s="1300"/>
      <c r="AL134" s="1274"/>
      <c r="AM134" s="1275"/>
      <c r="AN134" s="1276"/>
      <c r="AO134" s="528" t="str">
        <f t="shared" si="98"/>
        <v/>
      </c>
      <c r="AP134" s="1281"/>
      <c r="AQ134" s="1248"/>
      <c r="AS134" s="1290"/>
      <c r="AT134" s="1290"/>
      <c r="AU134" s="1290"/>
      <c r="AV134" s="521" t="str">
        <f t="shared" si="92"/>
        <v/>
      </c>
      <c r="AW134" s="1290"/>
      <c r="AY134" s="1290"/>
      <c r="AZ134" s="1290"/>
      <c r="BA134" s="1290"/>
      <c r="BB134" s="516" t="str">
        <f t="shared" si="93"/>
        <v/>
      </c>
      <c r="BC134" s="1290"/>
    </row>
    <row r="135" spans="1:55" ht="22.05" customHeight="1">
      <c r="A135" s="1041"/>
      <c r="B135" s="1069"/>
      <c r="C135" s="1194"/>
      <c r="D135" s="1197"/>
      <c r="E135" s="1058"/>
      <c r="F135" s="1058"/>
      <c r="G135" s="274" t="s">
        <v>292</v>
      </c>
      <c r="H135" s="1201"/>
      <c r="I135" s="1222"/>
      <c r="J135" s="795"/>
      <c r="K135" s="1161" t="str">
        <f>IF(E133="","",VLOOKUP(E133,'Emission factors'!$A$61:$E$74,5,FALSE))</f>
        <v/>
      </c>
      <c r="L135" s="1161"/>
      <c r="M135" s="1161"/>
      <c r="N135" s="669"/>
      <c r="O135" s="1161" t="str">
        <f>IF(E133="","",VLOOKUP(E133,'Emission factors'!$A$61:$C$74,3,FALSE))</f>
        <v/>
      </c>
      <c r="P135" s="1163"/>
      <c r="Q135" s="1165"/>
      <c r="R135" s="1166"/>
      <c r="S135" s="1166"/>
      <c r="T135" s="1166"/>
      <c r="U135" s="1167"/>
      <c r="V135" s="1235"/>
      <c r="W135" s="1236"/>
      <c r="X135" s="1236"/>
      <c r="Y135" s="294" t="str">
        <f>IF(OR(J135="",N135="",E133=""),"",((J135*N135)*(10^-9)*(64/32)))</f>
        <v/>
      </c>
      <c r="Z135" s="1155"/>
      <c r="AA135" s="1237"/>
      <c r="AB135" s="1191"/>
      <c r="AC135" s="478"/>
      <c r="AD135" s="1248"/>
      <c r="AE135" s="522"/>
      <c r="AF135" s="834"/>
      <c r="AG135" s="1298"/>
      <c r="AH135" s="1299"/>
      <c r="AI135" s="1299"/>
      <c r="AJ135" s="1299"/>
      <c r="AK135" s="1300"/>
      <c r="AL135" s="1274"/>
      <c r="AM135" s="1275"/>
      <c r="AN135" s="1276"/>
      <c r="AO135" s="528" t="str">
        <f t="shared" si="98"/>
        <v/>
      </c>
      <c r="AP135" s="1281"/>
      <c r="AQ135" s="1248"/>
      <c r="AS135" s="1290"/>
      <c r="AT135" s="1290"/>
      <c r="AU135" s="1290"/>
      <c r="AV135" s="521" t="str">
        <f t="shared" si="92"/>
        <v/>
      </c>
      <c r="AW135" s="1290"/>
      <c r="AY135" s="1290"/>
      <c r="AZ135" s="1290"/>
      <c r="BA135" s="1290"/>
      <c r="BB135" s="516" t="str">
        <f t="shared" si="93"/>
        <v/>
      </c>
      <c r="BC135" s="1290"/>
    </row>
    <row r="136" spans="1:55" ht="22.05" customHeight="1" thickBot="1">
      <c r="A136" s="1041"/>
      <c r="B136" s="1069"/>
      <c r="C136" s="1195"/>
      <c r="D136" s="1198"/>
      <c r="E136" s="1061"/>
      <c r="F136" s="1061"/>
      <c r="G136" s="275" t="s">
        <v>293</v>
      </c>
      <c r="H136" s="1202"/>
      <c r="I136" s="1223"/>
      <c r="J136" s="276"/>
      <c r="K136" s="1159" t="str">
        <f>IF(E133="","",VLOOKUP(E133,'Emission factors'!$A$61:$E$74,5,FALSE))</f>
        <v/>
      </c>
      <c r="L136" s="1159"/>
      <c r="M136" s="1159"/>
      <c r="N136" s="672"/>
      <c r="O136" s="1159" t="str">
        <f>IF(E133="","",VLOOKUP(E133,'Emission factors'!$A$61:$C$74,3,FALSE))</f>
        <v/>
      </c>
      <c r="P136" s="1160"/>
      <c r="Q136" s="1165"/>
      <c r="R136" s="1166"/>
      <c r="S136" s="1166"/>
      <c r="T136" s="1166"/>
      <c r="U136" s="1167"/>
      <c r="V136" s="1235"/>
      <c r="W136" s="1236"/>
      <c r="X136" s="1236"/>
      <c r="Y136" s="689" t="str">
        <f>IF(OR(J136="",N136="",E133=""),"",((J136*N136)*(10^-9)*(64/32)))</f>
        <v/>
      </c>
      <c r="Z136" s="1156"/>
      <c r="AA136" s="1237"/>
      <c r="AB136" s="1191"/>
      <c r="AC136" s="478"/>
      <c r="AD136" s="1248"/>
      <c r="AE136" s="522"/>
      <c r="AF136" s="834"/>
      <c r="AG136" s="1298"/>
      <c r="AH136" s="1299"/>
      <c r="AI136" s="1299"/>
      <c r="AJ136" s="1299"/>
      <c r="AK136" s="1300"/>
      <c r="AL136" s="1274"/>
      <c r="AM136" s="1275"/>
      <c r="AN136" s="1276"/>
      <c r="AO136" s="528" t="str">
        <f t="shared" si="98"/>
        <v/>
      </c>
      <c r="AP136" s="1281"/>
      <c r="AQ136" s="1248"/>
      <c r="AS136" s="1290"/>
      <c r="AT136" s="1290"/>
      <c r="AU136" s="1290"/>
      <c r="AV136" s="521" t="str">
        <f t="shared" si="92"/>
        <v/>
      </c>
      <c r="AW136" s="1290"/>
      <c r="AY136" s="1290"/>
      <c r="AZ136" s="1290"/>
      <c r="BA136" s="1290"/>
      <c r="BB136" s="516" t="str">
        <f t="shared" si="93"/>
        <v/>
      </c>
      <c r="BC136" s="1290"/>
    </row>
    <row r="137" spans="1:55" ht="22.05" customHeight="1">
      <c r="A137" s="1041"/>
      <c r="B137" s="1069"/>
      <c r="C137" s="1193" t="s">
        <v>974</v>
      </c>
      <c r="D137" s="1199"/>
      <c r="E137" s="1091"/>
      <c r="F137" s="1091"/>
      <c r="G137" s="277" t="s">
        <v>290</v>
      </c>
      <c r="H137" s="1203" t="str">
        <f>IF(E137="","",VLOOKUP(E137,'Emission factors'!$A$61:$D$74,4,FALSE))</f>
        <v/>
      </c>
      <c r="I137" s="1221" t="str">
        <f>IF(AND(J137="",J138="",J139="",J140=""),"",SUM(J137:J140))</f>
        <v/>
      </c>
      <c r="J137" s="273"/>
      <c r="K137" s="1162" t="str">
        <f>IF(E137="","",VLOOKUP(E137,'Emission factors'!$A$61:$E$74,5,FALSE))</f>
        <v/>
      </c>
      <c r="L137" s="1162"/>
      <c r="M137" s="1162"/>
      <c r="N137" s="704"/>
      <c r="O137" s="1055" t="str">
        <f>IF(E137="","",VLOOKUP(E137,'Emission factors'!$A$61:$C$74,3,FALSE))</f>
        <v/>
      </c>
      <c r="P137" s="1056"/>
      <c r="Q137" s="1165"/>
      <c r="R137" s="1166"/>
      <c r="S137" s="1166"/>
      <c r="T137" s="1166"/>
      <c r="U137" s="1167"/>
      <c r="V137" s="1235"/>
      <c r="W137" s="1236"/>
      <c r="X137" s="1236"/>
      <c r="Y137" s="293" t="str">
        <f>IF(OR(J137="",N137="",E137=""),"",((J137*N137)*(10^-9)*(64/32)))</f>
        <v/>
      </c>
      <c r="Z137" s="1154" t="str">
        <f>IF(AND(Y137="",Y138="",Y139="",Y140=""),"",SUM(Y137:Y140))</f>
        <v/>
      </c>
      <c r="AA137" s="1237"/>
      <c r="AB137" s="1191"/>
      <c r="AC137" s="478"/>
      <c r="AD137" s="1248"/>
      <c r="AE137" s="522"/>
      <c r="AF137" s="834"/>
      <c r="AG137" s="1298"/>
      <c r="AH137" s="1299"/>
      <c r="AI137" s="1299"/>
      <c r="AJ137" s="1299"/>
      <c r="AK137" s="1300"/>
      <c r="AL137" s="1274"/>
      <c r="AM137" s="1275"/>
      <c r="AN137" s="1276"/>
      <c r="AO137" s="528" t="str">
        <f t="shared" si="98"/>
        <v/>
      </c>
      <c r="AP137" s="1281"/>
      <c r="AQ137" s="1248"/>
      <c r="AS137" s="1290"/>
      <c r="AT137" s="1290"/>
      <c r="AU137" s="1290"/>
      <c r="AV137" s="521" t="str">
        <f t="shared" si="92"/>
        <v/>
      </c>
      <c r="AW137" s="1290"/>
      <c r="AY137" s="1290"/>
      <c r="AZ137" s="1290"/>
      <c r="BA137" s="1290"/>
      <c r="BB137" s="516" t="str">
        <f t="shared" si="93"/>
        <v/>
      </c>
      <c r="BC137" s="1290"/>
    </row>
    <row r="138" spans="1:55" ht="22.05" customHeight="1">
      <c r="A138" s="1041"/>
      <c r="B138" s="1069"/>
      <c r="C138" s="1194"/>
      <c r="D138" s="1197"/>
      <c r="E138" s="1058"/>
      <c r="F138" s="1058"/>
      <c r="G138" s="274" t="s">
        <v>291</v>
      </c>
      <c r="H138" s="1201"/>
      <c r="I138" s="1222"/>
      <c r="J138" s="795"/>
      <c r="K138" s="1161" t="str">
        <f>IF(E137="","",VLOOKUP(E137,'Emission factors'!$A$61:$E$74,5,FALSE))</f>
        <v/>
      </c>
      <c r="L138" s="1161"/>
      <c r="M138" s="1161"/>
      <c r="N138" s="669"/>
      <c r="O138" s="1045" t="str">
        <f>IF(E137="","",VLOOKUP(E137,'Emission factors'!$A$61:$C$74,3,FALSE))</f>
        <v/>
      </c>
      <c r="P138" s="1046"/>
      <c r="Q138" s="1165"/>
      <c r="R138" s="1166"/>
      <c r="S138" s="1166"/>
      <c r="T138" s="1166"/>
      <c r="U138" s="1167"/>
      <c r="V138" s="1235"/>
      <c r="W138" s="1236"/>
      <c r="X138" s="1236"/>
      <c r="Y138" s="294" t="str">
        <f>IF(OR(J138="",N138="",E137=""),"",((J138*N138)*(10^-9)*(64/32)))</f>
        <v/>
      </c>
      <c r="Z138" s="1155"/>
      <c r="AA138" s="1237"/>
      <c r="AB138" s="1191"/>
      <c r="AC138" s="478"/>
      <c r="AD138" s="1248"/>
      <c r="AE138" s="522"/>
      <c r="AF138" s="834"/>
      <c r="AG138" s="1298"/>
      <c r="AH138" s="1299"/>
      <c r="AI138" s="1299"/>
      <c r="AJ138" s="1299"/>
      <c r="AK138" s="1300"/>
      <c r="AL138" s="1274"/>
      <c r="AM138" s="1275"/>
      <c r="AN138" s="1276"/>
      <c r="AO138" s="528" t="str">
        <f t="shared" si="98"/>
        <v/>
      </c>
      <c r="AP138" s="1281"/>
      <c r="AQ138" s="1248"/>
      <c r="AS138" s="1290"/>
      <c r="AT138" s="1290"/>
      <c r="AU138" s="1290"/>
      <c r="AV138" s="521" t="str">
        <f t="shared" si="92"/>
        <v/>
      </c>
      <c r="AW138" s="1290"/>
      <c r="AY138" s="1290"/>
      <c r="AZ138" s="1290"/>
      <c r="BA138" s="1290"/>
      <c r="BB138" s="516" t="str">
        <f t="shared" si="93"/>
        <v/>
      </c>
      <c r="BC138" s="1290"/>
    </row>
    <row r="139" spans="1:55" ht="22.05" customHeight="1">
      <c r="A139" s="1041"/>
      <c r="B139" s="1069"/>
      <c r="C139" s="1194"/>
      <c r="D139" s="1197"/>
      <c r="E139" s="1058"/>
      <c r="F139" s="1058"/>
      <c r="G139" s="274" t="s">
        <v>292</v>
      </c>
      <c r="H139" s="1201"/>
      <c r="I139" s="1222"/>
      <c r="J139" s="795"/>
      <c r="K139" s="1161" t="str">
        <f>IF(E137="","",VLOOKUP(E137,'Emission factors'!$A$61:$E$74,5,FALSE))</f>
        <v/>
      </c>
      <c r="L139" s="1161"/>
      <c r="M139" s="1161"/>
      <c r="N139" s="669"/>
      <c r="O139" s="1161" t="str">
        <f>IF(E137="","",VLOOKUP(E137,'Emission factors'!$A$61:$C$74,3,FALSE))</f>
        <v/>
      </c>
      <c r="P139" s="1163"/>
      <c r="Q139" s="1165"/>
      <c r="R139" s="1166"/>
      <c r="S139" s="1166"/>
      <c r="T139" s="1166"/>
      <c r="U139" s="1167"/>
      <c r="V139" s="1235"/>
      <c r="W139" s="1236"/>
      <c r="X139" s="1236"/>
      <c r="Y139" s="294" t="str">
        <f>IF(OR(J139="",N139="",E137=""),"",((J139*N139)*(10^-9)*(64/32)))</f>
        <v/>
      </c>
      <c r="Z139" s="1155"/>
      <c r="AA139" s="1237"/>
      <c r="AB139" s="1191"/>
      <c r="AC139" s="478"/>
      <c r="AD139" s="1248"/>
      <c r="AE139" s="522"/>
      <c r="AF139" s="834"/>
      <c r="AG139" s="1298"/>
      <c r="AH139" s="1299"/>
      <c r="AI139" s="1299"/>
      <c r="AJ139" s="1299"/>
      <c r="AK139" s="1300"/>
      <c r="AL139" s="1274"/>
      <c r="AM139" s="1275"/>
      <c r="AN139" s="1276"/>
      <c r="AO139" s="528" t="str">
        <f t="shared" si="98"/>
        <v/>
      </c>
      <c r="AP139" s="1281"/>
      <c r="AQ139" s="1248"/>
      <c r="AS139" s="1290"/>
      <c r="AT139" s="1290"/>
      <c r="AU139" s="1290"/>
      <c r="AV139" s="521" t="str">
        <f t="shared" si="92"/>
        <v/>
      </c>
      <c r="AW139" s="1290"/>
      <c r="AY139" s="1290"/>
      <c r="AZ139" s="1290"/>
      <c r="BA139" s="1290"/>
      <c r="BB139" s="516" t="str">
        <f t="shared" si="93"/>
        <v/>
      </c>
      <c r="BC139" s="1290"/>
    </row>
    <row r="140" spans="1:55" ht="22.05" customHeight="1" thickBot="1">
      <c r="A140" s="1041"/>
      <c r="B140" s="1069"/>
      <c r="C140" s="1195"/>
      <c r="D140" s="1198"/>
      <c r="E140" s="1061"/>
      <c r="F140" s="1061"/>
      <c r="G140" s="275" t="s">
        <v>293</v>
      </c>
      <c r="H140" s="1202"/>
      <c r="I140" s="1223"/>
      <c r="J140" s="276"/>
      <c r="K140" s="1159" t="str">
        <f>IF(E137="","",VLOOKUP(E137,'Emission factors'!$A$61:$E$74,5,FALSE))</f>
        <v/>
      </c>
      <c r="L140" s="1159"/>
      <c r="M140" s="1159"/>
      <c r="N140" s="672"/>
      <c r="O140" s="1159" t="str">
        <f>IF(E137="","",VLOOKUP(E137,'Emission factors'!$A$61:$C$74,3,FALSE))</f>
        <v/>
      </c>
      <c r="P140" s="1160"/>
      <c r="Q140" s="1168"/>
      <c r="R140" s="1169"/>
      <c r="S140" s="1169"/>
      <c r="T140" s="1169"/>
      <c r="U140" s="1170"/>
      <c r="V140" s="1235"/>
      <c r="W140" s="1236"/>
      <c r="X140" s="1236"/>
      <c r="Y140" s="689" t="str">
        <f>IF(OR(J140="",N140="",E137=""),"",((J140*N140)*(10^-9)*(64/32)))</f>
        <v/>
      </c>
      <c r="Z140" s="1156"/>
      <c r="AA140" s="1237"/>
      <c r="AB140" s="1191"/>
      <c r="AC140" s="478"/>
      <c r="AD140" s="1268"/>
      <c r="AE140" s="522"/>
      <c r="AF140" s="834"/>
      <c r="AG140" s="1301"/>
      <c r="AH140" s="1302"/>
      <c r="AI140" s="1302"/>
      <c r="AJ140" s="1302"/>
      <c r="AK140" s="1303"/>
      <c r="AL140" s="1277"/>
      <c r="AM140" s="1278"/>
      <c r="AN140" s="1279"/>
      <c r="AO140" s="528" t="str">
        <f t="shared" si="98"/>
        <v/>
      </c>
      <c r="AP140" s="1282"/>
      <c r="AQ140" s="1268"/>
      <c r="AS140" s="1290"/>
      <c r="AT140" s="1290"/>
      <c r="AU140" s="1290"/>
      <c r="AV140" s="521" t="str">
        <f t="shared" si="92"/>
        <v/>
      </c>
      <c r="AW140" s="1290"/>
      <c r="AY140" s="1290"/>
      <c r="AZ140" s="1290"/>
      <c r="BA140" s="1290"/>
      <c r="BB140" s="516" t="str">
        <f t="shared" si="93"/>
        <v/>
      </c>
      <c r="BC140" s="1290"/>
    </row>
    <row r="141" spans="1:55" ht="19.95" customHeight="1" thickBot="1">
      <c r="A141" s="1224"/>
      <c r="B141" s="1225"/>
      <c r="C141" s="1226"/>
      <c r="D141" s="1226"/>
      <c r="E141" s="1226"/>
      <c r="F141" s="1226"/>
      <c r="G141" s="1226"/>
      <c r="H141" s="1226"/>
      <c r="I141" s="1226"/>
      <c r="J141" s="1226"/>
      <c r="K141" s="1226"/>
      <c r="L141" s="1226"/>
      <c r="M141" s="1226"/>
      <c r="N141" s="1226"/>
      <c r="O141" s="1226"/>
      <c r="P141" s="1226"/>
      <c r="Q141" s="1225"/>
      <c r="R141" s="1225"/>
      <c r="S141" s="1225"/>
      <c r="T141" s="1225"/>
      <c r="U141" s="1225"/>
      <c r="V141" s="1225"/>
      <c r="W141" s="1225"/>
      <c r="X141" s="1225"/>
      <c r="Y141" s="1225"/>
      <c r="Z141" s="1225"/>
      <c r="AA141" s="1225"/>
      <c r="AB141" s="1227"/>
      <c r="AC141" s="478"/>
      <c r="AD141" s="715"/>
      <c r="AE141" s="716"/>
      <c r="AF141" s="716"/>
      <c r="AG141" s="716"/>
      <c r="AH141" s="716"/>
      <c r="AI141" s="716"/>
      <c r="AJ141" s="716"/>
      <c r="AK141" s="716"/>
      <c r="AL141" s="716"/>
      <c r="AM141" s="716"/>
      <c r="AN141" s="716"/>
      <c r="AO141" s="716"/>
      <c r="AP141" s="716"/>
      <c r="AQ141" s="717"/>
      <c r="AS141" s="547"/>
      <c r="AT141" s="547"/>
      <c r="AU141" s="547"/>
    </row>
    <row r="142" spans="1:55">
      <c r="A142" s="478"/>
      <c r="B142" s="478"/>
      <c r="C142" s="478"/>
      <c r="D142" s="478"/>
      <c r="E142" s="478"/>
      <c r="F142" s="478"/>
      <c r="G142" s="478"/>
      <c r="H142" s="478"/>
      <c r="I142" s="478"/>
      <c r="J142" s="478"/>
      <c r="K142" s="478"/>
      <c r="L142" s="478"/>
      <c r="M142" s="478"/>
      <c r="N142" s="478"/>
      <c r="O142" s="478"/>
      <c r="P142" s="478"/>
      <c r="Q142" s="478"/>
      <c r="R142" s="478"/>
      <c r="S142" s="478"/>
      <c r="T142" s="478"/>
      <c r="U142" s="478"/>
      <c r="V142" s="478"/>
      <c r="W142" s="478"/>
      <c r="X142" s="478"/>
      <c r="Y142" s="478"/>
      <c r="Z142" s="478"/>
      <c r="AA142" s="478"/>
      <c r="AB142" s="478"/>
      <c r="AC142" s="478"/>
      <c r="AD142" s="478"/>
      <c r="AE142" s="478"/>
      <c r="AF142" s="478"/>
      <c r="AG142" s="478"/>
      <c r="AH142" s="478"/>
      <c r="AI142" s="478"/>
      <c r="AJ142" s="478"/>
      <c r="AK142" s="478"/>
      <c r="AL142" s="478"/>
      <c r="AM142" s="478"/>
      <c r="AN142" s="478"/>
      <c r="AO142" s="478"/>
      <c r="AP142" s="478"/>
      <c r="AQ142" s="478"/>
    </row>
    <row r="143" spans="1:55">
      <c r="A143" s="478"/>
      <c r="B143" s="478"/>
      <c r="C143" s="478"/>
      <c r="D143" s="478"/>
      <c r="E143" s="478"/>
      <c r="F143" s="478"/>
      <c r="G143" s="478"/>
      <c r="H143" s="478"/>
      <c r="I143" s="478"/>
      <c r="J143" s="478"/>
      <c r="K143" s="478"/>
      <c r="L143" s="478"/>
      <c r="M143" s="478"/>
      <c r="N143" s="478"/>
      <c r="O143" s="478"/>
      <c r="P143" s="478"/>
      <c r="Q143" s="478"/>
      <c r="R143" s="478"/>
      <c r="S143" s="478"/>
      <c r="T143" s="478"/>
      <c r="U143" s="478"/>
      <c r="V143" s="478"/>
      <c r="W143" s="478"/>
      <c r="X143" s="478"/>
      <c r="Y143" s="478"/>
      <c r="Z143" s="478"/>
      <c r="AA143" s="478"/>
      <c r="AB143" s="478"/>
      <c r="AC143" s="478"/>
      <c r="AD143" s="478"/>
      <c r="AE143" s="478"/>
      <c r="AF143" s="478"/>
      <c r="AG143" s="478"/>
      <c r="AH143" s="478"/>
      <c r="AI143" s="478"/>
      <c r="AJ143" s="478"/>
      <c r="AK143" s="478"/>
      <c r="AL143" s="478"/>
      <c r="AM143" s="478"/>
      <c r="AN143" s="478"/>
      <c r="AO143" s="478"/>
      <c r="AP143" s="478"/>
      <c r="AQ143" s="478"/>
    </row>
    <row r="144" spans="1:55" ht="15.6" thickBot="1">
      <c r="A144" s="478"/>
      <c r="B144" s="478"/>
      <c r="C144" s="478"/>
      <c r="D144" s="478"/>
      <c r="E144" s="478"/>
      <c r="F144" s="478"/>
      <c r="G144" s="478"/>
      <c r="H144" s="478"/>
      <c r="I144" s="478"/>
      <c r="J144" s="478"/>
      <c r="K144" s="478"/>
      <c r="L144" s="478"/>
      <c r="M144" s="478"/>
      <c r="N144" s="478"/>
      <c r="O144" s="478"/>
      <c r="P144" s="478"/>
      <c r="Q144" s="478"/>
      <c r="R144" s="478"/>
      <c r="S144" s="478"/>
      <c r="T144" s="478"/>
      <c r="U144" s="478"/>
      <c r="V144" s="478"/>
      <c r="W144" s="478"/>
      <c r="X144" s="478"/>
      <c r="Y144" s="478"/>
      <c r="Z144" s="478"/>
      <c r="AA144" s="478"/>
      <c r="AB144" s="478"/>
      <c r="AC144" s="478"/>
      <c r="AD144" s="478"/>
      <c r="AE144" s="478"/>
      <c r="AF144" s="478"/>
      <c r="AG144" s="478"/>
      <c r="AH144" s="478"/>
      <c r="AI144" s="478"/>
      <c r="AJ144" s="478"/>
      <c r="AK144" s="478"/>
      <c r="AL144" s="478"/>
      <c r="AM144" s="478"/>
      <c r="AN144" s="478"/>
      <c r="AO144" s="478"/>
      <c r="AP144" s="478"/>
      <c r="AQ144" s="478"/>
    </row>
    <row r="145" spans="1:43" ht="22.95" customHeight="1">
      <c r="A145" s="1015" t="s">
        <v>841</v>
      </c>
      <c r="B145" s="1016"/>
      <c r="C145" s="1016"/>
      <c r="D145" s="1016"/>
      <c r="E145" s="1016"/>
      <c r="F145" s="1016"/>
      <c r="G145" s="1016"/>
      <c r="H145" s="1016"/>
      <c r="I145" s="1016"/>
      <c r="J145" s="1016"/>
      <c r="K145" s="1017"/>
      <c r="L145" s="1027" t="s">
        <v>752</v>
      </c>
      <c r="M145" s="1028"/>
      <c r="N145" s="1028"/>
      <c r="O145" s="1028"/>
      <c r="P145" s="1028"/>
      <c r="Q145" s="1028"/>
      <c r="R145" s="1028"/>
      <c r="S145" s="1028"/>
      <c r="T145" s="1028"/>
      <c r="U145" s="1028"/>
      <c r="V145" s="1028"/>
      <c r="W145" s="1028"/>
      <c r="X145" s="1028"/>
      <c r="Y145" s="1028"/>
      <c r="Z145" s="1028"/>
      <c r="AA145" s="1028"/>
      <c r="AB145" s="1029"/>
      <c r="AC145" s="478"/>
      <c r="AD145" s="1015" t="s">
        <v>1275</v>
      </c>
      <c r="AE145" s="1284"/>
      <c r="AF145" s="1284"/>
      <c r="AG145" s="1284"/>
      <c r="AH145" s="1284"/>
      <c r="AI145" s="1284"/>
      <c r="AJ145" s="1284"/>
      <c r="AK145" s="1284"/>
      <c r="AL145" s="1284"/>
      <c r="AM145" s="1284"/>
      <c r="AN145" s="1284"/>
      <c r="AO145" s="1284"/>
      <c r="AP145" s="1284"/>
      <c r="AQ145" s="1285"/>
    </row>
    <row r="146" spans="1:43" ht="37.950000000000003" customHeight="1">
      <c r="A146" s="1218" t="s">
        <v>1044</v>
      </c>
      <c r="B146" s="1219"/>
      <c r="C146" s="1219"/>
      <c r="D146" s="1219"/>
      <c r="E146" s="1219"/>
      <c r="F146" s="1219"/>
      <c r="G146" s="1219"/>
      <c r="H146" s="1219"/>
      <c r="I146" s="1219"/>
      <c r="J146" s="1219"/>
      <c r="K146" s="1220"/>
      <c r="L146" s="1030"/>
      <c r="M146" s="1031"/>
      <c r="N146" s="1031"/>
      <c r="O146" s="1031"/>
      <c r="P146" s="1031"/>
      <c r="Q146" s="1031"/>
      <c r="R146" s="1031"/>
      <c r="S146" s="1031"/>
      <c r="T146" s="1031"/>
      <c r="U146" s="1031"/>
      <c r="V146" s="1031"/>
      <c r="W146" s="1031"/>
      <c r="X146" s="1031"/>
      <c r="Y146" s="1031"/>
      <c r="Z146" s="1031"/>
      <c r="AA146" s="1031"/>
      <c r="AB146" s="1032"/>
      <c r="AC146" s="478"/>
      <c r="AD146" s="1039" t="s">
        <v>1523</v>
      </c>
      <c r="AE146" s="1037"/>
      <c r="AF146" s="1037"/>
      <c r="AG146" s="1037"/>
      <c r="AH146" s="1037"/>
      <c r="AI146" s="1037"/>
      <c r="AJ146" s="1037"/>
      <c r="AK146" s="1037"/>
      <c r="AL146" s="1037"/>
      <c r="AM146" s="1037"/>
      <c r="AN146" s="1037"/>
      <c r="AO146" s="1037"/>
      <c r="AP146" s="1037"/>
      <c r="AQ146" s="1038"/>
    </row>
    <row r="147" spans="1:43" ht="37.950000000000003" customHeight="1">
      <c r="A147" s="1039" t="s">
        <v>1032</v>
      </c>
      <c r="B147" s="1037"/>
      <c r="C147" s="1037"/>
      <c r="D147" s="1037"/>
      <c r="E147" s="1037"/>
      <c r="F147" s="1037"/>
      <c r="G147" s="1037"/>
      <c r="H147" s="1037"/>
      <c r="I147" s="1037"/>
      <c r="J147" s="1037"/>
      <c r="K147" s="1038"/>
      <c r="L147" s="1030"/>
      <c r="M147" s="1031"/>
      <c r="N147" s="1031"/>
      <c r="O147" s="1031"/>
      <c r="P147" s="1031"/>
      <c r="Q147" s="1031"/>
      <c r="R147" s="1031"/>
      <c r="S147" s="1031"/>
      <c r="T147" s="1031"/>
      <c r="U147" s="1031"/>
      <c r="V147" s="1031"/>
      <c r="W147" s="1031"/>
      <c r="X147" s="1031"/>
      <c r="Y147" s="1031"/>
      <c r="Z147" s="1031"/>
      <c r="AA147" s="1031"/>
      <c r="AB147" s="1032"/>
      <c r="AC147" s="478"/>
      <c r="AD147" s="1039"/>
      <c r="AE147" s="1037"/>
      <c r="AF147" s="1037"/>
      <c r="AG147" s="1037"/>
      <c r="AH147" s="1037"/>
      <c r="AI147" s="1037"/>
      <c r="AJ147" s="1037"/>
      <c r="AK147" s="1037"/>
      <c r="AL147" s="1037"/>
      <c r="AM147" s="1037"/>
      <c r="AN147" s="1037"/>
      <c r="AO147" s="1037"/>
      <c r="AP147" s="1037"/>
      <c r="AQ147" s="1038"/>
    </row>
    <row r="148" spans="1:43" ht="23.55" customHeight="1">
      <c r="A148" s="1039" t="s">
        <v>1045</v>
      </c>
      <c r="B148" s="1037"/>
      <c r="C148" s="1037"/>
      <c r="D148" s="1037"/>
      <c r="E148" s="1037"/>
      <c r="F148" s="1037"/>
      <c r="G148" s="1037"/>
      <c r="H148" s="1037"/>
      <c r="I148" s="1037"/>
      <c r="J148" s="1037"/>
      <c r="K148" s="1038"/>
      <c r="L148" s="1030"/>
      <c r="M148" s="1031"/>
      <c r="N148" s="1031"/>
      <c r="O148" s="1031"/>
      <c r="P148" s="1031"/>
      <c r="Q148" s="1031"/>
      <c r="R148" s="1031"/>
      <c r="S148" s="1031"/>
      <c r="T148" s="1031"/>
      <c r="U148" s="1031"/>
      <c r="V148" s="1031"/>
      <c r="W148" s="1031"/>
      <c r="X148" s="1031"/>
      <c r="Y148" s="1031"/>
      <c r="Z148" s="1031"/>
      <c r="AA148" s="1031"/>
      <c r="AB148" s="1032"/>
      <c r="AC148" s="478"/>
      <c r="AD148" s="1039"/>
      <c r="AE148" s="1037"/>
      <c r="AF148" s="1037"/>
      <c r="AG148" s="1037"/>
      <c r="AH148" s="1037"/>
      <c r="AI148" s="1037"/>
      <c r="AJ148" s="1037"/>
      <c r="AK148" s="1037"/>
      <c r="AL148" s="1037"/>
      <c r="AM148" s="1037"/>
      <c r="AN148" s="1037"/>
      <c r="AO148" s="1037"/>
      <c r="AP148" s="1037"/>
      <c r="AQ148" s="1038"/>
    </row>
    <row r="149" spans="1:43" ht="42.45" customHeight="1" thickBot="1">
      <c r="A149" s="1039" t="s">
        <v>1030</v>
      </c>
      <c r="B149" s="1037"/>
      <c r="C149" s="1037"/>
      <c r="D149" s="1037"/>
      <c r="E149" s="1037"/>
      <c r="F149" s="1037"/>
      <c r="G149" s="1037"/>
      <c r="H149" s="1037"/>
      <c r="I149" s="1037"/>
      <c r="J149" s="1037"/>
      <c r="K149" s="1038"/>
      <c r="L149" s="1030"/>
      <c r="M149" s="1031"/>
      <c r="N149" s="1031"/>
      <c r="O149" s="1031"/>
      <c r="P149" s="1031"/>
      <c r="Q149" s="1031"/>
      <c r="R149" s="1031"/>
      <c r="S149" s="1031"/>
      <c r="T149" s="1031"/>
      <c r="U149" s="1031"/>
      <c r="V149" s="1031"/>
      <c r="W149" s="1031"/>
      <c r="X149" s="1031"/>
      <c r="Y149" s="1031"/>
      <c r="Z149" s="1031"/>
      <c r="AA149" s="1031"/>
      <c r="AB149" s="1032"/>
      <c r="AC149" s="478"/>
      <c r="AD149" s="1283"/>
      <c r="AE149" s="1216"/>
      <c r="AF149" s="1216"/>
      <c r="AG149" s="1216"/>
      <c r="AH149" s="1216"/>
      <c r="AI149" s="1216"/>
      <c r="AJ149" s="1216"/>
      <c r="AK149" s="1216"/>
      <c r="AL149" s="1216"/>
      <c r="AM149" s="1216"/>
      <c r="AN149" s="1216"/>
      <c r="AO149" s="1216"/>
      <c r="AP149" s="1216"/>
      <c r="AQ149" s="1217"/>
    </row>
    <row r="150" spans="1:43" ht="57.45" customHeight="1">
      <c r="A150" s="1039" t="s">
        <v>1047</v>
      </c>
      <c r="B150" s="1037"/>
      <c r="C150" s="1037"/>
      <c r="D150" s="1037"/>
      <c r="E150" s="1037"/>
      <c r="F150" s="1037"/>
      <c r="G150" s="1037"/>
      <c r="H150" s="1037"/>
      <c r="I150" s="1037"/>
      <c r="J150" s="1037"/>
      <c r="K150" s="1038"/>
      <c r="L150" s="1030"/>
      <c r="M150" s="1031"/>
      <c r="N150" s="1031"/>
      <c r="O150" s="1031"/>
      <c r="P150" s="1031"/>
      <c r="Q150" s="1031"/>
      <c r="R150" s="1031"/>
      <c r="S150" s="1031"/>
      <c r="T150" s="1031"/>
      <c r="U150" s="1031"/>
      <c r="V150" s="1031"/>
      <c r="W150" s="1031"/>
      <c r="X150" s="1031"/>
      <c r="Y150" s="1031"/>
      <c r="Z150" s="1031"/>
      <c r="AA150" s="1031"/>
      <c r="AB150" s="1032"/>
      <c r="AC150" s="478"/>
      <c r="AD150" s="478"/>
      <c r="AE150" s="478"/>
      <c r="AF150" s="478"/>
      <c r="AG150" s="478"/>
      <c r="AH150" s="478"/>
      <c r="AI150" s="478"/>
      <c r="AJ150" s="478"/>
      <c r="AK150" s="478"/>
      <c r="AL150" s="478"/>
      <c r="AM150" s="478"/>
      <c r="AN150" s="478"/>
      <c r="AO150" s="478"/>
      <c r="AP150" s="478"/>
      <c r="AQ150" s="478"/>
    </row>
    <row r="151" spans="1:43" ht="55.5" customHeight="1">
      <c r="A151" s="1036" t="s">
        <v>1586</v>
      </c>
      <c r="B151" s="1037"/>
      <c r="C151" s="1037"/>
      <c r="D151" s="1037"/>
      <c r="E151" s="1037"/>
      <c r="F151" s="1037"/>
      <c r="G151" s="1037"/>
      <c r="H151" s="1037"/>
      <c r="I151" s="1037"/>
      <c r="J151" s="1037"/>
      <c r="K151" s="1038"/>
      <c r="L151" s="1030"/>
      <c r="M151" s="1031"/>
      <c r="N151" s="1031"/>
      <c r="O151" s="1031"/>
      <c r="P151" s="1031"/>
      <c r="Q151" s="1031"/>
      <c r="R151" s="1031"/>
      <c r="S151" s="1031"/>
      <c r="T151" s="1031"/>
      <c r="U151" s="1031"/>
      <c r="V151" s="1031"/>
      <c r="W151" s="1031"/>
      <c r="X151" s="1031"/>
      <c r="Y151" s="1031"/>
      <c r="Z151" s="1031"/>
      <c r="AA151" s="1031"/>
      <c r="AB151" s="1032"/>
      <c r="AC151" s="478"/>
      <c r="AD151" s="478"/>
      <c r="AE151" s="478"/>
      <c r="AF151" s="478"/>
      <c r="AG151" s="478"/>
      <c r="AH151" s="478"/>
      <c r="AI151" s="478"/>
      <c r="AJ151" s="478"/>
      <c r="AK151" s="478"/>
      <c r="AL151" s="478"/>
      <c r="AM151" s="478"/>
      <c r="AN151" s="478"/>
      <c r="AO151" s="478"/>
      <c r="AP151" s="478"/>
      <c r="AQ151" s="478"/>
    </row>
    <row r="152" spans="1:43" ht="62.55" customHeight="1">
      <c r="A152" s="1036" t="s">
        <v>1046</v>
      </c>
      <c r="B152" s="1037"/>
      <c r="C152" s="1037"/>
      <c r="D152" s="1037"/>
      <c r="E152" s="1037"/>
      <c r="F152" s="1037"/>
      <c r="G152" s="1037"/>
      <c r="H152" s="1037"/>
      <c r="I152" s="1037"/>
      <c r="J152" s="1037"/>
      <c r="K152" s="1038"/>
      <c r="L152" s="1030"/>
      <c r="M152" s="1031"/>
      <c r="N152" s="1031"/>
      <c r="O152" s="1031"/>
      <c r="P152" s="1031"/>
      <c r="Q152" s="1031"/>
      <c r="R152" s="1031"/>
      <c r="S152" s="1031"/>
      <c r="T152" s="1031"/>
      <c r="U152" s="1031"/>
      <c r="V152" s="1031"/>
      <c r="W152" s="1031"/>
      <c r="X152" s="1031"/>
      <c r="Y152" s="1031"/>
      <c r="Z152" s="1031"/>
      <c r="AA152" s="1031"/>
      <c r="AB152" s="1032"/>
      <c r="AC152" s="478"/>
      <c r="AD152" s="478"/>
      <c r="AE152" s="478"/>
      <c r="AF152" s="478"/>
      <c r="AG152" s="478"/>
      <c r="AH152" s="478"/>
      <c r="AI152" s="478"/>
      <c r="AJ152" s="478"/>
      <c r="AK152" s="478"/>
      <c r="AL152" s="478"/>
      <c r="AM152" s="478"/>
      <c r="AN152" s="478"/>
      <c r="AO152" s="478"/>
      <c r="AP152" s="478"/>
      <c r="AQ152" s="478"/>
    </row>
    <row r="153" spans="1:43" ht="50.55" customHeight="1" thickBot="1">
      <c r="A153" s="1215" t="s">
        <v>1587</v>
      </c>
      <c r="B153" s="1216"/>
      <c r="C153" s="1216"/>
      <c r="D153" s="1216"/>
      <c r="E153" s="1216"/>
      <c r="F153" s="1216"/>
      <c r="G153" s="1216"/>
      <c r="H153" s="1216"/>
      <c r="I153" s="1216"/>
      <c r="J153" s="1216"/>
      <c r="K153" s="1217"/>
      <c r="L153" s="1033"/>
      <c r="M153" s="1034"/>
      <c r="N153" s="1034"/>
      <c r="O153" s="1034"/>
      <c r="P153" s="1034"/>
      <c r="Q153" s="1034"/>
      <c r="R153" s="1034"/>
      <c r="S153" s="1034"/>
      <c r="T153" s="1034"/>
      <c r="U153" s="1034"/>
      <c r="V153" s="1034"/>
      <c r="W153" s="1034"/>
      <c r="X153" s="1034"/>
      <c r="Y153" s="1034"/>
      <c r="Z153" s="1034"/>
      <c r="AA153" s="1034"/>
      <c r="AB153" s="1035"/>
      <c r="AC153" s="478"/>
      <c r="AD153" s="478"/>
      <c r="AE153" s="478"/>
      <c r="AF153" s="478"/>
      <c r="AG153" s="478"/>
      <c r="AH153" s="478"/>
      <c r="AI153" s="478"/>
      <c r="AJ153" s="478"/>
      <c r="AK153" s="478"/>
      <c r="AL153" s="478"/>
      <c r="AM153" s="478"/>
      <c r="AN153" s="478"/>
      <c r="AO153" s="478"/>
      <c r="AP153" s="478"/>
      <c r="AQ153" s="478"/>
    </row>
    <row r="154" spans="1:43" ht="21.45" customHeight="1">
      <c r="A154" s="1229" t="s">
        <v>1031</v>
      </c>
      <c r="B154" s="1230"/>
      <c r="C154" s="1230"/>
      <c r="D154" s="1230"/>
      <c r="E154" s="1230"/>
      <c r="F154" s="1230"/>
      <c r="G154" s="1230"/>
      <c r="H154" s="1230"/>
      <c r="I154" s="1230"/>
      <c r="J154" s="1230"/>
      <c r="K154" s="1231"/>
      <c r="L154" s="1027" t="s">
        <v>752</v>
      </c>
      <c r="M154" s="1028"/>
      <c r="N154" s="1028"/>
      <c r="O154" s="1028"/>
      <c r="P154" s="1028"/>
      <c r="Q154" s="1028"/>
      <c r="R154" s="1028"/>
      <c r="S154" s="1028"/>
      <c r="T154" s="1028"/>
      <c r="U154" s="1028"/>
      <c r="V154" s="1028"/>
      <c r="W154" s="1028"/>
      <c r="X154" s="1028"/>
      <c r="Y154" s="1028"/>
      <c r="Z154" s="1028"/>
      <c r="AA154" s="1028"/>
      <c r="AB154" s="1029"/>
      <c r="AC154" s="478"/>
      <c r="AD154" s="478"/>
      <c r="AE154" s="478"/>
      <c r="AF154" s="478"/>
      <c r="AG154" s="478"/>
      <c r="AH154" s="478"/>
      <c r="AI154" s="478"/>
      <c r="AJ154" s="478"/>
      <c r="AK154" s="478"/>
      <c r="AL154" s="478"/>
      <c r="AM154" s="478"/>
      <c r="AN154" s="478"/>
      <c r="AO154" s="478"/>
      <c r="AP154" s="478"/>
      <c r="AQ154" s="478"/>
    </row>
    <row r="155" spans="1:43" ht="46.5" customHeight="1">
      <c r="A155" s="1021" t="s">
        <v>1033</v>
      </c>
      <c r="B155" s="1022"/>
      <c r="C155" s="1022"/>
      <c r="D155" s="1022"/>
      <c r="E155" s="1022"/>
      <c r="F155" s="1022"/>
      <c r="G155" s="1022"/>
      <c r="H155" s="1022"/>
      <c r="I155" s="1022"/>
      <c r="J155" s="1022"/>
      <c r="K155" s="1023"/>
      <c r="L155" s="1030"/>
      <c r="M155" s="1031"/>
      <c r="N155" s="1031"/>
      <c r="O155" s="1031"/>
      <c r="P155" s="1031"/>
      <c r="Q155" s="1031"/>
      <c r="R155" s="1031"/>
      <c r="S155" s="1031"/>
      <c r="T155" s="1031"/>
      <c r="U155" s="1031"/>
      <c r="V155" s="1031"/>
      <c r="W155" s="1031"/>
      <c r="X155" s="1031"/>
      <c r="Y155" s="1031"/>
      <c r="Z155" s="1031"/>
      <c r="AA155" s="1031"/>
      <c r="AB155" s="1032"/>
      <c r="AC155" s="478"/>
      <c r="AD155" s="478"/>
      <c r="AE155" s="478"/>
      <c r="AF155" s="478"/>
      <c r="AG155" s="478"/>
      <c r="AH155" s="478"/>
      <c r="AI155" s="478"/>
      <c r="AJ155" s="478"/>
      <c r="AK155" s="478"/>
      <c r="AL155" s="478"/>
      <c r="AM155" s="478"/>
      <c r="AN155" s="478"/>
      <c r="AO155" s="478"/>
      <c r="AP155" s="478"/>
      <c r="AQ155" s="478"/>
    </row>
    <row r="156" spans="1:43" ht="72.45" customHeight="1">
      <c r="A156" s="1018" t="s">
        <v>1020</v>
      </c>
      <c r="B156" s="1019"/>
      <c r="C156" s="1019"/>
      <c r="D156" s="1019"/>
      <c r="E156" s="1019"/>
      <c r="F156" s="1019"/>
      <c r="G156" s="1019"/>
      <c r="H156" s="1019"/>
      <c r="I156" s="1019"/>
      <c r="J156" s="1019"/>
      <c r="K156" s="1020"/>
      <c r="L156" s="1030"/>
      <c r="M156" s="1031"/>
      <c r="N156" s="1031"/>
      <c r="O156" s="1031"/>
      <c r="P156" s="1031"/>
      <c r="Q156" s="1031"/>
      <c r="R156" s="1031"/>
      <c r="S156" s="1031"/>
      <c r="T156" s="1031"/>
      <c r="U156" s="1031"/>
      <c r="V156" s="1031"/>
      <c r="W156" s="1031"/>
      <c r="X156" s="1031"/>
      <c r="Y156" s="1031"/>
      <c r="Z156" s="1031"/>
      <c r="AA156" s="1031"/>
      <c r="AB156" s="1032"/>
      <c r="AC156" s="478"/>
      <c r="AD156" s="478"/>
      <c r="AE156" s="478"/>
      <c r="AF156" s="478"/>
      <c r="AG156" s="478"/>
      <c r="AH156" s="478"/>
      <c r="AI156" s="478"/>
      <c r="AJ156" s="478"/>
      <c r="AK156" s="478"/>
      <c r="AL156" s="478"/>
      <c r="AM156" s="478"/>
      <c r="AN156" s="478"/>
      <c r="AO156" s="478"/>
      <c r="AP156" s="478"/>
      <c r="AQ156" s="478"/>
    </row>
    <row r="157" spans="1:43" ht="130.05000000000001" customHeight="1" thickBot="1">
      <c r="A157" s="1024" t="s">
        <v>1528</v>
      </c>
      <c r="B157" s="1025"/>
      <c r="C157" s="1025"/>
      <c r="D157" s="1025"/>
      <c r="E157" s="1025"/>
      <c r="F157" s="1025"/>
      <c r="G157" s="1025"/>
      <c r="H157" s="1025"/>
      <c r="I157" s="1025"/>
      <c r="J157" s="1025"/>
      <c r="K157" s="1026"/>
      <c r="L157" s="1033"/>
      <c r="M157" s="1034"/>
      <c r="N157" s="1034"/>
      <c r="O157" s="1034"/>
      <c r="P157" s="1034"/>
      <c r="Q157" s="1034"/>
      <c r="R157" s="1034"/>
      <c r="S157" s="1034"/>
      <c r="T157" s="1034"/>
      <c r="U157" s="1034"/>
      <c r="V157" s="1034"/>
      <c r="W157" s="1034"/>
      <c r="X157" s="1034"/>
      <c r="Y157" s="1034"/>
      <c r="Z157" s="1034"/>
      <c r="AA157" s="1034"/>
      <c r="AB157" s="1035"/>
      <c r="AC157" s="478"/>
      <c r="AD157" s="478"/>
      <c r="AE157" s="478"/>
      <c r="AF157" s="478"/>
      <c r="AG157" s="478"/>
      <c r="AH157" s="478"/>
      <c r="AI157" s="478"/>
      <c r="AJ157" s="478"/>
      <c r="AK157" s="478"/>
      <c r="AL157" s="478"/>
      <c r="AM157" s="478"/>
      <c r="AN157" s="478"/>
      <c r="AO157" s="478"/>
      <c r="AP157" s="478"/>
      <c r="AQ157" s="478"/>
    </row>
    <row r="158" spans="1:43" ht="21.45" customHeight="1">
      <c r="A158" s="1015" t="s">
        <v>1034</v>
      </c>
      <c r="B158" s="1016"/>
      <c r="C158" s="1016"/>
      <c r="D158" s="1016"/>
      <c r="E158" s="1016"/>
      <c r="F158" s="1016"/>
      <c r="G158" s="1016"/>
      <c r="H158" s="1016"/>
      <c r="I158" s="1016"/>
      <c r="J158" s="1016"/>
      <c r="K158" s="1017"/>
      <c r="L158" s="1027" t="s">
        <v>752</v>
      </c>
      <c r="M158" s="1028"/>
      <c r="N158" s="1028"/>
      <c r="O158" s="1028"/>
      <c r="P158" s="1028"/>
      <c r="Q158" s="1028"/>
      <c r="R158" s="1028"/>
      <c r="S158" s="1028"/>
      <c r="T158" s="1028"/>
      <c r="U158" s="1028"/>
      <c r="V158" s="1028"/>
      <c r="W158" s="1028"/>
      <c r="X158" s="1028"/>
      <c r="Y158" s="1028"/>
      <c r="Z158" s="1028"/>
      <c r="AA158" s="1028"/>
      <c r="AB158" s="1029"/>
      <c r="AC158" s="478"/>
      <c r="AD158" s="478"/>
      <c r="AE158" s="478"/>
      <c r="AF158" s="478"/>
      <c r="AG158" s="478"/>
      <c r="AH158" s="478"/>
      <c r="AI158" s="478"/>
      <c r="AJ158" s="478"/>
      <c r="AK158" s="478"/>
      <c r="AL158" s="478"/>
      <c r="AM158" s="478"/>
      <c r="AN158" s="478"/>
      <c r="AO158" s="478"/>
      <c r="AP158" s="478"/>
      <c r="AQ158" s="478"/>
    </row>
    <row r="159" spans="1:43" ht="45" customHeight="1">
      <c r="A159" s="1021" t="s">
        <v>1035</v>
      </c>
      <c r="B159" s="1022"/>
      <c r="C159" s="1022"/>
      <c r="D159" s="1022"/>
      <c r="E159" s="1022"/>
      <c r="F159" s="1022"/>
      <c r="G159" s="1022"/>
      <c r="H159" s="1022"/>
      <c r="I159" s="1022"/>
      <c r="J159" s="1022"/>
      <c r="K159" s="1023"/>
      <c r="L159" s="1030"/>
      <c r="M159" s="1031"/>
      <c r="N159" s="1031"/>
      <c r="O159" s="1031"/>
      <c r="P159" s="1031"/>
      <c r="Q159" s="1031"/>
      <c r="R159" s="1031"/>
      <c r="S159" s="1031"/>
      <c r="T159" s="1031"/>
      <c r="U159" s="1031"/>
      <c r="V159" s="1031"/>
      <c r="W159" s="1031"/>
      <c r="X159" s="1031"/>
      <c r="Y159" s="1031"/>
      <c r="Z159" s="1031"/>
      <c r="AA159" s="1031"/>
      <c r="AB159" s="1032"/>
      <c r="AC159" s="478"/>
      <c r="AD159" s="478"/>
      <c r="AE159" s="478"/>
      <c r="AF159" s="478"/>
      <c r="AG159" s="478"/>
      <c r="AH159" s="478"/>
      <c r="AI159" s="478"/>
      <c r="AJ159" s="478"/>
      <c r="AK159" s="478"/>
      <c r="AL159" s="478"/>
      <c r="AM159" s="478"/>
      <c r="AN159" s="478"/>
      <c r="AO159" s="478"/>
      <c r="AP159" s="478"/>
      <c r="AQ159" s="478"/>
    </row>
    <row r="160" spans="1:43" ht="87.45" customHeight="1">
      <c r="A160" s="1018" t="s">
        <v>1021</v>
      </c>
      <c r="B160" s="1019"/>
      <c r="C160" s="1019"/>
      <c r="D160" s="1019"/>
      <c r="E160" s="1019"/>
      <c r="F160" s="1019"/>
      <c r="G160" s="1019"/>
      <c r="H160" s="1019"/>
      <c r="I160" s="1019"/>
      <c r="J160" s="1019"/>
      <c r="K160" s="1020"/>
      <c r="L160" s="1030"/>
      <c r="M160" s="1031"/>
      <c r="N160" s="1031"/>
      <c r="O160" s="1031"/>
      <c r="P160" s="1031"/>
      <c r="Q160" s="1031"/>
      <c r="R160" s="1031"/>
      <c r="S160" s="1031"/>
      <c r="T160" s="1031"/>
      <c r="U160" s="1031"/>
      <c r="V160" s="1031"/>
      <c r="W160" s="1031"/>
      <c r="X160" s="1031"/>
      <c r="Y160" s="1031"/>
      <c r="Z160" s="1031"/>
      <c r="AA160" s="1031"/>
      <c r="AB160" s="1032"/>
      <c r="AC160" s="478"/>
      <c r="AD160" s="478"/>
      <c r="AE160" s="478"/>
      <c r="AF160" s="478"/>
      <c r="AG160" s="478"/>
      <c r="AH160" s="478"/>
      <c r="AI160" s="478"/>
      <c r="AJ160" s="478"/>
      <c r="AK160" s="478"/>
      <c r="AL160" s="478"/>
      <c r="AM160" s="478"/>
      <c r="AN160" s="478"/>
      <c r="AO160" s="478"/>
      <c r="AP160" s="478"/>
      <c r="AQ160" s="478"/>
    </row>
    <row r="161" spans="1:43" ht="84.45" customHeight="1" thickBot="1">
      <c r="A161" s="1024" t="s">
        <v>1048</v>
      </c>
      <c r="B161" s="1025"/>
      <c r="C161" s="1025"/>
      <c r="D161" s="1025"/>
      <c r="E161" s="1025"/>
      <c r="F161" s="1025"/>
      <c r="G161" s="1025"/>
      <c r="H161" s="1025"/>
      <c r="I161" s="1025"/>
      <c r="J161" s="1025"/>
      <c r="K161" s="1026"/>
      <c r="L161" s="1033"/>
      <c r="M161" s="1034"/>
      <c r="N161" s="1034"/>
      <c r="O161" s="1034"/>
      <c r="P161" s="1034"/>
      <c r="Q161" s="1034"/>
      <c r="R161" s="1034"/>
      <c r="S161" s="1034"/>
      <c r="T161" s="1034"/>
      <c r="U161" s="1034"/>
      <c r="V161" s="1034"/>
      <c r="W161" s="1034"/>
      <c r="X161" s="1034"/>
      <c r="Y161" s="1034"/>
      <c r="Z161" s="1034"/>
      <c r="AA161" s="1034"/>
      <c r="AB161" s="1035"/>
      <c r="AC161" s="478"/>
      <c r="AD161" s="478"/>
      <c r="AE161" s="478"/>
      <c r="AF161" s="478"/>
      <c r="AG161" s="478"/>
      <c r="AH161" s="478"/>
      <c r="AI161" s="478"/>
      <c r="AJ161" s="478"/>
      <c r="AK161" s="478"/>
      <c r="AL161" s="478"/>
      <c r="AM161" s="478"/>
      <c r="AN161" s="478"/>
      <c r="AO161" s="478"/>
      <c r="AP161" s="478"/>
      <c r="AQ161" s="478"/>
    </row>
    <row r="162" spans="1:43" ht="21.45" customHeight="1">
      <c r="A162" s="1015" t="s">
        <v>1036</v>
      </c>
      <c r="B162" s="1016"/>
      <c r="C162" s="1016"/>
      <c r="D162" s="1016"/>
      <c r="E162" s="1016"/>
      <c r="F162" s="1016"/>
      <c r="G162" s="1016"/>
      <c r="H162" s="1016"/>
      <c r="I162" s="1016"/>
      <c r="J162" s="1016"/>
      <c r="K162" s="1017"/>
      <c r="L162" s="1027" t="s">
        <v>752</v>
      </c>
      <c r="M162" s="1028"/>
      <c r="N162" s="1028"/>
      <c r="O162" s="1028"/>
      <c r="P162" s="1028"/>
      <c r="Q162" s="1028"/>
      <c r="R162" s="1028"/>
      <c r="S162" s="1028"/>
      <c r="T162" s="1028"/>
      <c r="U162" s="1028"/>
      <c r="V162" s="1028"/>
      <c r="W162" s="1028"/>
      <c r="X162" s="1028"/>
      <c r="Y162" s="1028"/>
      <c r="Z162" s="1028"/>
      <c r="AA162" s="1028"/>
      <c r="AB162" s="1029"/>
      <c r="AC162" s="478"/>
      <c r="AD162" s="478"/>
      <c r="AE162" s="478"/>
      <c r="AF162" s="478"/>
      <c r="AG162" s="478"/>
      <c r="AH162" s="478"/>
      <c r="AI162" s="478"/>
      <c r="AJ162" s="478"/>
      <c r="AK162" s="478"/>
      <c r="AL162" s="478"/>
      <c r="AM162" s="478"/>
      <c r="AN162" s="478"/>
      <c r="AO162" s="478"/>
      <c r="AP162" s="478"/>
      <c r="AQ162" s="478"/>
    </row>
    <row r="163" spans="1:43" ht="40.049999999999997" customHeight="1">
      <c r="A163" s="1021" t="s">
        <v>1037</v>
      </c>
      <c r="B163" s="1022"/>
      <c r="C163" s="1022"/>
      <c r="D163" s="1022"/>
      <c r="E163" s="1022"/>
      <c r="F163" s="1022"/>
      <c r="G163" s="1022"/>
      <c r="H163" s="1022"/>
      <c r="I163" s="1022"/>
      <c r="J163" s="1022"/>
      <c r="K163" s="1023"/>
      <c r="L163" s="1030"/>
      <c r="M163" s="1031"/>
      <c r="N163" s="1031"/>
      <c r="O163" s="1031"/>
      <c r="P163" s="1031"/>
      <c r="Q163" s="1031"/>
      <c r="R163" s="1031"/>
      <c r="S163" s="1031"/>
      <c r="T163" s="1031"/>
      <c r="U163" s="1031"/>
      <c r="V163" s="1031"/>
      <c r="W163" s="1031"/>
      <c r="X163" s="1031"/>
      <c r="Y163" s="1031"/>
      <c r="Z163" s="1031"/>
      <c r="AA163" s="1031"/>
      <c r="AB163" s="1032"/>
      <c r="AC163" s="478"/>
      <c r="AD163" s="478"/>
      <c r="AE163" s="478"/>
      <c r="AF163" s="478"/>
      <c r="AG163" s="478"/>
      <c r="AH163" s="478"/>
      <c r="AI163" s="478"/>
      <c r="AJ163" s="478"/>
      <c r="AK163" s="478"/>
      <c r="AL163" s="478"/>
      <c r="AM163" s="478"/>
      <c r="AN163" s="478"/>
      <c r="AO163" s="478"/>
      <c r="AP163" s="478"/>
      <c r="AQ163" s="478"/>
    </row>
    <row r="164" spans="1:43" ht="68.55" customHeight="1">
      <c r="A164" s="1018" t="s">
        <v>1038</v>
      </c>
      <c r="B164" s="1019"/>
      <c r="C164" s="1019"/>
      <c r="D164" s="1019"/>
      <c r="E164" s="1019"/>
      <c r="F164" s="1019"/>
      <c r="G164" s="1019"/>
      <c r="H164" s="1019"/>
      <c r="I164" s="1019"/>
      <c r="J164" s="1019"/>
      <c r="K164" s="1020"/>
      <c r="L164" s="1030"/>
      <c r="M164" s="1031"/>
      <c r="N164" s="1031"/>
      <c r="O164" s="1031"/>
      <c r="P164" s="1031"/>
      <c r="Q164" s="1031"/>
      <c r="R164" s="1031"/>
      <c r="S164" s="1031"/>
      <c r="T164" s="1031"/>
      <c r="U164" s="1031"/>
      <c r="V164" s="1031"/>
      <c r="W164" s="1031"/>
      <c r="X164" s="1031"/>
      <c r="Y164" s="1031"/>
      <c r="Z164" s="1031"/>
      <c r="AA164" s="1031"/>
      <c r="AB164" s="1032"/>
      <c r="AC164" s="478"/>
      <c r="AD164" s="478"/>
      <c r="AE164" s="478"/>
      <c r="AF164" s="478"/>
      <c r="AG164" s="478"/>
      <c r="AH164" s="478"/>
      <c r="AI164" s="478"/>
      <c r="AJ164" s="478"/>
      <c r="AK164" s="478"/>
      <c r="AL164" s="478"/>
      <c r="AM164" s="478"/>
      <c r="AN164" s="478"/>
      <c r="AO164" s="478"/>
      <c r="AP164" s="478"/>
      <c r="AQ164" s="478"/>
    </row>
    <row r="165" spans="1:43" ht="76.5" customHeight="1" thickBot="1">
      <c r="A165" s="1024" t="s">
        <v>1039</v>
      </c>
      <c r="B165" s="1025"/>
      <c r="C165" s="1025"/>
      <c r="D165" s="1025"/>
      <c r="E165" s="1025"/>
      <c r="F165" s="1025"/>
      <c r="G165" s="1025"/>
      <c r="H165" s="1025"/>
      <c r="I165" s="1025"/>
      <c r="J165" s="1025"/>
      <c r="K165" s="1026"/>
      <c r="L165" s="1033"/>
      <c r="M165" s="1034"/>
      <c r="N165" s="1034"/>
      <c r="O165" s="1034"/>
      <c r="P165" s="1034"/>
      <c r="Q165" s="1034"/>
      <c r="R165" s="1034"/>
      <c r="S165" s="1034"/>
      <c r="T165" s="1034"/>
      <c r="U165" s="1034"/>
      <c r="V165" s="1034"/>
      <c r="W165" s="1034"/>
      <c r="X165" s="1034"/>
      <c r="Y165" s="1034"/>
      <c r="Z165" s="1034"/>
      <c r="AA165" s="1034"/>
      <c r="AB165" s="1035"/>
      <c r="AC165" s="478"/>
      <c r="AD165" s="478"/>
      <c r="AE165" s="478"/>
      <c r="AF165" s="478"/>
      <c r="AG165" s="478"/>
      <c r="AH165" s="478"/>
      <c r="AI165" s="478"/>
      <c r="AJ165" s="478"/>
      <c r="AK165" s="478"/>
      <c r="AL165" s="478"/>
      <c r="AM165" s="478"/>
      <c r="AN165" s="478"/>
      <c r="AO165" s="478"/>
      <c r="AP165" s="478"/>
      <c r="AQ165" s="478"/>
    </row>
    <row r="166" spans="1:43" ht="18.45" customHeight="1">
      <c r="A166" s="1212" t="s">
        <v>740</v>
      </c>
      <c r="B166" s="1213"/>
      <c r="C166" s="1213"/>
      <c r="D166" s="1213"/>
      <c r="E166" s="1213"/>
      <c r="F166" s="1213"/>
      <c r="G166" s="1213"/>
      <c r="H166" s="1213"/>
      <c r="I166" s="1213"/>
      <c r="J166" s="1213"/>
      <c r="K166" s="1214"/>
      <c r="L166" s="1027" t="s">
        <v>752</v>
      </c>
      <c r="M166" s="1028"/>
      <c r="N166" s="1028"/>
      <c r="O166" s="1028"/>
      <c r="P166" s="1028"/>
      <c r="Q166" s="1028"/>
      <c r="R166" s="1028"/>
      <c r="S166" s="1028"/>
      <c r="T166" s="1028"/>
      <c r="U166" s="1028"/>
      <c r="V166" s="1028"/>
      <c r="W166" s="1028"/>
      <c r="X166" s="1028"/>
      <c r="Y166" s="1028"/>
      <c r="Z166" s="1028"/>
      <c r="AA166" s="1028"/>
      <c r="AB166" s="1029"/>
      <c r="AC166" s="478"/>
      <c r="AD166" s="478"/>
      <c r="AE166" s="478"/>
      <c r="AF166" s="478"/>
      <c r="AG166" s="478"/>
      <c r="AH166" s="478"/>
      <c r="AI166" s="478"/>
      <c r="AJ166" s="478"/>
      <c r="AK166" s="478"/>
      <c r="AL166" s="478"/>
      <c r="AM166" s="478"/>
      <c r="AN166" s="478"/>
      <c r="AO166" s="478"/>
      <c r="AP166" s="478"/>
      <c r="AQ166" s="478"/>
    </row>
    <row r="167" spans="1:43" ht="35.549999999999997" customHeight="1">
      <c r="A167" s="1021" t="s">
        <v>1052</v>
      </c>
      <c r="B167" s="1022"/>
      <c r="C167" s="1022"/>
      <c r="D167" s="1022"/>
      <c r="E167" s="1022"/>
      <c r="F167" s="1022"/>
      <c r="G167" s="1022"/>
      <c r="H167" s="1022"/>
      <c r="I167" s="1022"/>
      <c r="J167" s="1022"/>
      <c r="K167" s="1023"/>
      <c r="L167" s="1030"/>
      <c r="M167" s="1031"/>
      <c r="N167" s="1031"/>
      <c r="O167" s="1031"/>
      <c r="P167" s="1031"/>
      <c r="Q167" s="1031"/>
      <c r="R167" s="1031"/>
      <c r="S167" s="1031"/>
      <c r="T167" s="1031"/>
      <c r="U167" s="1031"/>
      <c r="V167" s="1031"/>
      <c r="W167" s="1031"/>
      <c r="X167" s="1031"/>
      <c r="Y167" s="1031"/>
      <c r="Z167" s="1031"/>
      <c r="AA167" s="1031"/>
      <c r="AB167" s="1032"/>
      <c r="AC167" s="478"/>
      <c r="AD167" s="478"/>
      <c r="AE167" s="478"/>
      <c r="AF167" s="478"/>
      <c r="AG167" s="478"/>
      <c r="AH167" s="478"/>
      <c r="AI167" s="478"/>
      <c r="AJ167" s="478"/>
      <c r="AK167" s="478"/>
      <c r="AL167" s="478"/>
      <c r="AM167" s="478"/>
      <c r="AN167" s="478"/>
      <c r="AO167" s="478"/>
      <c r="AP167" s="478"/>
      <c r="AQ167" s="478"/>
    </row>
    <row r="168" spans="1:43" ht="18.45" customHeight="1">
      <c r="A168" s="1021" t="s">
        <v>1022</v>
      </c>
      <c r="B168" s="1022"/>
      <c r="C168" s="1022"/>
      <c r="D168" s="1022"/>
      <c r="E168" s="1022"/>
      <c r="F168" s="1022"/>
      <c r="G168" s="1022"/>
      <c r="H168" s="1022"/>
      <c r="I168" s="1022"/>
      <c r="J168" s="1022"/>
      <c r="K168" s="1023"/>
      <c r="L168" s="1030"/>
      <c r="M168" s="1031"/>
      <c r="N168" s="1031"/>
      <c r="O168" s="1031"/>
      <c r="P168" s="1031"/>
      <c r="Q168" s="1031"/>
      <c r="R168" s="1031"/>
      <c r="S168" s="1031"/>
      <c r="T168" s="1031"/>
      <c r="U168" s="1031"/>
      <c r="V168" s="1031"/>
      <c r="W168" s="1031"/>
      <c r="X168" s="1031"/>
      <c r="Y168" s="1031"/>
      <c r="Z168" s="1031"/>
      <c r="AA168" s="1031"/>
      <c r="AB168" s="1032"/>
      <c r="AC168" s="478"/>
      <c r="AD168" s="478"/>
      <c r="AE168" s="478"/>
      <c r="AF168" s="478"/>
      <c r="AG168" s="478"/>
      <c r="AH168" s="478"/>
      <c r="AI168" s="478"/>
      <c r="AJ168" s="478"/>
      <c r="AK168" s="478"/>
      <c r="AL168" s="478"/>
      <c r="AM168" s="478"/>
      <c r="AN168" s="478"/>
      <c r="AO168" s="478"/>
      <c r="AP168" s="478"/>
      <c r="AQ168" s="478"/>
    </row>
    <row r="169" spans="1:43" ht="25.5" customHeight="1">
      <c r="A169" s="1021" t="s">
        <v>1023</v>
      </c>
      <c r="B169" s="1022"/>
      <c r="C169" s="1022"/>
      <c r="D169" s="1022"/>
      <c r="E169" s="1022"/>
      <c r="F169" s="1022"/>
      <c r="G169" s="1022"/>
      <c r="H169" s="1022"/>
      <c r="I169" s="1022"/>
      <c r="J169" s="1022"/>
      <c r="K169" s="1023"/>
      <c r="L169" s="1030"/>
      <c r="M169" s="1031"/>
      <c r="N169" s="1031"/>
      <c r="O169" s="1031"/>
      <c r="P169" s="1031"/>
      <c r="Q169" s="1031"/>
      <c r="R169" s="1031"/>
      <c r="S169" s="1031"/>
      <c r="T169" s="1031"/>
      <c r="U169" s="1031"/>
      <c r="V169" s="1031"/>
      <c r="W169" s="1031"/>
      <c r="X169" s="1031"/>
      <c r="Y169" s="1031"/>
      <c r="Z169" s="1031"/>
      <c r="AA169" s="1031"/>
      <c r="AB169" s="1032"/>
      <c r="AC169" s="478"/>
      <c r="AD169" s="478"/>
      <c r="AE169" s="478"/>
      <c r="AF169" s="478"/>
      <c r="AG169" s="478"/>
      <c r="AH169" s="478"/>
      <c r="AI169" s="478"/>
      <c r="AJ169" s="478"/>
      <c r="AK169" s="478"/>
      <c r="AL169" s="478"/>
      <c r="AM169" s="478"/>
      <c r="AN169" s="478"/>
      <c r="AO169" s="478"/>
      <c r="AP169" s="478"/>
      <c r="AQ169" s="478"/>
    </row>
    <row r="170" spans="1:43" ht="25.5" customHeight="1">
      <c r="A170" s="1018" t="s">
        <v>1024</v>
      </c>
      <c r="B170" s="1019"/>
      <c r="C170" s="1019"/>
      <c r="D170" s="1019"/>
      <c r="E170" s="1019"/>
      <c r="F170" s="1019"/>
      <c r="G170" s="1019"/>
      <c r="H170" s="1019"/>
      <c r="I170" s="1019"/>
      <c r="J170" s="1019"/>
      <c r="K170" s="1020"/>
      <c r="L170" s="1030"/>
      <c r="M170" s="1031"/>
      <c r="N170" s="1031"/>
      <c r="O170" s="1031"/>
      <c r="P170" s="1031"/>
      <c r="Q170" s="1031"/>
      <c r="R170" s="1031"/>
      <c r="S170" s="1031"/>
      <c r="T170" s="1031"/>
      <c r="U170" s="1031"/>
      <c r="V170" s="1031"/>
      <c r="W170" s="1031"/>
      <c r="X170" s="1031"/>
      <c r="Y170" s="1031"/>
      <c r="Z170" s="1031"/>
      <c r="AA170" s="1031"/>
      <c r="AB170" s="1032"/>
      <c r="AC170" s="478"/>
      <c r="AD170" s="478"/>
      <c r="AE170" s="478"/>
      <c r="AF170" s="478"/>
      <c r="AG170" s="478"/>
      <c r="AH170" s="478"/>
      <c r="AI170" s="478"/>
      <c r="AJ170" s="478"/>
      <c r="AK170" s="478"/>
      <c r="AL170" s="478"/>
      <c r="AM170" s="478"/>
      <c r="AN170" s="478"/>
      <c r="AO170" s="478"/>
      <c r="AP170" s="478"/>
      <c r="AQ170" s="478"/>
    </row>
    <row r="171" spans="1:43" ht="49.05" customHeight="1">
      <c r="A171" s="1021" t="s">
        <v>1025</v>
      </c>
      <c r="B171" s="1022"/>
      <c r="C171" s="1022"/>
      <c r="D171" s="1022"/>
      <c r="E171" s="1022"/>
      <c r="F171" s="1022"/>
      <c r="G171" s="1022"/>
      <c r="H171" s="1022"/>
      <c r="I171" s="1022"/>
      <c r="J171" s="1022"/>
      <c r="K171" s="1023"/>
      <c r="L171" s="1030"/>
      <c r="M171" s="1031"/>
      <c r="N171" s="1031"/>
      <c r="O171" s="1031"/>
      <c r="P171" s="1031"/>
      <c r="Q171" s="1031"/>
      <c r="R171" s="1031"/>
      <c r="S171" s="1031"/>
      <c r="T171" s="1031"/>
      <c r="U171" s="1031"/>
      <c r="V171" s="1031"/>
      <c r="W171" s="1031"/>
      <c r="X171" s="1031"/>
      <c r="Y171" s="1031"/>
      <c r="Z171" s="1031"/>
      <c r="AA171" s="1031"/>
      <c r="AB171" s="1032"/>
      <c r="AC171" s="478"/>
      <c r="AD171" s="478"/>
      <c r="AE171" s="478"/>
      <c r="AF171" s="478"/>
      <c r="AG171" s="478"/>
      <c r="AH171" s="478"/>
      <c r="AI171" s="478"/>
      <c r="AJ171" s="478"/>
      <c r="AK171" s="478"/>
      <c r="AL171" s="478"/>
      <c r="AM171" s="478"/>
      <c r="AN171" s="478"/>
      <c r="AO171" s="478"/>
      <c r="AP171" s="478"/>
      <c r="AQ171" s="478"/>
    </row>
    <row r="172" spans="1:43" ht="42.45" customHeight="1">
      <c r="A172" s="1021" t="s">
        <v>1026</v>
      </c>
      <c r="B172" s="1022"/>
      <c r="C172" s="1022"/>
      <c r="D172" s="1022"/>
      <c r="E172" s="1022"/>
      <c r="F172" s="1022"/>
      <c r="G172" s="1022"/>
      <c r="H172" s="1022"/>
      <c r="I172" s="1022"/>
      <c r="J172" s="1022"/>
      <c r="K172" s="1023"/>
      <c r="L172" s="1030"/>
      <c r="M172" s="1031"/>
      <c r="N172" s="1031"/>
      <c r="O172" s="1031"/>
      <c r="P172" s="1031"/>
      <c r="Q172" s="1031"/>
      <c r="R172" s="1031"/>
      <c r="S172" s="1031"/>
      <c r="T172" s="1031"/>
      <c r="U172" s="1031"/>
      <c r="V172" s="1031"/>
      <c r="W172" s="1031"/>
      <c r="X172" s="1031"/>
      <c r="Y172" s="1031"/>
      <c r="Z172" s="1031"/>
      <c r="AA172" s="1031"/>
      <c r="AB172" s="1032"/>
      <c r="AC172" s="478"/>
      <c r="AD172" s="478"/>
      <c r="AE172" s="478"/>
      <c r="AF172" s="478"/>
      <c r="AG172" s="478"/>
      <c r="AH172" s="478"/>
      <c r="AI172" s="478"/>
      <c r="AJ172" s="478"/>
      <c r="AK172" s="478"/>
      <c r="AL172" s="478"/>
      <c r="AM172" s="478"/>
      <c r="AN172" s="478"/>
      <c r="AO172" s="478"/>
      <c r="AP172" s="478"/>
      <c r="AQ172" s="478"/>
    </row>
    <row r="173" spans="1:43" ht="61.5" customHeight="1">
      <c r="A173" s="1018" t="s">
        <v>1531</v>
      </c>
      <c r="B173" s="1019"/>
      <c r="C173" s="1019"/>
      <c r="D173" s="1019"/>
      <c r="E173" s="1019"/>
      <c r="F173" s="1019"/>
      <c r="G173" s="1019"/>
      <c r="H173" s="1019"/>
      <c r="I173" s="1019"/>
      <c r="J173" s="1019"/>
      <c r="K173" s="1020"/>
      <c r="L173" s="1030"/>
      <c r="M173" s="1031"/>
      <c r="N173" s="1031"/>
      <c r="O173" s="1031"/>
      <c r="P173" s="1031"/>
      <c r="Q173" s="1031"/>
      <c r="R173" s="1031"/>
      <c r="S173" s="1031"/>
      <c r="T173" s="1031"/>
      <c r="U173" s="1031"/>
      <c r="V173" s="1031"/>
      <c r="W173" s="1031"/>
      <c r="X173" s="1031"/>
      <c r="Y173" s="1031"/>
      <c r="Z173" s="1031"/>
      <c r="AA173" s="1031"/>
      <c r="AB173" s="1032"/>
      <c r="AC173" s="478"/>
      <c r="AD173" s="478"/>
      <c r="AE173" s="478"/>
      <c r="AF173" s="478"/>
      <c r="AG173" s="478"/>
      <c r="AH173" s="478"/>
      <c r="AI173" s="478"/>
      <c r="AJ173" s="478"/>
      <c r="AK173" s="478"/>
      <c r="AL173" s="478"/>
      <c r="AM173" s="478"/>
      <c r="AN173" s="478"/>
      <c r="AO173" s="478"/>
      <c r="AP173" s="478"/>
      <c r="AQ173" s="478"/>
    </row>
    <row r="174" spans="1:43" ht="56.55" customHeight="1" thickBot="1">
      <c r="A174" s="1024" t="s">
        <v>1040</v>
      </c>
      <c r="B174" s="1025"/>
      <c r="C174" s="1025"/>
      <c r="D174" s="1025"/>
      <c r="E174" s="1025"/>
      <c r="F174" s="1025"/>
      <c r="G174" s="1025"/>
      <c r="H174" s="1025"/>
      <c r="I174" s="1025"/>
      <c r="J174" s="1025"/>
      <c r="K174" s="1026"/>
      <c r="L174" s="1033"/>
      <c r="M174" s="1034"/>
      <c r="N174" s="1034"/>
      <c r="O174" s="1034"/>
      <c r="P174" s="1034"/>
      <c r="Q174" s="1034"/>
      <c r="R174" s="1034"/>
      <c r="S174" s="1034"/>
      <c r="T174" s="1034"/>
      <c r="U174" s="1034"/>
      <c r="V174" s="1034"/>
      <c r="W174" s="1034"/>
      <c r="X174" s="1034"/>
      <c r="Y174" s="1034"/>
      <c r="Z174" s="1034"/>
      <c r="AA174" s="1034"/>
      <c r="AB174" s="1035"/>
      <c r="AC174" s="478"/>
      <c r="AD174" s="478"/>
      <c r="AE174" s="478"/>
      <c r="AF174" s="478"/>
      <c r="AG174" s="478"/>
      <c r="AH174" s="478"/>
      <c r="AI174" s="478"/>
      <c r="AJ174" s="478"/>
      <c r="AK174" s="478"/>
      <c r="AL174" s="478"/>
      <c r="AM174" s="478"/>
      <c r="AN174" s="478"/>
      <c r="AO174" s="478"/>
      <c r="AP174" s="478"/>
      <c r="AQ174" s="478"/>
    </row>
  </sheetData>
  <sheetProtection password="9F15" sheet="1" objects="1" scenarios="1"/>
  <mergeCells count="549">
    <mergeCell ref="AD146:AQ149"/>
    <mergeCell ref="AD145:AQ145"/>
    <mergeCell ref="AD2:AQ2"/>
    <mergeCell ref="AS84:AW84"/>
    <mergeCell ref="AY84:BC84"/>
    <mergeCell ref="AY85:BA140"/>
    <mergeCell ref="BC85:BC140"/>
    <mergeCell ref="AW85:AW140"/>
    <mergeCell ref="AS85:AU140"/>
    <mergeCell ref="AV13:AV42"/>
    <mergeCell ref="BB13:BB42"/>
    <mergeCell ref="AS12:AW12"/>
    <mergeCell ref="AY12:BC12"/>
    <mergeCell ref="AS46:AW46"/>
    <mergeCell ref="AY46:BC46"/>
    <mergeCell ref="BB47:BB61"/>
    <mergeCell ref="AV47:AV61"/>
    <mergeCell ref="AS65:AW65"/>
    <mergeCell ref="AY65:BC65"/>
    <mergeCell ref="AV66:AV80"/>
    <mergeCell ref="BB66:BB80"/>
    <mergeCell ref="AQ82:AQ140"/>
    <mergeCell ref="AD82:AD140"/>
    <mergeCell ref="AG85:AK140"/>
    <mergeCell ref="AL85:AN140"/>
    <mergeCell ref="AP85:AP140"/>
    <mergeCell ref="AF64:AF65"/>
    <mergeCell ref="AG64:AK64"/>
    <mergeCell ref="AJ66:AJ80"/>
    <mergeCell ref="AO66:AO80"/>
    <mergeCell ref="AD81:AQ81"/>
    <mergeCell ref="AE82:AK82"/>
    <mergeCell ref="AL82:AP82"/>
    <mergeCell ref="AE83:AE84"/>
    <mergeCell ref="AF83:AF84"/>
    <mergeCell ref="AG83:AK83"/>
    <mergeCell ref="AD63:AD80"/>
    <mergeCell ref="AE63:AK63"/>
    <mergeCell ref="AL63:AP63"/>
    <mergeCell ref="AQ63:AQ80"/>
    <mergeCell ref="AD43:AQ43"/>
    <mergeCell ref="AJ13:AJ42"/>
    <mergeCell ref="AO13:AO42"/>
    <mergeCell ref="AE45:AE46"/>
    <mergeCell ref="AE64:AE65"/>
    <mergeCell ref="AG11:AK11"/>
    <mergeCell ref="AF11:AF12"/>
    <mergeCell ref="AE11:AE12"/>
    <mergeCell ref="AE10:AK10"/>
    <mergeCell ref="AL10:AP10"/>
    <mergeCell ref="AE44:AK44"/>
    <mergeCell ref="AL44:AP44"/>
    <mergeCell ref="AF45:AF46"/>
    <mergeCell ref="AG45:AK45"/>
    <mergeCell ref="AD62:AQ62"/>
    <mergeCell ref="AJ47:AJ61"/>
    <mergeCell ref="AO47:AO61"/>
    <mergeCell ref="AD44:AD61"/>
    <mergeCell ref="AQ44:AQ61"/>
    <mergeCell ref="AD9:AQ9"/>
    <mergeCell ref="AD10:AD42"/>
    <mergeCell ref="AQ10:AQ42"/>
    <mergeCell ref="AH3:AK3"/>
    <mergeCell ref="AH4:AK4"/>
    <mergeCell ref="AH5:AK5"/>
    <mergeCell ref="AH6:AK6"/>
    <mergeCell ref="Z125:Z128"/>
    <mergeCell ref="Z129:Z132"/>
    <mergeCell ref="Y33:Z33"/>
    <mergeCell ref="Y34:Z34"/>
    <mergeCell ref="Y35:Z35"/>
    <mergeCell ref="Y36:Z36"/>
    <mergeCell ref="Y37:Z37"/>
    <mergeCell ref="Y38:Z38"/>
    <mergeCell ref="Y39:Z39"/>
    <mergeCell ref="Y40:Z40"/>
    <mergeCell ref="Y41:Z41"/>
    <mergeCell ref="Y61:Z61"/>
    <mergeCell ref="Z85:Z88"/>
    <mergeCell ref="V82:AA82"/>
    <mergeCell ref="V10:AA10"/>
    <mergeCell ref="V44:AA44"/>
    <mergeCell ref="Y11:Z12"/>
    <mergeCell ref="C133:C136"/>
    <mergeCell ref="D133:D136"/>
    <mergeCell ref="E133:F136"/>
    <mergeCell ref="H133:H136"/>
    <mergeCell ref="I133:I136"/>
    <mergeCell ref="K133:M133"/>
    <mergeCell ref="O133:P133"/>
    <mergeCell ref="K134:M134"/>
    <mergeCell ref="O134:P134"/>
    <mergeCell ref="K135:M135"/>
    <mergeCell ref="O135:P135"/>
    <mergeCell ref="K136:M136"/>
    <mergeCell ref="O136:P136"/>
    <mergeCell ref="C129:C132"/>
    <mergeCell ref="D129:D132"/>
    <mergeCell ref="E129:F132"/>
    <mergeCell ref="H129:H132"/>
    <mergeCell ref="I129:I132"/>
    <mergeCell ref="K129:M129"/>
    <mergeCell ref="O129:P129"/>
    <mergeCell ref="K130:M130"/>
    <mergeCell ref="K131:M131"/>
    <mergeCell ref="O131:P131"/>
    <mergeCell ref="K132:M132"/>
    <mergeCell ref="O132:P132"/>
    <mergeCell ref="C125:C128"/>
    <mergeCell ref="D125:D128"/>
    <mergeCell ref="E125:F128"/>
    <mergeCell ref="H125:H128"/>
    <mergeCell ref="I125:I128"/>
    <mergeCell ref="K125:M125"/>
    <mergeCell ref="O125:P125"/>
    <mergeCell ref="K126:M126"/>
    <mergeCell ref="O126:P126"/>
    <mergeCell ref="K127:M127"/>
    <mergeCell ref="O127:P127"/>
    <mergeCell ref="K128:M128"/>
    <mergeCell ref="O128:P128"/>
    <mergeCell ref="C121:C124"/>
    <mergeCell ref="D121:D124"/>
    <mergeCell ref="E121:F124"/>
    <mergeCell ref="H121:H124"/>
    <mergeCell ref="I121:I124"/>
    <mergeCell ref="K121:M121"/>
    <mergeCell ref="O121:P121"/>
    <mergeCell ref="K122:M122"/>
    <mergeCell ref="O122:P122"/>
    <mergeCell ref="K123:M123"/>
    <mergeCell ref="O123:P123"/>
    <mergeCell ref="K124:M124"/>
    <mergeCell ref="O124:P124"/>
    <mergeCell ref="K59:L59"/>
    <mergeCell ref="D60:G60"/>
    <mergeCell ref="I60:J60"/>
    <mergeCell ref="K60:L60"/>
    <mergeCell ref="Y56:Z56"/>
    <mergeCell ref="Y57:Z57"/>
    <mergeCell ref="Y58:Z58"/>
    <mergeCell ref="Y59:Z59"/>
    <mergeCell ref="Y60:Z60"/>
    <mergeCell ref="D56:G56"/>
    <mergeCell ref="I56:J56"/>
    <mergeCell ref="K56:L56"/>
    <mergeCell ref="D57:G57"/>
    <mergeCell ref="I57:J57"/>
    <mergeCell ref="K57:L57"/>
    <mergeCell ref="D58:G58"/>
    <mergeCell ref="I58:J58"/>
    <mergeCell ref="K58:L58"/>
    <mergeCell ref="AA83:AA84"/>
    <mergeCell ref="AA85:AA140"/>
    <mergeCell ref="I109:I112"/>
    <mergeCell ref="E137:F140"/>
    <mergeCell ref="I137:I140"/>
    <mergeCell ref="K111:M111"/>
    <mergeCell ref="H105:H108"/>
    <mergeCell ref="I101:I104"/>
    <mergeCell ref="E83:F84"/>
    <mergeCell ref="I85:I88"/>
    <mergeCell ref="I89:I92"/>
    <mergeCell ref="I93:I96"/>
    <mergeCell ref="G83:G84"/>
    <mergeCell ref="H83:H84"/>
    <mergeCell ref="O105:P105"/>
    <mergeCell ref="O118:P118"/>
    <mergeCell ref="O119:P119"/>
    <mergeCell ref="O120:P120"/>
    <mergeCell ref="O130:P130"/>
    <mergeCell ref="K96:M96"/>
    <mergeCell ref="E85:F88"/>
    <mergeCell ref="E89:F92"/>
    <mergeCell ref="E93:F96"/>
    <mergeCell ref="Z133:Z136"/>
    <mergeCell ref="Q82:U82"/>
    <mergeCell ref="Z89:Z92"/>
    <mergeCell ref="E113:F116"/>
    <mergeCell ref="H113:H116"/>
    <mergeCell ref="I113:I116"/>
    <mergeCell ref="W83:W84"/>
    <mergeCell ref="V85:V140"/>
    <mergeCell ref="W85:W140"/>
    <mergeCell ref="X85:X140"/>
    <mergeCell ref="O85:P85"/>
    <mergeCell ref="O110:P110"/>
    <mergeCell ref="O111:P111"/>
    <mergeCell ref="O112:P112"/>
    <mergeCell ref="O101:P101"/>
    <mergeCell ref="O102:P102"/>
    <mergeCell ref="O103:P103"/>
    <mergeCell ref="O83:P84"/>
    <mergeCell ref="V83:V84"/>
    <mergeCell ref="O86:P86"/>
    <mergeCell ref="O113:P113"/>
    <mergeCell ref="O114:P114"/>
    <mergeCell ref="O115:P115"/>
    <mergeCell ref="O116:P116"/>
    <mergeCell ref="O117:P117"/>
    <mergeCell ref="A174:K174"/>
    <mergeCell ref="A154:K154"/>
    <mergeCell ref="A167:K167"/>
    <mergeCell ref="H109:H112"/>
    <mergeCell ref="K109:M109"/>
    <mergeCell ref="K112:M112"/>
    <mergeCell ref="O109:P109"/>
    <mergeCell ref="Z93:Z96"/>
    <mergeCell ref="Z97:Z100"/>
    <mergeCell ref="Z101:Z104"/>
    <mergeCell ref="Z105:Z108"/>
    <mergeCell ref="O106:P106"/>
    <mergeCell ref="O107:P107"/>
    <mergeCell ref="O108:P108"/>
    <mergeCell ref="Z113:Z116"/>
    <mergeCell ref="Z117:Z120"/>
    <mergeCell ref="Z121:Z124"/>
    <mergeCell ref="C101:C104"/>
    <mergeCell ref="C113:C116"/>
    <mergeCell ref="D113:D116"/>
    <mergeCell ref="K113:M113"/>
    <mergeCell ref="K114:M114"/>
    <mergeCell ref="K115:M115"/>
    <mergeCell ref="K116:M116"/>
    <mergeCell ref="A173:K173"/>
    <mergeCell ref="A170:K170"/>
    <mergeCell ref="A171:K171"/>
    <mergeCell ref="A172:K172"/>
    <mergeCell ref="K106:M106"/>
    <mergeCell ref="K107:M107"/>
    <mergeCell ref="K108:M108"/>
    <mergeCell ref="H137:H140"/>
    <mergeCell ref="K137:M137"/>
    <mergeCell ref="K138:M138"/>
    <mergeCell ref="K139:M139"/>
    <mergeCell ref="K140:M140"/>
    <mergeCell ref="A168:K168"/>
    <mergeCell ref="I105:I108"/>
    <mergeCell ref="K105:M105"/>
    <mergeCell ref="C117:C120"/>
    <mergeCell ref="D117:D120"/>
    <mergeCell ref="E117:F120"/>
    <mergeCell ref="H117:H120"/>
    <mergeCell ref="I117:I120"/>
    <mergeCell ref="K117:M117"/>
    <mergeCell ref="K118:M118"/>
    <mergeCell ref="K119:M119"/>
    <mergeCell ref="K120:M120"/>
    <mergeCell ref="A169:K169"/>
    <mergeCell ref="D137:D140"/>
    <mergeCell ref="C137:C140"/>
    <mergeCell ref="E109:F112"/>
    <mergeCell ref="A158:K158"/>
    <mergeCell ref="A160:K160"/>
    <mergeCell ref="A161:K161"/>
    <mergeCell ref="A166:K166"/>
    <mergeCell ref="A148:K148"/>
    <mergeCell ref="A149:K149"/>
    <mergeCell ref="A153:K153"/>
    <mergeCell ref="A156:K156"/>
    <mergeCell ref="A157:K157"/>
    <mergeCell ref="A82:A140"/>
    <mergeCell ref="A145:K145"/>
    <mergeCell ref="A146:K146"/>
    <mergeCell ref="E97:F100"/>
    <mergeCell ref="I97:I100"/>
    <mergeCell ref="A141:AB141"/>
    <mergeCell ref="B83:B140"/>
    <mergeCell ref="O138:P138"/>
    <mergeCell ref="O139:P139"/>
    <mergeCell ref="O137:P137"/>
    <mergeCell ref="K110:M110"/>
    <mergeCell ref="C82:C84"/>
    <mergeCell ref="D82:P82"/>
    <mergeCell ref="J83:J84"/>
    <mergeCell ref="O97:P97"/>
    <mergeCell ref="O98:P98"/>
    <mergeCell ref="O99:P99"/>
    <mergeCell ref="O100:P100"/>
    <mergeCell ref="K97:M97"/>
    <mergeCell ref="K98:M98"/>
    <mergeCell ref="K99:M99"/>
    <mergeCell ref="K100:M100"/>
    <mergeCell ref="K92:M92"/>
    <mergeCell ref="K93:M93"/>
    <mergeCell ref="K94:M94"/>
    <mergeCell ref="K95:M95"/>
    <mergeCell ref="C93:C96"/>
    <mergeCell ref="C97:C100"/>
    <mergeCell ref="O93:P93"/>
    <mergeCell ref="O94:P94"/>
    <mergeCell ref="O95:P95"/>
    <mergeCell ref="O96:P96"/>
    <mergeCell ref="D83:D84"/>
    <mergeCell ref="K83:M84"/>
    <mergeCell ref="K85:M85"/>
    <mergeCell ref="A10:A42"/>
    <mergeCell ref="A43:AB43"/>
    <mergeCell ref="A9:AB9"/>
    <mergeCell ref="A81:AB81"/>
    <mergeCell ref="AB82:AB140"/>
    <mergeCell ref="F7:G7"/>
    <mergeCell ref="E101:F104"/>
    <mergeCell ref="E105:F108"/>
    <mergeCell ref="C105:C108"/>
    <mergeCell ref="D97:D100"/>
    <mergeCell ref="D101:D104"/>
    <mergeCell ref="D105:D108"/>
    <mergeCell ref="D85:D88"/>
    <mergeCell ref="D89:D92"/>
    <mergeCell ref="D93:D96"/>
    <mergeCell ref="C85:C88"/>
    <mergeCell ref="C89:C92"/>
    <mergeCell ref="C109:C112"/>
    <mergeCell ref="D109:D112"/>
    <mergeCell ref="H85:H88"/>
    <mergeCell ref="H89:H92"/>
    <mergeCell ref="H93:H96"/>
    <mergeCell ref="H97:H100"/>
    <mergeCell ref="H101:H104"/>
    <mergeCell ref="A2:N2"/>
    <mergeCell ref="O2:AB2"/>
    <mergeCell ref="A1:AQ1"/>
    <mergeCell ref="AH7:AK7"/>
    <mergeCell ref="AE3:AF3"/>
    <mergeCell ref="AE4:AF4"/>
    <mergeCell ref="AE5:AF5"/>
    <mergeCell ref="AE6:AF6"/>
    <mergeCell ref="AE7:AF7"/>
    <mergeCell ref="A3:C3"/>
    <mergeCell ref="A4:C4"/>
    <mergeCell ref="A5:C5"/>
    <mergeCell ref="A6:C6"/>
    <mergeCell ref="A7:C7"/>
    <mergeCell ref="F3:G3"/>
    <mergeCell ref="F4:G4"/>
    <mergeCell ref="F5:G5"/>
    <mergeCell ref="F6:G6"/>
    <mergeCell ref="N83:N84"/>
    <mergeCell ref="Z109:Z112"/>
    <mergeCell ref="Z137:Z140"/>
    <mergeCell ref="Q83:U84"/>
    <mergeCell ref="O92:P92"/>
    <mergeCell ref="K86:M86"/>
    <mergeCell ref="K87:M87"/>
    <mergeCell ref="K88:M88"/>
    <mergeCell ref="K89:M89"/>
    <mergeCell ref="K90:M90"/>
    <mergeCell ref="K91:M91"/>
    <mergeCell ref="O87:P87"/>
    <mergeCell ref="O88:P88"/>
    <mergeCell ref="O89:P89"/>
    <mergeCell ref="O90:P90"/>
    <mergeCell ref="O91:P91"/>
    <mergeCell ref="Q85:U140"/>
    <mergeCell ref="X83:X84"/>
    <mergeCell ref="K101:M101"/>
    <mergeCell ref="K102:M102"/>
    <mergeCell ref="K103:M103"/>
    <mergeCell ref="K104:M104"/>
    <mergeCell ref="O140:P140"/>
    <mergeCell ref="O104:P104"/>
    <mergeCell ref="Y13:Z13"/>
    <mergeCell ref="Y14:Z14"/>
    <mergeCell ref="Y15:Z15"/>
    <mergeCell ref="Y16:Z16"/>
    <mergeCell ref="Y17:Z17"/>
    <mergeCell ref="Y18:Z18"/>
    <mergeCell ref="Y19:Z19"/>
    <mergeCell ref="K61:L61"/>
    <mergeCell ref="I50:J50"/>
    <mergeCell ref="I51:J51"/>
    <mergeCell ref="I61:J61"/>
    <mergeCell ref="I52:J52"/>
    <mergeCell ref="Y20:Z20"/>
    <mergeCell ref="Y21:Z21"/>
    <mergeCell ref="Y42:Z42"/>
    <mergeCell ref="Y22:Z22"/>
    <mergeCell ref="Y23:Z23"/>
    <mergeCell ref="Y24:Z24"/>
    <mergeCell ref="Y25:Z25"/>
    <mergeCell ref="Y26:Z26"/>
    <mergeCell ref="Y27:Z27"/>
    <mergeCell ref="Y28:Z28"/>
    <mergeCell ref="Y29:Z29"/>
    <mergeCell ref="Y30:Z30"/>
    <mergeCell ref="Y31:Z31"/>
    <mergeCell ref="Y32:Z32"/>
    <mergeCell ref="Y45:Z46"/>
    <mergeCell ref="K50:L50"/>
    <mergeCell ref="K51:L51"/>
    <mergeCell ref="K52:L52"/>
    <mergeCell ref="K53:L53"/>
    <mergeCell ref="K54:L54"/>
    <mergeCell ref="K55:L55"/>
    <mergeCell ref="Y47:Z47"/>
    <mergeCell ref="Y48:Z48"/>
    <mergeCell ref="Y49:Z49"/>
    <mergeCell ref="Y52:Z52"/>
    <mergeCell ref="Y53:Z53"/>
    <mergeCell ref="Y50:Z50"/>
    <mergeCell ref="Y51:Z51"/>
    <mergeCell ref="Y54:Z54"/>
    <mergeCell ref="Y55:Z55"/>
    <mergeCell ref="Q44:U44"/>
    <mergeCell ref="M45:P45"/>
    <mergeCell ref="H44:P44"/>
    <mergeCell ref="I45:J46"/>
    <mergeCell ref="K45:L46"/>
    <mergeCell ref="I53:J53"/>
    <mergeCell ref="I54:J54"/>
    <mergeCell ref="I55:J55"/>
    <mergeCell ref="D52:G52"/>
    <mergeCell ref="D53:G53"/>
    <mergeCell ref="D54:G54"/>
    <mergeCell ref="B45:B61"/>
    <mergeCell ref="D61:G61"/>
    <mergeCell ref="D55:G55"/>
    <mergeCell ref="D48:G48"/>
    <mergeCell ref="D49:G49"/>
    <mergeCell ref="D50:G50"/>
    <mergeCell ref="D51:G51"/>
    <mergeCell ref="D47:G47"/>
    <mergeCell ref="C44:C46"/>
    <mergeCell ref="D59:G59"/>
    <mergeCell ref="I59:J59"/>
    <mergeCell ref="I47:J47"/>
    <mergeCell ref="I48:J48"/>
    <mergeCell ref="I49:J49"/>
    <mergeCell ref="H45:H46"/>
    <mergeCell ref="D45:G46"/>
    <mergeCell ref="D44:G44"/>
    <mergeCell ref="B11:B42"/>
    <mergeCell ref="D11:D12"/>
    <mergeCell ref="E11:E12"/>
    <mergeCell ref="K47:L47"/>
    <mergeCell ref="K48:L48"/>
    <mergeCell ref="K49:L49"/>
    <mergeCell ref="T11:T12"/>
    <mergeCell ref="T45:T46"/>
    <mergeCell ref="F11:F12"/>
    <mergeCell ref="G11:G12"/>
    <mergeCell ref="C10:C12"/>
    <mergeCell ref="D10:G10"/>
    <mergeCell ref="Q10:U10"/>
    <mergeCell ref="H10:P10"/>
    <mergeCell ref="M11:P11"/>
    <mergeCell ref="I11:I12"/>
    <mergeCell ref="J11:J12"/>
    <mergeCell ref="K11:L12"/>
    <mergeCell ref="H11:H12"/>
    <mergeCell ref="A62:AB62"/>
    <mergeCell ref="A63:A80"/>
    <mergeCell ref="B63:B80"/>
    <mergeCell ref="C63:C65"/>
    <mergeCell ref="Q63:U63"/>
    <mergeCell ref="V63:AA63"/>
    <mergeCell ref="T64:T65"/>
    <mergeCell ref="Y64:Z65"/>
    <mergeCell ref="Y66:Z66"/>
    <mergeCell ref="F64:G65"/>
    <mergeCell ref="D64:E65"/>
    <mergeCell ref="D66:E66"/>
    <mergeCell ref="F66:G66"/>
    <mergeCell ref="H64:H65"/>
    <mergeCell ref="D72:E72"/>
    <mergeCell ref="F72:G72"/>
    <mergeCell ref="D73:E73"/>
    <mergeCell ref="F73:G73"/>
    <mergeCell ref="D74:E74"/>
    <mergeCell ref="F74:G74"/>
    <mergeCell ref="D63:G63"/>
    <mergeCell ref="H63:P63"/>
    <mergeCell ref="D67:E67"/>
    <mergeCell ref="F67:G67"/>
    <mergeCell ref="D68:E68"/>
    <mergeCell ref="F68:G68"/>
    <mergeCell ref="D69:E69"/>
    <mergeCell ref="F69:G69"/>
    <mergeCell ref="O79:P79"/>
    <mergeCell ref="D80:E80"/>
    <mergeCell ref="F80:G80"/>
    <mergeCell ref="D75:E75"/>
    <mergeCell ref="F75:G75"/>
    <mergeCell ref="D76:E76"/>
    <mergeCell ref="F76:G76"/>
    <mergeCell ref="D77:E77"/>
    <mergeCell ref="F77:G77"/>
    <mergeCell ref="D78:E78"/>
    <mergeCell ref="F78:G78"/>
    <mergeCell ref="D79:E79"/>
    <mergeCell ref="F79:G79"/>
    <mergeCell ref="D70:E70"/>
    <mergeCell ref="F70:G70"/>
    <mergeCell ref="D71:E71"/>
    <mergeCell ref="F71:G71"/>
    <mergeCell ref="O80:P80"/>
    <mergeCell ref="O72:P72"/>
    <mergeCell ref="O73:P73"/>
    <mergeCell ref="J64:L64"/>
    <mergeCell ref="O65:P65"/>
    <mergeCell ref="M64:P64"/>
    <mergeCell ref="O66:P66"/>
    <mergeCell ref="O67:P67"/>
    <mergeCell ref="O68:P68"/>
    <mergeCell ref="O69:P69"/>
    <mergeCell ref="O70:P70"/>
    <mergeCell ref="O71:P71"/>
    <mergeCell ref="O74:P74"/>
    <mergeCell ref="O75:P75"/>
    <mergeCell ref="O76:P76"/>
    <mergeCell ref="O77:P77"/>
    <mergeCell ref="O78:P78"/>
    <mergeCell ref="Y67:Z67"/>
    <mergeCell ref="Y68:Z68"/>
    <mergeCell ref="Y69:Z69"/>
    <mergeCell ref="Y70:Z70"/>
    <mergeCell ref="Y71:Z71"/>
    <mergeCell ref="Y72:Z72"/>
    <mergeCell ref="Y73:Z73"/>
    <mergeCell ref="Y74:Z74"/>
    <mergeCell ref="Y75:Z75"/>
    <mergeCell ref="Y76:Z76"/>
    <mergeCell ref="Y77:Z77"/>
    <mergeCell ref="Y78:Z78"/>
    <mergeCell ref="A8:I8"/>
    <mergeCell ref="A162:K162"/>
    <mergeCell ref="A164:K164"/>
    <mergeCell ref="A163:K163"/>
    <mergeCell ref="A165:K165"/>
    <mergeCell ref="L166:AB166"/>
    <mergeCell ref="L167:AB174"/>
    <mergeCell ref="A152:K152"/>
    <mergeCell ref="L145:AB145"/>
    <mergeCell ref="L146:AB153"/>
    <mergeCell ref="L154:AB154"/>
    <mergeCell ref="L155:AB157"/>
    <mergeCell ref="L158:AB158"/>
    <mergeCell ref="L159:AB161"/>
    <mergeCell ref="L162:AB162"/>
    <mergeCell ref="L163:AB165"/>
    <mergeCell ref="A147:K147"/>
    <mergeCell ref="A150:K150"/>
    <mergeCell ref="A151:K151"/>
    <mergeCell ref="A155:K155"/>
    <mergeCell ref="A159:K159"/>
    <mergeCell ref="A44:A61"/>
    <mergeCell ref="Y79:Z79"/>
    <mergeCell ref="Y80:Z80"/>
  </mergeCells>
  <dataValidations count="5">
    <dataValidation type="decimal" allowBlank="1" showInputMessage="1" showErrorMessage="1" sqref="L13:L42">
      <formula1>0</formula1>
      <formula2>100</formula2>
    </dataValidation>
    <dataValidation type="decimal" operator="greaterThanOrEqual" allowBlank="1" showInputMessage="1" showErrorMessage="1" sqref="I66:I80 I47:J61 I13:I42 AE13:AE42 AE47:AE61 AE66:AE80 AE85:AE140">
      <formula1>0</formula1>
    </dataValidation>
    <dataValidation type="whole" allowBlank="1" showInputMessage="1" showErrorMessage="1" sqref="D105 D89 D137 D97">
      <formula1>1</formula1>
      <formula2>31536000</formula2>
    </dataValidation>
    <dataValidation type="decimal" operator="greaterThan" allowBlank="1" showInputMessage="1" showErrorMessage="1" sqref="N85:N140 J85:J140">
      <formula1>0</formula1>
    </dataValidation>
    <dataValidation operator="greaterThan" allowBlank="1" showInputMessage="1" showErrorMessage="1" sqref="I85:I140"/>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14:formula1>
            <xm:f>'Emission factors'!$B$3:$C$3</xm:f>
          </x14:formula1>
          <xm:sqref>D13:D42</xm:sqref>
        </x14:dataValidation>
        <x14:dataValidation type="list" allowBlank="1" showInputMessage="1" showErrorMessage="1">
          <x14:formula1>
            <xm:f>'Emission factors'!$B$4:$C$4</xm:f>
          </x14:formula1>
          <xm:sqref>E13:E42</xm:sqref>
        </x14:dataValidation>
        <x14:dataValidation type="list" allowBlank="1" showInputMessage="1" showErrorMessage="1">
          <x14:formula1>
            <xm:f>'Emission factors'!$B$5:$C$5</xm:f>
          </x14:formula1>
          <xm:sqref>F13:F42</xm:sqref>
        </x14:dataValidation>
        <x14:dataValidation type="list" allowBlank="1" showInputMessage="1" showErrorMessage="1">
          <x14:formula1>
            <xm:f>'Emission factors'!$B$6:$D$6</xm:f>
          </x14:formula1>
          <xm:sqref>G13:G42</xm:sqref>
        </x14:dataValidation>
        <x14:dataValidation type="list" allowBlank="1" showInputMessage="1" showErrorMessage="1">
          <x14:formula1>
            <xm:f>'Emission factors'!$B$7:$C$7</xm:f>
          </x14:formula1>
          <xm:sqref>M13:M42 M47:M61 J66:J80 M66:M80</xm:sqref>
        </x14:dataValidation>
        <x14:dataValidation type="list" allowBlank="1" showInputMessage="1" showErrorMessage="1">
          <x14:formula1>
            <xm:f>'Emission factors'!$B$22:$D$22</xm:f>
          </x14:formula1>
          <xm:sqref>D47:D61</xm:sqref>
        </x14:dataValidation>
        <x14:dataValidation type="list" allowBlank="1" showInputMessage="1" showErrorMessage="1">
          <x14:formula1>
            <xm:f>'Emission factors'!$B$2:$K$2</xm:f>
          </x14:formula1>
          <xm:sqref>H13:H42</xm:sqref>
        </x14:dataValidation>
        <x14:dataValidation type="list" allowBlank="1" showInputMessage="1" showErrorMessage="1">
          <x14:formula1>
            <xm:f>'Emission factors'!$B$23:$H$23</xm:f>
          </x14:formula1>
          <xm:sqref>H47:H61</xm:sqref>
        </x14:dataValidation>
        <x14:dataValidation type="list" allowBlank="1" showInputMessage="1" showErrorMessage="1">
          <x14:formula1>
            <xm:f>'Emission factors'!$A$61:$A$74</xm:f>
          </x14:formula1>
          <xm:sqref>E85 E89 E93 E97 E101 E105 E137 E109 E113 E117 E121 E125 E129 E133</xm:sqref>
        </x14:dataValidation>
        <x14:dataValidation type="list" allowBlank="1" showInputMessage="1" showErrorMessage="1">
          <x14:formula1>
            <xm:f>'Emission factors'!$A$252:$A$254</xm:f>
          </x14:formula1>
          <xm:sqref>D66:D80</xm:sqref>
        </x14:dataValidation>
        <x14:dataValidation type="list" allowBlank="1" showInputMessage="1" showErrorMessage="1">
          <x14:formula1>
            <xm:f>'Emission factors'!$A$256:$A$261</xm:f>
          </x14:formula1>
          <xm:sqref>F66:F80</xm:sqref>
        </x14:dataValidation>
        <x14:dataValidation type="list" operator="greaterThanOrEqual" allowBlank="1" showInputMessage="1" showErrorMessage="1">
          <x14:formula1>
            <xm:f>'Emission factors'!$B$2:$G$2</xm:f>
          </x14:formula1>
          <xm:sqref>H66:H80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K55"/>
  <sheetViews>
    <sheetView rightToLeft="1" zoomScale="50" zoomScaleNormal="50" workbookViewId="0">
      <selection sqref="A1:AP1"/>
    </sheetView>
  </sheetViews>
  <sheetFormatPr defaultColWidth="8.69921875" defaultRowHeight="15"/>
  <cols>
    <col min="1" max="1" width="4.3984375" style="98" customWidth="1"/>
    <col min="2" max="2" width="6" style="98" customWidth="1"/>
    <col min="3" max="3" width="23.796875" style="98" customWidth="1"/>
    <col min="4" max="4" width="11" style="98" customWidth="1"/>
    <col min="5" max="5" width="8.19921875" style="98" customWidth="1"/>
    <col min="6" max="6" width="15.59765625" style="98" customWidth="1"/>
    <col min="7" max="7" width="16.69921875" style="98" customWidth="1"/>
    <col min="8" max="8" width="18.296875" style="98" customWidth="1"/>
    <col min="9" max="13" width="19.69921875" style="98" customWidth="1"/>
    <col min="14" max="14" width="25.19921875" style="98" customWidth="1"/>
    <col min="15" max="15" width="8.19921875" style="98" customWidth="1"/>
    <col min="16" max="17" width="9.5" style="98" customWidth="1"/>
    <col min="18" max="18" width="11.19921875" style="98" customWidth="1"/>
    <col min="19" max="20" width="9.5" style="98" customWidth="1"/>
    <col min="21" max="25" width="10.296875" style="98" customWidth="1"/>
    <col min="26" max="26" width="4.3984375" style="98" customWidth="1"/>
    <col min="27" max="27" width="8.69921875" style="98"/>
    <col min="28" max="28" width="3.796875" style="98" customWidth="1"/>
    <col min="29" max="29" width="18.69921875" style="98" customWidth="1"/>
    <col min="30" max="30" width="24.296875" style="98" customWidth="1"/>
    <col min="31" max="32" width="22.3984375" style="98" customWidth="1"/>
    <col min="33" max="35" width="10.296875" style="98" customWidth="1"/>
    <col min="36" max="36" width="28.19921875" style="98" customWidth="1"/>
    <col min="37" max="40" width="10.69921875" style="98" customWidth="1"/>
    <col min="41" max="41" width="11.59765625" style="98" customWidth="1"/>
    <col min="42" max="42" width="3.796875" style="98" customWidth="1"/>
    <col min="43" max="43" width="8.69921875" style="98"/>
    <col min="44" max="44" width="33.8984375" style="98" hidden="1" customWidth="1"/>
    <col min="45" max="45" width="41.59765625" style="98" hidden="1" customWidth="1"/>
    <col min="46" max="46" width="40.3984375" style="98" hidden="1" customWidth="1"/>
    <col min="47" max="48" width="9.296875" style="98" hidden="1" customWidth="1"/>
    <col min="49" max="60" width="8.69921875" style="98" hidden="1" customWidth="1"/>
    <col min="61" max="61" width="0" style="98" hidden="1" customWidth="1"/>
    <col min="62" max="16384" width="8.69921875" style="98"/>
  </cols>
  <sheetData>
    <row r="1" spans="1:61" s="213" customFormat="1" ht="33" thickBot="1">
      <c r="A1" s="1304" t="s">
        <v>1027</v>
      </c>
      <c r="B1" s="1305"/>
      <c r="C1" s="1305"/>
      <c r="D1" s="1305"/>
      <c r="E1" s="1305"/>
      <c r="F1" s="1305"/>
      <c r="G1" s="1305"/>
      <c r="H1" s="1305"/>
      <c r="I1" s="1305"/>
      <c r="J1" s="1305"/>
      <c r="K1" s="1305"/>
      <c r="L1" s="1305"/>
      <c r="M1" s="1305"/>
      <c r="N1" s="1305"/>
      <c r="O1" s="1305"/>
      <c r="P1" s="1305"/>
      <c r="Q1" s="1305"/>
      <c r="R1" s="1305"/>
      <c r="S1" s="1305"/>
      <c r="T1" s="1305"/>
      <c r="U1" s="1305"/>
      <c r="V1" s="1305"/>
      <c r="W1" s="1305"/>
      <c r="X1" s="1305"/>
      <c r="Y1" s="1305"/>
      <c r="Z1" s="1305"/>
      <c r="AA1" s="1305"/>
      <c r="AB1" s="1305"/>
      <c r="AC1" s="1305"/>
      <c r="AD1" s="1305"/>
      <c r="AE1" s="1305"/>
      <c r="AF1" s="1305"/>
      <c r="AG1" s="1305"/>
      <c r="AH1" s="1305"/>
      <c r="AI1" s="1305"/>
      <c r="AJ1" s="1305"/>
      <c r="AK1" s="1305"/>
      <c r="AL1" s="1305"/>
      <c r="AM1" s="1305"/>
      <c r="AN1" s="1305"/>
      <c r="AO1" s="1305"/>
      <c r="AP1" s="1306"/>
    </row>
    <row r="2" spans="1:61" s="213" customFormat="1" ht="46.95" customHeight="1" thickBot="1">
      <c r="A2" s="1174" t="s">
        <v>843</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175"/>
      <c r="AA2" s="478"/>
      <c r="AB2" s="1443" t="s">
        <v>1293</v>
      </c>
      <c r="AC2" s="1444"/>
      <c r="AD2" s="1444"/>
      <c r="AE2" s="1444"/>
      <c r="AF2" s="1444"/>
      <c r="AG2" s="1444"/>
      <c r="AH2" s="1444"/>
      <c r="AI2" s="1444"/>
      <c r="AJ2" s="1444"/>
      <c r="AK2" s="1444"/>
      <c r="AL2" s="1444"/>
      <c r="AM2" s="1444"/>
      <c r="AN2" s="1444"/>
      <c r="AO2" s="1444"/>
      <c r="AP2" s="1445"/>
    </row>
    <row r="3" spans="1:61" s="213" customFormat="1" ht="28.05" customHeight="1" thickBot="1">
      <c r="A3" s="1379" t="s">
        <v>741</v>
      </c>
      <c r="B3" s="1184"/>
      <c r="C3" s="1184"/>
      <c r="D3" s="214" t="s">
        <v>40</v>
      </c>
      <c r="E3" s="701" t="s">
        <v>764</v>
      </c>
      <c r="F3" s="1185">
        <f>SUM(U28:U33)</f>
        <v>0</v>
      </c>
      <c r="G3" s="1185"/>
      <c r="H3" s="214" t="s">
        <v>146</v>
      </c>
      <c r="I3" s="796" t="s">
        <v>743</v>
      </c>
      <c r="J3" s="699"/>
      <c r="K3" s="699"/>
      <c r="L3" s="699"/>
      <c r="M3" s="699"/>
      <c r="N3" s="699"/>
      <c r="O3" s="699"/>
      <c r="P3" s="699"/>
      <c r="Q3" s="699"/>
      <c r="R3" s="699"/>
      <c r="S3" s="699"/>
      <c r="T3" s="699"/>
      <c r="U3" s="699"/>
      <c r="V3" s="699"/>
      <c r="W3" s="699"/>
      <c r="X3" s="699"/>
      <c r="Y3" s="699"/>
      <c r="Z3" s="699"/>
      <c r="AA3" s="478"/>
      <c r="AB3" s="560"/>
      <c r="AC3" s="1446" t="s">
        <v>1287</v>
      </c>
      <c r="AD3" s="1446"/>
      <c r="AE3" s="545" t="s">
        <v>356</v>
      </c>
      <c r="AF3" s="1181" t="str">
        <f>IF(OR(F3=0,F3=""),"",(SQRT(SUM(BD28:BD37)))/F3)</f>
        <v/>
      </c>
      <c r="AG3" s="1181"/>
      <c r="AH3" s="1181"/>
      <c r="AI3" s="1181"/>
      <c r="AJ3" s="1181"/>
      <c r="AK3" s="546" t="s">
        <v>1259</v>
      </c>
      <c r="AL3" s="545" t="s">
        <v>743</v>
      </c>
      <c r="AM3" s="545"/>
      <c r="AN3" s="540"/>
      <c r="AO3" s="540"/>
      <c r="AP3" s="541"/>
    </row>
    <row r="4" spans="1:61" s="213" customFormat="1" ht="28.05" customHeight="1" thickBot="1">
      <c r="A4" s="1380" t="s">
        <v>741</v>
      </c>
      <c r="B4" s="1381"/>
      <c r="C4" s="1381"/>
      <c r="D4" s="299" t="s">
        <v>39</v>
      </c>
      <c r="E4" s="701" t="s">
        <v>764</v>
      </c>
      <c r="F4" s="1185">
        <f>SUM(V28:V33)</f>
        <v>0</v>
      </c>
      <c r="G4" s="1185"/>
      <c r="H4" s="299" t="s">
        <v>146</v>
      </c>
      <c r="I4" s="300" t="s">
        <v>743</v>
      </c>
      <c r="J4" s="699"/>
      <c r="K4" s="699"/>
      <c r="L4" s="699"/>
      <c r="M4" s="699"/>
      <c r="N4" s="699"/>
      <c r="O4" s="699"/>
      <c r="P4" s="699"/>
      <c r="Q4" s="699"/>
      <c r="R4" s="699"/>
      <c r="S4" s="699"/>
      <c r="T4" s="699"/>
      <c r="U4" s="699"/>
      <c r="V4" s="699"/>
      <c r="W4" s="699"/>
      <c r="X4" s="699"/>
      <c r="Y4" s="699"/>
      <c r="Z4" s="699"/>
      <c r="AA4" s="478"/>
      <c r="AB4" s="560"/>
      <c r="AC4" s="1446" t="s">
        <v>1288</v>
      </c>
      <c r="AD4" s="1446"/>
      <c r="AE4" s="545" t="s">
        <v>356</v>
      </c>
      <c r="AF4" s="1181" t="str">
        <f>IF(OR(F4=0,F4=""),"",(SQRT(SUM(BE28:BE37)))/F4)</f>
        <v/>
      </c>
      <c r="AG4" s="1181"/>
      <c r="AH4" s="1181"/>
      <c r="AI4" s="1181"/>
      <c r="AJ4" s="1181"/>
      <c r="AK4" s="546" t="s">
        <v>1259</v>
      </c>
      <c r="AL4" s="545" t="s">
        <v>743</v>
      </c>
      <c r="AM4" s="540"/>
      <c r="AN4" s="540"/>
      <c r="AO4" s="540"/>
      <c r="AP4" s="541"/>
    </row>
    <row r="5" spans="1:61" s="213" customFormat="1" ht="28.05" customHeight="1" thickBot="1">
      <c r="A5" s="1379" t="s">
        <v>741</v>
      </c>
      <c r="B5" s="1184"/>
      <c r="C5" s="1184"/>
      <c r="D5" s="214" t="s">
        <v>145</v>
      </c>
      <c r="E5" s="701" t="s">
        <v>764</v>
      </c>
      <c r="F5" s="1185">
        <f>SUM(W28:W33)</f>
        <v>0</v>
      </c>
      <c r="G5" s="1185"/>
      <c r="H5" s="214" t="s">
        <v>146</v>
      </c>
      <c r="I5" s="796" t="s">
        <v>743</v>
      </c>
      <c r="J5" s="699"/>
      <c r="K5" s="699"/>
      <c r="L5" s="699"/>
      <c r="M5" s="699"/>
      <c r="N5" s="699"/>
      <c r="O5" s="699"/>
      <c r="P5" s="699"/>
      <c r="Q5" s="699"/>
      <c r="R5" s="699"/>
      <c r="S5" s="699"/>
      <c r="T5" s="699"/>
      <c r="U5" s="699"/>
      <c r="V5" s="699"/>
      <c r="W5" s="699"/>
      <c r="X5" s="699"/>
      <c r="Y5" s="699"/>
      <c r="Z5" s="699"/>
      <c r="AA5" s="478"/>
      <c r="AB5" s="560"/>
      <c r="AC5" s="1446" t="s">
        <v>1289</v>
      </c>
      <c r="AD5" s="1446"/>
      <c r="AE5" s="545" t="s">
        <v>356</v>
      </c>
      <c r="AF5" s="1181" t="str">
        <f>IF(OR(F5=0,F5=""),"",(SQRT(SUM(BF28:BF37)))/F5)</f>
        <v/>
      </c>
      <c r="AG5" s="1181"/>
      <c r="AH5" s="1181"/>
      <c r="AI5" s="1181"/>
      <c r="AJ5" s="1181"/>
      <c r="AK5" s="546" t="s">
        <v>1259</v>
      </c>
      <c r="AL5" s="545" t="s">
        <v>743</v>
      </c>
      <c r="AM5" s="540"/>
      <c r="AN5" s="540"/>
      <c r="AO5" s="540"/>
      <c r="AP5" s="541"/>
    </row>
    <row r="6" spans="1:61" s="213" customFormat="1" ht="28.05" customHeight="1" thickBot="1">
      <c r="A6" s="1382" t="s">
        <v>741</v>
      </c>
      <c r="B6" s="1383"/>
      <c r="C6" s="1383"/>
      <c r="D6" s="301" t="s">
        <v>147</v>
      </c>
      <c r="E6" s="701" t="s">
        <v>764</v>
      </c>
      <c r="F6" s="1185">
        <f>SUM(X13:X21)</f>
        <v>0</v>
      </c>
      <c r="G6" s="1185"/>
      <c r="H6" s="301" t="s">
        <v>146</v>
      </c>
      <c r="I6" s="302" t="s">
        <v>743</v>
      </c>
      <c r="J6" s="699"/>
      <c r="K6" s="699"/>
      <c r="L6" s="699"/>
      <c r="M6" s="699"/>
      <c r="N6" s="699"/>
      <c r="O6" s="699"/>
      <c r="P6" s="699"/>
      <c r="Q6" s="699"/>
      <c r="R6" s="699"/>
      <c r="S6" s="699"/>
      <c r="T6" s="699"/>
      <c r="U6" s="699"/>
      <c r="V6" s="699"/>
      <c r="W6" s="699"/>
      <c r="X6" s="699"/>
      <c r="Y6" s="699"/>
      <c r="Z6" s="699"/>
      <c r="AA6" s="478"/>
      <c r="AB6" s="560"/>
      <c r="AC6" s="1446" t="s">
        <v>1290</v>
      </c>
      <c r="AD6" s="1446"/>
      <c r="AE6" s="545" t="s">
        <v>356</v>
      </c>
      <c r="AF6" s="1181" t="str">
        <f>IF(OR(F6=0,F6=""),"",(SQRT(SUM(BG13:BG22)))/F6)</f>
        <v/>
      </c>
      <c r="AG6" s="1181"/>
      <c r="AH6" s="1181"/>
      <c r="AI6" s="1181"/>
      <c r="AJ6" s="1181"/>
      <c r="AK6" s="546" t="s">
        <v>1259</v>
      </c>
      <c r="AL6" s="545" t="s">
        <v>743</v>
      </c>
      <c r="AM6" s="540"/>
      <c r="AN6" s="540"/>
      <c r="AO6" s="540"/>
      <c r="AP6" s="541"/>
    </row>
    <row r="7" spans="1:61" s="213" customFormat="1" ht="28.05" customHeight="1" thickBot="1">
      <c r="A7" s="1379" t="s">
        <v>741</v>
      </c>
      <c r="B7" s="1184"/>
      <c r="C7" s="1184"/>
      <c r="D7" s="214" t="s">
        <v>31</v>
      </c>
      <c r="E7" s="701" t="s">
        <v>764</v>
      </c>
      <c r="F7" s="1185">
        <f>SUM(Y13:Y21)</f>
        <v>0</v>
      </c>
      <c r="G7" s="1185"/>
      <c r="H7" s="214" t="s">
        <v>146</v>
      </c>
      <c r="I7" s="796" t="s">
        <v>743</v>
      </c>
      <c r="J7" s="699"/>
      <c r="K7" s="699"/>
      <c r="L7" s="699"/>
      <c r="M7" s="699"/>
      <c r="N7" s="699"/>
      <c r="O7" s="699"/>
      <c r="P7" s="699"/>
      <c r="Q7" s="699"/>
      <c r="R7" s="699"/>
      <c r="S7" s="699"/>
      <c r="T7" s="699"/>
      <c r="U7" s="699"/>
      <c r="V7" s="699"/>
      <c r="W7" s="699"/>
      <c r="X7" s="699"/>
      <c r="Y7" s="699"/>
      <c r="Z7" s="699"/>
      <c r="AA7" s="478"/>
      <c r="AB7" s="560"/>
      <c r="AC7" s="1446" t="s">
        <v>1291</v>
      </c>
      <c r="AD7" s="1446"/>
      <c r="AE7" s="545" t="s">
        <v>356</v>
      </c>
      <c r="AF7" s="1181" t="str">
        <f>IF(OR(F7=0,F7=""),"",(SQRT(SUM(BH13:BH22)))/F7)</f>
        <v/>
      </c>
      <c r="AG7" s="1181"/>
      <c r="AH7" s="1181"/>
      <c r="AI7" s="1181"/>
      <c r="AJ7" s="1181"/>
      <c r="AK7" s="546" t="s">
        <v>1259</v>
      </c>
      <c r="AL7" s="545" t="s">
        <v>743</v>
      </c>
      <c r="AM7" s="540"/>
      <c r="AN7" s="540"/>
      <c r="AO7" s="540"/>
      <c r="AP7" s="541"/>
    </row>
    <row r="8" spans="1:61" s="213" customFormat="1" ht="15.45" customHeight="1" thickBot="1">
      <c r="A8" s="770"/>
      <c r="B8" s="699"/>
      <c r="C8" s="699"/>
      <c r="D8" s="699"/>
      <c r="E8" s="699"/>
      <c r="F8" s="699"/>
      <c r="G8" s="699"/>
      <c r="H8" s="303"/>
      <c r="I8" s="303"/>
      <c r="J8" s="699"/>
      <c r="K8" s="699"/>
      <c r="L8" s="699"/>
      <c r="M8" s="699"/>
      <c r="N8" s="699"/>
      <c r="O8" s="699"/>
      <c r="P8" s="699"/>
      <c r="Q8" s="699"/>
      <c r="R8" s="699"/>
      <c r="S8" s="699"/>
      <c r="T8" s="699"/>
      <c r="U8" s="699"/>
      <c r="V8" s="699"/>
      <c r="W8" s="699"/>
      <c r="X8" s="699"/>
      <c r="Y8" s="699"/>
      <c r="Z8" s="699"/>
      <c r="AA8" s="478"/>
      <c r="AB8" s="542"/>
      <c r="AC8" s="543"/>
      <c r="AD8" s="543"/>
      <c r="AE8" s="543"/>
      <c r="AF8" s="543"/>
      <c r="AG8" s="543"/>
      <c r="AH8" s="543"/>
      <c r="AI8" s="543"/>
      <c r="AJ8" s="543"/>
      <c r="AK8" s="543"/>
      <c r="AL8" s="543"/>
      <c r="AM8" s="543"/>
      <c r="AN8" s="543"/>
      <c r="AO8" s="543"/>
      <c r="AP8" s="544"/>
    </row>
    <row r="9" spans="1:61" s="213" customFormat="1" ht="25.05" customHeight="1" thickBot="1">
      <c r="A9" s="1395" t="s">
        <v>314</v>
      </c>
      <c r="B9" s="1396"/>
      <c r="C9" s="1396"/>
      <c r="D9" s="1396"/>
      <c r="E9" s="1396"/>
      <c r="F9" s="1396"/>
      <c r="G9" s="1396"/>
      <c r="H9" s="1396"/>
      <c r="I9" s="1396"/>
      <c r="J9" s="1396"/>
      <c r="K9" s="1396"/>
      <c r="L9" s="1396"/>
      <c r="M9" s="1396"/>
      <c r="N9" s="1396"/>
      <c r="O9" s="1396"/>
      <c r="P9" s="1396"/>
      <c r="Q9" s="1396"/>
      <c r="R9" s="1396"/>
      <c r="S9" s="1396"/>
      <c r="T9" s="1396"/>
      <c r="U9" s="1396"/>
      <c r="V9" s="1396"/>
      <c r="W9" s="1396"/>
      <c r="X9" s="1396"/>
      <c r="Y9" s="1396"/>
      <c r="Z9" s="1397"/>
      <c r="AA9" s="478"/>
      <c r="AB9" s="1244"/>
      <c r="AC9" s="1451"/>
      <c r="AD9" s="1451"/>
      <c r="AE9" s="1451"/>
      <c r="AF9" s="1451"/>
      <c r="AG9" s="1451"/>
      <c r="AH9" s="1451"/>
      <c r="AI9" s="1451"/>
      <c r="AJ9" s="1451"/>
      <c r="AK9" s="1245"/>
      <c r="AL9" s="1245"/>
      <c r="AM9" s="1245"/>
      <c r="AN9" s="1245"/>
      <c r="AO9" s="1245"/>
      <c r="AP9" s="1246"/>
    </row>
    <row r="10" spans="1:61" s="213" customFormat="1" ht="29.55" customHeight="1" thickBot="1">
      <c r="A10" s="1040"/>
      <c r="B10" s="1418" t="s">
        <v>315</v>
      </c>
      <c r="C10" s="1376" t="s">
        <v>755</v>
      </c>
      <c r="D10" s="1377"/>
      <c r="E10" s="1377"/>
      <c r="F10" s="1377"/>
      <c r="G10" s="1377"/>
      <c r="H10" s="1377"/>
      <c r="I10" s="1377"/>
      <c r="J10" s="1377"/>
      <c r="K10" s="1377"/>
      <c r="L10" s="1377"/>
      <c r="M10" s="1377"/>
      <c r="N10" s="1377"/>
      <c r="O10" s="1378"/>
      <c r="P10" s="1376" t="s">
        <v>365</v>
      </c>
      <c r="Q10" s="1377"/>
      <c r="R10" s="1377"/>
      <c r="S10" s="1377"/>
      <c r="T10" s="1378"/>
      <c r="U10" s="1318" t="s">
        <v>757</v>
      </c>
      <c r="V10" s="1318"/>
      <c r="W10" s="1318"/>
      <c r="X10" s="1318"/>
      <c r="Y10" s="1319"/>
      <c r="Z10" s="1189"/>
      <c r="AA10" s="478"/>
      <c r="AB10" s="555"/>
      <c r="AC10" s="1204" t="s">
        <v>1279</v>
      </c>
      <c r="AD10" s="1205"/>
      <c r="AE10" s="1205"/>
      <c r="AF10" s="1205"/>
      <c r="AG10" s="1205"/>
      <c r="AH10" s="1205"/>
      <c r="AI10" s="1205"/>
      <c r="AJ10" s="1206"/>
      <c r="AK10" s="1263" t="s">
        <v>1280</v>
      </c>
      <c r="AL10" s="1263"/>
      <c r="AM10" s="1263"/>
      <c r="AN10" s="1263"/>
      <c r="AO10" s="1263"/>
      <c r="AP10" s="1247"/>
    </row>
    <row r="11" spans="1:61" s="213" customFormat="1" ht="27.45" customHeight="1">
      <c r="A11" s="1041"/>
      <c r="B11" s="1419"/>
      <c r="C11" s="1209" t="s">
        <v>960</v>
      </c>
      <c r="D11" s="1052" t="s">
        <v>968</v>
      </c>
      <c r="E11" s="1053"/>
      <c r="F11" s="1053"/>
      <c r="G11" s="1052" t="s">
        <v>967</v>
      </c>
      <c r="H11" s="1053"/>
      <c r="I11" s="1087"/>
      <c r="J11" s="1110" t="s">
        <v>961</v>
      </c>
      <c r="K11" s="1428" t="s">
        <v>962</v>
      </c>
      <c r="L11" s="1389" t="s">
        <v>964</v>
      </c>
      <c r="M11" s="1053"/>
      <c r="N11" s="1428" t="s">
        <v>957</v>
      </c>
      <c r="O11" s="1430" t="s">
        <v>965</v>
      </c>
      <c r="P11" s="676"/>
      <c r="Q11" s="666"/>
      <c r="R11" s="666"/>
      <c r="S11" s="666"/>
      <c r="T11" s="667"/>
      <c r="U11" s="1079" t="s">
        <v>40</v>
      </c>
      <c r="V11" s="1076" t="s">
        <v>39</v>
      </c>
      <c r="W11" s="1076" t="s">
        <v>145</v>
      </c>
      <c r="X11" s="696" t="s">
        <v>147</v>
      </c>
      <c r="Y11" s="771" t="s">
        <v>31</v>
      </c>
      <c r="Z11" s="1191"/>
      <c r="AA11" s="478"/>
      <c r="AB11" s="548"/>
      <c r="AC11" s="1452" t="s">
        <v>1515</v>
      </c>
      <c r="AD11" s="1453"/>
      <c r="AE11" s="1456" t="s">
        <v>1276</v>
      </c>
      <c r="AF11" s="1453"/>
      <c r="AG11" s="1456" t="s">
        <v>1277</v>
      </c>
      <c r="AH11" s="1458"/>
      <c r="AI11" s="1453"/>
      <c r="AJ11" s="1460" t="s">
        <v>1278</v>
      </c>
      <c r="AK11" s="549" t="s">
        <v>40</v>
      </c>
      <c r="AL11" s="530" t="s">
        <v>39</v>
      </c>
      <c r="AM11" s="530" t="s">
        <v>145</v>
      </c>
      <c r="AN11" s="530" t="s">
        <v>147</v>
      </c>
      <c r="AO11" s="531" t="s">
        <v>31</v>
      </c>
      <c r="AP11" s="1248"/>
      <c r="AX11" s="529" t="s">
        <v>40</v>
      </c>
      <c r="AY11" s="530" t="s">
        <v>39</v>
      </c>
      <c r="AZ11" s="530" t="s">
        <v>145</v>
      </c>
      <c r="BA11" s="530" t="s">
        <v>147</v>
      </c>
      <c r="BB11" s="531" t="s">
        <v>31</v>
      </c>
      <c r="BC11" s="217"/>
      <c r="BD11" s="529" t="s">
        <v>40</v>
      </c>
      <c r="BE11" s="530" t="s">
        <v>39</v>
      </c>
      <c r="BF11" s="530" t="s">
        <v>145</v>
      </c>
      <c r="BG11" s="530" t="s">
        <v>147</v>
      </c>
      <c r="BH11" s="531" t="s">
        <v>31</v>
      </c>
      <c r="BI11" s="217"/>
    </row>
    <row r="12" spans="1:61" s="213" customFormat="1" ht="27.45" customHeight="1" thickBot="1">
      <c r="A12" s="1041"/>
      <c r="B12" s="1419"/>
      <c r="C12" s="1210"/>
      <c r="D12" s="1121"/>
      <c r="E12" s="1157"/>
      <c r="F12" s="1157"/>
      <c r="G12" s="1121"/>
      <c r="H12" s="1157"/>
      <c r="I12" s="1089"/>
      <c r="J12" s="1111"/>
      <c r="K12" s="1429"/>
      <c r="L12" s="1390"/>
      <c r="M12" s="1157"/>
      <c r="N12" s="1429"/>
      <c r="O12" s="1431"/>
      <c r="P12" s="677"/>
      <c r="Q12" s="690"/>
      <c r="R12" s="690"/>
      <c r="S12" s="690"/>
      <c r="T12" s="691"/>
      <c r="U12" s="1081"/>
      <c r="V12" s="1077"/>
      <c r="W12" s="1077"/>
      <c r="X12" s="697" t="s">
        <v>146</v>
      </c>
      <c r="Y12" s="812" t="s">
        <v>146</v>
      </c>
      <c r="Z12" s="1191"/>
      <c r="AA12" s="839"/>
      <c r="AB12" s="548"/>
      <c r="AC12" s="1454"/>
      <c r="AD12" s="1455"/>
      <c r="AE12" s="1457"/>
      <c r="AF12" s="1455"/>
      <c r="AG12" s="1457"/>
      <c r="AH12" s="1459"/>
      <c r="AI12" s="1455"/>
      <c r="AJ12" s="1461"/>
      <c r="AK12" s="552" t="s">
        <v>1260</v>
      </c>
      <c r="AL12" s="739" t="s">
        <v>1260</v>
      </c>
      <c r="AM12" s="739" t="s">
        <v>1260</v>
      </c>
      <c r="AN12" s="739" t="s">
        <v>1260</v>
      </c>
      <c r="AO12" s="553" t="s">
        <v>1260</v>
      </c>
      <c r="AP12" s="1248"/>
      <c r="AS12" s="593" t="s">
        <v>1513</v>
      </c>
      <c r="AT12" s="646" t="s">
        <v>1512</v>
      </c>
      <c r="AU12" s="645"/>
      <c r="AV12" s="645"/>
      <c r="AX12" s="1289" t="s">
        <v>1285</v>
      </c>
      <c r="AY12" s="1289"/>
      <c r="AZ12" s="1289"/>
      <c r="BA12" s="1289"/>
      <c r="BB12" s="1289"/>
      <c r="BD12" s="1289" t="s">
        <v>1286</v>
      </c>
      <c r="BE12" s="1289"/>
      <c r="BF12" s="1289"/>
      <c r="BG12" s="1289"/>
      <c r="BH12" s="1289"/>
    </row>
    <row r="13" spans="1:61" s="213" customFormat="1" ht="33.450000000000003" customHeight="1">
      <c r="A13" s="1041"/>
      <c r="B13" s="768" t="s">
        <v>316</v>
      </c>
      <c r="C13" s="835" t="str">
        <f>IF(Compositions!B102="","تركيب درصد گاز فلر را در صفحه Compositions وارد كنيد",Compositions!B102)</f>
        <v>تركيب درصد گاز فلر را در صفحه Compositions وارد كنيد</v>
      </c>
      <c r="D13" s="1384" t="str">
        <f>IF(Compositions!B103="","تركيب درصد گاز فلر را در صفحه Compositions وارد كنيد",Compositions!B103)</f>
        <v>تركيب درصد گاز فلر را در صفحه Compositions وارد كنيد</v>
      </c>
      <c r="E13" s="1385"/>
      <c r="F13" s="1386"/>
      <c r="G13" s="1328" t="str">
        <f>IF(Compositions!B104="","تركيب درصد گاز فلر را در صفحه Compositions وارد كنيد",Compositions!B104)</f>
        <v>تركيب درصد گاز فلر را در صفحه Compositions وارد كنيد</v>
      </c>
      <c r="H13" s="1328"/>
      <c r="I13" s="1329"/>
      <c r="J13" s="305"/>
      <c r="K13" s="802"/>
      <c r="L13" s="1387" t="str">
        <f t="shared" ref="L13:L22" si="0">IF(J13="","گزينه‌ي مناسب براي ستون (مقدارساليانه گاز ارسالي به فلر بر مبناي) انتخاب شود",(IF(J13="حجم","sm3/year","ton/year")))</f>
        <v>گزينه‌ي مناسب براي ستون (مقدارساليانه گاز ارسالي به فلر بر مبناي) انتخاب شود</v>
      </c>
      <c r="M13" s="1388"/>
      <c r="N13" s="317" t="str">
        <f>IF(J13="","",(IF(J13="حجم",K13,IF(Compositions!B100="","تركيب درصد گاز فلر را در صفحه Compositions وارد كنيد",((K13*1000)/Compositions!B100)))))</f>
        <v/>
      </c>
      <c r="O13" s="709" t="s">
        <v>966</v>
      </c>
      <c r="P13" s="1432" t="s">
        <v>756</v>
      </c>
      <c r="Q13" s="1433"/>
      <c r="R13" s="1433"/>
      <c r="S13" s="1433"/>
      <c r="T13" s="1434"/>
      <c r="U13" s="1235" t="s">
        <v>324</v>
      </c>
      <c r="V13" s="1236" t="s">
        <v>324</v>
      </c>
      <c r="W13" s="1243" t="s">
        <v>324</v>
      </c>
      <c r="X13" s="319" t="str">
        <f>IF(OR(N13="",N13="تركيب درصد گاز فلر را در صفحه Compositions وارد كنيد",C13="",C13="تركيب درصد گاز فلر را در صفحه Compositions وارد كنيد"),"",((N13*C13*0.98*(64/23.7))*(10^-3)))</f>
        <v/>
      </c>
      <c r="Y13" s="320" t="str">
        <f>IF(OR(D13="",G13="",N13="",D13="تركيب درصد گاز فلر را در صفحه Compositions وارد كنيد",G13="تركيب درصد گاز فلر را در صفحه Compositions وارد كنيد",N13="تركيب درصد گاز فلر را در صفحه Compositions وارد كنيد"),"",((N13*D13*(1-0.98)*(G13/23.7))*(10^-3)))</f>
        <v/>
      </c>
      <c r="Z13" s="1191"/>
      <c r="AA13" s="478"/>
      <c r="AB13" s="517"/>
      <c r="AC13" s="1450"/>
      <c r="AD13" s="1450"/>
      <c r="AE13" s="1448" t="str">
        <f>IF(OR(C13="تركيب درصد گاز فلر را در صفحه Compositions وارد كنيد",Compositions!BO100="",C13="",C13=0),"",Compositions!BO100/C13)</f>
        <v/>
      </c>
      <c r="AF13" s="1449"/>
      <c r="AG13" s="1162" t="str">
        <f>IF(OR(D13="تركيب درصد گاز فلر را در صفحه Compositions وارد كنيد",Compositions!BO101="",D13="",D13=0),"",Compositions!BO101/D13)</f>
        <v/>
      </c>
      <c r="AH13" s="1162"/>
      <c r="AI13" s="1162"/>
      <c r="AJ13" s="709" t="str">
        <f>IF(OR(G13="تركيب درصد گاز فلر را در صفحه Compositions وارد كنيد",Compositions!BO102="",G13="",G13=0),"",Compositions!BO102/G13)</f>
        <v/>
      </c>
      <c r="AK13" s="1470" t="s">
        <v>1284</v>
      </c>
      <c r="AL13" s="1471"/>
      <c r="AM13" s="1471"/>
      <c r="AN13" s="752" t="str">
        <f t="shared" ref="AN13:AN22" si="1">IF(OR(AS13="",AE13=""),"",(SQRT((AS13^2)+(AE13^2))))</f>
        <v/>
      </c>
      <c r="AO13" s="753" t="str">
        <f t="shared" ref="AO13:AO22" si="2">IF(OR(AS13="",AG13="",AJ13=""),"",(SQRT((AS13^2)+(AG13^2)+(AJ13^2))))</f>
        <v/>
      </c>
      <c r="AP13" s="1249"/>
      <c r="AS13" s="593" t="str">
        <f>IF(OR(J13="",AT13="",AC13=""),"",(IF(J13="حجم",AC13,SQRT((AC13)^2+(AT13)^2))))</f>
        <v/>
      </c>
      <c r="AT13" s="593" t="str">
        <f>IF(OR(Compositions!BO103="",Compositions!B100="",Compositions!B100=0),"",Compositions!BO103/Compositions!B100)</f>
        <v/>
      </c>
      <c r="AX13" s="1476"/>
      <c r="AY13" s="1477"/>
      <c r="AZ13" s="1478"/>
      <c r="BA13" s="719" t="str">
        <f t="shared" ref="BA13:BA22" si="3">IF(OR(X13="",AN13=""),"",X13*AN13)</f>
        <v/>
      </c>
      <c r="BB13" s="719" t="str">
        <f t="shared" ref="BB13:BB22" si="4">IF(OR(Y13="",AO13=""),"",Y13*AO13)</f>
        <v/>
      </c>
      <c r="BD13" s="1476"/>
      <c r="BE13" s="1477"/>
      <c r="BF13" s="1478"/>
      <c r="BG13" s="719" t="str">
        <f>IF(BA13="","",BA13^2)</f>
        <v/>
      </c>
      <c r="BH13" s="719" t="str">
        <f>IF(BB13="","",BB13^2)</f>
        <v/>
      </c>
    </row>
    <row r="14" spans="1:61" s="213" customFormat="1" ht="33.450000000000003" customHeight="1">
      <c r="A14" s="1041"/>
      <c r="B14" s="765" t="s">
        <v>317</v>
      </c>
      <c r="C14" s="836" t="str">
        <f>IF(Compositions!H102="","تركيب درصد گاز فلر را در صفحه Compositions وارد كنيد",Compositions!H102)</f>
        <v>تركيب درصد گاز فلر را در صفحه Compositions وارد كنيد</v>
      </c>
      <c r="D14" s="1360" t="str">
        <f>IF(Compositions!H103="","تركيب درصد گاز فلر را در صفحه Compositions وارد كنيد",Compositions!H103)</f>
        <v>تركيب درصد گاز فلر را در صفحه Compositions وارد كنيد</v>
      </c>
      <c r="E14" s="1361"/>
      <c r="F14" s="1362"/>
      <c r="G14" s="1330" t="str">
        <f>IF(Compositions!H104="","تركيب درصد گاز فلر را در صفحه Compositions وارد كنيد",Compositions!H104)</f>
        <v>تركيب درصد گاز فلر را در صفحه Compositions وارد كنيد</v>
      </c>
      <c r="H14" s="1330"/>
      <c r="I14" s="1331"/>
      <c r="J14" s="305"/>
      <c r="K14" s="802"/>
      <c r="L14" s="1370" t="str">
        <f t="shared" si="0"/>
        <v>گزينه‌ي مناسب براي ستون (مقدارساليانه گاز ارسالي به فلر بر مبناي) انتخاب شود</v>
      </c>
      <c r="M14" s="1371"/>
      <c r="N14" s="318" t="str">
        <f>IF(J14="","",(IF(J14="حجم",K14,IF(Compositions!H100="","تركيب درصد گاز فلر را در صفحه Compositions وارد كنيد",((K14*1000)/Compositions!H100)))))</f>
        <v/>
      </c>
      <c r="O14" s="708" t="s">
        <v>966</v>
      </c>
      <c r="P14" s="1432"/>
      <c r="Q14" s="1433"/>
      <c r="R14" s="1433"/>
      <c r="S14" s="1433"/>
      <c r="T14" s="1434"/>
      <c r="U14" s="1235"/>
      <c r="V14" s="1236"/>
      <c r="W14" s="1243"/>
      <c r="X14" s="321" t="str">
        <f t="shared" ref="X14:X22" si="5">IF(OR(N14="",N14="تركيب درصد گاز فلر را در صفحه Compositions وارد كنيد",C14="",C14="تركيب درصد گاز فلر را در صفحه Compositions وارد كنيد"),"",((N14*C14*0.98*(64/23.7))*(10^-3)))</f>
        <v/>
      </c>
      <c r="Y14" s="322" t="str">
        <f t="shared" ref="Y14:Y22" si="6">IF(OR(D14="",G14="",N14="",D14="تركيب درصد گاز فلر را در صفحه Compositions وارد كنيد",G14="تركيب درصد گاز فلر را در صفحه Compositions وارد كنيد",N14="تركيب درصد گاز فلر را در صفحه Compositions وارد كنيد"),"",((N14*D14*(1-0.98)*(G14/23.7))*(10^-3)))</f>
        <v/>
      </c>
      <c r="Z14" s="1191"/>
      <c r="AA14" s="478"/>
      <c r="AB14" s="517"/>
      <c r="AC14" s="1462"/>
      <c r="AD14" s="1462"/>
      <c r="AE14" s="1448" t="str">
        <f>IF(OR(C14="تركيب درصد گاز فلر را در صفحه Compositions وارد كنيد",Compositions!BO110="",C14="",C14=0),"",Compositions!BO110/C14)</f>
        <v/>
      </c>
      <c r="AF14" s="1449"/>
      <c r="AG14" s="1162" t="str">
        <f>IF(OR(D14="تركيب درصد گاز فلر را در صفحه Compositions وارد كنيد",Compositions!BO111="",D14="",D14=0),"",Compositions!BO111/D14)</f>
        <v/>
      </c>
      <c r="AH14" s="1162"/>
      <c r="AI14" s="1162"/>
      <c r="AJ14" s="709" t="str">
        <f>IF(OR(G14="تركيب درصد گاز فلر را در صفحه Compositions وارد كنيد",Compositions!BO112="",G14="",G14=0),"",Compositions!BO112/G14)</f>
        <v/>
      </c>
      <c r="AK14" s="1472"/>
      <c r="AL14" s="1473"/>
      <c r="AM14" s="1473"/>
      <c r="AN14" s="754" t="str">
        <f t="shared" si="1"/>
        <v/>
      </c>
      <c r="AO14" s="755" t="str">
        <f t="shared" si="2"/>
        <v/>
      </c>
      <c r="AP14" s="1249"/>
      <c r="AS14" s="593" t="str">
        <f t="shared" ref="AS14:AS21" si="7">IF(OR(J14="",AT14="",AC14=""),"",(IF(J14="حجم",AC14,SQRT((AC14)^2+(AT14)^2))))</f>
        <v/>
      </c>
      <c r="AT14" s="593" t="str">
        <f>IF(OR(Compositions!BO113="",Compositions!H100="",Compositions!H100=0),"",Compositions!BO113/Compositions!H100)</f>
        <v/>
      </c>
      <c r="AX14" s="1335"/>
      <c r="AY14" s="1479"/>
      <c r="AZ14" s="1336"/>
      <c r="BA14" s="719" t="str">
        <f t="shared" si="3"/>
        <v/>
      </c>
      <c r="BB14" s="719" t="str">
        <f t="shared" si="4"/>
        <v/>
      </c>
      <c r="BD14" s="1335"/>
      <c r="BE14" s="1479"/>
      <c r="BF14" s="1336"/>
      <c r="BG14" s="719" t="str">
        <f t="shared" ref="BG14:BG22" si="8">IF(BA14="","",BA14^2)</f>
        <v/>
      </c>
      <c r="BH14" s="719" t="str">
        <f t="shared" ref="BH14:BH22" si="9">IF(BB14="","",BB14^2)</f>
        <v/>
      </c>
    </row>
    <row r="15" spans="1:61" s="213" customFormat="1" ht="33.450000000000003" customHeight="1">
      <c r="A15" s="1041"/>
      <c r="B15" s="765" t="s">
        <v>318</v>
      </c>
      <c r="C15" s="836" t="str">
        <f>IF(Compositions!N102="","تركيب درصد گاز فلر را در صفحه Compositions وارد كنيد",Compositions!N102)</f>
        <v>تركيب درصد گاز فلر را در صفحه Compositions وارد كنيد</v>
      </c>
      <c r="D15" s="1360" t="str">
        <f>IF(Compositions!N103="","تركيب درصد گاز فلر را در صفحه Compositions وارد كنيد",Compositions!N103)</f>
        <v>تركيب درصد گاز فلر را در صفحه Compositions وارد كنيد</v>
      </c>
      <c r="E15" s="1361"/>
      <c r="F15" s="1362"/>
      <c r="G15" s="1330" t="str">
        <f>IF(Compositions!N104="","تركيب درصد گاز فلر را در صفحه Compositions وارد كنيد",Compositions!N104)</f>
        <v>تركيب درصد گاز فلر را در صفحه Compositions وارد كنيد</v>
      </c>
      <c r="H15" s="1330"/>
      <c r="I15" s="1331"/>
      <c r="J15" s="305"/>
      <c r="K15" s="802"/>
      <c r="L15" s="1370" t="str">
        <f t="shared" si="0"/>
        <v>گزينه‌ي مناسب براي ستون (مقدارساليانه گاز ارسالي به فلر بر مبناي) انتخاب شود</v>
      </c>
      <c r="M15" s="1371"/>
      <c r="N15" s="318" t="str">
        <f>IF(J15="","",(IF(J15="حجم",K15,IF(Compositions!N100="","تركيب درصد گاز فلر را در صفحه Compositions وارد كنيد",((K15*1000)/Compositions!N100)))))</f>
        <v/>
      </c>
      <c r="O15" s="708" t="s">
        <v>966</v>
      </c>
      <c r="P15" s="1432"/>
      <c r="Q15" s="1433"/>
      <c r="R15" s="1433"/>
      <c r="S15" s="1433"/>
      <c r="T15" s="1434"/>
      <c r="U15" s="1235"/>
      <c r="V15" s="1236"/>
      <c r="W15" s="1243"/>
      <c r="X15" s="321" t="str">
        <f t="shared" si="5"/>
        <v/>
      </c>
      <c r="Y15" s="322" t="str">
        <f t="shared" si="6"/>
        <v/>
      </c>
      <c r="Z15" s="1191"/>
      <c r="AA15" s="478"/>
      <c r="AB15" s="548"/>
      <c r="AC15" s="1462"/>
      <c r="AD15" s="1462"/>
      <c r="AE15" s="1448" t="str">
        <f>IF(OR(C15="تركيب درصد گاز فلر را در صفحه Compositions وارد كنيد",Compositions!BO120="",C15="",C15=0),"",Compositions!BO120/C15)</f>
        <v/>
      </c>
      <c r="AF15" s="1449"/>
      <c r="AG15" s="1162" t="str">
        <f>IF(OR(D15="تركيب درصد گاز فلر را در صفحه Compositions وارد كنيد",Compositions!BO121="",D15="",D15=0),"",Compositions!BO121/D15)</f>
        <v/>
      </c>
      <c r="AH15" s="1162"/>
      <c r="AI15" s="1162"/>
      <c r="AJ15" s="709" t="str">
        <f>IF(OR(G15="تركيب درصد گاز فلر را در صفحه Compositions وارد كنيد",Compositions!BO122="",G15="",G15=0),"",Compositions!BO122/G15)</f>
        <v/>
      </c>
      <c r="AK15" s="1472"/>
      <c r="AL15" s="1473"/>
      <c r="AM15" s="1473"/>
      <c r="AN15" s="754" t="str">
        <f t="shared" si="1"/>
        <v/>
      </c>
      <c r="AO15" s="755" t="str">
        <f t="shared" si="2"/>
        <v/>
      </c>
      <c r="AP15" s="1249"/>
      <c r="AS15" s="593" t="str">
        <f t="shared" si="7"/>
        <v/>
      </c>
      <c r="AT15" s="593" t="str">
        <f>IF(OR(Compositions!BO123="",Compositions!N100="",Compositions!N100=0),"",Compositions!BO123/Compositions!N100)</f>
        <v/>
      </c>
      <c r="AX15" s="1335"/>
      <c r="AY15" s="1479"/>
      <c r="AZ15" s="1336"/>
      <c r="BA15" s="719" t="str">
        <f t="shared" si="3"/>
        <v/>
      </c>
      <c r="BB15" s="719" t="str">
        <f t="shared" si="4"/>
        <v/>
      </c>
      <c r="BD15" s="1335"/>
      <c r="BE15" s="1479"/>
      <c r="BF15" s="1336"/>
      <c r="BG15" s="719" t="str">
        <f t="shared" si="8"/>
        <v/>
      </c>
      <c r="BH15" s="719" t="str">
        <f t="shared" si="9"/>
        <v/>
      </c>
    </row>
    <row r="16" spans="1:61" s="213" customFormat="1" ht="33.450000000000003" customHeight="1">
      <c r="A16" s="1041"/>
      <c r="B16" s="765" t="s">
        <v>319</v>
      </c>
      <c r="C16" s="836" t="str">
        <f>IF(Compositions!T102="","تركيب درصد گاز فلر را در صفحه Compositions وارد كنيد",Compositions!T102)</f>
        <v>تركيب درصد گاز فلر را در صفحه Compositions وارد كنيد</v>
      </c>
      <c r="D16" s="1360" t="str">
        <f>IF(Compositions!T103="","تركيب درصد گاز فلر را در صفحه Compositions وارد كنيد",Compositions!T103)</f>
        <v>تركيب درصد گاز فلر را در صفحه Compositions وارد كنيد</v>
      </c>
      <c r="E16" s="1361"/>
      <c r="F16" s="1362"/>
      <c r="G16" s="1330" t="str">
        <f>IF(Compositions!T104="","تركيب درصد گاز فلر را در صفحه Compositions وارد كنيد",Compositions!T104)</f>
        <v>تركيب درصد گاز فلر را در صفحه Compositions وارد كنيد</v>
      </c>
      <c r="H16" s="1330"/>
      <c r="I16" s="1331"/>
      <c r="J16" s="305"/>
      <c r="K16" s="802"/>
      <c r="L16" s="1370" t="str">
        <f t="shared" si="0"/>
        <v>گزينه‌ي مناسب براي ستون (مقدارساليانه گاز ارسالي به فلر بر مبناي) انتخاب شود</v>
      </c>
      <c r="M16" s="1371"/>
      <c r="N16" s="318" t="str">
        <f>IF(J16="","",(IF(J16="حجم",K16,IF(Compositions!T100="","تركيب درصد گاز فلر را در صفحه Compositions وارد كنيد",((K16*1000)/Compositions!T100)))))</f>
        <v/>
      </c>
      <c r="O16" s="708" t="s">
        <v>966</v>
      </c>
      <c r="P16" s="1432"/>
      <c r="Q16" s="1433"/>
      <c r="R16" s="1433"/>
      <c r="S16" s="1433"/>
      <c r="T16" s="1434"/>
      <c r="U16" s="1235"/>
      <c r="V16" s="1236"/>
      <c r="W16" s="1243"/>
      <c r="X16" s="321" t="str">
        <f t="shared" si="5"/>
        <v/>
      </c>
      <c r="Y16" s="322" t="str">
        <f t="shared" si="6"/>
        <v/>
      </c>
      <c r="Z16" s="1191"/>
      <c r="AA16" s="478"/>
      <c r="AB16" s="548"/>
      <c r="AC16" s="1462"/>
      <c r="AD16" s="1462"/>
      <c r="AE16" s="1448" t="str">
        <f>IF(OR(C16="تركيب درصد گاز فلر را در صفحه Compositions وارد كنيد",Compositions!BO130="",C16="",C16=0),"",Compositions!BO130/C16)</f>
        <v/>
      </c>
      <c r="AF16" s="1449"/>
      <c r="AG16" s="1162" t="str">
        <f>IF(OR(D16="تركيب درصد گاز فلر را در صفحه Compositions وارد كنيد",Compositions!BO131="",D16="",D16=0),"",Compositions!BO131/D16)</f>
        <v/>
      </c>
      <c r="AH16" s="1162"/>
      <c r="AI16" s="1162"/>
      <c r="AJ16" s="709" t="str">
        <f>IF(OR(G16="تركيب درصد گاز فلر را در صفحه Compositions وارد كنيد",Compositions!BO132="",G16="",G16=0),"",Compositions!BO132/G16)</f>
        <v/>
      </c>
      <c r="AK16" s="1472"/>
      <c r="AL16" s="1473"/>
      <c r="AM16" s="1473"/>
      <c r="AN16" s="754" t="str">
        <f t="shared" si="1"/>
        <v/>
      </c>
      <c r="AO16" s="755" t="str">
        <f t="shared" si="2"/>
        <v/>
      </c>
      <c r="AP16" s="1249"/>
      <c r="AS16" s="593" t="str">
        <f t="shared" si="7"/>
        <v/>
      </c>
      <c r="AT16" s="593" t="str">
        <f>IF(OR(Compositions!BO133="",Compositions!T100="",Compositions!T100=0),"",Compositions!BO133/Compositions!T100)</f>
        <v/>
      </c>
      <c r="AX16" s="1335"/>
      <c r="AY16" s="1479"/>
      <c r="AZ16" s="1336"/>
      <c r="BA16" s="719" t="str">
        <f t="shared" si="3"/>
        <v/>
      </c>
      <c r="BB16" s="719" t="str">
        <f t="shared" si="4"/>
        <v/>
      </c>
      <c r="BD16" s="1335"/>
      <c r="BE16" s="1479"/>
      <c r="BF16" s="1336"/>
      <c r="BG16" s="719" t="str">
        <f t="shared" si="8"/>
        <v/>
      </c>
      <c r="BH16" s="719" t="str">
        <f t="shared" si="9"/>
        <v/>
      </c>
    </row>
    <row r="17" spans="1:61" s="213" customFormat="1" ht="33.450000000000003" customHeight="1">
      <c r="A17" s="1041"/>
      <c r="B17" s="765" t="s">
        <v>320</v>
      </c>
      <c r="C17" s="836" t="str">
        <f>IF(Compositions!Z102="","تركيب درصد گاز فلر را در صفحه Compositions وارد كنيد",Compositions!Z102)</f>
        <v>تركيب درصد گاز فلر را در صفحه Compositions وارد كنيد</v>
      </c>
      <c r="D17" s="1360" t="str">
        <f>IF(Compositions!Z103="","تركيب درصد گاز فلر را در صفحه Compositions وارد كنيد",Compositions!Z103)</f>
        <v>تركيب درصد گاز فلر را در صفحه Compositions وارد كنيد</v>
      </c>
      <c r="E17" s="1361"/>
      <c r="F17" s="1362"/>
      <c r="G17" s="1330" t="str">
        <f>IF(Compositions!Z104="","تركيب درصد گاز فلر را در صفحه Compositions وارد كنيد",Compositions!Z104)</f>
        <v>تركيب درصد گاز فلر را در صفحه Compositions وارد كنيد</v>
      </c>
      <c r="H17" s="1330"/>
      <c r="I17" s="1331"/>
      <c r="J17" s="305"/>
      <c r="K17" s="802"/>
      <c r="L17" s="1370" t="str">
        <f t="shared" si="0"/>
        <v>گزينه‌ي مناسب براي ستون (مقدارساليانه گاز ارسالي به فلر بر مبناي) انتخاب شود</v>
      </c>
      <c r="M17" s="1371"/>
      <c r="N17" s="318" t="str">
        <f>IF(J17="","",(IF(J17="حجم",K17,IF(Compositions!Z100="","تركيب درصد گاز فلر را در صفحه Compositions وارد كنيد",((K17*1000)/Compositions!Z100)))))</f>
        <v/>
      </c>
      <c r="O17" s="708" t="s">
        <v>966</v>
      </c>
      <c r="P17" s="1432"/>
      <c r="Q17" s="1433"/>
      <c r="R17" s="1433"/>
      <c r="S17" s="1433"/>
      <c r="T17" s="1434"/>
      <c r="U17" s="1235"/>
      <c r="V17" s="1236"/>
      <c r="W17" s="1243"/>
      <c r="X17" s="321" t="str">
        <f t="shared" si="5"/>
        <v/>
      </c>
      <c r="Y17" s="322" t="str">
        <f t="shared" si="6"/>
        <v/>
      </c>
      <c r="Z17" s="1191"/>
      <c r="AA17" s="478"/>
      <c r="AB17" s="548"/>
      <c r="AC17" s="1462"/>
      <c r="AD17" s="1462"/>
      <c r="AE17" s="1448" t="str">
        <f>IF(OR(C17="تركيب درصد گاز فلر را در صفحه Compositions وارد كنيد",Compositions!BO140="",C17="",C17=0),"",Compositions!BO140/C17)</f>
        <v/>
      </c>
      <c r="AF17" s="1449"/>
      <c r="AG17" s="1162" t="str">
        <f>IF(OR(D17="تركيب درصد گاز فلر را در صفحه Compositions وارد كنيد",Compositions!BO141="",D17="",D17=0),"",Compositions!BO141/D17)</f>
        <v/>
      </c>
      <c r="AH17" s="1162"/>
      <c r="AI17" s="1162"/>
      <c r="AJ17" s="709" t="str">
        <f>IF(OR(G17="تركيب درصد گاز فلر را در صفحه Compositions وارد كنيد",Compositions!BO142="",G17="",G17=0),"",Compositions!BO142/G17)</f>
        <v/>
      </c>
      <c r="AK17" s="1472"/>
      <c r="AL17" s="1473"/>
      <c r="AM17" s="1473"/>
      <c r="AN17" s="754" t="str">
        <f t="shared" si="1"/>
        <v/>
      </c>
      <c r="AO17" s="755" t="str">
        <f t="shared" si="2"/>
        <v/>
      </c>
      <c r="AP17" s="1249"/>
      <c r="AS17" s="593" t="str">
        <f t="shared" si="7"/>
        <v/>
      </c>
      <c r="AT17" s="593" t="str">
        <f>IF(OR(Compositions!BO143="",Compositions!Z100="",Compositions!Z100=0),"",Compositions!BO143/Compositions!Z100)</f>
        <v/>
      </c>
      <c r="AX17" s="1335"/>
      <c r="AY17" s="1479"/>
      <c r="AZ17" s="1336"/>
      <c r="BA17" s="719" t="str">
        <f t="shared" si="3"/>
        <v/>
      </c>
      <c r="BB17" s="719" t="str">
        <f t="shared" si="4"/>
        <v/>
      </c>
      <c r="BD17" s="1335"/>
      <c r="BE17" s="1479"/>
      <c r="BF17" s="1336"/>
      <c r="BG17" s="719" t="str">
        <f t="shared" si="8"/>
        <v/>
      </c>
      <c r="BH17" s="719" t="str">
        <f t="shared" si="9"/>
        <v/>
      </c>
    </row>
    <row r="18" spans="1:61" s="213" customFormat="1" ht="33.450000000000003" customHeight="1">
      <c r="A18" s="1041"/>
      <c r="B18" s="765" t="s">
        <v>321</v>
      </c>
      <c r="C18" s="836" t="str">
        <f>IF(Compositions!AF102="","تركيب درصد گاز فلر را در صفحه Compositions وارد كنيد",Compositions!AF102)</f>
        <v>تركيب درصد گاز فلر را در صفحه Compositions وارد كنيد</v>
      </c>
      <c r="D18" s="1360" t="str">
        <f>IF(Compositions!AF103="","تركيب درصد گاز فلر را در صفحه Compositions وارد كنيد",Compositions!AF103)</f>
        <v>تركيب درصد گاز فلر را در صفحه Compositions وارد كنيد</v>
      </c>
      <c r="E18" s="1361"/>
      <c r="F18" s="1362"/>
      <c r="G18" s="1330" t="str">
        <f>IF(Compositions!AF104="","تركيب درصد گاز فلر را در صفحه Compositions وارد كنيد",Compositions!AF104)</f>
        <v>تركيب درصد گاز فلر را در صفحه Compositions وارد كنيد</v>
      </c>
      <c r="H18" s="1330"/>
      <c r="I18" s="1331"/>
      <c r="J18" s="305"/>
      <c r="K18" s="802"/>
      <c r="L18" s="1370" t="str">
        <f t="shared" si="0"/>
        <v>گزينه‌ي مناسب براي ستون (مقدارساليانه گاز ارسالي به فلر بر مبناي) انتخاب شود</v>
      </c>
      <c r="M18" s="1371"/>
      <c r="N18" s="318" t="str">
        <f>IF(J18="","",(IF(J18="حجم",K18,IF(Compositions!AF100="","تركيب درصد گاز فلر را در صفحه Compositions وارد كنيد",((K18*1000)/Compositions!AF100)))))</f>
        <v/>
      </c>
      <c r="O18" s="708" t="s">
        <v>966</v>
      </c>
      <c r="P18" s="1432"/>
      <c r="Q18" s="1433"/>
      <c r="R18" s="1433"/>
      <c r="S18" s="1433"/>
      <c r="T18" s="1434"/>
      <c r="U18" s="1235"/>
      <c r="V18" s="1236"/>
      <c r="W18" s="1243"/>
      <c r="X18" s="321" t="str">
        <f t="shared" si="5"/>
        <v/>
      </c>
      <c r="Y18" s="322" t="str">
        <f t="shared" si="6"/>
        <v/>
      </c>
      <c r="Z18" s="1191"/>
      <c r="AA18" s="478"/>
      <c r="AB18" s="548"/>
      <c r="AC18" s="1462"/>
      <c r="AD18" s="1462"/>
      <c r="AE18" s="1448" t="str">
        <f>IF(OR(C18="تركيب درصد گاز فلر را در صفحه Compositions وارد كنيد",Compositions!BW100="",C18="",C18=0),"",Compositions!BW100/C18)</f>
        <v/>
      </c>
      <c r="AF18" s="1449"/>
      <c r="AG18" s="1162" t="str">
        <f>IF(OR(D18="تركيب درصد گاز فلر را در صفحه Compositions وارد كنيد",Compositions!BW101="",D18="",D18=0),"",Compositions!BW101/D18)</f>
        <v/>
      </c>
      <c r="AH18" s="1162"/>
      <c r="AI18" s="1162"/>
      <c r="AJ18" s="709" t="str">
        <f>IF(OR(G18="تركيب درصد گاز فلر را در صفحه Compositions وارد كنيد",Compositions!BW102="",G18="",G18=0),"",Compositions!BW102/G18)</f>
        <v/>
      </c>
      <c r="AK18" s="1472"/>
      <c r="AL18" s="1473"/>
      <c r="AM18" s="1473"/>
      <c r="AN18" s="754" t="str">
        <f t="shared" si="1"/>
        <v/>
      </c>
      <c r="AO18" s="755" t="str">
        <f t="shared" si="2"/>
        <v/>
      </c>
      <c r="AP18" s="1249"/>
      <c r="AS18" s="593" t="str">
        <f t="shared" si="7"/>
        <v/>
      </c>
      <c r="AT18" s="593" t="str">
        <f>IF(OR(Compositions!BW103="",Compositions!AF100="",Compositions!AF100=0),"",Compositions!BW103/Compositions!AF100)</f>
        <v/>
      </c>
      <c r="AX18" s="1335"/>
      <c r="AY18" s="1479"/>
      <c r="AZ18" s="1336"/>
      <c r="BA18" s="719" t="str">
        <f t="shared" si="3"/>
        <v/>
      </c>
      <c r="BB18" s="719" t="str">
        <f t="shared" si="4"/>
        <v/>
      </c>
      <c r="BD18" s="1335"/>
      <c r="BE18" s="1479"/>
      <c r="BF18" s="1336"/>
      <c r="BG18" s="719" t="str">
        <f t="shared" si="8"/>
        <v/>
      </c>
      <c r="BH18" s="719" t="str">
        <f t="shared" si="9"/>
        <v/>
      </c>
    </row>
    <row r="19" spans="1:61" s="213" customFormat="1" ht="33.450000000000003" customHeight="1">
      <c r="A19" s="1041"/>
      <c r="B19" s="765" t="s">
        <v>322</v>
      </c>
      <c r="C19" s="836" t="str">
        <f>IF(Compositions!AL102="","تركيب درصد گاز فلر را در صفحه Compositions وارد كنيد",Compositions!AL102)</f>
        <v>تركيب درصد گاز فلر را در صفحه Compositions وارد كنيد</v>
      </c>
      <c r="D19" s="1360" t="str">
        <f>IF(Compositions!AL103="","تركيب درصد گاز فلر را در صفحه Compositions وارد كنيد",Compositions!AL103)</f>
        <v>تركيب درصد گاز فلر را در صفحه Compositions وارد كنيد</v>
      </c>
      <c r="E19" s="1361"/>
      <c r="F19" s="1362"/>
      <c r="G19" s="1330" t="str">
        <f>IF(Compositions!AL104="","تركيب درصد گاز فلر را در صفحه Compositions وارد كنيد",Compositions!AL104)</f>
        <v>تركيب درصد گاز فلر را در صفحه Compositions وارد كنيد</v>
      </c>
      <c r="H19" s="1330"/>
      <c r="I19" s="1331"/>
      <c r="J19" s="305"/>
      <c r="K19" s="802"/>
      <c r="L19" s="1370" t="str">
        <f t="shared" si="0"/>
        <v>گزينه‌ي مناسب براي ستون (مقدارساليانه گاز ارسالي به فلر بر مبناي) انتخاب شود</v>
      </c>
      <c r="M19" s="1371"/>
      <c r="N19" s="318" t="str">
        <f>IF(J19="","",(IF(J19="حجم",K19,IF(Compositions!AL100="","تركيب درصد گاز فلر را در صفحه Compositions وارد كنيد",((K19*1000)/Compositions!AL100)))))</f>
        <v/>
      </c>
      <c r="O19" s="708" t="s">
        <v>966</v>
      </c>
      <c r="P19" s="1432"/>
      <c r="Q19" s="1433"/>
      <c r="R19" s="1433"/>
      <c r="S19" s="1433"/>
      <c r="T19" s="1434"/>
      <c r="U19" s="1235"/>
      <c r="V19" s="1236"/>
      <c r="W19" s="1243"/>
      <c r="X19" s="321" t="str">
        <f t="shared" si="5"/>
        <v/>
      </c>
      <c r="Y19" s="322" t="str">
        <f t="shared" si="6"/>
        <v/>
      </c>
      <c r="Z19" s="1191"/>
      <c r="AA19" s="478"/>
      <c r="AB19" s="548"/>
      <c r="AC19" s="1462"/>
      <c r="AD19" s="1462"/>
      <c r="AE19" s="1448" t="str">
        <f>IF(OR(C19="تركيب درصد گاز فلر را در صفحه Compositions وارد كنيد",Compositions!BW110="",C19="",C19=0),"",Compositions!BW110/C19)</f>
        <v/>
      </c>
      <c r="AF19" s="1449"/>
      <c r="AG19" s="1162" t="str">
        <f>IF(OR(D19="تركيب درصد گاز فلر را در صفحه Compositions وارد كنيد",Compositions!BW111="",D19="",D19=0),"",Compositions!BW111/D19)</f>
        <v/>
      </c>
      <c r="AH19" s="1162"/>
      <c r="AI19" s="1162"/>
      <c r="AJ19" s="709" t="str">
        <f>IF(OR(G19="تركيب درصد گاز فلر را در صفحه Compositions وارد كنيد",Compositions!BW112="",G19="",G19=0),"",Compositions!BW112/G19)</f>
        <v/>
      </c>
      <c r="AK19" s="1472"/>
      <c r="AL19" s="1473"/>
      <c r="AM19" s="1473"/>
      <c r="AN19" s="754" t="str">
        <f t="shared" si="1"/>
        <v/>
      </c>
      <c r="AO19" s="755" t="str">
        <f t="shared" si="2"/>
        <v/>
      </c>
      <c r="AP19" s="1249"/>
      <c r="AS19" s="593" t="str">
        <f t="shared" si="7"/>
        <v/>
      </c>
      <c r="AT19" s="593" t="str">
        <f>IF(OR(Compositions!BW113="",Compositions!AL100="",Compositions!AL100=0),"",Compositions!BW113/Compositions!AL100)</f>
        <v/>
      </c>
      <c r="AX19" s="1335"/>
      <c r="AY19" s="1479"/>
      <c r="AZ19" s="1336"/>
      <c r="BA19" s="719" t="str">
        <f t="shared" si="3"/>
        <v/>
      </c>
      <c r="BB19" s="719" t="str">
        <f t="shared" si="4"/>
        <v/>
      </c>
      <c r="BD19" s="1335"/>
      <c r="BE19" s="1479"/>
      <c r="BF19" s="1336"/>
      <c r="BG19" s="719" t="str">
        <f t="shared" si="8"/>
        <v/>
      </c>
      <c r="BH19" s="719" t="str">
        <f t="shared" si="9"/>
        <v/>
      </c>
    </row>
    <row r="20" spans="1:61" s="213" customFormat="1" ht="33.450000000000003" customHeight="1">
      <c r="A20" s="1041"/>
      <c r="B20" s="765" t="s">
        <v>545</v>
      </c>
      <c r="C20" s="836" t="str">
        <f>IF(Compositions!AR102="","تركيب درصد گاز فلر را در صفحه Compositions وارد كنيد",Compositions!AR102)</f>
        <v>تركيب درصد گاز فلر را در صفحه Compositions وارد كنيد</v>
      </c>
      <c r="D20" s="1360" t="str">
        <f>IF(Compositions!AR103="","تركيب درصد گاز فلر را در صفحه Compositions وارد كنيد",Compositions!AR103)</f>
        <v>تركيب درصد گاز فلر را در صفحه Compositions وارد كنيد</v>
      </c>
      <c r="E20" s="1361"/>
      <c r="F20" s="1362"/>
      <c r="G20" s="1330" t="str">
        <f>IF(Compositions!AR104="","تركيب درصد گاز فلر را در صفحه Compositions وارد كنيد",Compositions!AR104)</f>
        <v>تركيب درصد گاز فلر را در صفحه Compositions وارد كنيد</v>
      </c>
      <c r="H20" s="1330"/>
      <c r="I20" s="1331"/>
      <c r="J20" s="305"/>
      <c r="K20" s="802"/>
      <c r="L20" s="1370" t="str">
        <f t="shared" si="0"/>
        <v>گزينه‌ي مناسب براي ستون (مقدارساليانه گاز ارسالي به فلر بر مبناي) انتخاب شود</v>
      </c>
      <c r="M20" s="1371"/>
      <c r="N20" s="318" t="str">
        <f>IF(J20="","",(IF(J20="حجم",K20,IF(Compositions!AR100="","تركيب درصد گاز فلر را در صفحه Compositions وارد كنيد",((K20*1000)/Compositions!AR100)))))</f>
        <v/>
      </c>
      <c r="O20" s="708" t="s">
        <v>966</v>
      </c>
      <c r="P20" s="1432"/>
      <c r="Q20" s="1433"/>
      <c r="R20" s="1433"/>
      <c r="S20" s="1433"/>
      <c r="T20" s="1434"/>
      <c r="U20" s="1235"/>
      <c r="V20" s="1236"/>
      <c r="W20" s="1243"/>
      <c r="X20" s="321" t="str">
        <f t="shared" si="5"/>
        <v/>
      </c>
      <c r="Y20" s="322" t="str">
        <f t="shared" si="6"/>
        <v/>
      </c>
      <c r="Z20" s="1191"/>
      <c r="AA20" s="478"/>
      <c r="AB20" s="548"/>
      <c r="AC20" s="1462"/>
      <c r="AD20" s="1462"/>
      <c r="AE20" s="1448" t="str">
        <f>IF(OR(C20="تركيب درصد گاز فلر را در صفحه Compositions وارد كنيد",Compositions!BW120="",C20="",C20=0),"",Compositions!BW120/C20)</f>
        <v/>
      </c>
      <c r="AF20" s="1449"/>
      <c r="AG20" s="1162" t="str">
        <f>IF(OR(D20="تركيب درصد گاز فلر را در صفحه Compositions وارد كنيد",Compositions!BW121="",D20="",D20=0),"",Compositions!BW121/D20)</f>
        <v/>
      </c>
      <c r="AH20" s="1162"/>
      <c r="AI20" s="1162"/>
      <c r="AJ20" s="709" t="str">
        <f>IF(OR(G20="تركيب درصد گاز فلر را در صفحه Compositions وارد كنيد",Compositions!BW122="",G20="",G20=0),"",Compositions!BW122/G20)</f>
        <v/>
      </c>
      <c r="AK20" s="1472"/>
      <c r="AL20" s="1473"/>
      <c r="AM20" s="1473"/>
      <c r="AN20" s="754" t="str">
        <f t="shared" si="1"/>
        <v/>
      </c>
      <c r="AO20" s="755" t="str">
        <f t="shared" si="2"/>
        <v/>
      </c>
      <c r="AP20" s="1249"/>
      <c r="AS20" s="593" t="str">
        <f t="shared" si="7"/>
        <v/>
      </c>
      <c r="AT20" s="593" t="str">
        <f>IF(OR(Compositions!BW123="",Compositions!AR100="",Compositions!AR100=0),"",Compositions!BW123/Compositions!AR100)</f>
        <v/>
      </c>
      <c r="AX20" s="1335"/>
      <c r="AY20" s="1479"/>
      <c r="AZ20" s="1336"/>
      <c r="BA20" s="719" t="str">
        <f t="shared" si="3"/>
        <v/>
      </c>
      <c r="BB20" s="719" t="str">
        <f t="shared" si="4"/>
        <v/>
      </c>
      <c r="BD20" s="1335"/>
      <c r="BE20" s="1479"/>
      <c r="BF20" s="1336"/>
      <c r="BG20" s="719" t="str">
        <f t="shared" si="8"/>
        <v/>
      </c>
      <c r="BH20" s="719" t="str">
        <f t="shared" si="9"/>
        <v/>
      </c>
    </row>
    <row r="21" spans="1:61" s="213" customFormat="1" ht="33.450000000000003" customHeight="1">
      <c r="A21" s="1041"/>
      <c r="B21" s="765" t="s">
        <v>547</v>
      </c>
      <c r="C21" s="836" t="str">
        <f>IF(Compositions!AX102="","تركيب درصد گاز فلر را در صفحه Compositions وارد كنيد",Compositions!AX102)</f>
        <v>تركيب درصد گاز فلر را در صفحه Compositions وارد كنيد</v>
      </c>
      <c r="D21" s="1360" t="str">
        <f>IF(Compositions!AX103="","تركيب درصد گاز فلر را در صفحه Compositions وارد كنيد",Compositions!AX103)</f>
        <v>تركيب درصد گاز فلر را در صفحه Compositions وارد كنيد</v>
      </c>
      <c r="E21" s="1361"/>
      <c r="F21" s="1362"/>
      <c r="G21" s="1330" t="str">
        <f>IF(Compositions!AX104="","تركيب درصد گاز فلر را در صفحه Compositions وارد كنيد",Compositions!AX104)</f>
        <v>تركيب درصد گاز فلر را در صفحه Compositions وارد كنيد</v>
      </c>
      <c r="H21" s="1330"/>
      <c r="I21" s="1331"/>
      <c r="J21" s="305"/>
      <c r="K21" s="802"/>
      <c r="L21" s="1370" t="str">
        <f t="shared" si="0"/>
        <v>گزينه‌ي مناسب براي ستون (مقدارساليانه گاز ارسالي به فلر بر مبناي) انتخاب شود</v>
      </c>
      <c r="M21" s="1371"/>
      <c r="N21" s="318" t="str">
        <f>IF(J21="","",(IF(J21="حجم",K21,IF(Compositions!AX100="","تركيب درصد گاز فلر را در صفحه Compositions وارد كنيد",((K21*1000)/Compositions!AX100)))))</f>
        <v/>
      </c>
      <c r="O21" s="708" t="s">
        <v>966</v>
      </c>
      <c r="P21" s="1432"/>
      <c r="Q21" s="1433"/>
      <c r="R21" s="1433"/>
      <c r="S21" s="1433"/>
      <c r="T21" s="1434"/>
      <c r="U21" s="1235"/>
      <c r="V21" s="1236"/>
      <c r="W21" s="1243"/>
      <c r="X21" s="321" t="str">
        <f t="shared" si="5"/>
        <v/>
      </c>
      <c r="Y21" s="322" t="str">
        <f t="shared" si="6"/>
        <v/>
      </c>
      <c r="Z21" s="1191"/>
      <c r="AA21" s="478"/>
      <c r="AB21" s="548"/>
      <c r="AC21" s="1462"/>
      <c r="AD21" s="1462"/>
      <c r="AE21" s="1448" t="str">
        <f>IF(OR(C21="تركيب درصد گاز فلر را در صفحه Compositions وارد كنيد",Compositions!BW130="",C21="",C21=0),"",Compositions!BW130/C21)</f>
        <v/>
      </c>
      <c r="AF21" s="1449"/>
      <c r="AG21" s="1162" t="str">
        <f>IF(OR(D21="تركيب درصد گاز فلر را در صفحه Compositions وارد كنيد",Compositions!BW131="",D21="",D21=0),"",Compositions!BW131/D21)</f>
        <v/>
      </c>
      <c r="AH21" s="1162"/>
      <c r="AI21" s="1162"/>
      <c r="AJ21" s="709" t="str">
        <f>IF(OR(G21="تركيب درصد گاز فلر را در صفحه Compositions وارد كنيد",Compositions!BW132="",G21="",G21=0),"",Compositions!BW132/G21)</f>
        <v/>
      </c>
      <c r="AK21" s="1472"/>
      <c r="AL21" s="1473"/>
      <c r="AM21" s="1473"/>
      <c r="AN21" s="754" t="str">
        <f t="shared" si="1"/>
        <v/>
      </c>
      <c r="AO21" s="755" t="str">
        <f t="shared" si="2"/>
        <v/>
      </c>
      <c r="AP21" s="1249"/>
      <c r="AS21" s="593" t="str">
        <f t="shared" si="7"/>
        <v/>
      </c>
      <c r="AT21" s="593" t="str">
        <f>IF(OR(Compositions!BW133="",Compositions!AX100="",Compositions!AX100=0),"",Compositions!BW133/Compositions!AX100)</f>
        <v/>
      </c>
      <c r="AX21" s="1335"/>
      <c r="AY21" s="1479"/>
      <c r="AZ21" s="1336"/>
      <c r="BA21" s="719" t="str">
        <f t="shared" si="3"/>
        <v/>
      </c>
      <c r="BB21" s="719" t="str">
        <f t="shared" si="4"/>
        <v/>
      </c>
      <c r="BD21" s="1335"/>
      <c r="BE21" s="1479"/>
      <c r="BF21" s="1336"/>
      <c r="BG21" s="719" t="str">
        <f t="shared" si="8"/>
        <v/>
      </c>
      <c r="BH21" s="719" t="str">
        <f t="shared" si="9"/>
        <v/>
      </c>
    </row>
    <row r="22" spans="1:61" s="213" customFormat="1" ht="33.450000000000003" customHeight="1" thickBot="1">
      <c r="A22" s="1042"/>
      <c r="B22" s="769" t="s">
        <v>548</v>
      </c>
      <c r="C22" s="836" t="str">
        <f>IF(Compositions!BD102="","تركيب درصد گاز فلر را در صفحه Compositions وارد كنيد",Compositions!BD102)</f>
        <v>تركيب درصد گاز فلر را در صفحه Compositions وارد كنيد</v>
      </c>
      <c r="D22" s="1363" t="str">
        <f>IF(Compositions!BD103="","تركيب درصد گاز فلر را در صفحه Compositions وارد كنيد",Compositions!BD103)</f>
        <v>تركيب درصد گاز فلر را در صفحه Compositions وارد كنيد</v>
      </c>
      <c r="E22" s="1364"/>
      <c r="F22" s="1365"/>
      <c r="G22" s="1368" t="str">
        <f>IF(Compositions!BD104="","تركيب درصد گاز فلر را در صفحه Compositions وارد كنيد",Compositions!BD104)</f>
        <v>تركيب درصد گاز فلر را در صفحه Compositions وارد كنيد</v>
      </c>
      <c r="H22" s="1368"/>
      <c r="I22" s="1369"/>
      <c r="J22" s="305"/>
      <c r="K22" s="802"/>
      <c r="L22" s="1370" t="str">
        <f t="shared" si="0"/>
        <v>گزينه‌ي مناسب براي ستون (مقدارساليانه گاز ارسالي به فلر بر مبناي) انتخاب شود</v>
      </c>
      <c r="M22" s="1371"/>
      <c r="N22" s="318" t="str">
        <f>IF(J22="","",(IF(J22="حجم",K22,IF(Compositions!BD100="","تركيب درصد گاز فلر را در صفحه Compositions وارد كنيد",((K22*1000)/Compositions!BD100)))))</f>
        <v/>
      </c>
      <c r="O22" s="708" t="s">
        <v>966</v>
      </c>
      <c r="P22" s="1435"/>
      <c r="Q22" s="1436"/>
      <c r="R22" s="1436"/>
      <c r="S22" s="1436"/>
      <c r="T22" s="1437"/>
      <c r="U22" s="1316"/>
      <c r="V22" s="1326"/>
      <c r="W22" s="1327"/>
      <c r="X22" s="321" t="str">
        <f t="shared" si="5"/>
        <v/>
      </c>
      <c r="Y22" s="322" t="str">
        <f t="shared" si="6"/>
        <v/>
      </c>
      <c r="Z22" s="703"/>
      <c r="AA22" s="478"/>
      <c r="AB22" s="548"/>
      <c r="AC22" s="1463"/>
      <c r="AD22" s="1463"/>
      <c r="AE22" s="1448" t="str">
        <f>IF(OR(C22="تركيب درصد گاز فلر را در صفحه Compositions وارد كنيد",Compositions!BW140="",C22="",C22=0),"",Compositions!BW140/C22)</f>
        <v/>
      </c>
      <c r="AF22" s="1449"/>
      <c r="AG22" s="1162" t="str">
        <f>IF(OR(D22="تركيب درصد گاز فلر را در صفحه Compositions وارد كنيد",Compositions!BW141="",D22="",D22=0),"",Compositions!BW141/D22)</f>
        <v/>
      </c>
      <c r="AH22" s="1162"/>
      <c r="AI22" s="1162"/>
      <c r="AJ22" s="709" t="str">
        <f>IF(OR(G22="تركيب درصد گاز فلر را در صفحه Compositions وارد كنيد",Compositions!BW142="",G22="",G22=0),"",Compositions!BW142/G22)</f>
        <v/>
      </c>
      <c r="AK22" s="1474"/>
      <c r="AL22" s="1475"/>
      <c r="AM22" s="1475"/>
      <c r="AN22" s="756" t="str">
        <f t="shared" si="1"/>
        <v/>
      </c>
      <c r="AO22" s="757" t="str">
        <f t="shared" si="2"/>
        <v/>
      </c>
      <c r="AP22" s="1249"/>
      <c r="AS22" s="593" t="str">
        <f>IF(OR(J22="",AT22="",AC22=""),"",(IF(J22="حجم",AC22,SQRT((AC22)^2+(AT22)^2))))</f>
        <v/>
      </c>
      <c r="AT22" s="593" t="str">
        <f>IF(OR(Compositions!BW143="",Compositions!BD100="",Compositions!BD100=0),"",Compositions!BW143/Compositions!BD100)</f>
        <v/>
      </c>
      <c r="AX22" s="1337"/>
      <c r="AY22" s="1480"/>
      <c r="AZ22" s="1338"/>
      <c r="BA22" s="719" t="str">
        <f t="shared" si="3"/>
        <v/>
      </c>
      <c r="BB22" s="719" t="str">
        <f t="shared" si="4"/>
        <v/>
      </c>
      <c r="BD22" s="1337"/>
      <c r="BE22" s="1480"/>
      <c r="BF22" s="1338"/>
      <c r="BG22" s="719" t="str">
        <f t="shared" si="8"/>
        <v/>
      </c>
      <c r="BH22" s="719" t="str">
        <f t="shared" si="9"/>
        <v/>
      </c>
    </row>
    <row r="23" spans="1:61" s="213" customFormat="1" ht="25.05" customHeight="1" thickBot="1">
      <c r="A23" s="1065" t="s">
        <v>1064</v>
      </c>
      <c r="B23" s="1188"/>
      <c r="C23" s="1066"/>
      <c r="D23" s="1066"/>
      <c r="E23" s="1066"/>
      <c r="F23" s="1066"/>
      <c r="G23" s="1066"/>
      <c r="H23" s="1066"/>
      <c r="I23" s="1066"/>
      <c r="J23" s="1066"/>
      <c r="K23" s="1066"/>
      <c r="L23" s="1066"/>
      <c r="M23" s="1066"/>
      <c r="N23" s="1066"/>
      <c r="O23" s="1066"/>
      <c r="P23" s="1066"/>
      <c r="Q23" s="1066"/>
      <c r="R23" s="1066"/>
      <c r="S23" s="1066"/>
      <c r="T23" s="1066"/>
      <c r="U23" s="1066"/>
      <c r="V23" s="1066"/>
      <c r="W23" s="1066"/>
      <c r="X23" s="1066"/>
      <c r="Y23" s="1066"/>
      <c r="Z23" s="1067"/>
      <c r="AA23" s="478"/>
      <c r="AB23" s="1464"/>
      <c r="AC23" s="1465"/>
      <c r="AD23" s="1465"/>
      <c r="AE23" s="1465"/>
      <c r="AF23" s="1465"/>
      <c r="AG23" s="1465"/>
      <c r="AH23" s="1465"/>
      <c r="AI23" s="1465"/>
      <c r="AJ23" s="1465"/>
      <c r="AK23" s="1466"/>
      <c r="AL23" s="1466"/>
      <c r="AM23" s="1466"/>
      <c r="AN23" s="1466"/>
      <c r="AO23" s="1466"/>
      <c r="AP23" s="1467"/>
    </row>
    <row r="24" spans="1:61" s="213" customFormat="1" ht="29.55" customHeight="1" thickBot="1">
      <c r="A24" s="1040"/>
      <c r="B24" s="1418" t="s">
        <v>315</v>
      </c>
      <c r="C24" s="1317" t="s">
        <v>364</v>
      </c>
      <c r="D24" s="1318"/>
      <c r="E24" s="1319"/>
      <c r="F24" s="1376" t="s">
        <v>755</v>
      </c>
      <c r="G24" s="1377"/>
      <c r="H24" s="1377"/>
      <c r="I24" s="1377"/>
      <c r="J24" s="1377"/>
      <c r="K24" s="1377"/>
      <c r="L24" s="1377"/>
      <c r="M24" s="1377"/>
      <c r="N24" s="1377"/>
      <c r="O24" s="1378"/>
      <c r="P24" s="1317" t="s">
        <v>365</v>
      </c>
      <c r="Q24" s="1318"/>
      <c r="R24" s="1318"/>
      <c r="S24" s="1318"/>
      <c r="T24" s="1319"/>
      <c r="U24" s="1317" t="s">
        <v>757</v>
      </c>
      <c r="V24" s="1318"/>
      <c r="W24" s="1318"/>
      <c r="X24" s="1318"/>
      <c r="Y24" s="1318"/>
      <c r="Z24" s="1189"/>
      <c r="AA24" s="478"/>
      <c r="AB24" s="517"/>
      <c r="AC24" s="1347" t="s">
        <v>1279</v>
      </c>
      <c r="AD24" s="1233"/>
      <c r="AE24" s="1233"/>
      <c r="AF24" s="1233"/>
      <c r="AG24" s="1233"/>
      <c r="AH24" s="1233"/>
      <c r="AI24" s="1233"/>
      <c r="AJ24" s="1234"/>
      <c r="AK24" s="1232" t="s">
        <v>1280</v>
      </c>
      <c r="AL24" s="1233"/>
      <c r="AM24" s="1233"/>
      <c r="AN24" s="1233"/>
      <c r="AO24" s="1234"/>
      <c r="AP24" s="1249"/>
    </row>
    <row r="25" spans="1:61" s="213" customFormat="1" ht="31.5" customHeight="1">
      <c r="A25" s="1041"/>
      <c r="B25" s="1419"/>
      <c r="C25" s="1086" t="s">
        <v>357</v>
      </c>
      <c r="D25" s="1119" t="s">
        <v>352</v>
      </c>
      <c r="E25" s="1407" t="s">
        <v>358</v>
      </c>
      <c r="F25" s="1393" t="s">
        <v>961</v>
      </c>
      <c r="G25" s="1110" t="s">
        <v>962</v>
      </c>
      <c r="H25" s="1391" t="s">
        <v>363</v>
      </c>
      <c r="I25" s="1410" t="s">
        <v>353</v>
      </c>
      <c r="J25" s="1411"/>
      <c r="K25" s="1411"/>
      <c r="L25" s="1412"/>
      <c r="M25" s="1405" t="s">
        <v>355</v>
      </c>
      <c r="N25" s="1405" t="s">
        <v>1053</v>
      </c>
      <c r="O25" s="1413"/>
      <c r="P25" s="1324" t="s">
        <v>40</v>
      </c>
      <c r="Q25" s="1320" t="s">
        <v>39</v>
      </c>
      <c r="R25" s="1320" t="s">
        <v>145</v>
      </c>
      <c r="S25" s="1320" t="s">
        <v>147</v>
      </c>
      <c r="T25" s="1322" t="s">
        <v>31</v>
      </c>
      <c r="U25" s="1324" t="s">
        <v>40</v>
      </c>
      <c r="V25" s="1320" t="s">
        <v>39</v>
      </c>
      <c r="W25" s="1320" t="s">
        <v>145</v>
      </c>
      <c r="X25" s="1320" t="s">
        <v>147</v>
      </c>
      <c r="Y25" s="1398" t="s">
        <v>31</v>
      </c>
      <c r="Z25" s="1191"/>
      <c r="AA25" s="478"/>
      <c r="AB25" s="548"/>
      <c r="AC25" s="1348" t="s">
        <v>1514</v>
      </c>
      <c r="AD25" s="1351" t="s">
        <v>1504</v>
      </c>
      <c r="AE25" s="1351" t="s">
        <v>1503</v>
      </c>
      <c r="AF25" s="1351" t="s">
        <v>1282</v>
      </c>
      <c r="AG25" s="1345" t="s">
        <v>1261</v>
      </c>
      <c r="AH25" s="1345"/>
      <c r="AI25" s="1345"/>
      <c r="AJ25" s="1346"/>
      <c r="AK25" s="748" t="s">
        <v>40</v>
      </c>
      <c r="AL25" s="557" t="s">
        <v>39</v>
      </c>
      <c r="AM25" s="557" t="s">
        <v>145</v>
      </c>
      <c r="AN25" s="557" t="s">
        <v>147</v>
      </c>
      <c r="AO25" s="558" t="s">
        <v>31</v>
      </c>
      <c r="AP25" s="1249"/>
      <c r="AX25" s="529" t="s">
        <v>40</v>
      </c>
      <c r="AY25" s="530" t="s">
        <v>39</v>
      </c>
      <c r="AZ25" s="530" t="s">
        <v>145</v>
      </c>
      <c r="BA25" s="530" t="s">
        <v>147</v>
      </c>
      <c r="BB25" s="531" t="s">
        <v>31</v>
      </c>
      <c r="BC25" s="217"/>
      <c r="BD25" s="529" t="s">
        <v>40</v>
      </c>
      <c r="BE25" s="530" t="s">
        <v>39</v>
      </c>
      <c r="BF25" s="530" t="s">
        <v>145</v>
      </c>
      <c r="BG25" s="530" t="s">
        <v>147</v>
      </c>
      <c r="BH25" s="531" t="s">
        <v>31</v>
      </c>
    </row>
    <row r="26" spans="1:61" s="213" customFormat="1" ht="31.5" customHeight="1">
      <c r="A26" s="1041"/>
      <c r="B26" s="1419"/>
      <c r="C26" s="1137"/>
      <c r="D26" s="1417"/>
      <c r="E26" s="1408"/>
      <c r="F26" s="1072"/>
      <c r="G26" s="1207"/>
      <c r="H26" s="1392"/>
      <c r="I26" s="1366" t="s">
        <v>1054</v>
      </c>
      <c r="J26" s="1367"/>
      <c r="K26" s="1366" t="s">
        <v>354</v>
      </c>
      <c r="L26" s="1367"/>
      <c r="M26" s="1406"/>
      <c r="N26" s="1406"/>
      <c r="O26" s="1414"/>
      <c r="P26" s="1325"/>
      <c r="Q26" s="1321"/>
      <c r="R26" s="1321"/>
      <c r="S26" s="1321"/>
      <c r="T26" s="1323"/>
      <c r="U26" s="1325"/>
      <c r="V26" s="1321"/>
      <c r="W26" s="1321"/>
      <c r="X26" s="1321"/>
      <c r="Y26" s="1399"/>
      <c r="Z26" s="1191"/>
      <c r="AA26" s="478"/>
      <c r="AB26" s="548"/>
      <c r="AC26" s="1349"/>
      <c r="AD26" s="1352"/>
      <c r="AE26" s="1352"/>
      <c r="AF26" s="1352"/>
      <c r="AG26" s="1353" t="s">
        <v>40</v>
      </c>
      <c r="AH26" s="1355" t="s">
        <v>39</v>
      </c>
      <c r="AI26" s="1355" t="s">
        <v>145</v>
      </c>
      <c r="AJ26" s="1357" t="s">
        <v>1281</v>
      </c>
      <c r="AK26" s="1353" t="s">
        <v>1260</v>
      </c>
      <c r="AL26" s="1355" t="s">
        <v>1260</v>
      </c>
      <c r="AM26" s="1355" t="s">
        <v>1260</v>
      </c>
      <c r="AN26" s="1355" t="s">
        <v>1260</v>
      </c>
      <c r="AO26" s="1357" t="s">
        <v>1260</v>
      </c>
      <c r="AP26" s="1249"/>
      <c r="AX26" s="1332" t="s">
        <v>1285</v>
      </c>
      <c r="AY26" s="1332"/>
      <c r="AZ26" s="1332"/>
      <c r="BA26" s="1332"/>
      <c r="BB26" s="1332"/>
      <c r="BD26" s="1332" t="s">
        <v>1286</v>
      </c>
      <c r="BE26" s="1332"/>
      <c r="BF26" s="1332"/>
      <c r="BG26" s="1332"/>
      <c r="BH26" s="1332"/>
    </row>
    <row r="27" spans="1:61" s="213" customFormat="1" ht="56.55" customHeight="1" thickBot="1">
      <c r="A27" s="1041"/>
      <c r="B27" s="1419"/>
      <c r="C27" s="1088"/>
      <c r="D27" s="1120"/>
      <c r="E27" s="1409"/>
      <c r="F27" s="1394"/>
      <c r="G27" s="1111"/>
      <c r="H27" s="820" t="s">
        <v>1055</v>
      </c>
      <c r="I27" s="799" t="s">
        <v>1056</v>
      </c>
      <c r="J27" s="799" t="s">
        <v>1057</v>
      </c>
      <c r="K27" s="799" t="s">
        <v>1056</v>
      </c>
      <c r="L27" s="799" t="s">
        <v>1057</v>
      </c>
      <c r="M27" s="733" t="s">
        <v>1058</v>
      </c>
      <c r="N27" s="1415" t="s">
        <v>356</v>
      </c>
      <c r="O27" s="1416"/>
      <c r="P27" s="822" t="str">
        <f>IF(C28="صنايع پتروشيمي و پالايشگاهي","(g/GJ)",IF(C28="","","kg/kg"))</f>
        <v/>
      </c>
      <c r="Q27" s="697" t="str">
        <f>IF(C28="صنايع پتروشيمي و پالايشگاهي","(g/GJ)",IF(C28="","","kg/kg"))</f>
        <v/>
      </c>
      <c r="R27" s="697" t="str">
        <f>IF(C28="صنايع پتروشيمي و پالايشگاهي","(g/GJ)",IF(C28="","","kg/kg"))</f>
        <v/>
      </c>
      <c r="S27" s="697" t="str">
        <f>IF(C28="صنايع پتروشيمي و پالايشگاهي","(g/GJ)",IF(C28="","","kg/kg"))</f>
        <v/>
      </c>
      <c r="T27" s="714" t="str">
        <f>IF(C28="صنايع پتروشيمي و پالايشگاهي","(g/GJ)",IF(C28="","","kg/kg"))</f>
        <v/>
      </c>
      <c r="U27" s="822" t="s">
        <v>146</v>
      </c>
      <c r="V27" s="697" t="s">
        <v>146</v>
      </c>
      <c r="W27" s="697" t="s">
        <v>146</v>
      </c>
      <c r="X27" s="697" t="s">
        <v>146</v>
      </c>
      <c r="Y27" s="812" t="s">
        <v>146</v>
      </c>
      <c r="Z27" s="1191"/>
      <c r="AA27" s="839"/>
      <c r="AB27" s="548"/>
      <c r="AC27" s="1350"/>
      <c r="AD27" s="1352"/>
      <c r="AE27" s="1352"/>
      <c r="AF27" s="1359"/>
      <c r="AG27" s="1354"/>
      <c r="AH27" s="1356"/>
      <c r="AI27" s="1356"/>
      <c r="AJ27" s="1358"/>
      <c r="AK27" s="1468"/>
      <c r="AL27" s="1469"/>
      <c r="AM27" s="1469"/>
      <c r="AN27" s="1356"/>
      <c r="AO27" s="1358"/>
      <c r="AP27" s="1249"/>
      <c r="AR27" s="593" t="s">
        <v>1516</v>
      </c>
      <c r="AS27" s="593" t="s">
        <v>1513</v>
      </c>
      <c r="AT27" s="646" t="s">
        <v>1512</v>
      </c>
      <c r="AX27" s="1332"/>
      <c r="AY27" s="1332"/>
      <c r="AZ27" s="1332"/>
      <c r="BA27" s="1332"/>
      <c r="BB27" s="1332"/>
      <c r="BD27" s="1332"/>
      <c r="BE27" s="1332"/>
      <c r="BF27" s="1332"/>
      <c r="BG27" s="1332"/>
      <c r="BH27" s="1332"/>
    </row>
    <row r="28" spans="1:61" ht="46.5" customHeight="1">
      <c r="A28" s="1404"/>
      <c r="B28" s="768" t="s">
        <v>316</v>
      </c>
      <c r="C28" s="766"/>
      <c r="D28" s="248"/>
      <c r="E28" s="306"/>
      <c r="F28" s="305"/>
      <c r="G28" s="802"/>
      <c r="H28" s="837" t="str">
        <f>IF(F28="","",(IF(F28="حجم (sm3/year):",G28,IF(Compositions!B100="","در شيت Compositions تركيب درصد گاز ارسالي به فلر را وارد كنيد",((G28*1000)/Compositions!B100)))))</f>
        <v/>
      </c>
      <c r="I28" s="307" t="str">
        <f>IF(OR(C28="",D28="",E28=""),"",IF(Compositions!B97="","تركيب درصد گاز فلر را در صفحه Compositions وارد كنيد",Compositions!B97))</f>
        <v/>
      </c>
      <c r="J28" s="307" t="str">
        <f>IF(OR(C28="",D28="",E28=""),"",IF(Compositions!B96="","تركيب درصد گاز فلر را در صفحه Compositions وارد كنيد",Compositions!B96))</f>
        <v/>
      </c>
      <c r="K28" s="307" t="str">
        <f>IF(OR(C28="",D28="",E28=""),"",IF(Compositions!B99="","تركيب درصد گاز فلر را در صفحه Compositions وارد كنيد",Compositions!B99))</f>
        <v/>
      </c>
      <c r="L28" s="307" t="str">
        <f>IF(OR(C28="",D28="",E28=""),"",IF(Compositions!B98="","تركيب درصد گاز فلر را در صفحه Compositions وارد كنيد",Compositions!B98))</f>
        <v/>
      </c>
      <c r="M28" s="308" t="str">
        <f>IF(OR(C28="",D28="",E28=""),"",IF(Compositions!B100="","تركيب درصد گاز فلر را در صفحه Compositions وارد كنيد",Compositions!B100))</f>
        <v/>
      </c>
      <c r="N28" s="1402" t="str">
        <f>IF(OR(C28="",D28="",E28=""),"",IF(Compositions!B101="","تركيب درصد گاز فلر را در صفحه Compositions وارد كنيد",Compositions!B101))</f>
        <v/>
      </c>
      <c r="O28" s="1403"/>
      <c r="P28" s="309" t="str">
        <f>IF(C28="","",IF(C28="صنايع پتروشيمي و پالايشگاهي",29.26,IF(E28="","",IF(E28="فلر گرم ",0.0024,IF(L28="","",IF(L28="تركيب درصد گاز فلر را در صفحه Compositions وارد كنيد","",((62.5*L28*(10^9))/(10^12))        )  )         ))))</f>
        <v/>
      </c>
      <c r="Q28" s="310" t="str">
        <f>IF(C28="","",IF(C28="صنايع پتروشيمي و پالايشگاهي",133.4,IF(E28="","",IF(E28="فلر گرم ",0.0179,IF(N28="تركيب درصد گاز فلر را در صفحه Compositions وارد كنيد","",(IF(N28="","",(0.098*(N28/100))) ))     ))))</f>
        <v/>
      </c>
      <c r="R28" s="310" t="str">
        <f>IF(OR(C28="",D28="",E28=""),"",IF(AND(C28="صنايع بالادستي نفت و گاز",E28="فلر گرم "),0.0014,IF(AND(C28="صنايع پتروشيمي و پالايشگاهي",D28="فلر بدون دود"),0,IF(AND(C28="صنايع پتروشيمي و پالايشگاهي",D28="فلر با دود کم"),0.5,IF(AND(C28="صنايع پتروشيمي و پالايشگاهي",D28="فلر با دود متوسط"),2.2,IF(AND(C28="صنايع پتروشيمي و پالايشگاهي",D28="فلر با دود زیاد"),3.41,"ضريبي براي اين حالت  ارائه نشده است"))))))</f>
        <v/>
      </c>
      <c r="S28" s="1426" t="s">
        <v>362</v>
      </c>
      <c r="T28" s="1441" t="s">
        <v>362</v>
      </c>
      <c r="U28" s="311" t="str">
        <f>IF(OR(H28="",P28="",I28="",M28="",I28="تركيب درصد گاز فلر را در صفحه Compositions وارد كنيد"),"",(IF(C28="صنايع پتروشيمي و پالايشگاهي",(P28*I28*H28*(10^-6)),IF(C28="صنايع بالادستي نفت و گاز",(H28*M28*P28*(10^-3)),"ND"))))</f>
        <v/>
      </c>
      <c r="V28" s="730" t="str">
        <f>IF(OR(H28="",Q28="",J28="",M28="",J28="تركيب درصد گاز فلر را در صفحه Compositions وارد كنيد"),"",IF(C28="صنايع پتروشيمي و پالايشگاهي",(Q28*J28*H28*(10^-6)),IF(C28="صنايع بالادستي نفت و گاز",(H28*M28*Q28*(10^-3)),"ND")))</f>
        <v/>
      </c>
      <c r="W28" s="730" t="str">
        <f>IF(OR(H28="",R28="",J28="",M28="",J28="تركيب درصد گاز فلر را در صفحه Compositions وارد كنيد",R28="ضريبي براي اين حالت  ارائه نشده است"),"",IF(C28="صنايع پتروشيمي و پالايشگاهي",(R28*J28*H28*(10^-6)),IF(C28="صنايع بالادستي نفت و گاز",(H28*M28*R28*(10^-3)),"ND")))</f>
        <v/>
      </c>
      <c r="X28" s="1426" t="s">
        <v>362</v>
      </c>
      <c r="Y28" s="1426" t="s">
        <v>362</v>
      </c>
      <c r="Z28" s="1191"/>
      <c r="AA28" s="458"/>
      <c r="AB28" s="548"/>
      <c r="AC28" s="559"/>
      <c r="AD28" s="693" t="str">
        <f>IF(OR(I28="تركيب درصد گاز فلر را در صفحه Compositions وارد كنيد",Compositions!BO98="",I28="",I28=0),"",Compositions!BO98/I28)</f>
        <v/>
      </c>
      <c r="AE28" s="693" t="str">
        <f>IF(OR(J28="تركيب درصد گاز فلر را در صفحه Compositions وارد كنيد",Compositions!BO99="",J28="",J28=0),"",Compositions!BO99/J28)</f>
        <v/>
      </c>
      <c r="AF28" s="651" t="str">
        <f>IF(OR(Compositions!BO103="",Compositions!B100="",Compositions!B100=0),"",Compositions!BO103/Compositions!B100)</f>
        <v/>
      </c>
      <c r="AG28" s="815" t="str">
        <f>IF(C28="","",IF(C28="صنايع پتروشيمي و پالايشگاهي",40,IF(E28="","",IF(E28="فلر گرم ",40,IF(L28="","",IF(L28="تركيب درصد گاز فلر را در صفحه Compositions وارد كنيد","",40        )  )         ))))</f>
        <v/>
      </c>
      <c r="AH28" s="815" t="str">
        <f>IF(C28="","",IF(C28="صنايع پتروشيمي و پالايشگاهي",200,IF(E28="","",IF(E28="فلر گرم ",40,IF(N28="تركيب درصد گاز فلر را در صفحه Compositions وارد كنيد","",(IF(N28="","",40     ) ))     ))))</f>
        <v/>
      </c>
      <c r="AI28" s="815" t="str">
        <f>IF(OR(C28="",D28="",E28=""),"",IF(AND(C28="صنايع بالادستي نفت و گاز",E28="فلر گرم "),40,IF(AND(C28="صنايع پتروشيمي و پالايشگاهي",D28="فلر بدون دود"),40,IF(AND(C28="صنايع پتروشيمي و پالايشگاهي",D28="فلر با دود کم"),40,IF(AND(C28="صنايع پتروشيمي و پالايشگاهي",D28="فلر با دود متوسط"),40,IF(AND(C28="صنايع پتروشيمي و پالايشگاهي",D28="فلر با دود زیاد"),40,""))))))</f>
        <v/>
      </c>
      <c r="AJ28" s="1313" t="s">
        <v>1283</v>
      </c>
      <c r="AK28" s="818" t="str">
        <f>IF(C28="","",IF(C28="صنايع پتروشيمي و پالايشگاهي",IF(OR(AS28="",AD28="",AG28=""),"",   SQRT((AS28)^2+(AD28)^2+(AG28)^2)  ),        IF(OR(AR28="",AG28=""),"",SQRT((AR28)^2+(AG28)^2) )          ))</f>
        <v/>
      </c>
      <c r="AL28" s="752" t="str">
        <f>IF(C28="","",IF(C28="صنايع پتروشيمي و پالايشگاهي",IF(OR(AS28="",AE28="",AH28=""),"",   SQRT((AS28)^2+(AE28)^2+(AH28)^2)  ),        IF(OR(AR28="",AH28=""),"",SQRT((AR28)^2+(AH28)^2) )          ))</f>
        <v/>
      </c>
      <c r="AM28" s="752" t="str">
        <f>IF(C28="","",IF(C28="صنايع پتروشيمي و پالايشگاهي",IF(OR(AS28="",AE28="",AI28=""),"",   SQRT((AS28)^2+(AE28)^2+(AI28)^2)  ),        IF(OR(AR28="",AI28=""),"",SQRT((AR28)^2+(AI28)^2) )          ))</f>
        <v/>
      </c>
      <c r="AN28" s="1307" t="s">
        <v>1283</v>
      </c>
      <c r="AO28" s="1308"/>
      <c r="AP28" s="1249"/>
      <c r="AQ28" s="213"/>
      <c r="AR28" s="593" t="str">
        <f>IF(OR(F28="",AT28="",AC28=""),"",(IF(F28="جرم (ton/year):",AC28,SQRT((AC28)^2+(AT28)^2))))</f>
        <v/>
      </c>
      <c r="AS28" s="593" t="str">
        <f>IF(OR(F28="",AT28="",AC28=""),"",(IF(F28="حجم (sm3/year):",AC28,SQRT((AC28)^2+(AT28)^2))))</f>
        <v/>
      </c>
      <c r="AT28" s="593" t="str">
        <f>IF(OR(Compositions!BO103="",Compositions!B100="",Compositions!B100=0),"",Compositions!BO103/Compositions!B100)</f>
        <v/>
      </c>
      <c r="AU28" s="213"/>
      <c r="AV28" s="213"/>
      <c r="AW28" s="213"/>
      <c r="AX28" s="561" t="str">
        <f>IF(OR(U28="",AK28=""),"",U28*AK28)</f>
        <v/>
      </c>
      <c r="AY28" s="561" t="str">
        <f>IF(OR(V28="",AL28=""),"",V28*AL28)</f>
        <v/>
      </c>
      <c r="AZ28" s="561" t="str">
        <f>IF(OR(W28="",AM28=""),"",W28*AM28)</f>
        <v/>
      </c>
      <c r="BA28" s="1333"/>
      <c r="BB28" s="1334"/>
      <c r="BC28" s="213"/>
      <c r="BD28" s="561" t="str">
        <f t="shared" ref="BD28:BF37" si="10">IF(AX28="","",AX28^2)</f>
        <v/>
      </c>
      <c r="BE28" s="561" t="str">
        <f t="shared" ref="BE28:BF28" si="11">IF(AY28="","",AY28^2)</f>
        <v/>
      </c>
      <c r="BF28" s="561" t="str">
        <f t="shared" si="11"/>
        <v/>
      </c>
      <c r="BG28" s="1339"/>
      <c r="BH28" s="1340"/>
      <c r="BI28" s="213"/>
    </row>
    <row r="29" spans="1:61" ht="46.5" customHeight="1">
      <c r="A29" s="1404"/>
      <c r="B29" s="765" t="s">
        <v>317</v>
      </c>
      <c r="C29" s="323" t="str">
        <f>IF(C28="","",IF(C28="صنايع پتروشيمي و پالايشگاهي","صنايع پتروشيمي و پالايشگاهي","صنايع بالادستي نفت و گاز"))</f>
        <v/>
      </c>
      <c r="D29" s="248"/>
      <c r="E29" s="306"/>
      <c r="F29" s="305"/>
      <c r="G29" s="802"/>
      <c r="H29" s="837" t="str">
        <f>IF(F29="","",(IF(F29="حجم (sm3/year):",G29,IF(Compositions!H100="","در شيت Compositions تركيب درصد گاز ارسالي به فلر را وارد كنيد",((G29*1000)/Compositions!H100)))))</f>
        <v/>
      </c>
      <c r="I29" s="312" t="str">
        <f>IF(OR(C29="",D29="",E29=""),"",IF(Compositions!H97="","تركيب درصد گاز فلر را در صفحه Compositions وارد كنيد",Compositions!H97))</f>
        <v/>
      </c>
      <c r="J29" s="312" t="str">
        <f>IF(OR(C29="",D29="",E29=""),"",IF(Compositions!H96="","تركيب درصد گاز فلر را در صفحه Compositions وارد كنيد",Compositions!H96))</f>
        <v/>
      </c>
      <c r="K29" s="312" t="str">
        <f>IF(OR(C29="",D29="",E29=""),"",IF(Compositions!H99="","تركيب درصد گاز فلر را در صفحه Compositions وارد كنيد",Compositions!H99))</f>
        <v/>
      </c>
      <c r="L29" s="312" t="str">
        <f>IF(OR(C29="",D29="",E29=""),"",IF(Compositions!H98="","تركيب درصد گاز فلر را در صفحه Compositions وارد كنيد",Compositions!H98))</f>
        <v/>
      </c>
      <c r="M29" s="313" t="str">
        <f>IF(OR(C29="",D29="",E29=""),"",IF(Compositions!H100="","تركيب درصد گاز فلر را در صفحه Compositions وارد كنيد",Compositions!H100))</f>
        <v/>
      </c>
      <c r="N29" s="1400" t="str">
        <f>IF(OR(C29="",D29="",E29=""),"",IF(Compositions!H101="","تركيب درصد گاز فلر را در صفحه Compositions وارد كنيد",Compositions!H101))</f>
        <v/>
      </c>
      <c r="O29" s="1401"/>
      <c r="P29" s="314" t="str">
        <f t="shared" ref="P29:P32" si="12">IF(C29="","",IF(C29="صنايع پتروشيمي و پالايشگاهي",29.26,IF(E29="","",IF(E29="فلر گرم ",0.0024,IF(L29="","",IF(L29="تركيب درصد گاز فلر را در صفحه Compositions وارد كنيد","",((62.5*L29*(10^9))/(10^12))        )  )         ))))</f>
        <v/>
      </c>
      <c r="Q29" s="315" t="str">
        <f>IF(C29="","",IF(C29="صنايع پتروشيمي و پالايشگاهي",133.4,IF(E29="","",IF(E29="فلر گرم ",0.0179,IF(N29="تركيب درصد گاز فلر را در صفحه Compositions وارد كنيد","",(IF(N29="","",(0.098*(N29/100))) ))     ))))</f>
        <v/>
      </c>
      <c r="R29" s="315" t="str">
        <f>IF(OR(C29="",D29="",E29=""),"",IF(AND(C29="صنايع بالادستي نفت و گاز",E29="فلر گرم "),0.0014,IF(AND(C29="صنايع پتروشيمي و پالايشگاهي",D29="فلر بدون دود"),0,IF(AND(C29="صنايع پتروشيمي و پالايشگاهي",D29="فلر با دود کم"),0.5,IF(AND(C29="صنايع پتروشيمي و پالايشگاهي",D29="فلر با دود متوسط"),2.2,IF(AND(C29="صنايع پتروشيمي و پالايشگاهي",D29="فلر با دود زیاد"),3.41,"ضريبي براي اين حالت  ارائه نشده است"))))))</f>
        <v/>
      </c>
      <c r="S29" s="1427"/>
      <c r="T29" s="1442"/>
      <c r="U29" s="311" t="str">
        <f t="shared" ref="U29:U37" si="13">IF(OR(H29="",P29="",I29="",M29="",I29="تركيب درصد گاز فلر را در صفحه Compositions وارد كنيد"),"",(IF(C29="صنايع پتروشيمي و پالايشگاهي",(P29*I29*H29*(10^-6)),IF(C29="صنايع بالادستي نفت و گاز",(H29*M29*P29*(10^-3)),"ND"))))</f>
        <v/>
      </c>
      <c r="V29" s="728" t="str">
        <f t="shared" ref="V29:V32" si="14">IF(OR(H29="",Q29="",J29="",M29="",J29="تركيب درصد گاز فلر را در صفحه Compositions وارد كنيد"),"",IF(C29="صنايع پتروشيمي و پالايشگاهي",(Q29*J29*H29*(10^-6)),IF(C29="صنايع بالادستي نفت و گاز",(H29*M29*Q29*(10^-3)),"ND")))</f>
        <v/>
      </c>
      <c r="W29" s="728" t="str">
        <f t="shared" ref="W29:W33" si="15">IF(OR(H29="",R29="",J29="",M29="",J29="تركيب درصد گاز فلر را در صفحه Compositions وارد كنيد",R29="ضريبي براي اين حالت  ارائه نشده است"),"",IF(C29="صنايع پتروشيمي و پالايشگاهي",(R29*J29*H29*(10^-6)),IF(C29="صنايع بالادستي نفت و گاز",(H29*M29*R29*(10^-3)),"ND")))</f>
        <v/>
      </c>
      <c r="X29" s="1427"/>
      <c r="Y29" s="1427"/>
      <c r="Z29" s="1191"/>
      <c r="AA29" s="458"/>
      <c r="AB29" s="548"/>
      <c r="AC29" s="800"/>
      <c r="AD29" s="693" t="str">
        <f>IF(OR(I29="تركيب درصد گاز فلر را در صفحه Compositions وارد كنيد",Compositions!BO108="",I29="",I29=0),"",Compositions!BO108/I29)</f>
        <v/>
      </c>
      <c r="AE29" s="693" t="str">
        <f>IF(OR(J29="تركيب درصد گاز فلر را در صفحه Compositions وارد كنيد",Compositions!BO109="",J29="",J29=0),"",Compositions!BO109/J29)</f>
        <v/>
      </c>
      <c r="AF29" s="652" t="str">
        <f>IF(OR(Compositions!BO113="",Compositions!H100="",Compositions!H100=0),"",Compositions!BO113/Compositions!H100)</f>
        <v/>
      </c>
      <c r="AG29" s="816" t="str">
        <f t="shared" ref="AG29:AG37" si="16">IF(C29="","",IF(C29="صنايع پتروشيمي و پالايشگاهي",40,IF(E29="","",IF(E29="فلر گرم ",40,IF(L29="","",IF(L29="تركيب درصد گاز فلر را در صفحه Compositions وارد كنيد","",40        )  )         ))))</f>
        <v/>
      </c>
      <c r="AH29" s="816" t="str">
        <f t="shared" ref="AH29:AH37" si="17">IF(C29="","",IF(C29="صنايع پتروشيمي و پالايشگاهي",200,IF(E29="","",IF(E29="فلر گرم ",40,IF(N29="تركيب درصد گاز فلر را در صفحه Compositions وارد كنيد","",(IF(N29="","",40     ) ))     ))))</f>
        <v/>
      </c>
      <c r="AI29" s="816" t="str">
        <f t="shared" ref="AI29:AI37" si="18">IF(OR(C29="",D29="",E29=""),"",IF(AND(C29="صنايع بالادستي نفت و گاز",E29="فلر گرم "),40,IF(AND(C29="صنايع پتروشيمي و پالايشگاهي",D29="فلر بدون دود"),40,IF(AND(C29="صنايع پتروشيمي و پالايشگاهي",D29="فلر با دود کم"),40,IF(AND(C29="صنايع پتروشيمي و پالايشگاهي",D29="فلر با دود متوسط"),40,IF(AND(C29="صنايع پتروشيمي و پالايشگاهي",D29="فلر با دود زیاد"),40,""))))))</f>
        <v/>
      </c>
      <c r="AJ29" s="1314"/>
      <c r="AK29" s="782" t="str">
        <f t="shared" ref="AK29:AK36" si="19">IF(C29="","",IF(C29="صنايع پتروشيمي و پالايشگاهي",IF(OR(AS29="",AD29="",AG29=""),"",   SQRT((AS29)^2+(AD29)^2+(AG29)^2)  ),        IF(OR(AR29="",AG29=""),"",SQRT((AR29)^2+(AG29)^2) )          ))</f>
        <v/>
      </c>
      <c r="AL29" s="754" t="str">
        <f t="shared" ref="AL29:AL36" si="20">IF(C29="","",IF(C29="صنايع پتروشيمي و پالايشگاهي",IF(OR(AS29="",AE29="",AH29=""),"",   SQRT((AS29)^2+(AE29)^2+(AH29)^2)  ),        IF(OR(AR29="",AH29=""),"",SQRT((AR29)^2+(AH29)^2) )          ))</f>
        <v/>
      </c>
      <c r="AM29" s="754" t="str">
        <f t="shared" ref="AM29:AM36" si="21">IF(C29="","",IF(C29="صنايع پتروشيمي و پالايشگاهي",IF(OR(AS29="",AE29="",AI29=""),"",   SQRT((AS29)^2+(AE29)^2+(AI29)^2)  ),        IF(OR(AR29="",AI29=""),"",SQRT((AR29)^2+(AI29)^2) )          ))</f>
        <v/>
      </c>
      <c r="AN29" s="1309"/>
      <c r="AO29" s="1310"/>
      <c r="AP29" s="1249"/>
      <c r="AQ29" s="213"/>
      <c r="AR29" s="593" t="str">
        <f t="shared" ref="AR29:AR37" si="22">IF(OR(F29="",AT29="",AC29=""),"",(IF(F29="جرم (ton/year):",AC29,SQRT((AC29)^2+(AT29)^2))))</f>
        <v/>
      </c>
      <c r="AS29" s="593" t="str">
        <f t="shared" ref="AS29:AS37" si="23">IF(OR(F29="",AT29="",AC29=""),"",(IF(F29="حجم (sm3/year):",AC29,SQRT((AC29)^2+(AT29)^2))))</f>
        <v/>
      </c>
      <c r="AT29" s="593" t="str">
        <f>IF(OR(Compositions!BO113="",Compositions!H100="",Compositions!H100=0),"",Compositions!BO113/Compositions!H100)</f>
        <v/>
      </c>
      <c r="AU29" s="213"/>
      <c r="AV29" s="213"/>
      <c r="AW29" s="213"/>
      <c r="AX29" s="719" t="str">
        <f t="shared" ref="AX29:AX37" si="24">IF(OR(U29="",AK29=""),"",U29*AK29)</f>
        <v/>
      </c>
      <c r="AY29" s="719" t="str">
        <f t="shared" ref="AY29:AY37" si="25">IF(OR(V29="",AL29=""),"",V29*AL29)</f>
        <v/>
      </c>
      <c r="AZ29" s="719" t="str">
        <f t="shared" ref="AZ29:AZ37" si="26">IF(OR(W29="",AM29=""),"",W29*AM29)</f>
        <v/>
      </c>
      <c r="BA29" s="1335"/>
      <c r="BB29" s="1336"/>
      <c r="BC29" s="213"/>
      <c r="BD29" s="719" t="str">
        <f t="shared" si="10"/>
        <v/>
      </c>
      <c r="BE29" s="719" t="str">
        <f t="shared" si="10"/>
        <v/>
      </c>
      <c r="BF29" s="719" t="str">
        <f t="shared" si="10"/>
        <v/>
      </c>
      <c r="BG29" s="1341"/>
      <c r="BH29" s="1342"/>
      <c r="BI29" s="213"/>
    </row>
    <row r="30" spans="1:61" ht="46.5" customHeight="1">
      <c r="A30" s="1404"/>
      <c r="B30" s="765" t="s">
        <v>318</v>
      </c>
      <c r="C30" s="323" t="str">
        <f>IF(C28="","",IF(C28="صنايع پتروشيمي و پالايشگاهي","صنايع پتروشيمي و پالايشگاهي","صنايع بالادستي نفت و گاز"))</f>
        <v/>
      </c>
      <c r="D30" s="248"/>
      <c r="E30" s="306"/>
      <c r="F30" s="305"/>
      <c r="G30" s="802"/>
      <c r="H30" s="837" t="str">
        <f>IF(F30="","",(IF(F30="حجم (sm3/year):",G30,IF(Compositions!N100="","در شيت Compositions تركيب درصد گاز ارسالي به فلر را وارد كنيد",((G30*1000)/Compositions!N100)))))</f>
        <v/>
      </c>
      <c r="I30" s="307" t="str">
        <f>IF(OR(C30="",D30="",E30=""),"",IF(Compositions!N97="","تركيب درصد گاز فلر را در صفحه Compositions وارد كنيد",Compositions!N97))</f>
        <v/>
      </c>
      <c r="J30" s="307" t="str">
        <f>IF(OR(C30="",D30="",E30=""),"",IF(Compositions!N96="","تركيب درصد گاز فلر را در صفحه Compositions وارد كنيد",Compositions!N96))</f>
        <v/>
      </c>
      <c r="K30" s="307" t="str">
        <f>IF(OR(C30="",D30="",E30=""),"",IF(Compositions!N99="","تركيب درصد گاز فلر را در صفحه Compositions وارد كنيد",Compositions!N99))</f>
        <v/>
      </c>
      <c r="L30" s="307" t="str">
        <f>IF(OR(C30="",D30="",E30=""),"",IF(Compositions!N98="","تركيب درصد گاز فلر را در صفحه Compositions وارد كنيد",Compositions!N98))</f>
        <v/>
      </c>
      <c r="M30" s="308" t="str">
        <f>IF(OR(C30="",D30="",E30=""),"",IF(Compositions!N100="","تركيب درصد گاز فلر را در صفحه Compositions وارد كنيد",Compositions!N100))</f>
        <v/>
      </c>
      <c r="N30" s="1400" t="str">
        <f>IF(OR(C30="",D30="",E30=""),"",IF(Compositions!N101="","تركيب درصد گاز فلر را در صفحه Compositions وارد كنيد",Compositions!N101))</f>
        <v/>
      </c>
      <c r="O30" s="1401"/>
      <c r="P30" s="314" t="str">
        <f t="shared" si="12"/>
        <v/>
      </c>
      <c r="Q30" s="315" t="str">
        <f t="shared" ref="Q30:Q37" si="27">IF(C30="","",IF(C30="صنايع پتروشيمي و پالايشگاهي",133.4,IF(E30="","",IF(E30="فلر گرم ",0.0179,IF(N30="تركيب درصد گاز فلر را در صفحه Compositions وارد كنيد","",(IF(N30="","",(0.098*(N30/100))) ))     ))))</f>
        <v/>
      </c>
      <c r="R30" s="315" t="str">
        <f t="shared" ref="R30:R32" si="28">IF(OR(C30="",D30="",E30=""),"",IF(AND(C30="صنايع بالادستي نفت و گاز",E30="فلر گرم "),0.0014,IF(AND(C30="صنايع پتروشيمي و پالايشگاهي",D30="فلر بدون دود"),0,IF(AND(C30="صنايع پتروشيمي و پالايشگاهي",D30="فلر با دود کم"),0.5,IF(AND(C30="صنايع پتروشيمي و پالايشگاهي",D30="فلر با دود متوسط"),2.2,IF(AND(C30="صنايع پتروشيمي و پالايشگاهي",D30="فلر با دود زیاد"),3.41,"ضريبي براي اين حالت  ارائه نشده است"))))))</f>
        <v/>
      </c>
      <c r="S30" s="1427"/>
      <c r="T30" s="1442"/>
      <c r="U30" s="311" t="str">
        <f t="shared" si="13"/>
        <v/>
      </c>
      <c r="V30" s="728" t="str">
        <f t="shared" si="14"/>
        <v/>
      </c>
      <c r="W30" s="728" t="str">
        <f t="shared" si="15"/>
        <v/>
      </c>
      <c r="X30" s="1427"/>
      <c r="Y30" s="1427"/>
      <c r="Z30" s="1191"/>
      <c r="AA30" s="458"/>
      <c r="AB30" s="548"/>
      <c r="AC30" s="800"/>
      <c r="AD30" s="693" t="str">
        <f>IF(OR(I30="تركيب درصد گاز فلر را در صفحه Compositions وارد كنيد",Compositions!BO118="",I30="",I30=0),"",Compositions!BO118/I30)</f>
        <v/>
      </c>
      <c r="AE30" s="693" t="str">
        <f>IF(OR(J30="تركيب درصد گاز فلر را در صفحه Compositions وارد كنيد",Compositions!BO119="",J30="",J30=0),"",Compositions!BO119/J30)</f>
        <v/>
      </c>
      <c r="AF30" s="652" t="str">
        <f>IF(OR(Compositions!BO123="",Compositions!N100="",Compositions!N100=0),"",Compositions!BO123/Compositions!N100)</f>
        <v/>
      </c>
      <c r="AG30" s="816" t="str">
        <f t="shared" si="16"/>
        <v/>
      </c>
      <c r="AH30" s="816" t="str">
        <f t="shared" si="17"/>
        <v/>
      </c>
      <c r="AI30" s="816" t="str">
        <f t="shared" si="18"/>
        <v/>
      </c>
      <c r="AJ30" s="1314"/>
      <c r="AK30" s="782" t="str">
        <f t="shared" si="19"/>
        <v/>
      </c>
      <c r="AL30" s="754" t="str">
        <f t="shared" si="20"/>
        <v/>
      </c>
      <c r="AM30" s="754" t="str">
        <f t="shared" si="21"/>
        <v/>
      </c>
      <c r="AN30" s="1309"/>
      <c r="AO30" s="1310"/>
      <c r="AP30" s="1249"/>
      <c r="AQ30" s="213"/>
      <c r="AR30" s="593" t="str">
        <f t="shared" si="22"/>
        <v/>
      </c>
      <c r="AS30" s="593" t="str">
        <f t="shared" si="23"/>
        <v/>
      </c>
      <c r="AT30" s="593" t="str">
        <f>IF(OR(Compositions!BO123="",Compositions!N100="",Compositions!N100=0),"",Compositions!BO123/Compositions!N100)</f>
        <v/>
      </c>
      <c r="AU30" s="213"/>
      <c r="AV30" s="213"/>
      <c r="AW30" s="213"/>
      <c r="AX30" s="719" t="str">
        <f t="shared" si="24"/>
        <v/>
      </c>
      <c r="AY30" s="719" t="str">
        <f t="shared" si="25"/>
        <v/>
      </c>
      <c r="AZ30" s="719" t="str">
        <f t="shared" si="26"/>
        <v/>
      </c>
      <c r="BA30" s="1335"/>
      <c r="BB30" s="1336"/>
      <c r="BC30" s="213"/>
      <c r="BD30" s="719" t="str">
        <f t="shared" si="10"/>
        <v/>
      </c>
      <c r="BE30" s="719" t="str">
        <f t="shared" si="10"/>
        <v/>
      </c>
      <c r="BF30" s="719" t="str">
        <f t="shared" si="10"/>
        <v/>
      </c>
      <c r="BG30" s="1341"/>
      <c r="BH30" s="1342"/>
      <c r="BI30" s="213"/>
    </row>
    <row r="31" spans="1:61" ht="46.5" customHeight="1">
      <c r="A31" s="1404"/>
      <c r="B31" s="765" t="s">
        <v>319</v>
      </c>
      <c r="C31" s="323" t="str">
        <f>IF(C28="","",IF(C28="صنايع پتروشيمي و پالايشگاهي","صنايع پتروشيمي و پالايشگاهي","صنايع بالادستي نفت و گاز"))</f>
        <v/>
      </c>
      <c r="D31" s="248"/>
      <c r="E31" s="306"/>
      <c r="F31" s="305"/>
      <c r="G31" s="802"/>
      <c r="H31" s="837" t="str">
        <f>IF(F31="","",(IF(F31="حجم (sm3/year):",G31,IF(Compositions!T100="","در شيت Compositions تركيب درصد گاز ارسالي به فلر را وارد كنيد",((G31*1000)/Compositions!T100)))))</f>
        <v/>
      </c>
      <c r="I31" s="312" t="str">
        <f>IF(OR(C31="",D31="",E31=""),"",IF(Compositions!T97="","تركيب درصد گاز فلر را در صفحه Compositions وارد كنيد",Compositions!T97))</f>
        <v/>
      </c>
      <c r="J31" s="312" t="str">
        <f>IF(OR(C31="",D31="",E31=""),"",IF(Compositions!T96="","تركيب درصد گاز فلر را در صفحه Compositions وارد كنيد",Compositions!T96))</f>
        <v/>
      </c>
      <c r="K31" s="312" t="str">
        <f>IF(OR(C31="",D31="",E31=""),"",IF(Compositions!T99="","تركيب درصد گاز فلر را در صفحه Compositions وارد كنيد",Compositions!T99))</f>
        <v/>
      </c>
      <c r="L31" s="312" t="str">
        <f>IF(OR(C31="",D31="",E31=""),"",IF(Compositions!T98="","تركيب درصد گاز فلر را در صفحه Compositions وارد كنيد",Compositions!T98))</f>
        <v/>
      </c>
      <c r="M31" s="313" t="str">
        <f>IF(OR(C31="",D31="",E31=""),"",IF(Compositions!T100="","تركيب درصد گاز فلر را در صفحه Compositions وارد كنيد",Compositions!T100))</f>
        <v/>
      </c>
      <c r="N31" s="1400" t="str">
        <f>IF(OR(C31="",D31="",E31=""),"",IF(Compositions!T101="","تركيب درصد گاز فلر را در صفحه Compositions وارد كنيد",Compositions!T101))</f>
        <v/>
      </c>
      <c r="O31" s="1401"/>
      <c r="P31" s="314" t="str">
        <f t="shared" si="12"/>
        <v/>
      </c>
      <c r="Q31" s="315" t="str">
        <f t="shared" si="27"/>
        <v/>
      </c>
      <c r="R31" s="315" t="str">
        <f t="shared" si="28"/>
        <v/>
      </c>
      <c r="S31" s="1427"/>
      <c r="T31" s="1442"/>
      <c r="U31" s="311" t="str">
        <f t="shared" si="13"/>
        <v/>
      </c>
      <c r="V31" s="728" t="str">
        <f t="shared" si="14"/>
        <v/>
      </c>
      <c r="W31" s="728" t="str">
        <f t="shared" si="15"/>
        <v/>
      </c>
      <c r="X31" s="1427"/>
      <c r="Y31" s="1427"/>
      <c r="Z31" s="1191"/>
      <c r="AA31" s="458"/>
      <c r="AB31" s="548"/>
      <c r="AC31" s="800"/>
      <c r="AD31" s="693" t="str">
        <f>IF(OR(I31="تركيب درصد گاز فلر را در صفحه Compositions وارد كنيد",Compositions!BO128="",I31="",I31=0),"",Compositions!BO128/I31)</f>
        <v/>
      </c>
      <c r="AE31" s="693" t="str">
        <f>IF(OR(J31="تركيب درصد گاز فلر را در صفحه Compositions وارد كنيد",Compositions!BO129="",J31="",J31=0),"",Compositions!BO129/J31)</f>
        <v/>
      </c>
      <c r="AF31" s="652" t="str">
        <f>IF(OR(Compositions!BO133="",Compositions!T100="",Compositions!T100=0),"",Compositions!BO133/Compositions!T100)</f>
        <v/>
      </c>
      <c r="AG31" s="816" t="str">
        <f t="shared" si="16"/>
        <v/>
      </c>
      <c r="AH31" s="816" t="str">
        <f t="shared" si="17"/>
        <v/>
      </c>
      <c r="AI31" s="816" t="str">
        <f t="shared" si="18"/>
        <v/>
      </c>
      <c r="AJ31" s="1314"/>
      <c r="AK31" s="782" t="str">
        <f t="shared" si="19"/>
        <v/>
      </c>
      <c r="AL31" s="754" t="str">
        <f t="shared" si="20"/>
        <v/>
      </c>
      <c r="AM31" s="754" t="str">
        <f t="shared" si="21"/>
        <v/>
      </c>
      <c r="AN31" s="1309"/>
      <c r="AO31" s="1310"/>
      <c r="AP31" s="1249"/>
      <c r="AQ31" s="213"/>
      <c r="AR31" s="593" t="str">
        <f t="shared" si="22"/>
        <v/>
      </c>
      <c r="AS31" s="593" t="str">
        <f t="shared" si="23"/>
        <v/>
      </c>
      <c r="AT31" s="593" t="str">
        <f>IF(OR(Compositions!BO133="",Compositions!T100="",Compositions!T100=0),"",Compositions!BO133/Compositions!T100)</f>
        <v/>
      </c>
      <c r="AU31" s="213"/>
      <c r="AV31" s="213"/>
      <c r="AW31" s="213"/>
      <c r="AX31" s="719" t="str">
        <f t="shared" si="24"/>
        <v/>
      </c>
      <c r="AY31" s="719" t="str">
        <f t="shared" si="25"/>
        <v/>
      </c>
      <c r="AZ31" s="719" t="str">
        <f t="shared" si="26"/>
        <v/>
      </c>
      <c r="BA31" s="1335"/>
      <c r="BB31" s="1336"/>
      <c r="BC31" s="213"/>
      <c r="BD31" s="719" t="str">
        <f t="shared" si="10"/>
        <v/>
      </c>
      <c r="BE31" s="719" t="str">
        <f t="shared" si="10"/>
        <v/>
      </c>
      <c r="BF31" s="719" t="str">
        <f t="shared" si="10"/>
        <v/>
      </c>
      <c r="BG31" s="1341"/>
      <c r="BH31" s="1342"/>
      <c r="BI31" s="213"/>
    </row>
    <row r="32" spans="1:61" ht="46.5" customHeight="1">
      <c r="A32" s="1404"/>
      <c r="B32" s="765" t="s">
        <v>320</v>
      </c>
      <c r="C32" s="323" t="str">
        <f>IF(C28="","",IF(C28="صنايع پتروشيمي و پالايشگاهي","صنايع پتروشيمي و پالايشگاهي","صنايع بالادستي نفت و گاز"))</f>
        <v/>
      </c>
      <c r="D32" s="248"/>
      <c r="E32" s="306"/>
      <c r="F32" s="305"/>
      <c r="G32" s="802"/>
      <c r="H32" s="837" t="str">
        <f>IF(F32="","",(IF(F32="حجم (sm3/year):",G32,IF(Compositions!Z100="","در شيت Compositions تركيب درصد گاز ارسالي به فلر را وارد كنيد",((G32*1000)/Compositions!Z100)))))</f>
        <v/>
      </c>
      <c r="I32" s="307" t="str">
        <f>IF(OR(C32="",D32="",E32=""),"",IF(Compositions!Z97="","تركيب درصد گاز فلر را در صفحه Compositions وارد كنيد",Compositions!Z97))</f>
        <v/>
      </c>
      <c r="J32" s="307" t="str">
        <f>IF(OR(C32="",D32="",E32=""),"",IF(Compositions!Z96="","تركيب درصد گاز فلر را در صفحه Compositions وارد كنيد",Compositions!Z96))</f>
        <v/>
      </c>
      <c r="K32" s="307" t="str">
        <f>IF(OR(C32="",D32="",E32=""),"",IF(Compositions!Z99="","تركيب درصد گاز فلر را در صفحه Compositions وارد كنيد",Compositions!Z99))</f>
        <v/>
      </c>
      <c r="L32" s="307" t="str">
        <f>IF(OR(C32="",D32="",E32=""),"",IF(Compositions!Z98="","تركيب درصد گاز فلر را در صفحه Compositions وارد كنيد",Compositions!Z98))</f>
        <v/>
      </c>
      <c r="M32" s="307" t="str">
        <f>IF(OR(C32="",D32="",E32=""),"",IF(Compositions!Z100="","تركيب درصد گاز فلر را در صفحه Compositions وارد كنيد",Compositions!Z100))</f>
        <v/>
      </c>
      <c r="N32" s="1400" t="str">
        <f>IF(OR(C32="",D32="",E32=""),"",IF(Compositions!Z101="","تركيب درصد گاز فلر را در صفحه Compositions وارد كنيد",Compositions!Z101))</f>
        <v/>
      </c>
      <c r="O32" s="1401"/>
      <c r="P32" s="314" t="str">
        <f t="shared" si="12"/>
        <v/>
      </c>
      <c r="Q32" s="315" t="str">
        <f t="shared" si="27"/>
        <v/>
      </c>
      <c r="R32" s="315" t="str">
        <f t="shared" si="28"/>
        <v/>
      </c>
      <c r="S32" s="1427"/>
      <c r="T32" s="1442"/>
      <c r="U32" s="311" t="str">
        <f t="shared" si="13"/>
        <v/>
      </c>
      <c r="V32" s="728" t="str">
        <f t="shared" si="14"/>
        <v/>
      </c>
      <c r="W32" s="728" t="str">
        <f t="shared" si="15"/>
        <v/>
      </c>
      <c r="X32" s="1427"/>
      <c r="Y32" s="1427"/>
      <c r="Z32" s="1191"/>
      <c r="AA32" s="458"/>
      <c r="AB32" s="548"/>
      <c r="AC32" s="800"/>
      <c r="AD32" s="693" t="str">
        <f>IF(OR(I32="تركيب درصد گاز فلر را در صفحه Compositions وارد كنيد",Compositions!BO138="",I32="",I32=0),"",Compositions!BO138/I32)</f>
        <v/>
      </c>
      <c r="AE32" s="693" t="str">
        <f>IF(OR(J32="تركيب درصد گاز فلر را در صفحه Compositions وارد كنيد",Compositions!BO139="",J32="",J32=0),"",Compositions!BO139/J32)</f>
        <v/>
      </c>
      <c r="AF32" s="652" t="str">
        <f>IF(OR(Compositions!BO143="",Compositions!Z100="",Compositions!Z100=0),"",Compositions!BO143/Compositions!Z100)</f>
        <v/>
      </c>
      <c r="AG32" s="816" t="str">
        <f t="shared" si="16"/>
        <v/>
      </c>
      <c r="AH32" s="816" t="str">
        <f t="shared" si="17"/>
        <v/>
      </c>
      <c r="AI32" s="816" t="str">
        <f t="shared" si="18"/>
        <v/>
      </c>
      <c r="AJ32" s="1314"/>
      <c r="AK32" s="782" t="str">
        <f t="shared" si="19"/>
        <v/>
      </c>
      <c r="AL32" s="754" t="str">
        <f t="shared" si="20"/>
        <v/>
      </c>
      <c r="AM32" s="754" t="str">
        <f t="shared" si="21"/>
        <v/>
      </c>
      <c r="AN32" s="1309"/>
      <c r="AO32" s="1310"/>
      <c r="AP32" s="1249"/>
      <c r="AQ32" s="213"/>
      <c r="AR32" s="593" t="str">
        <f t="shared" si="22"/>
        <v/>
      </c>
      <c r="AS32" s="593" t="str">
        <f t="shared" si="23"/>
        <v/>
      </c>
      <c r="AT32" s="593" t="str">
        <f>IF(OR(Compositions!BO143="",Compositions!Z100="",Compositions!Z100=0),"",Compositions!BO143/Compositions!Z100)</f>
        <v/>
      </c>
      <c r="AU32" s="213"/>
      <c r="AV32" s="213"/>
      <c r="AW32" s="213"/>
      <c r="AX32" s="719" t="str">
        <f t="shared" si="24"/>
        <v/>
      </c>
      <c r="AY32" s="719" t="str">
        <f t="shared" si="25"/>
        <v/>
      </c>
      <c r="AZ32" s="719" t="str">
        <f t="shared" si="26"/>
        <v/>
      </c>
      <c r="BA32" s="1335"/>
      <c r="BB32" s="1336"/>
      <c r="BC32" s="213"/>
      <c r="BD32" s="719" t="str">
        <f t="shared" si="10"/>
        <v/>
      </c>
      <c r="BE32" s="719" t="str">
        <f t="shared" si="10"/>
        <v/>
      </c>
      <c r="BF32" s="719" t="str">
        <f t="shared" si="10"/>
        <v/>
      </c>
      <c r="BG32" s="1341"/>
      <c r="BH32" s="1342"/>
      <c r="BI32" s="213"/>
    </row>
    <row r="33" spans="1:63" ht="46.5" customHeight="1">
      <c r="A33" s="1404"/>
      <c r="B33" s="765" t="s">
        <v>321</v>
      </c>
      <c r="C33" s="323" t="str">
        <f>IF(C28="","",IF(C28="صنايع پتروشيمي و پالايشگاهي","صنايع پتروشيمي و پالايشگاهي","صنايع بالادستي نفت و گاز"))</f>
        <v/>
      </c>
      <c r="D33" s="248"/>
      <c r="E33" s="306"/>
      <c r="F33" s="305"/>
      <c r="G33" s="802"/>
      <c r="H33" s="837" t="str">
        <f>IF(F33="","",(IF(F33="حجم (sm3/year):",G33,IF(Compositions!AF100="","در شيت Compositions تركيب درصد گاز ارسالي به فلر را وارد كنيد",((G33*1000)/Compositions!AF100)))))</f>
        <v/>
      </c>
      <c r="I33" s="307" t="str">
        <f>IF(OR(C33="",D33="",E33=""),"",IF(Compositions!AF97="","تركيب درصد گاز فلر را در صفحه Compositions وارد كنيد",Compositions!AF97))</f>
        <v/>
      </c>
      <c r="J33" s="307" t="str">
        <f>IF(OR(C33="",D33="",E33=""),"",IF(Compositions!AF96="","تركيب درصد گاز فلر را در صفحه Compositions وارد كنيد",Compositions!AF96))</f>
        <v/>
      </c>
      <c r="K33" s="307" t="str">
        <f>IF(OR(C33="",D33="",E33=""),"",IF(Compositions!AF99="","تركيب درصد گاز فلر را در صفحه Compositions وارد كنيد",Compositions!AF99))</f>
        <v/>
      </c>
      <c r="L33" s="307" t="str">
        <f>IF(OR(C33="",D33="",E33=""),"",IF(Compositions!AF98="","تركيب درصد گاز فلر را در صفحه Compositions وارد كنيد",Compositions!AF98))</f>
        <v/>
      </c>
      <c r="M33" s="307" t="str">
        <f>IF(OR(C33="",D33="",E33=""),"",IF(Compositions!AF100="","تركيب درصد گاز فلر را در صفحه Compositions وارد كنيد",Compositions!AF100))</f>
        <v/>
      </c>
      <c r="N33" s="1400" t="str">
        <f>IF(OR(C33="",D33="",E33=""),"",IF(Compositions!AF101="","تركيب درصد گاز فلر را در صفحه Compositions وارد كنيد",Compositions!AF101))</f>
        <v/>
      </c>
      <c r="O33" s="1401"/>
      <c r="P33" s="314" t="str">
        <f>IF(C33="","",IF(C33="صنايع پتروشيمي و پالايشگاهي",29.26,IF(E33="","",IF(E33="فلر گرم ",0.0024,IF(L33="","",IF(L33="تركيب درصد گاز فلر را در صفحه Compositions وارد كنيد","",((62.5*L33*(10^9))/(10^12))        )  )         ))))</f>
        <v/>
      </c>
      <c r="Q33" s="315" t="str">
        <f>IF(C33="","",IF(C33="صنايع پتروشيمي و پالايشگاهي",133.4,IF(E33="","",IF(E33="فلر گرم ",0.0179,IF(N33="تركيب درصد گاز فلر را در صفحه Compositions وارد كنيد","",(IF(N33="","",(0.098*(N33/100))) ))     ))))</f>
        <v/>
      </c>
      <c r="R33" s="315" t="str">
        <f>IF(OR(C33="",D33="",E33=""),"",IF(AND(C33="صنايع بالادستي نفت و گاز",E33="فلر گرم "),0.0014,IF(AND(C33="صنايع پتروشيمي و پالايشگاهي",D33="فلر بدون دود"),0,IF(AND(C33="صنايع پتروشيمي و پالايشگاهي",D33="فلر با دود کم"),0.5,IF(AND(C33="صنايع پتروشيمي و پالايشگاهي",D33="فلر با دود متوسط"),2.2,IF(AND(C33="صنايع پتروشيمي و پالايشگاهي",D33="فلر با دود زیاد"),3.41,"ضريبي براي اين حالت  ارائه نشده است"))))))</f>
        <v/>
      </c>
      <c r="S33" s="1427"/>
      <c r="T33" s="1442"/>
      <c r="U33" s="311" t="str">
        <f t="shared" si="13"/>
        <v/>
      </c>
      <c r="V33" s="728" t="str">
        <f>IF(OR(H33="",Q33="",J33="",M33="",J33="تركيب درصد گاز فلر را در صفحه Compositions وارد كنيد"),"",IF(C33="صنايع پتروشيمي و پالايشگاهي",(Q33*J33*H33*(10^-6)),IF(C33="صنايع بالادستي نفت و گاز",(H33*M33*Q33*(10^-3)),"ND")))</f>
        <v/>
      </c>
      <c r="W33" s="728" t="str">
        <f t="shared" si="15"/>
        <v/>
      </c>
      <c r="X33" s="1427"/>
      <c r="Y33" s="1427"/>
      <c r="Z33" s="1191"/>
      <c r="AA33" s="458"/>
      <c r="AB33" s="548"/>
      <c r="AC33" s="800"/>
      <c r="AD33" s="693" t="str">
        <f>IF(OR(I33="تركيب درصد گاز فلر را در صفحه Compositions وارد كنيد",Compositions!BW98="",I33="",I33=0),"",Compositions!BW98/I33)</f>
        <v/>
      </c>
      <c r="AE33" s="693" t="str">
        <f>IF(OR(J33="تركيب درصد گاز فلر را در صفحه Compositions وارد كنيد",Compositions!BW99="",J33="",J33=0),"",Compositions!BW99/J33)</f>
        <v/>
      </c>
      <c r="AF33" s="652" t="str">
        <f>IF(OR(Compositions!BW103="",Compositions!AF100="",Compositions!AF100=0),"",Compositions!BW103/Compositions!AF100)</f>
        <v/>
      </c>
      <c r="AG33" s="816" t="str">
        <f t="shared" si="16"/>
        <v/>
      </c>
      <c r="AH33" s="816" t="str">
        <f t="shared" si="17"/>
        <v/>
      </c>
      <c r="AI33" s="816" t="str">
        <f t="shared" si="18"/>
        <v/>
      </c>
      <c r="AJ33" s="1314"/>
      <c r="AK33" s="782" t="str">
        <f t="shared" si="19"/>
        <v/>
      </c>
      <c r="AL33" s="754" t="str">
        <f t="shared" si="20"/>
        <v/>
      </c>
      <c r="AM33" s="754" t="str">
        <f t="shared" si="21"/>
        <v/>
      </c>
      <c r="AN33" s="1309"/>
      <c r="AO33" s="1310"/>
      <c r="AP33" s="1249"/>
      <c r="AQ33" s="213"/>
      <c r="AR33" s="593" t="str">
        <f t="shared" si="22"/>
        <v/>
      </c>
      <c r="AS33" s="593" t="str">
        <f t="shared" si="23"/>
        <v/>
      </c>
      <c r="AT33" s="593" t="str">
        <f>IF(OR(Compositions!BW103="",Compositions!AF100="",Compositions!AF100=0),"",Compositions!BW103/Compositions!AF100)</f>
        <v/>
      </c>
      <c r="AU33" s="213"/>
      <c r="AV33" s="213"/>
      <c r="AW33" s="213"/>
      <c r="AX33" s="719" t="str">
        <f t="shared" si="24"/>
        <v/>
      </c>
      <c r="AY33" s="719" t="str">
        <f t="shared" si="25"/>
        <v/>
      </c>
      <c r="AZ33" s="719" t="str">
        <f t="shared" si="26"/>
        <v/>
      </c>
      <c r="BA33" s="1335"/>
      <c r="BB33" s="1336"/>
      <c r="BC33" s="213"/>
      <c r="BD33" s="719" t="str">
        <f t="shared" si="10"/>
        <v/>
      </c>
      <c r="BE33" s="719" t="str">
        <f t="shared" si="10"/>
        <v/>
      </c>
      <c r="BF33" s="719" t="str">
        <f t="shared" si="10"/>
        <v/>
      </c>
      <c r="BG33" s="1341"/>
      <c r="BH33" s="1342"/>
      <c r="BI33" s="213"/>
    </row>
    <row r="34" spans="1:63" ht="46.5" customHeight="1">
      <c r="A34" s="1404"/>
      <c r="B34" s="765" t="s">
        <v>322</v>
      </c>
      <c r="C34" s="323" t="str">
        <f>IF(C28="","",IF(C28="صنايع پتروشيمي و پالايشگاهي","صنايع پتروشيمي و پالايشگاهي","صنايع بالادستي نفت و گاز"))</f>
        <v/>
      </c>
      <c r="D34" s="248"/>
      <c r="E34" s="306"/>
      <c r="F34" s="305"/>
      <c r="G34" s="802"/>
      <c r="H34" s="837" t="str">
        <f>IF(F34="","",(IF(F34="حجم (sm3/year):",G34,IF(Compositions!AL100="","در شيت Compositions تركيب درصد گاز ارسالي به فلر را وارد كنيد",((G34*1000)/Compositions!AL100)))))</f>
        <v/>
      </c>
      <c r="I34" s="307" t="str">
        <f>IF(OR(C34="",D34="",E34=""),"",IF(Compositions!AL97="","تركيب درصد گاز فلر را در صفحه Compositions وارد كنيد",Compositions!AL97))</f>
        <v/>
      </c>
      <c r="J34" s="307" t="str">
        <f>IF(OR(C34="",D34="",E34=""),"",IF(Compositions!AL96="","تركيب درصد گاز فلر را در صفحه Compositions وارد كنيد",Compositions!AL96))</f>
        <v/>
      </c>
      <c r="K34" s="307" t="str">
        <f>IF(OR(C34="",D34="",E34=""),"",IF(Compositions!AL99="","تركيب درصد گاز فلر را در صفحه Compositions وارد كنيد",Compositions!AL99))</f>
        <v/>
      </c>
      <c r="L34" s="307" t="str">
        <f>IF(OR(C34="",D34="",E34=""),"",IF(Compositions!AL98="","تركيب درصد گاز فلر را در صفحه Compositions وارد كنيد",Compositions!AL98))</f>
        <v/>
      </c>
      <c r="M34" s="307" t="str">
        <f>IF(OR(C34="",D34="",E34=""),"",IF(Compositions!AL100="","تركيب درصد گاز فلر را در صفحه Compositions وارد كنيد",Compositions!AL100))</f>
        <v/>
      </c>
      <c r="N34" s="1400" t="str">
        <f>IF(OR(C34="",D34="",E34=""),"",IF(Compositions!AL101="","تركيب درصد گاز فلر را در صفحه Compositions وارد كنيد",Compositions!AL101))</f>
        <v/>
      </c>
      <c r="O34" s="1401"/>
      <c r="P34" s="314" t="str">
        <f t="shared" ref="P34:P36" si="29">IF(C34="","",IF(C34="صنايع پتروشيمي و پالايشگاهي",29.26,IF(E34="","",IF(E34="فلر گرم ",0.0024,IF(L34="","",IF(L34="تركيب درصد گاز فلر را در صفحه Compositions وارد كنيد","",((62.5*L34*(10^9))/(10^12))        )  )         ))))</f>
        <v/>
      </c>
      <c r="Q34" s="315" t="str">
        <f t="shared" si="27"/>
        <v/>
      </c>
      <c r="R34" s="315" t="str">
        <f t="shared" ref="R34:R36" si="30">IF(OR(C34="",D34="",E34=""),"",IF(AND(C34="صنايع بالادستي نفت و گاز",E34="فلر گرم "),0.0014,IF(AND(C34="صنايع پتروشيمي و پالايشگاهي",D34="فلر بدون دود"),0,IF(AND(C34="صنايع پتروشيمي و پالايشگاهي",D34="فلر با دود کم"),0.5,IF(AND(C34="صنايع پتروشيمي و پالايشگاهي",D34="فلر با دود متوسط"),2.2,IF(AND(C34="صنايع پتروشيمي و پالايشگاهي",D34="فلر با دود زیاد"),3.41,"ضريبي براي اين حالت  ارائه نشده است"))))))</f>
        <v/>
      </c>
      <c r="S34" s="1427"/>
      <c r="T34" s="1442"/>
      <c r="U34" s="311" t="str">
        <f t="shared" si="13"/>
        <v/>
      </c>
      <c r="V34" s="728" t="str">
        <f t="shared" ref="V34:V37" si="31">IF(OR(H34="",Q34="",J34="",M34="",J34="تركيب درصد گاز فلر را در صفحه Compositions وارد كنيد"),"",IF(C34="صنايع پتروشيمي و پالايشگاهي",(Q34*J34*H34*(10^-6)),IF(C34="صنايع بالادستي نفت و گاز",(H34*M34*Q34*(10^-3)),"ND")))</f>
        <v/>
      </c>
      <c r="W34" s="728" t="str">
        <f t="shared" ref="W34:W37" si="32">IF(OR(H34="",R34="",J34="",M34="",J34="تركيب درصد گاز فلر را در صفحه Compositions وارد كنيد",R34="ضريبي براي اين حالت  ارائه نشده است"),"",IF(C34="صنايع پتروشيمي و پالايشگاهي",(R34*J34*H34*(10^-6)),IF(C34="صنايع بالادستي نفت و گاز",(H34*M34*R34*(10^-3)),"ND")))</f>
        <v/>
      </c>
      <c r="X34" s="1427"/>
      <c r="Y34" s="1427"/>
      <c r="Z34" s="1191"/>
      <c r="AA34" s="458"/>
      <c r="AB34" s="548"/>
      <c r="AC34" s="800"/>
      <c r="AD34" s="693" t="str">
        <f>IF(OR(I34="تركيب درصد گاز فلر را در صفحه Compositions وارد كنيد",Compositions!BW108="",I34="",I34=0),"",Compositions!BW108/I34)</f>
        <v/>
      </c>
      <c r="AE34" s="693" t="str">
        <f>IF(OR(J34="تركيب درصد گاز فلر را در صفحه Compositions وارد كنيد",Compositions!BW109="",J34="",J34=0),"",Compositions!BW109/J34)</f>
        <v/>
      </c>
      <c r="AF34" s="652" t="str">
        <f>IF(OR(Compositions!BW113="",Compositions!AL100="",Compositions!AL100=0),"",Compositions!BW113/Compositions!AL100)</f>
        <v/>
      </c>
      <c r="AG34" s="816" t="str">
        <f t="shared" si="16"/>
        <v/>
      </c>
      <c r="AH34" s="816" t="str">
        <f t="shared" si="17"/>
        <v/>
      </c>
      <c r="AI34" s="816" t="str">
        <f t="shared" si="18"/>
        <v/>
      </c>
      <c r="AJ34" s="1314"/>
      <c r="AK34" s="782" t="str">
        <f t="shared" si="19"/>
        <v/>
      </c>
      <c r="AL34" s="754" t="str">
        <f t="shared" si="20"/>
        <v/>
      </c>
      <c r="AM34" s="754" t="str">
        <f t="shared" si="21"/>
        <v/>
      </c>
      <c r="AN34" s="1309"/>
      <c r="AO34" s="1310"/>
      <c r="AP34" s="1249"/>
      <c r="AQ34" s="213"/>
      <c r="AR34" s="593" t="str">
        <f t="shared" si="22"/>
        <v/>
      </c>
      <c r="AS34" s="593" t="str">
        <f t="shared" si="23"/>
        <v/>
      </c>
      <c r="AT34" s="593" t="str">
        <f>IF(OR(Compositions!BW113="",Compositions!AL100="",Compositions!AL100=0),"",Compositions!BW113/Compositions!AL100)</f>
        <v/>
      </c>
      <c r="AU34" s="213"/>
      <c r="AV34" s="213"/>
      <c r="AW34" s="213"/>
      <c r="AX34" s="719" t="str">
        <f t="shared" si="24"/>
        <v/>
      </c>
      <c r="AY34" s="719" t="str">
        <f t="shared" si="25"/>
        <v/>
      </c>
      <c r="AZ34" s="719" t="str">
        <f t="shared" si="26"/>
        <v/>
      </c>
      <c r="BA34" s="1335"/>
      <c r="BB34" s="1336"/>
      <c r="BC34" s="213"/>
      <c r="BD34" s="719" t="str">
        <f t="shared" si="10"/>
        <v/>
      </c>
      <c r="BE34" s="719" t="str">
        <f t="shared" si="10"/>
        <v/>
      </c>
      <c r="BF34" s="719" t="str">
        <f t="shared" si="10"/>
        <v/>
      </c>
      <c r="BG34" s="1341"/>
      <c r="BH34" s="1342"/>
      <c r="BI34" s="213"/>
    </row>
    <row r="35" spans="1:63" ht="46.5" customHeight="1">
      <c r="A35" s="1404"/>
      <c r="B35" s="765" t="s">
        <v>545</v>
      </c>
      <c r="C35" s="323" t="str">
        <f>IF(C28="","",IF(C28="صنايع پتروشيمي و پالايشگاهي","صنايع پتروشيمي و پالايشگاهي","صنايع بالادستي نفت و گاز"))</f>
        <v/>
      </c>
      <c r="D35" s="248"/>
      <c r="E35" s="306"/>
      <c r="F35" s="305"/>
      <c r="G35" s="802"/>
      <c r="H35" s="837" t="str">
        <f>IF(F35="","",(IF(F35="حجم (sm3/year):",G35,IF(Compositions!AR100="","در شيت Compositions تركيب درصد گاز ارسالي به فلر را وارد كنيد",((G35*1000)/Compositions!AR100)))))</f>
        <v/>
      </c>
      <c r="I35" s="307" t="str">
        <f>IF(OR(C35="",D35="",E35=""),"",IF(Compositions!AR97="","تركيب درصد گاز فلر را در صفحه Compositions وارد كنيد",Compositions!AR97))</f>
        <v/>
      </c>
      <c r="J35" s="307" t="str">
        <f>IF(OR(C35="",D35="",E35=""),"",IF(Compositions!AR96="","تركيب درصد گاز فلر را در صفحه Compositions وارد كنيد",Compositions!AR96))</f>
        <v/>
      </c>
      <c r="K35" s="307" t="str">
        <f>IF(OR(C35="",D35="",E35=""),"",IF(Compositions!AR99="","تركيب درصد گاز فلر را در صفحه Compositions وارد كنيد",Compositions!AR99))</f>
        <v/>
      </c>
      <c r="L35" s="307" t="str">
        <f>IF(OR(C35="",D35="",E35=""),"",IF(Compositions!AR98="","تركيب درصد گاز فلر را در صفحه Compositions وارد كنيد",Compositions!AR98))</f>
        <v/>
      </c>
      <c r="M35" s="307" t="str">
        <f>IF(OR(C35="",D35="",E35=""),"",IF(Compositions!AR100="","تركيب درصد گاز فلر را در صفحه Compositions وارد كنيد",Compositions!AR100))</f>
        <v/>
      </c>
      <c r="N35" s="1400" t="str">
        <f>IF(OR(C35="",D35="",E35=""),"",IF(Compositions!AR101="","تركيب درصد گاز فلر را در صفحه Compositions وارد كنيد",Compositions!AR101))</f>
        <v/>
      </c>
      <c r="O35" s="1401"/>
      <c r="P35" s="314" t="str">
        <f t="shared" si="29"/>
        <v/>
      </c>
      <c r="Q35" s="315" t="str">
        <f t="shared" si="27"/>
        <v/>
      </c>
      <c r="R35" s="315" t="str">
        <f t="shared" si="30"/>
        <v/>
      </c>
      <c r="S35" s="1427"/>
      <c r="T35" s="1442"/>
      <c r="U35" s="311" t="str">
        <f t="shared" si="13"/>
        <v/>
      </c>
      <c r="V35" s="728" t="str">
        <f t="shared" si="31"/>
        <v/>
      </c>
      <c r="W35" s="728" t="str">
        <f t="shared" si="32"/>
        <v/>
      </c>
      <c r="X35" s="1427"/>
      <c r="Y35" s="1427"/>
      <c r="Z35" s="1191"/>
      <c r="AA35" s="458"/>
      <c r="AB35" s="548"/>
      <c r="AC35" s="800"/>
      <c r="AD35" s="693" t="str">
        <f>IF(OR(I35="تركيب درصد گاز فلر را در صفحه Compositions وارد كنيد",Compositions!BW118="",I35="",I35=0),"",Compositions!BW118/I35)</f>
        <v/>
      </c>
      <c r="AE35" s="693" t="str">
        <f>IF(OR(J35="تركيب درصد گاز فلر را در صفحه Compositions وارد كنيد",Compositions!BW119="",J35="",J35=0),"",Compositions!BW119/J35)</f>
        <v/>
      </c>
      <c r="AF35" s="652" t="str">
        <f>IF(OR(Compositions!BW123="",Compositions!AR100="",Compositions!AR100=0),"",Compositions!BW123/Compositions!AR100)</f>
        <v/>
      </c>
      <c r="AG35" s="816" t="str">
        <f t="shared" si="16"/>
        <v/>
      </c>
      <c r="AH35" s="816" t="str">
        <f t="shared" si="17"/>
        <v/>
      </c>
      <c r="AI35" s="816" t="str">
        <f t="shared" si="18"/>
        <v/>
      </c>
      <c r="AJ35" s="1314"/>
      <c r="AK35" s="782" t="str">
        <f t="shared" si="19"/>
        <v/>
      </c>
      <c r="AL35" s="754" t="str">
        <f t="shared" si="20"/>
        <v/>
      </c>
      <c r="AM35" s="754" t="str">
        <f t="shared" si="21"/>
        <v/>
      </c>
      <c r="AN35" s="1309"/>
      <c r="AO35" s="1310"/>
      <c r="AP35" s="1249"/>
      <c r="AQ35" s="213"/>
      <c r="AR35" s="593" t="str">
        <f t="shared" si="22"/>
        <v/>
      </c>
      <c r="AS35" s="593" t="str">
        <f t="shared" si="23"/>
        <v/>
      </c>
      <c r="AT35" s="593" t="str">
        <f>IF(OR(Compositions!BW123="",Compositions!AR100="",Compositions!AR100=0),"",Compositions!BW123/Compositions!AR100)</f>
        <v/>
      </c>
      <c r="AU35" s="213"/>
      <c r="AV35" s="213"/>
      <c r="AW35" s="213"/>
      <c r="AX35" s="719" t="str">
        <f t="shared" si="24"/>
        <v/>
      </c>
      <c r="AY35" s="719" t="str">
        <f t="shared" si="25"/>
        <v/>
      </c>
      <c r="AZ35" s="719" t="str">
        <f t="shared" si="26"/>
        <v/>
      </c>
      <c r="BA35" s="1335"/>
      <c r="BB35" s="1336"/>
      <c r="BC35" s="213"/>
      <c r="BD35" s="719" t="str">
        <f t="shared" si="10"/>
        <v/>
      </c>
      <c r="BE35" s="719" t="str">
        <f t="shared" si="10"/>
        <v/>
      </c>
      <c r="BF35" s="719" t="str">
        <f t="shared" si="10"/>
        <v/>
      </c>
      <c r="BG35" s="1341"/>
      <c r="BH35" s="1342"/>
      <c r="BI35" s="213"/>
    </row>
    <row r="36" spans="1:63" ht="46.5" customHeight="1">
      <c r="A36" s="1404"/>
      <c r="B36" s="765" t="s">
        <v>547</v>
      </c>
      <c r="C36" s="323" t="str">
        <f>IF(C28="","",IF(C28="صنايع پتروشيمي و پالايشگاهي","صنايع پتروشيمي و پالايشگاهي","صنايع بالادستي نفت و گاز"))</f>
        <v/>
      </c>
      <c r="D36" s="248"/>
      <c r="E36" s="306"/>
      <c r="F36" s="305"/>
      <c r="G36" s="802"/>
      <c r="H36" s="837" t="str">
        <f>IF(F36="","",(IF(F36="حجم (sm3/year):",G36,IF(Compositions!AX100="","در شيت Compositions تركيب درصد گاز ارسالي به فلر را وارد كنيد",((G36*1000)/Compositions!AX100)))))</f>
        <v/>
      </c>
      <c r="I36" s="307" t="str">
        <f>IF(OR(C36="",D36="",E36=""),"",IF(Compositions!AX97="","تركيب درصد گاز فلر را در صفحه Compositions وارد كنيد",Compositions!AX97))</f>
        <v/>
      </c>
      <c r="J36" s="307" t="str">
        <f>IF(OR(C36="",D36="",E36=""),"",IF(Compositions!AX96="","تركيب درصد گاز فلر را در صفحه Compositions وارد كنيد",Compositions!AX96))</f>
        <v/>
      </c>
      <c r="K36" s="307" t="str">
        <f>IF(OR(C36="",D36="",E36=""),"",IF(Compositions!AX99="","تركيب درصد گاز فلر را در صفحه Compositions وارد كنيد",Compositions!AX99))</f>
        <v/>
      </c>
      <c r="L36" s="307" t="str">
        <f>IF(OR(C36="",D36="",E36=""),"",IF(Compositions!AX98="","تركيب درصد گاز فلر را در صفحه Compositions وارد كنيد",Compositions!AX98))</f>
        <v/>
      </c>
      <c r="M36" s="307" t="str">
        <f>IF(OR(C36="",D36="",E36=""),"",IF(Compositions!AX100="","تركيب درصد گاز فلر را در صفحه Compositions وارد كنيد",Compositions!AX100))</f>
        <v/>
      </c>
      <c r="N36" s="1400" t="str">
        <f>IF(OR(C36="",D36="",E36=""),"",IF(Compositions!AX101="","تركيب درصد گاز فلر را در صفحه Compositions وارد كنيد",Compositions!AX101))</f>
        <v/>
      </c>
      <c r="O36" s="1401"/>
      <c r="P36" s="314" t="str">
        <f t="shared" si="29"/>
        <v/>
      </c>
      <c r="Q36" s="315" t="str">
        <f t="shared" si="27"/>
        <v/>
      </c>
      <c r="R36" s="315" t="str">
        <f t="shared" si="30"/>
        <v/>
      </c>
      <c r="S36" s="1427"/>
      <c r="T36" s="1442"/>
      <c r="U36" s="311" t="str">
        <f t="shared" si="13"/>
        <v/>
      </c>
      <c r="V36" s="728" t="str">
        <f t="shared" si="31"/>
        <v/>
      </c>
      <c r="W36" s="728" t="str">
        <f t="shared" si="32"/>
        <v/>
      </c>
      <c r="X36" s="1427"/>
      <c r="Y36" s="1427"/>
      <c r="Z36" s="1191"/>
      <c r="AA36" s="458"/>
      <c r="AB36" s="548"/>
      <c r="AC36" s="800"/>
      <c r="AD36" s="693" t="str">
        <f>IF(OR(I36="تركيب درصد گاز فلر را در صفحه Compositions وارد كنيد",Compositions!BW128="",I36="",I36=0),"",Compositions!BW128/I36)</f>
        <v/>
      </c>
      <c r="AE36" s="693" t="str">
        <f>IF(OR(J36="تركيب درصد گاز فلر را در صفحه Compositions وارد كنيد",Compositions!BW129="",J36="",J36=0),"",Compositions!BW129/J36)</f>
        <v/>
      </c>
      <c r="AF36" s="652" t="str">
        <f>IF(OR(Compositions!BW133="",Compositions!AX100="",Compositions!AX100=0),"",Compositions!BW133/Compositions!AX100)</f>
        <v/>
      </c>
      <c r="AG36" s="816" t="str">
        <f t="shared" si="16"/>
        <v/>
      </c>
      <c r="AH36" s="816" t="str">
        <f t="shared" si="17"/>
        <v/>
      </c>
      <c r="AI36" s="816" t="str">
        <f t="shared" si="18"/>
        <v/>
      </c>
      <c r="AJ36" s="1314"/>
      <c r="AK36" s="782" t="str">
        <f t="shared" si="19"/>
        <v/>
      </c>
      <c r="AL36" s="754" t="str">
        <f t="shared" si="20"/>
        <v/>
      </c>
      <c r="AM36" s="754" t="str">
        <f t="shared" si="21"/>
        <v/>
      </c>
      <c r="AN36" s="1309"/>
      <c r="AO36" s="1310"/>
      <c r="AP36" s="1249"/>
      <c r="AQ36" s="213"/>
      <c r="AR36" s="593" t="str">
        <f t="shared" si="22"/>
        <v/>
      </c>
      <c r="AS36" s="593" t="str">
        <f t="shared" si="23"/>
        <v/>
      </c>
      <c r="AT36" s="593" t="str">
        <f>IF(OR(Compositions!BW133="",Compositions!AX100="",Compositions!AX100=0),"",Compositions!BW133/Compositions!AX100)</f>
        <v/>
      </c>
      <c r="AU36" s="213"/>
      <c r="AV36" s="213"/>
      <c r="AW36" s="213"/>
      <c r="AX36" s="719" t="str">
        <f t="shared" si="24"/>
        <v/>
      </c>
      <c r="AY36" s="719" t="str">
        <f t="shared" si="25"/>
        <v/>
      </c>
      <c r="AZ36" s="719" t="str">
        <f t="shared" si="26"/>
        <v/>
      </c>
      <c r="BA36" s="1335"/>
      <c r="BB36" s="1336"/>
      <c r="BC36" s="213"/>
      <c r="BD36" s="719" t="str">
        <f t="shared" si="10"/>
        <v/>
      </c>
      <c r="BE36" s="719" t="str">
        <f t="shared" si="10"/>
        <v/>
      </c>
      <c r="BF36" s="719" t="str">
        <f t="shared" si="10"/>
        <v/>
      </c>
      <c r="BG36" s="1341"/>
      <c r="BH36" s="1342"/>
      <c r="BI36" s="213"/>
    </row>
    <row r="37" spans="1:63" ht="46.5" customHeight="1" thickBot="1">
      <c r="A37" s="1404"/>
      <c r="B37" s="769" t="s">
        <v>548</v>
      </c>
      <c r="C37" s="324" t="str">
        <f>IF(C28="","",IF(C28="صنايع پتروشيمي و پالايشگاهي","صنايع پتروشيمي و پالايشگاهي","صنايع بالادستي نفت و گاز"))</f>
        <v/>
      </c>
      <c r="D37" s="248"/>
      <c r="E37" s="306"/>
      <c r="F37" s="305"/>
      <c r="G37" s="802"/>
      <c r="H37" s="838" t="str">
        <f>IF(F37="","",(IF(F37="حجم (sm3/year):",G37,IF(Compositions!BD100="","در شيت Compositions تركيب درصد گاز ارسالي به فلر را وارد كنيد",((G37*1000)/Compositions!BD100)))))</f>
        <v/>
      </c>
      <c r="I37" s="307" t="str">
        <f>IF(OR(C37="",D37="",E37=""),"",IF(Compositions!BD97="","تركيب درصد گاز فلر را در صفحه Compositions وارد كنيد",Compositions!BD97))</f>
        <v/>
      </c>
      <c r="J37" s="307" t="str">
        <f>IF(OR(C37="",D37="",E37=""),"",IF(Compositions!BD96="","تركيب درصد گاز فلر را در صفحه Compositions وارد كنيد",Compositions!BD96))</f>
        <v/>
      </c>
      <c r="K37" s="307" t="str">
        <f>IF(OR(C37="",D37="",E37=""),"",IF(Compositions!BD99="","تركيب درصد گاز فلر را در صفحه Compositions وارد كنيد",Compositions!BD99))</f>
        <v/>
      </c>
      <c r="L37" s="307" t="str">
        <f>IF(OR(C37="",D37="",E37=""),"",IF(Compositions!BD98="","تركيب درصد گاز فلر را در صفحه Compositions وارد كنيد",Compositions!BD98))</f>
        <v/>
      </c>
      <c r="M37" s="307" t="str">
        <f>IF(OR(C37="",D37="",E37=""),"",IF(Compositions!BD100="","تركيب درصد گاز فلر را در صفحه Compositions وارد كنيد",Compositions!BD100))</f>
        <v/>
      </c>
      <c r="N37" s="1400" t="str">
        <f>IF(OR(C37="",D37="",E37=""),"",IF(Compositions!BD101="","تركيب درصد گاز فلر را در صفحه Compositions وارد كنيد",Compositions!BD101))</f>
        <v/>
      </c>
      <c r="O37" s="1401"/>
      <c r="P37" s="314" t="str">
        <f>IF(C37="","",IF(C37="صنايع پتروشيمي و پالايشگاهي",29.26,IF(E37="","",IF(E37="فلر گرم ",0.0024,IF(L37="","",IF(L37="تركيب درصد گاز فلر را در صفحه Compositions وارد كنيد","",((62.5*L37*(10^9))/(10^12))        )  )         ))))</f>
        <v/>
      </c>
      <c r="Q37" s="315" t="str">
        <f t="shared" si="27"/>
        <v/>
      </c>
      <c r="R37" s="315" t="str">
        <f>IF(OR(C37="",D37="",E37=""),"",IF(AND(C37="صنايع بالادستي نفت و گاز",E37="فلر گرم "),0.0014,IF(AND(C37="صنايع پتروشيمي و پالايشگاهي",D37="فلر بدون دود"),0,IF(AND(C37="صنايع پتروشيمي و پالايشگاهي",D37="فلر با دود کم"),0.5,IF(AND(C37="صنايع پتروشيمي و پالايشگاهي",D37="فلر با دود متوسط"),2.2,IF(AND(C37="صنايع پتروشيمي و پالايشگاهي",D37="فلر با دود زیاد"),3.41,"ضريبي براي اين حالت  ارائه نشده است"))))))</f>
        <v/>
      </c>
      <c r="S37" s="1427"/>
      <c r="T37" s="1442"/>
      <c r="U37" s="311" t="str">
        <f t="shared" si="13"/>
        <v/>
      </c>
      <c r="V37" s="728" t="str">
        <f t="shared" si="31"/>
        <v/>
      </c>
      <c r="W37" s="728" t="str">
        <f t="shared" si="32"/>
        <v/>
      </c>
      <c r="X37" s="1427"/>
      <c r="Y37" s="1427"/>
      <c r="Z37" s="1191"/>
      <c r="AA37" s="458"/>
      <c r="AB37" s="548"/>
      <c r="AC37" s="647"/>
      <c r="AD37" s="693" t="str">
        <f>IF(OR(I37="تركيب درصد گاز فلر را در صفحه Compositions وارد كنيد",Compositions!BW138="",I37="",I37=0),"",Compositions!BW138/I37)</f>
        <v/>
      </c>
      <c r="AE37" s="693" t="str">
        <f>IF(OR(J37="تركيب درصد گاز فلر را در صفحه Compositions وارد كنيد",Compositions!BW139="",J37="",J37=0),"",Compositions!BW139/J37)</f>
        <v/>
      </c>
      <c r="AF37" s="653" t="str">
        <f>IF(OR(Compositions!BW143="",Compositions!BD100="",Compositions!BD100=0),"",Compositions!BW143/Compositions!BD100)</f>
        <v/>
      </c>
      <c r="AG37" s="817" t="str">
        <f t="shared" si="16"/>
        <v/>
      </c>
      <c r="AH37" s="817" t="str">
        <f t="shared" si="17"/>
        <v/>
      </c>
      <c r="AI37" s="817" t="str">
        <f t="shared" si="18"/>
        <v/>
      </c>
      <c r="AJ37" s="1315"/>
      <c r="AK37" s="784" t="str">
        <f>IF(C37="","",IF(C37="صنايع پتروشيمي و پالايشگاهي",IF(OR(AS37="",AD37="",AG37=""),"",   SQRT((AS37)^2+(AD37)^2+(AG37)^2)  ),        IF(OR(AR37="",AG37=""),"",SQRT((AR37)^2+(AG37)^2) )          ))</f>
        <v/>
      </c>
      <c r="AL37" s="756" t="str">
        <f>IF(C37="","",IF(C37="صنايع پتروشيمي و پالايشگاهي",IF(OR(AS37="",AE37="",AH37=""),"",   SQRT((AS37)^2+(AE37)^2+(AH37)^2)  ),        IF(OR(AR37="",AH37=""),"",SQRT((AR37)^2+(AH37)^2) )          ))</f>
        <v/>
      </c>
      <c r="AM37" s="756" t="str">
        <f>IF(C37="","",IF(C37="صنايع پتروشيمي و پالايشگاهي",IF(OR(AS37="",AE37="",AI37=""),"",   SQRT((AS37)^2+(AE37)^2+(AI37)^2)  ),        IF(OR(AR37="",AI37=""),"",SQRT((AR37)^2+(AI37)^2) )          ))</f>
        <v/>
      </c>
      <c r="AN37" s="1311"/>
      <c r="AO37" s="1312"/>
      <c r="AP37" s="1270"/>
      <c r="AQ37" s="213"/>
      <c r="AR37" s="593" t="str">
        <f t="shared" si="22"/>
        <v/>
      </c>
      <c r="AS37" s="593" t="str">
        <f t="shared" si="23"/>
        <v/>
      </c>
      <c r="AT37" s="593" t="str">
        <f>IF(OR(Compositions!BW143="",Compositions!BD100="",Compositions!BD100=0),"",Compositions!BW143/Compositions!BD100)</f>
        <v/>
      </c>
      <c r="AU37" s="213"/>
      <c r="AV37" s="213"/>
      <c r="AW37" s="213"/>
      <c r="AX37" s="719" t="str">
        <f t="shared" si="24"/>
        <v/>
      </c>
      <c r="AY37" s="719" t="str">
        <f t="shared" si="25"/>
        <v/>
      </c>
      <c r="AZ37" s="719" t="str">
        <f t="shared" si="26"/>
        <v/>
      </c>
      <c r="BA37" s="1337"/>
      <c r="BB37" s="1338"/>
      <c r="BC37" s="213"/>
      <c r="BD37" s="719" t="str">
        <f t="shared" si="10"/>
        <v/>
      </c>
      <c r="BE37" s="719" t="str">
        <f t="shared" si="10"/>
        <v/>
      </c>
      <c r="BF37" s="719" t="str">
        <f t="shared" si="10"/>
        <v/>
      </c>
      <c r="BG37" s="1343"/>
      <c r="BH37" s="1344"/>
      <c r="BI37" s="213"/>
    </row>
    <row r="38" spans="1:63" ht="25.05" customHeight="1" thickBot="1">
      <c r="A38" s="1372"/>
      <c r="B38" s="1373"/>
      <c r="C38" s="1374"/>
      <c r="D38" s="1374"/>
      <c r="E38" s="1374"/>
      <c r="F38" s="1374"/>
      <c r="G38" s="1374"/>
      <c r="H38" s="1374"/>
      <c r="I38" s="1374"/>
      <c r="J38" s="1374"/>
      <c r="K38" s="1374"/>
      <c r="L38" s="1374"/>
      <c r="M38" s="1374"/>
      <c r="N38" s="1374"/>
      <c r="O38" s="1374"/>
      <c r="P38" s="1374"/>
      <c r="Q38" s="1374"/>
      <c r="R38" s="1374"/>
      <c r="S38" s="1374"/>
      <c r="T38" s="1374"/>
      <c r="U38" s="1374"/>
      <c r="V38" s="1374"/>
      <c r="W38" s="1374"/>
      <c r="X38" s="1374"/>
      <c r="Y38" s="1374"/>
      <c r="Z38" s="1375"/>
      <c r="AA38" s="478"/>
      <c r="AB38" s="1244"/>
      <c r="AC38" s="1447"/>
      <c r="AD38" s="1447"/>
      <c r="AE38" s="1447"/>
      <c r="AF38" s="1447"/>
      <c r="AG38" s="1447"/>
      <c r="AH38" s="1447"/>
      <c r="AI38" s="1447"/>
      <c r="AJ38" s="1447"/>
      <c r="AK38" s="1447"/>
      <c r="AL38" s="1447"/>
      <c r="AM38" s="1447"/>
      <c r="AN38" s="1447"/>
      <c r="AO38" s="1447"/>
      <c r="AP38" s="1246"/>
      <c r="AQ38" s="213"/>
      <c r="AR38" s="213"/>
      <c r="AS38" s="213"/>
      <c r="AT38" s="213"/>
      <c r="AU38" s="213"/>
      <c r="AV38" s="213"/>
      <c r="AW38" s="213"/>
      <c r="AX38" s="213"/>
      <c r="AY38" s="213"/>
      <c r="AZ38" s="213"/>
      <c r="BA38" s="213"/>
      <c r="BB38" s="213"/>
      <c r="BC38" s="213"/>
      <c r="BD38" s="213"/>
      <c r="BE38" s="213"/>
      <c r="BF38" s="213"/>
      <c r="BG38" s="213"/>
      <c r="BH38" s="213"/>
      <c r="BI38" s="213"/>
      <c r="BJ38" s="213"/>
      <c r="BK38" s="213"/>
    </row>
    <row r="39" spans="1:63" ht="15.45" customHeight="1">
      <c r="A39" s="458"/>
      <c r="B39" s="458"/>
      <c r="C39" s="458"/>
      <c r="D39" s="458"/>
      <c r="E39" s="458"/>
      <c r="F39" s="458"/>
      <c r="G39" s="458"/>
      <c r="H39" s="458"/>
      <c r="I39" s="458"/>
      <c r="J39" s="458"/>
      <c r="K39" s="458"/>
      <c r="L39" s="458"/>
      <c r="M39" s="458"/>
      <c r="N39" s="458"/>
      <c r="O39" s="458"/>
      <c r="P39" s="458"/>
      <c r="Q39" s="458"/>
      <c r="R39" s="458"/>
      <c r="S39" s="458"/>
      <c r="T39" s="458"/>
      <c r="U39" s="458"/>
      <c r="V39" s="458"/>
      <c r="W39" s="458"/>
      <c r="X39" s="458"/>
      <c r="Y39" s="458"/>
      <c r="Z39" s="458"/>
      <c r="AA39" s="478"/>
      <c r="AB39" s="478"/>
      <c r="AC39" s="478"/>
      <c r="AD39" s="478"/>
      <c r="AE39" s="478"/>
      <c r="AF39" s="478"/>
      <c r="AG39" s="478"/>
      <c r="AH39" s="478"/>
      <c r="AI39" s="478"/>
      <c r="AJ39" s="478"/>
      <c r="AK39" s="478"/>
      <c r="AL39" s="478"/>
      <c r="AM39" s="478"/>
      <c r="AN39" s="478"/>
      <c r="AO39" s="478"/>
      <c r="AP39" s="478"/>
      <c r="AQ39" s="213"/>
      <c r="AR39" s="213"/>
      <c r="AS39" s="213"/>
      <c r="AT39" s="213"/>
      <c r="AU39" s="213"/>
      <c r="AV39" s="213"/>
      <c r="AW39" s="213"/>
      <c r="AX39" s="213"/>
      <c r="AY39" s="213"/>
      <c r="AZ39" s="213"/>
      <c r="BA39" s="213"/>
      <c r="BB39" s="213"/>
      <c r="BC39" s="213"/>
      <c r="BD39" s="213"/>
      <c r="BE39" s="213"/>
      <c r="BF39" s="213"/>
      <c r="BG39" s="213"/>
      <c r="BH39" s="213"/>
      <c r="BI39" s="213"/>
      <c r="BJ39" s="213"/>
      <c r="BK39" s="213"/>
    </row>
    <row r="40" spans="1:63" ht="15.45" customHeight="1">
      <c r="A40" s="458"/>
      <c r="B40" s="458"/>
      <c r="C40" s="458"/>
      <c r="D40" s="458"/>
      <c r="E40" s="458"/>
      <c r="F40" s="458"/>
      <c r="G40" s="458"/>
      <c r="H40" s="458"/>
      <c r="I40" s="458"/>
      <c r="J40" s="458"/>
      <c r="K40" s="458"/>
      <c r="L40" s="458"/>
      <c r="M40" s="458"/>
      <c r="N40" s="458"/>
      <c r="O40" s="458"/>
      <c r="P40" s="458"/>
      <c r="Q40" s="458"/>
      <c r="R40" s="458"/>
      <c r="S40" s="458"/>
      <c r="T40" s="458"/>
      <c r="U40" s="458"/>
      <c r="V40" s="458"/>
      <c r="W40" s="458"/>
      <c r="X40" s="458"/>
      <c r="Y40" s="458"/>
      <c r="Z40" s="458"/>
      <c r="AA40" s="478"/>
      <c r="AB40" s="478"/>
      <c r="AC40" s="478"/>
      <c r="AD40" s="478"/>
      <c r="AE40" s="478"/>
      <c r="AF40" s="478"/>
      <c r="AG40" s="478"/>
      <c r="AH40" s="478"/>
      <c r="AI40" s="478"/>
      <c r="AJ40" s="478"/>
      <c r="AK40" s="478"/>
      <c r="AL40" s="478"/>
      <c r="AM40" s="478"/>
      <c r="AN40" s="478"/>
      <c r="AO40" s="478"/>
      <c r="AP40" s="478"/>
      <c r="AQ40" s="213"/>
      <c r="AR40" s="213"/>
      <c r="AS40" s="213"/>
      <c r="AT40" s="213"/>
      <c r="AU40" s="213"/>
      <c r="AV40" s="213"/>
      <c r="AW40" s="213"/>
      <c r="AX40" s="213"/>
      <c r="AY40" s="213"/>
      <c r="AZ40" s="213"/>
      <c r="BA40" s="213"/>
      <c r="BB40" s="213"/>
      <c r="BC40" s="213"/>
      <c r="BD40" s="213"/>
      <c r="BE40" s="213"/>
      <c r="BF40" s="213"/>
      <c r="BG40" s="213"/>
      <c r="BH40" s="213"/>
      <c r="BI40" s="213"/>
      <c r="BJ40" s="213"/>
      <c r="BK40" s="213"/>
    </row>
    <row r="41" spans="1:63" ht="15.45" customHeight="1" thickBot="1">
      <c r="A41" s="458"/>
      <c r="B41" s="458"/>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78"/>
      <c r="AB41" s="478"/>
      <c r="AC41" s="478"/>
      <c r="AD41" s="478"/>
      <c r="AE41" s="478"/>
      <c r="AF41" s="478"/>
      <c r="AG41" s="478"/>
      <c r="AH41" s="478"/>
      <c r="AI41" s="478"/>
      <c r="AJ41" s="478"/>
      <c r="AK41" s="478"/>
      <c r="AL41" s="478"/>
      <c r="AM41" s="478"/>
      <c r="AN41" s="478"/>
      <c r="AO41" s="478"/>
      <c r="AP41" s="478"/>
      <c r="AQ41" s="213"/>
      <c r="AR41" s="213"/>
      <c r="AS41" s="213"/>
      <c r="AT41" s="213"/>
      <c r="AU41" s="213"/>
      <c r="AV41" s="213"/>
      <c r="AW41" s="213"/>
      <c r="AX41" s="213"/>
      <c r="AY41" s="213"/>
      <c r="AZ41" s="213"/>
      <c r="BA41" s="213"/>
      <c r="BB41" s="213"/>
      <c r="BC41" s="213"/>
      <c r="BD41" s="213"/>
      <c r="BE41" s="213"/>
      <c r="BF41" s="213"/>
      <c r="BG41" s="213"/>
      <c r="BH41" s="213"/>
      <c r="BI41" s="213"/>
      <c r="BJ41" s="213"/>
      <c r="BK41" s="213"/>
    </row>
    <row r="42" spans="1:63" s="213" customFormat="1" ht="23.4">
      <c r="A42" s="1015" t="s">
        <v>844</v>
      </c>
      <c r="B42" s="1016"/>
      <c r="C42" s="1016"/>
      <c r="D42" s="1016"/>
      <c r="E42" s="1016"/>
      <c r="F42" s="1016"/>
      <c r="G42" s="1016"/>
      <c r="H42" s="1016"/>
      <c r="I42" s="1016"/>
      <c r="J42" s="1016"/>
      <c r="K42" s="1016"/>
      <c r="L42" s="1016"/>
      <c r="M42" s="1017"/>
      <c r="N42" s="1438" t="s">
        <v>752</v>
      </c>
      <c r="O42" s="1439"/>
      <c r="P42" s="1439"/>
      <c r="Q42" s="1439"/>
      <c r="R42" s="1439"/>
      <c r="S42" s="1439"/>
      <c r="T42" s="1439"/>
      <c r="U42" s="1439"/>
      <c r="V42" s="1439"/>
      <c r="W42" s="1439"/>
      <c r="X42" s="1439"/>
      <c r="Y42" s="1439"/>
      <c r="Z42" s="1440"/>
      <c r="AA42" s="478"/>
      <c r="AB42" s="1015" t="s">
        <v>1292</v>
      </c>
      <c r="AC42" s="1284"/>
      <c r="AD42" s="1284"/>
      <c r="AE42" s="1284"/>
      <c r="AF42" s="1284"/>
      <c r="AG42" s="1284"/>
      <c r="AH42" s="1284"/>
      <c r="AI42" s="1284"/>
      <c r="AJ42" s="1284"/>
      <c r="AK42" s="1284"/>
      <c r="AL42" s="1284"/>
      <c r="AM42" s="1284"/>
      <c r="AN42" s="1284"/>
      <c r="AO42" s="1285"/>
      <c r="AP42" s="478"/>
    </row>
    <row r="43" spans="1:63" s="213" customFormat="1" ht="29.55" customHeight="1">
      <c r="A43" s="1218" t="s">
        <v>1059</v>
      </c>
      <c r="B43" s="1219"/>
      <c r="C43" s="1219"/>
      <c r="D43" s="1219"/>
      <c r="E43" s="1219"/>
      <c r="F43" s="1219"/>
      <c r="G43" s="1219"/>
      <c r="H43" s="1219"/>
      <c r="I43" s="1219"/>
      <c r="J43" s="1219"/>
      <c r="K43" s="1219"/>
      <c r="L43" s="1219"/>
      <c r="M43" s="1220"/>
      <c r="N43" s="1420"/>
      <c r="O43" s="1421"/>
      <c r="P43" s="1421"/>
      <c r="Q43" s="1421"/>
      <c r="R43" s="1421"/>
      <c r="S43" s="1421"/>
      <c r="T43" s="1421"/>
      <c r="U43" s="1421"/>
      <c r="V43" s="1421"/>
      <c r="W43" s="1421"/>
      <c r="X43" s="1421"/>
      <c r="Y43" s="1421"/>
      <c r="Z43" s="1422"/>
      <c r="AA43" s="478"/>
      <c r="AB43" s="1039" t="s">
        <v>1522</v>
      </c>
      <c r="AC43" s="1037"/>
      <c r="AD43" s="1037"/>
      <c r="AE43" s="1037"/>
      <c r="AF43" s="1037"/>
      <c r="AG43" s="1037"/>
      <c r="AH43" s="1037"/>
      <c r="AI43" s="1037"/>
      <c r="AJ43" s="1037"/>
      <c r="AK43" s="1037"/>
      <c r="AL43" s="1037"/>
      <c r="AM43" s="1037"/>
      <c r="AN43" s="1037"/>
      <c r="AO43" s="1038"/>
      <c r="AP43" s="478"/>
    </row>
    <row r="44" spans="1:63" s="213" customFormat="1" ht="86.55" customHeight="1" thickBot="1">
      <c r="A44" s="1283" t="s">
        <v>1060</v>
      </c>
      <c r="B44" s="1216"/>
      <c r="C44" s="1216"/>
      <c r="D44" s="1216"/>
      <c r="E44" s="1216"/>
      <c r="F44" s="1216"/>
      <c r="G44" s="1216"/>
      <c r="H44" s="1216"/>
      <c r="I44" s="1216"/>
      <c r="J44" s="1216"/>
      <c r="K44" s="1216"/>
      <c r="L44" s="1216"/>
      <c r="M44" s="1217"/>
      <c r="N44" s="1423"/>
      <c r="O44" s="1424"/>
      <c r="P44" s="1424"/>
      <c r="Q44" s="1424"/>
      <c r="R44" s="1424"/>
      <c r="S44" s="1424"/>
      <c r="T44" s="1424"/>
      <c r="U44" s="1424"/>
      <c r="V44" s="1424"/>
      <c r="W44" s="1424"/>
      <c r="X44" s="1424"/>
      <c r="Y44" s="1424"/>
      <c r="Z44" s="1425"/>
      <c r="AA44" s="478"/>
      <c r="AB44" s="1039"/>
      <c r="AC44" s="1037"/>
      <c r="AD44" s="1037"/>
      <c r="AE44" s="1037"/>
      <c r="AF44" s="1037"/>
      <c r="AG44" s="1037"/>
      <c r="AH44" s="1037"/>
      <c r="AI44" s="1037"/>
      <c r="AJ44" s="1037"/>
      <c r="AK44" s="1037"/>
      <c r="AL44" s="1037"/>
      <c r="AM44" s="1037"/>
      <c r="AN44" s="1037"/>
      <c r="AO44" s="1038"/>
      <c r="AP44" s="478"/>
    </row>
    <row r="45" spans="1:63" ht="27.45" customHeight="1" thickBot="1">
      <c r="A45" s="1015" t="s">
        <v>758</v>
      </c>
      <c r="B45" s="1016"/>
      <c r="C45" s="1016"/>
      <c r="D45" s="1016"/>
      <c r="E45" s="1016"/>
      <c r="F45" s="1016"/>
      <c r="G45" s="1016"/>
      <c r="H45" s="1016"/>
      <c r="I45" s="1016"/>
      <c r="J45" s="1016"/>
      <c r="K45" s="1016"/>
      <c r="L45" s="1016"/>
      <c r="M45" s="1017"/>
      <c r="N45" s="1438" t="s">
        <v>752</v>
      </c>
      <c r="O45" s="1439"/>
      <c r="P45" s="1439"/>
      <c r="Q45" s="1439"/>
      <c r="R45" s="1439"/>
      <c r="S45" s="1439"/>
      <c r="T45" s="1439"/>
      <c r="U45" s="1439"/>
      <c r="V45" s="1439"/>
      <c r="W45" s="1439"/>
      <c r="X45" s="1439"/>
      <c r="Y45" s="1439"/>
      <c r="Z45" s="1440"/>
      <c r="AA45" s="458"/>
      <c r="AB45" s="1283"/>
      <c r="AC45" s="1216"/>
      <c r="AD45" s="1216"/>
      <c r="AE45" s="1216"/>
      <c r="AF45" s="1216"/>
      <c r="AG45" s="1216"/>
      <c r="AH45" s="1216"/>
      <c r="AI45" s="1216"/>
      <c r="AJ45" s="1216"/>
      <c r="AK45" s="1216"/>
      <c r="AL45" s="1216"/>
      <c r="AM45" s="1216"/>
      <c r="AN45" s="1216"/>
      <c r="AO45" s="1217"/>
      <c r="AP45" s="458"/>
    </row>
    <row r="46" spans="1:63" ht="81" customHeight="1">
      <c r="A46" s="1018" t="s">
        <v>1065</v>
      </c>
      <c r="B46" s="1019"/>
      <c r="C46" s="1019"/>
      <c r="D46" s="1019"/>
      <c r="E46" s="1019"/>
      <c r="F46" s="1019"/>
      <c r="G46" s="1019"/>
      <c r="H46" s="1019"/>
      <c r="I46" s="1019"/>
      <c r="J46" s="1019"/>
      <c r="K46" s="1019"/>
      <c r="L46" s="1019"/>
      <c r="M46" s="1020"/>
      <c r="N46" s="1420"/>
      <c r="O46" s="1421"/>
      <c r="P46" s="1421"/>
      <c r="Q46" s="1421"/>
      <c r="R46" s="1421"/>
      <c r="S46" s="1421"/>
      <c r="T46" s="1421"/>
      <c r="U46" s="1421"/>
      <c r="V46" s="1421"/>
      <c r="W46" s="1421"/>
      <c r="X46" s="1421"/>
      <c r="Y46" s="1421"/>
      <c r="Z46" s="1422"/>
      <c r="AA46" s="458"/>
      <c r="AB46" s="458"/>
      <c r="AC46" s="458"/>
      <c r="AD46" s="458"/>
      <c r="AE46" s="458"/>
      <c r="AF46" s="458"/>
      <c r="AG46" s="458"/>
      <c r="AH46" s="458"/>
      <c r="AI46" s="458"/>
      <c r="AJ46" s="458"/>
      <c r="AK46" s="458"/>
      <c r="AL46" s="458"/>
      <c r="AM46" s="458"/>
      <c r="AN46" s="458"/>
      <c r="AO46" s="458"/>
      <c r="AP46" s="458"/>
    </row>
    <row r="47" spans="1:63" ht="25.95" customHeight="1">
      <c r="A47" s="1021" t="s">
        <v>1063</v>
      </c>
      <c r="B47" s="1022"/>
      <c r="C47" s="1022"/>
      <c r="D47" s="1022"/>
      <c r="E47" s="1022"/>
      <c r="F47" s="1022"/>
      <c r="G47" s="1022"/>
      <c r="H47" s="1022"/>
      <c r="I47" s="1022"/>
      <c r="J47" s="1022"/>
      <c r="K47" s="1022"/>
      <c r="L47" s="1022"/>
      <c r="M47" s="1023"/>
      <c r="N47" s="1420"/>
      <c r="O47" s="1421"/>
      <c r="P47" s="1421"/>
      <c r="Q47" s="1421"/>
      <c r="R47" s="1421"/>
      <c r="S47" s="1421"/>
      <c r="T47" s="1421"/>
      <c r="U47" s="1421"/>
      <c r="V47" s="1421"/>
      <c r="W47" s="1421"/>
      <c r="X47" s="1421"/>
      <c r="Y47" s="1421"/>
      <c r="Z47" s="1422"/>
      <c r="AA47" s="458"/>
      <c r="AB47" s="458"/>
      <c r="AC47" s="458"/>
      <c r="AD47" s="458"/>
      <c r="AE47" s="458"/>
      <c r="AF47" s="458"/>
      <c r="AG47" s="458"/>
      <c r="AH47" s="458"/>
      <c r="AI47" s="458"/>
      <c r="AJ47" s="458"/>
      <c r="AK47" s="458"/>
      <c r="AL47" s="458"/>
      <c r="AM47" s="458"/>
      <c r="AN47" s="458"/>
      <c r="AO47" s="458"/>
      <c r="AP47" s="458"/>
    </row>
    <row r="48" spans="1:63" ht="48" customHeight="1">
      <c r="A48" s="1021" t="s">
        <v>1532</v>
      </c>
      <c r="B48" s="1022"/>
      <c r="C48" s="1022"/>
      <c r="D48" s="1022"/>
      <c r="E48" s="1022"/>
      <c r="F48" s="1022"/>
      <c r="G48" s="1022"/>
      <c r="H48" s="1022"/>
      <c r="I48" s="1022"/>
      <c r="J48" s="1022"/>
      <c r="K48" s="1022"/>
      <c r="L48" s="1022"/>
      <c r="M48" s="1023"/>
      <c r="N48" s="1420"/>
      <c r="O48" s="1421"/>
      <c r="P48" s="1421"/>
      <c r="Q48" s="1421"/>
      <c r="R48" s="1421"/>
      <c r="S48" s="1421"/>
      <c r="T48" s="1421"/>
      <c r="U48" s="1421"/>
      <c r="V48" s="1421"/>
      <c r="W48" s="1421"/>
      <c r="X48" s="1421"/>
      <c r="Y48" s="1421"/>
      <c r="Z48" s="1422"/>
      <c r="AA48" s="458"/>
      <c r="AB48" s="458"/>
      <c r="AC48" s="458"/>
      <c r="AD48" s="458"/>
      <c r="AE48" s="458"/>
      <c r="AF48" s="458"/>
      <c r="AG48" s="458"/>
      <c r="AH48" s="458"/>
      <c r="AI48" s="458"/>
      <c r="AJ48" s="458"/>
      <c r="AK48" s="458"/>
      <c r="AL48" s="458"/>
      <c r="AM48" s="458"/>
      <c r="AN48" s="458"/>
      <c r="AO48" s="458"/>
      <c r="AP48" s="458"/>
    </row>
    <row r="49" spans="1:42" ht="68.55" customHeight="1" thickBot="1">
      <c r="A49" s="1024" t="s">
        <v>1062</v>
      </c>
      <c r="B49" s="1025"/>
      <c r="C49" s="1025"/>
      <c r="D49" s="1025"/>
      <c r="E49" s="1025"/>
      <c r="F49" s="1025"/>
      <c r="G49" s="1025"/>
      <c r="H49" s="1025"/>
      <c r="I49" s="1025"/>
      <c r="J49" s="1025"/>
      <c r="K49" s="1025"/>
      <c r="L49" s="1025"/>
      <c r="M49" s="1026"/>
      <c r="N49" s="1423"/>
      <c r="O49" s="1424"/>
      <c r="P49" s="1424"/>
      <c r="Q49" s="1424"/>
      <c r="R49" s="1424"/>
      <c r="S49" s="1424"/>
      <c r="T49" s="1424"/>
      <c r="U49" s="1424"/>
      <c r="V49" s="1424"/>
      <c r="W49" s="1424"/>
      <c r="X49" s="1424"/>
      <c r="Y49" s="1424"/>
      <c r="Z49" s="1425"/>
      <c r="AA49" s="458"/>
      <c r="AB49" s="458"/>
      <c r="AC49" s="458"/>
      <c r="AD49" s="458"/>
      <c r="AE49" s="458"/>
      <c r="AF49" s="458"/>
      <c r="AG49" s="458"/>
      <c r="AH49" s="458"/>
      <c r="AI49" s="458"/>
      <c r="AJ49" s="458"/>
      <c r="AK49" s="458"/>
      <c r="AL49" s="458"/>
      <c r="AM49" s="458"/>
      <c r="AN49" s="458"/>
      <c r="AO49" s="458"/>
      <c r="AP49" s="458"/>
    </row>
    <row r="50" spans="1:42" ht="22.5" customHeight="1">
      <c r="A50" s="1015" t="s">
        <v>1064</v>
      </c>
      <c r="B50" s="1016"/>
      <c r="C50" s="1016"/>
      <c r="D50" s="1016"/>
      <c r="E50" s="1016"/>
      <c r="F50" s="1016"/>
      <c r="G50" s="1016"/>
      <c r="H50" s="1016"/>
      <c r="I50" s="1016"/>
      <c r="J50" s="1016"/>
      <c r="K50" s="1016"/>
      <c r="L50" s="1016"/>
      <c r="M50" s="1017"/>
      <c r="N50" s="1438" t="s">
        <v>752</v>
      </c>
      <c r="O50" s="1439"/>
      <c r="P50" s="1439"/>
      <c r="Q50" s="1439"/>
      <c r="R50" s="1439"/>
      <c r="S50" s="1439"/>
      <c r="T50" s="1439"/>
      <c r="U50" s="1439"/>
      <c r="V50" s="1439"/>
      <c r="W50" s="1439"/>
      <c r="X50" s="1439"/>
      <c r="Y50" s="1439"/>
      <c r="Z50" s="1440"/>
      <c r="AA50" s="458"/>
      <c r="AB50" s="458"/>
      <c r="AC50" s="458"/>
      <c r="AD50" s="458"/>
      <c r="AE50" s="458"/>
      <c r="AF50" s="458"/>
      <c r="AG50" s="458"/>
      <c r="AH50" s="458"/>
      <c r="AI50" s="458"/>
      <c r="AJ50" s="458"/>
      <c r="AK50" s="458"/>
      <c r="AL50" s="458"/>
      <c r="AM50" s="458"/>
      <c r="AN50" s="458"/>
      <c r="AO50" s="458"/>
      <c r="AP50" s="458"/>
    </row>
    <row r="51" spans="1:42" ht="64.5" customHeight="1">
      <c r="A51" s="1018" t="s">
        <v>1065</v>
      </c>
      <c r="B51" s="1019"/>
      <c r="C51" s="1019"/>
      <c r="D51" s="1019"/>
      <c r="E51" s="1019"/>
      <c r="F51" s="1019"/>
      <c r="G51" s="1019"/>
      <c r="H51" s="1019"/>
      <c r="I51" s="1019"/>
      <c r="J51" s="1019"/>
      <c r="K51" s="1019"/>
      <c r="L51" s="1019"/>
      <c r="M51" s="1020"/>
      <c r="N51" s="1420"/>
      <c r="O51" s="1421"/>
      <c r="P51" s="1421"/>
      <c r="Q51" s="1421"/>
      <c r="R51" s="1421"/>
      <c r="S51" s="1421"/>
      <c r="T51" s="1421"/>
      <c r="U51" s="1421"/>
      <c r="V51" s="1421"/>
      <c r="W51" s="1421"/>
      <c r="X51" s="1421"/>
      <c r="Y51" s="1421"/>
      <c r="Z51" s="1422"/>
      <c r="AA51" s="458"/>
      <c r="AB51" s="458"/>
      <c r="AC51" s="458"/>
      <c r="AD51" s="458"/>
      <c r="AE51" s="458"/>
      <c r="AF51" s="458"/>
      <c r="AG51" s="458"/>
      <c r="AH51" s="458"/>
      <c r="AI51" s="458"/>
      <c r="AJ51" s="458"/>
      <c r="AK51" s="458"/>
      <c r="AL51" s="458"/>
      <c r="AM51" s="458"/>
      <c r="AN51" s="458"/>
      <c r="AO51" s="458"/>
      <c r="AP51" s="458"/>
    </row>
    <row r="52" spans="1:42" ht="24.45" customHeight="1">
      <c r="A52" s="1021" t="s">
        <v>1063</v>
      </c>
      <c r="B52" s="1022"/>
      <c r="C52" s="1022"/>
      <c r="D52" s="1022"/>
      <c r="E52" s="1022"/>
      <c r="F52" s="1022"/>
      <c r="G52" s="1022"/>
      <c r="H52" s="1022"/>
      <c r="I52" s="1022"/>
      <c r="J52" s="1022"/>
      <c r="K52" s="1022"/>
      <c r="L52" s="1022"/>
      <c r="M52" s="1023"/>
      <c r="N52" s="1420"/>
      <c r="O52" s="1421"/>
      <c r="P52" s="1421"/>
      <c r="Q52" s="1421"/>
      <c r="R52" s="1421"/>
      <c r="S52" s="1421"/>
      <c r="T52" s="1421"/>
      <c r="U52" s="1421"/>
      <c r="V52" s="1421"/>
      <c r="W52" s="1421"/>
      <c r="X52" s="1421"/>
      <c r="Y52" s="1421"/>
      <c r="Z52" s="1422"/>
      <c r="AA52" s="458"/>
      <c r="AB52" s="458"/>
      <c r="AC52" s="458"/>
      <c r="AD52" s="458"/>
      <c r="AE52" s="458"/>
      <c r="AF52" s="458"/>
      <c r="AG52" s="458"/>
      <c r="AH52" s="458"/>
      <c r="AI52" s="458"/>
      <c r="AJ52" s="458"/>
      <c r="AK52" s="458"/>
      <c r="AL52" s="458"/>
      <c r="AM52" s="458"/>
      <c r="AN52" s="458"/>
      <c r="AO52" s="458"/>
      <c r="AP52" s="458"/>
    </row>
    <row r="53" spans="1:42" ht="44.55" customHeight="1">
      <c r="A53" s="1021" t="s">
        <v>1533</v>
      </c>
      <c r="B53" s="1022"/>
      <c r="C53" s="1022"/>
      <c r="D53" s="1022"/>
      <c r="E53" s="1022"/>
      <c r="F53" s="1022"/>
      <c r="G53" s="1022"/>
      <c r="H53" s="1022"/>
      <c r="I53" s="1022"/>
      <c r="J53" s="1022"/>
      <c r="K53" s="1022"/>
      <c r="L53" s="1022"/>
      <c r="M53" s="1023"/>
      <c r="N53" s="1420"/>
      <c r="O53" s="1421"/>
      <c r="P53" s="1421"/>
      <c r="Q53" s="1421"/>
      <c r="R53" s="1421"/>
      <c r="S53" s="1421"/>
      <c r="T53" s="1421"/>
      <c r="U53" s="1421"/>
      <c r="V53" s="1421"/>
      <c r="W53" s="1421"/>
      <c r="X53" s="1421"/>
      <c r="Y53" s="1421"/>
      <c r="Z53" s="1422"/>
      <c r="AA53" s="458"/>
      <c r="AB53" s="458"/>
      <c r="AC53" s="458"/>
      <c r="AD53" s="458"/>
      <c r="AE53" s="458"/>
      <c r="AF53" s="458"/>
      <c r="AG53" s="458"/>
      <c r="AH53" s="458"/>
      <c r="AI53" s="458"/>
      <c r="AJ53" s="458"/>
      <c r="AK53" s="458"/>
      <c r="AL53" s="458"/>
      <c r="AM53" s="458"/>
      <c r="AN53" s="458"/>
      <c r="AO53" s="458"/>
      <c r="AP53" s="458"/>
    </row>
    <row r="54" spans="1:42" ht="52.95" customHeight="1">
      <c r="A54" s="1021" t="s">
        <v>1530</v>
      </c>
      <c r="B54" s="1022"/>
      <c r="C54" s="1022"/>
      <c r="D54" s="1022"/>
      <c r="E54" s="1022"/>
      <c r="F54" s="1022"/>
      <c r="G54" s="1022"/>
      <c r="H54" s="1022"/>
      <c r="I54" s="1022"/>
      <c r="J54" s="1022"/>
      <c r="K54" s="1022"/>
      <c r="L54" s="1022"/>
      <c r="M54" s="1023"/>
      <c r="N54" s="1420"/>
      <c r="O54" s="1421"/>
      <c r="P54" s="1421"/>
      <c r="Q54" s="1421"/>
      <c r="R54" s="1421"/>
      <c r="S54" s="1421"/>
      <c r="T54" s="1421"/>
      <c r="U54" s="1421"/>
      <c r="V54" s="1421"/>
      <c r="W54" s="1421"/>
      <c r="X54" s="1421"/>
      <c r="Y54" s="1421"/>
      <c r="Z54" s="1422"/>
      <c r="AA54" s="458"/>
      <c r="AB54" s="458"/>
      <c r="AC54" s="458"/>
      <c r="AD54" s="458"/>
      <c r="AE54" s="458"/>
      <c r="AF54" s="458"/>
      <c r="AG54" s="458"/>
      <c r="AH54" s="458"/>
      <c r="AI54" s="458"/>
      <c r="AJ54" s="458"/>
      <c r="AK54" s="458"/>
      <c r="AL54" s="458"/>
      <c r="AM54" s="458"/>
      <c r="AN54" s="458"/>
      <c r="AO54" s="458"/>
      <c r="AP54" s="458"/>
    </row>
    <row r="55" spans="1:42" ht="73.5" customHeight="1" thickBot="1">
      <c r="A55" s="1024" t="s">
        <v>1061</v>
      </c>
      <c r="B55" s="1025"/>
      <c r="C55" s="1025"/>
      <c r="D55" s="1025"/>
      <c r="E55" s="1025"/>
      <c r="F55" s="1025"/>
      <c r="G55" s="1025"/>
      <c r="H55" s="1025"/>
      <c r="I55" s="1025"/>
      <c r="J55" s="1025"/>
      <c r="K55" s="1025"/>
      <c r="L55" s="1025"/>
      <c r="M55" s="1026"/>
      <c r="N55" s="1423"/>
      <c r="O55" s="1424"/>
      <c r="P55" s="1424"/>
      <c r="Q55" s="1424"/>
      <c r="R55" s="1424"/>
      <c r="S55" s="1424"/>
      <c r="T55" s="1424"/>
      <c r="U55" s="1424"/>
      <c r="V55" s="1424"/>
      <c r="W55" s="1424"/>
      <c r="X55" s="1424"/>
      <c r="Y55" s="1424"/>
      <c r="Z55" s="1425"/>
      <c r="AA55" s="458"/>
      <c r="AB55" s="458"/>
      <c r="AC55" s="458"/>
      <c r="AD55" s="458"/>
      <c r="AE55" s="458"/>
      <c r="AF55" s="458"/>
      <c r="AG55" s="458"/>
      <c r="AH55" s="458"/>
      <c r="AI55" s="458"/>
      <c r="AJ55" s="458"/>
      <c r="AK55" s="458"/>
      <c r="AL55" s="458"/>
      <c r="AM55" s="458"/>
      <c r="AN55" s="458"/>
      <c r="AO55" s="458"/>
      <c r="AP55" s="458"/>
    </row>
  </sheetData>
  <sheetProtection password="9F15" sheet="1" objects="1" scenarios="1"/>
  <mergeCells count="210">
    <mergeCell ref="AE22:AF22"/>
    <mergeCell ref="AG22:AI22"/>
    <mergeCell ref="AC17:AD17"/>
    <mergeCell ref="AE17:AF17"/>
    <mergeCell ref="AG17:AI17"/>
    <mergeCell ref="AC18:AD18"/>
    <mergeCell ref="AE18:AF18"/>
    <mergeCell ref="AG18:AI18"/>
    <mergeCell ref="AC19:AD19"/>
    <mergeCell ref="AE19:AF19"/>
    <mergeCell ref="AX12:BB12"/>
    <mergeCell ref="BD12:BH12"/>
    <mergeCell ref="AB23:AP23"/>
    <mergeCell ref="AK24:AO24"/>
    <mergeCell ref="AK26:AK27"/>
    <mergeCell ref="AL26:AL27"/>
    <mergeCell ref="AM26:AM27"/>
    <mergeCell ref="AN26:AN27"/>
    <mergeCell ref="AO26:AO27"/>
    <mergeCell ref="AG19:AI19"/>
    <mergeCell ref="AE14:AF14"/>
    <mergeCell ref="AE15:AF15"/>
    <mergeCell ref="AC14:AD14"/>
    <mergeCell ref="AG14:AI14"/>
    <mergeCell ref="AC15:AD15"/>
    <mergeCell ref="AG15:AI15"/>
    <mergeCell ref="AC16:AD16"/>
    <mergeCell ref="AE16:AF16"/>
    <mergeCell ref="AG16:AI16"/>
    <mergeCell ref="AK13:AM22"/>
    <mergeCell ref="AX13:AZ22"/>
    <mergeCell ref="BD13:BF22"/>
    <mergeCell ref="AP24:AP37"/>
    <mergeCell ref="AC20:AD20"/>
    <mergeCell ref="AB2:AP2"/>
    <mergeCell ref="AC3:AD3"/>
    <mergeCell ref="AC4:AD4"/>
    <mergeCell ref="AC5:AD5"/>
    <mergeCell ref="AC6:AD6"/>
    <mergeCell ref="AB38:AP38"/>
    <mergeCell ref="AP10:AP22"/>
    <mergeCell ref="AG13:AI13"/>
    <mergeCell ref="AE13:AF13"/>
    <mergeCell ref="AC13:AD13"/>
    <mergeCell ref="AC7:AD7"/>
    <mergeCell ref="AB9:AP9"/>
    <mergeCell ref="AK10:AO10"/>
    <mergeCell ref="AC11:AD12"/>
    <mergeCell ref="AE11:AF12"/>
    <mergeCell ref="AG11:AI12"/>
    <mergeCell ref="AJ11:AJ12"/>
    <mergeCell ref="AC10:AJ10"/>
    <mergeCell ref="AE20:AF20"/>
    <mergeCell ref="AG20:AI20"/>
    <mergeCell ref="AC21:AD21"/>
    <mergeCell ref="AE21:AF21"/>
    <mergeCell ref="AG21:AI21"/>
    <mergeCell ref="AC22:AD22"/>
    <mergeCell ref="A53:M53"/>
    <mergeCell ref="A54:M54"/>
    <mergeCell ref="U10:Y10"/>
    <mergeCell ref="W11:W12"/>
    <mergeCell ref="C11:C12"/>
    <mergeCell ref="A45:M45"/>
    <mergeCell ref="A46:M46"/>
    <mergeCell ref="A55:M55"/>
    <mergeCell ref="A48:M48"/>
    <mergeCell ref="N45:Z45"/>
    <mergeCell ref="N46:Z49"/>
    <mergeCell ref="A42:M42"/>
    <mergeCell ref="A43:M43"/>
    <mergeCell ref="A44:M44"/>
    <mergeCell ref="A47:M47"/>
    <mergeCell ref="U24:Y24"/>
    <mergeCell ref="N34:O34"/>
    <mergeCell ref="N35:O35"/>
    <mergeCell ref="T28:T37"/>
    <mergeCell ref="S28:S37"/>
    <mergeCell ref="C10:O10"/>
    <mergeCell ref="A10:A22"/>
    <mergeCell ref="N42:Z42"/>
    <mergeCell ref="N43:Z44"/>
    <mergeCell ref="N51:Z55"/>
    <mergeCell ref="A52:M52"/>
    <mergeCell ref="X28:X37"/>
    <mergeCell ref="Y28:Y37"/>
    <mergeCell ref="Z24:Z37"/>
    <mergeCell ref="A49:M49"/>
    <mergeCell ref="A50:M50"/>
    <mergeCell ref="Z10:Z21"/>
    <mergeCell ref="J11:J12"/>
    <mergeCell ref="K11:K12"/>
    <mergeCell ref="N11:N12"/>
    <mergeCell ref="O11:O12"/>
    <mergeCell ref="P13:T22"/>
    <mergeCell ref="D20:F20"/>
    <mergeCell ref="L20:M20"/>
    <mergeCell ref="D21:F21"/>
    <mergeCell ref="L21:M21"/>
    <mergeCell ref="L18:M18"/>
    <mergeCell ref="D19:F19"/>
    <mergeCell ref="L19:M19"/>
    <mergeCell ref="L16:M16"/>
    <mergeCell ref="B10:B12"/>
    <mergeCell ref="N50:Z50"/>
    <mergeCell ref="D15:F15"/>
    <mergeCell ref="A2:Z2"/>
    <mergeCell ref="A9:Z9"/>
    <mergeCell ref="W25:W26"/>
    <mergeCell ref="X25:X26"/>
    <mergeCell ref="A51:M51"/>
    <mergeCell ref="Y25:Y26"/>
    <mergeCell ref="N29:O29"/>
    <mergeCell ref="N32:O32"/>
    <mergeCell ref="N33:O33"/>
    <mergeCell ref="N30:O30"/>
    <mergeCell ref="N31:O31"/>
    <mergeCell ref="N28:O28"/>
    <mergeCell ref="V25:V26"/>
    <mergeCell ref="N36:O36"/>
    <mergeCell ref="N37:O37"/>
    <mergeCell ref="A24:A37"/>
    <mergeCell ref="M25:M26"/>
    <mergeCell ref="E25:E27"/>
    <mergeCell ref="I25:L25"/>
    <mergeCell ref="N25:O26"/>
    <mergeCell ref="N27:O27"/>
    <mergeCell ref="C25:C27"/>
    <mergeCell ref="D25:D27"/>
    <mergeCell ref="B24:B27"/>
    <mergeCell ref="A38:Z38"/>
    <mergeCell ref="P10:T10"/>
    <mergeCell ref="A3:C3"/>
    <mergeCell ref="F3:G3"/>
    <mergeCell ref="A4:C4"/>
    <mergeCell ref="F4:G4"/>
    <mergeCell ref="A5:C5"/>
    <mergeCell ref="F5:G5"/>
    <mergeCell ref="A6:C6"/>
    <mergeCell ref="F6:G6"/>
    <mergeCell ref="A7:C7"/>
    <mergeCell ref="F7:G7"/>
    <mergeCell ref="P24:T24"/>
    <mergeCell ref="D13:F13"/>
    <mergeCell ref="L13:M13"/>
    <mergeCell ref="L11:M12"/>
    <mergeCell ref="U11:U12"/>
    <mergeCell ref="V11:V12"/>
    <mergeCell ref="H25:H26"/>
    <mergeCell ref="F24:O24"/>
    <mergeCell ref="L15:M15"/>
    <mergeCell ref="P25:P26"/>
    <mergeCell ref="D11:F12"/>
    <mergeCell ref="F25:F27"/>
    <mergeCell ref="G25:G27"/>
    <mergeCell ref="D18:F18"/>
    <mergeCell ref="D22:F22"/>
    <mergeCell ref="I26:J26"/>
    <mergeCell ref="K26:L26"/>
    <mergeCell ref="G11:I12"/>
    <mergeCell ref="A23:Z23"/>
    <mergeCell ref="G18:I18"/>
    <mergeCell ref="G19:I19"/>
    <mergeCell ref="G20:I20"/>
    <mergeCell ref="G21:I21"/>
    <mergeCell ref="G22:I22"/>
    <mergeCell ref="L22:M22"/>
    <mergeCell ref="D17:F17"/>
    <mergeCell ref="L17:M17"/>
    <mergeCell ref="D14:F14"/>
    <mergeCell ref="L14:M14"/>
    <mergeCell ref="D16:F16"/>
    <mergeCell ref="AX26:BB27"/>
    <mergeCell ref="BD26:BH27"/>
    <mergeCell ref="BA28:BB37"/>
    <mergeCell ref="BG28:BH37"/>
    <mergeCell ref="AG25:AJ25"/>
    <mergeCell ref="AC24:AJ24"/>
    <mergeCell ref="AC25:AC27"/>
    <mergeCell ref="AD25:AD27"/>
    <mergeCell ref="AG26:AG27"/>
    <mergeCell ref="AH26:AH27"/>
    <mergeCell ref="AI26:AI27"/>
    <mergeCell ref="AJ26:AJ27"/>
    <mergeCell ref="AE25:AE27"/>
    <mergeCell ref="AF25:AF27"/>
    <mergeCell ref="AB43:AO45"/>
    <mergeCell ref="AB42:AO42"/>
    <mergeCell ref="A1:AP1"/>
    <mergeCell ref="AN28:AO37"/>
    <mergeCell ref="AJ28:AJ37"/>
    <mergeCell ref="AF3:AJ3"/>
    <mergeCell ref="AF4:AJ4"/>
    <mergeCell ref="AF5:AJ5"/>
    <mergeCell ref="AF6:AJ6"/>
    <mergeCell ref="AF7:AJ7"/>
    <mergeCell ref="U13:U22"/>
    <mergeCell ref="C24:E24"/>
    <mergeCell ref="Q25:Q26"/>
    <mergeCell ref="R25:R26"/>
    <mergeCell ref="S25:S26"/>
    <mergeCell ref="T25:T26"/>
    <mergeCell ref="U25:U26"/>
    <mergeCell ref="V13:V22"/>
    <mergeCell ref="W13:W22"/>
    <mergeCell ref="G13:I13"/>
    <mergeCell ref="G14:I14"/>
    <mergeCell ref="G15:I15"/>
    <mergeCell ref="G16:I16"/>
    <mergeCell ref="G17:I17"/>
  </mergeCells>
  <dataValidations count="2">
    <dataValidation operator="greaterThan" allowBlank="1" showInputMessage="1" showErrorMessage="1" sqref="H28:H37 G13:G22"/>
    <dataValidation type="decimal" operator="greaterThanOrEqual" allowBlank="1" showInputMessage="1" showErrorMessage="1" sqref="K13:K22 G28:G37 AC13:AD22 AC28:AC37">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'Emission factors'!$A$80:$B$80</xm:f>
          </x14:formula1>
          <xm:sqref>C28</xm:sqref>
        </x14:dataValidation>
        <x14:dataValidation type="list" allowBlank="1" showInputMessage="1" showErrorMessage="1">
          <x14:formula1>
            <xm:f>'Emission factors'!$A$82:$D$82</xm:f>
          </x14:formula1>
          <xm:sqref>D28:D37</xm:sqref>
        </x14:dataValidation>
        <x14:dataValidation type="list" allowBlank="1" showInputMessage="1" showErrorMessage="1">
          <x14:formula1>
            <xm:f>'Emission factors'!$A$84:$B$84</xm:f>
          </x14:formula1>
          <xm:sqref>E28:E37</xm:sqref>
        </x14:dataValidation>
        <x14:dataValidation type="list" operator="greaterThan" allowBlank="1" showInputMessage="1" showErrorMessage="1">
          <x14:formula1>
            <xm:f>'Emission factors'!$A$243:$A$244</xm:f>
          </x14:formula1>
          <xm:sqref>J13:J22</xm:sqref>
        </x14:dataValidation>
        <x14:dataValidation type="list" allowBlank="1" showInputMessage="1" showErrorMessage="1">
          <x14:formula1>
            <xm:f>'Emission factors'!$A$247:$A$248</xm:f>
          </x14:formula1>
          <xm:sqref>F28:F37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H97"/>
  <sheetViews>
    <sheetView rightToLeft="1" zoomScale="50" zoomScaleNormal="50" workbookViewId="0">
      <selection activeCell="C16" sqref="C16:M16"/>
    </sheetView>
  </sheetViews>
  <sheetFormatPr defaultColWidth="8.69921875" defaultRowHeight="15"/>
  <cols>
    <col min="1" max="1" width="3.796875" style="98" customWidth="1"/>
    <col min="2" max="2" width="8.69921875" style="98"/>
    <col min="3" max="3" width="3.796875" style="98" customWidth="1"/>
    <col min="4" max="4" width="7.8984375" style="98" customWidth="1"/>
    <col min="5" max="5" width="25.19921875" style="98" customWidth="1"/>
    <col min="6" max="7" width="12.69921875" style="98" customWidth="1"/>
    <col min="8" max="8" width="14.09765625" style="98" customWidth="1"/>
    <col min="9" max="9" width="16.59765625" style="98" customWidth="1"/>
    <col min="10" max="10" width="8" style="98" customWidth="1"/>
    <col min="11" max="11" width="6.69921875" style="98" customWidth="1"/>
    <col min="12" max="12" width="8.69921875" style="98"/>
    <col min="13" max="13" width="9.59765625" style="98" customWidth="1"/>
    <col min="14" max="16" width="10.5" style="98" customWidth="1"/>
    <col min="17" max="17" width="14.09765625" style="98" customWidth="1"/>
    <col min="18" max="18" width="10.5" style="98" customWidth="1"/>
    <col min="19" max="20" width="8.69921875" style="98"/>
    <col min="21" max="21" width="10.296875" style="98" customWidth="1"/>
    <col min="22" max="22" width="22.8984375" style="98" customWidth="1"/>
    <col min="23" max="23" width="12.8984375" style="98" customWidth="1"/>
    <col min="24" max="24" width="8.69921875" style="98"/>
    <col min="25" max="25" width="3.796875" style="98" customWidth="1"/>
    <col min="26" max="26" width="8.69921875" style="98"/>
    <col min="27" max="27" width="3.69921875" style="98" customWidth="1"/>
    <col min="28" max="28" width="14.59765625" style="98" customWidth="1"/>
    <col min="29" max="29" width="18.59765625" style="98" customWidth="1"/>
    <col min="30" max="30" width="13.8984375" style="98" customWidth="1"/>
    <col min="31" max="31" width="15.19921875" style="98" customWidth="1"/>
    <col min="32" max="32" width="11.3984375" style="98" customWidth="1"/>
    <col min="33" max="34" width="14.8984375" style="98" customWidth="1"/>
    <col min="35" max="35" width="12" style="98" customWidth="1"/>
    <col min="36" max="36" width="14.296875" style="98" customWidth="1"/>
    <col min="37" max="37" width="13.8984375" style="98" customWidth="1"/>
    <col min="38" max="39" width="17.5" style="98" customWidth="1"/>
    <col min="40" max="40" width="8.69921875" style="98"/>
    <col min="41" max="42" width="4.69921875" style="98" customWidth="1"/>
    <col min="43" max="43" width="8.69921875" style="98"/>
    <col min="44" max="44" width="10.296875" style="98" hidden="1" customWidth="1"/>
    <col min="45" max="57" width="8.69921875" style="98" hidden="1" customWidth="1"/>
    <col min="58" max="58" width="13" style="98" hidden="1" customWidth="1"/>
    <col min="59" max="59" width="0" style="98" hidden="1" customWidth="1"/>
    <col min="60" max="16384" width="8.69921875" style="98"/>
  </cols>
  <sheetData>
    <row r="1" spans="1:58" s="213" customFormat="1" ht="33" thickBot="1">
      <c r="A1" s="1706" t="s">
        <v>1027</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8"/>
    </row>
    <row r="2" spans="1:58" s="213" customFormat="1" ht="42" customHeight="1" thickBot="1">
      <c r="A2" s="1174" t="s">
        <v>765</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709"/>
      <c r="Z2" s="482"/>
      <c r="AA2" s="1575" t="s">
        <v>1311</v>
      </c>
      <c r="AB2" s="1576"/>
      <c r="AC2" s="1576"/>
      <c r="AD2" s="1576"/>
      <c r="AE2" s="1576"/>
      <c r="AF2" s="1576"/>
      <c r="AG2" s="1576"/>
      <c r="AH2" s="1576"/>
      <c r="AI2" s="1576"/>
      <c r="AJ2" s="1576"/>
      <c r="AK2" s="1576"/>
      <c r="AL2" s="1576"/>
      <c r="AM2" s="1576"/>
      <c r="AN2" s="1576"/>
      <c r="AO2" s="1576"/>
      <c r="AP2" s="1577"/>
    </row>
    <row r="3" spans="1:58" s="213" customFormat="1" ht="25.5" hidden="1" customHeight="1" thickBot="1">
      <c r="A3" s="1710"/>
      <c r="B3" s="1176"/>
      <c r="C3" s="1176"/>
      <c r="D3" s="1176"/>
      <c r="E3" s="1176"/>
      <c r="F3" s="1176"/>
      <c r="G3" s="1176"/>
      <c r="H3" s="1176"/>
      <c r="I3" s="1176"/>
      <c r="J3" s="1176"/>
      <c r="K3" s="1176"/>
      <c r="L3" s="1176"/>
      <c r="M3" s="1176"/>
      <c r="N3" s="1176"/>
      <c r="O3" s="1176"/>
      <c r="P3" s="1176"/>
      <c r="Q3" s="1176"/>
      <c r="R3" s="1176"/>
      <c r="S3" s="1176"/>
      <c r="T3" s="1176"/>
      <c r="U3" s="1176"/>
      <c r="V3" s="1176"/>
      <c r="W3" s="1176"/>
      <c r="X3" s="1176"/>
      <c r="Y3" s="1177"/>
      <c r="Z3" s="482"/>
      <c r="AA3" s="582"/>
      <c r="AB3" s="304"/>
      <c r="AC3" s="304"/>
      <c r="AD3" s="304"/>
      <c r="AE3" s="304"/>
      <c r="AF3" s="304"/>
      <c r="AG3" s="304"/>
      <c r="AH3" s="304"/>
      <c r="AI3" s="304"/>
      <c r="AJ3" s="304"/>
      <c r="AK3" s="304"/>
      <c r="AL3" s="545"/>
      <c r="AM3" s="545"/>
      <c r="AN3" s="540"/>
      <c r="AO3" s="540"/>
      <c r="AP3" s="583"/>
    </row>
    <row r="4" spans="1:58" s="213" customFormat="1" ht="21.45" customHeight="1" thickBot="1">
      <c r="A4" s="1183" t="s">
        <v>741</v>
      </c>
      <c r="B4" s="1184"/>
      <c r="C4" s="1184"/>
      <c r="D4" s="214" t="s">
        <v>40</v>
      </c>
      <c r="E4" s="701" t="s">
        <v>767</v>
      </c>
      <c r="F4" s="1185">
        <f>SUM(S16:S18)</f>
        <v>0</v>
      </c>
      <c r="G4" s="1185"/>
      <c r="H4" s="701" t="s">
        <v>766</v>
      </c>
      <c r="I4" s="702">
        <f>SUM(S51:S55)</f>
        <v>0</v>
      </c>
      <c r="J4" s="214" t="s">
        <v>146</v>
      </c>
      <c r="K4" s="796" t="s">
        <v>743</v>
      </c>
      <c r="L4" s="699"/>
      <c r="M4" s="699"/>
      <c r="N4" s="699"/>
      <c r="O4" s="699"/>
      <c r="P4" s="699"/>
      <c r="Q4" s="699"/>
      <c r="R4" s="699"/>
      <c r="S4" s="699"/>
      <c r="T4" s="699"/>
      <c r="U4" s="699"/>
      <c r="V4" s="699"/>
      <c r="W4" s="699"/>
      <c r="X4" s="699"/>
      <c r="Y4" s="700"/>
      <c r="Z4" s="482"/>
      <c r="AA4" s="582"/>
      <c r="AB4" s="1446" t="s">
        <v>1295</v>
      </c>
      <c r="AC4" s="1446"/>
      <c r="AD4" s="1446"/>
      <c r="AE4" s="1446"/>
      <c r="AF4" s="1446"/>
      <c r="AG4" s="545" t="s">
        <v>356</v>
      </c>
      <c r="AH4" s="1595" t="str">
        <f>IF(OR(F4=0,F4=""),"",(SQRT(SUM(BA16:BA18)))/F4)</f>
        <v/>
      </c>
      <c r="AI4" s="1595"/>
      <c r="AJ4" s="581" t="s">
        <v>1310</v>
      </c>
      <c r="AK4" s="545" t="s">
        <v>356</v>
      </c>
      <c r="AL4" s="1595" t="str">
        <f>IF(OR(I4=0,I4=""),"",(SQRT(SUM(BA51:BA55)))/I4)</f>
        <v/>
      </c>
      <c r="AM4" s="1595"/>
      <c r="AN4" s="1595"/>
      <c r="AO4" s="546" t="s">
        <v>1259</v>
      </c>
      <c r="AP4" s="584" t="s">
        <v>743</v>
      </c>
    </row>
    <row r="5" spans="1:58" s="213" customFormat="1" ht="21.45" customHeight="1" thickBot="1">
      <c r="A5" s="1711" t="s">
        <v>741</v>
      </c>
      <c r="B5" s="1381"/>
      <c r="C5" s="1381"/>
      <c r="D5" s="299" t="s">
        <v>39</v>
      </c>
      <c r="E5" s="701" t="s">
        <v>767</v>
      </c>
      <c r="F5" s="1186">
        <f>SUM(T16:T18)</f>
        <v>0</v>
      </c>
      <c r="G5" s="1186"/>
      <c r="H5" s="701" t="s">
        <v>766</v>
      </c>
      <c r="I5" s="702">
        <f>SUM(T51:T55)</f>
        <v>0</v>
      </c>
      <c r="J5" s="299" t="s">
        <v>146</v>
      </c>
      <c r="K5" s="300" t="s">
        <v>743</v>
      </c>
      <c r="L5" s="699"/>
      <c r="M5" s="699"/>
      <c r="N5" s="699"/>
      <c r="O5" s="699"/>
      <c r="P5" s="699"/>
      <c r="Q5" s="699"/>
      <c r="R5" s="699"/>
      <c r="S5" s="699"/>
      <c r="T5" s="699"/>
      <c r="U5" s="699"/>
      <c r="V5" s="699"/>
      <c r="W5" s="699"/>
      <c r="X5" s="699"/>
      <c r="Y5" s="700"/>
      <c r="Z5" s="482"/>
      <c r="AA5" s="582"/>
      <c r="AB5" s="1446" t="s">
        <v>1306</v>
      </c>
      <c r="AC5" s="1446"/>
      <c r="AD5" s="1446"/>
      <c r="AE5" s="1446"/>
      <c r="AF5" s="1446"/>
      <c r="AG5" s="545" t="s">
        <v>356</v>
      </c>
      <c r="AH5" s="1595" t="str">
        <f>IF(OR(F5=0,F5=""),"",(SQRT(SUM(BB16:BB18)))/F5)</f>
        <v/>
      </c>
      <c r="AI5" s="1595"/>
      <c r="AJ5" s="581" t="s">
        <v>1310</v>
      </c>
      <c r="AK5" s="545" t="s">
        <v>356</v>
      </c>
      <c r="AL5" s="1595" t="str">
        <f>IF(OR(I5=0,I5=""),"",(SQRT(SUM(BB51:BB55)))/I5)</f>
        <v/>
      </c>
      <c r="AM5" s="1595"/>
      <c r="AN5" s="1595"/>
      <c r="AO5" s="546" t="s">
        <v>1259</v>
      </c>
      <c r="AP5" s="584" t="s">
        <v>743</v>
      </c>
    </row>
    <row r="6" spans="1:58" s="213" customFormat="1" ht="21.45" customHeight="1" thickBot="1">
      <c r="A6" s="1183" t="s">
        <v>741</v>
      </c>
      <c r="B6" s="1184"/>
      <c r="C6" s="1184"/>
      <c r="D6" s="214" t="s">
        <v>145</v>
      </c>
      <c r="E6" s="701" t="s">
        <v>767</v>
      </c>
      <c r="F6" s="1185">
        <v>0</v>
      </c>
      <c r="G6" s="1185"/>
      <c r="H6" s="701" t="s">
        <v>766</v>
      </c>
      <c r="I6" s="702">
        <f>SUM(U51:U55)</f>
        <v>0</v>
      </c>
      <c r="J6" s="214" t="s">
        <v>146</v>
      </c>
      <c r="K6" s="796" t="s">
        <v>743</v>
      </c>
      <c r="L6" s="699"/>
      <c r="M6" s="699"/>
      <c r="N6" s="699"/>
      <c r="O6" s="699"/>
      <c r="P6" s="699"/>
      <c r="Q6" s="699"/>
      <c r="R6" s="699"/>
      <c r="S6" s="699"/>
      <c r="T6" s="699"/>
      <c r="U6" s="699"/>
      <c r="V6" s="699"/>
      <c r="W6" s="699"/>
      <c r="X6" s="699"/>
      <c r="Y6" s="700"/>
      <c r="Z6" s="482"/>
      <c r="AA6" s="582"/>
      <c r="AB6" s="1446" t="s">
        <v>1307</v>
      </c>
      <c r="AC6" s="1446"/>
      <c r="AD6" s="1446"/>
      <c r="AE6" s="1446"/>
      <c r="AF6" s="1446"/>
      <c r="AG6" s="545" t="s">
        <v>356</v>
      </c>
      <c r="AH6" s="1595"/>
      <c r="AI6" s="1595"/>
      <c r="AJ6" s="581" t="s">
        <v>1310</v>
      </c>
      <c r="AK6" s="545" t="s">
        <v>356</v>
      </c>
      <c r="AL6" s="1595" t="str">
        <f>IF(OR(I6=0,I6=""),"",(SQRT(SUM(BC51:BC55)))/I6)</f>
        <v/>
      </c>
      <c r="AM6" s="1595"/>
      <c r="AN6" s="1595"/>
      <c r="AO6" s="546" t="s">
        <v>1259</v>
      </c>
      <c r="AP6" s="584" t="s">
        <v>743</v>
      </c>
    </row>
    <row r="7" spans="1:58" s="213" customFormat="1" ht="21.45" customHeight="1" thickBot="1">
      <c r="A7" s="1713" t="s">
        <v>741</v>
      </c>
      <c r="B7" s="1383"/>
      <c r="C7" s="1383"/>
      <c r="D7" s="301" t="s">
        <v>147</v>
      </c>
      <c r="E7" s="701" t="s">
        <v>767</v>
      </c>
      <c r="F7" s="1185">
        <f>SUM(V23:V42)</f>
        <v>0</v>
      </c>
      <c r="G7" s="1185"/>
      <c r="H7" s="701" t="s">
        <v>766</v>
      </c>
      <c r="I7" s="702">
        <f>SUM(V60:V79)</f>
        <v>0</v>
      </c>
      <c r="J7" s="301" t="s">
        <v>146</v>
      </c>
      <c r="K7" s="302" t="s">
        <v>743</v>
      </c>
      <c r="L7" s="699"/>
      <c r="M7" s="699"/>
      <c r="N7" s="699"/>
      <c r="O7" s="699"/>
      <c r="P7" s="699"/>
      <c r="Q7" s="699"/>
      <c r="R7" s="699"/>
      <c r="S7" s="699"/>
      <c r="T7" s="699"/>
      <c r="U7" s="699"/>
      <c r="V7" s="699"/>
      <c r="W7" s="699"/>
      <c r="X7" s="699"/>
      <c r="Y7" s="700"/>
      <c r="Z7" s="482"/>
      <c r="AA7" s="582"/>
      <c r="AB7" s="1446" t="s">
        <v>1308</v>
      </c>
      <c r="AC7" s="1446"/>
      <c r="AD7" s="1446"/>
      <c r="AE7" s="1446"/>
      <c r="AF7" s="1446"/>
      <c r="AG7" s="545" t="s">
        <v>356</v>
      </c>
      <c r="AH7" s="1595" t="str">
        <f>IF(OR(F7=0,F7=""),"",(SQRT(SUM(BE23:BE42)))/F7)</f>
        <v/>
      </c>
      <c r="AI7" s="1595"/>
      <c r="AJ7" s="581" t="s">
        <v>1310</v>
      </c>
      <c r="AK7" s="545" t="s">
        <v>356</v>
      </c>
      <c r="AL7" s="1595" t="str">
        <f>IF(OR(I7=0,I7=""),"",(SQRT(SUM(BE60:BE79)))/I7)</f>
        <v/>
      </c>
      <c r="AM7" s="1595"/>
      <c r="AN7" s="1595"/>
      <c r="AO7" s="546" t="s">
        <v>1259</v>
      </c>
      <c r="AP7" s="584" t="s">
        <v>743</v>
      </c>
    </row>
    <row r="8" spans="1:58" s="213" customFormat="1" ht="21.45" customHeight="1" thickBot="1">
      <c r="A8" s="1183" t="s">
        <v>741</v>
      </c>
      <c r="B8" s="1184"/>
      <c r="C8" s="1184"/>
      <c r="D8" s="214" t="s">
        <v>31</v>
      </c>
      <c r="E8" s="701" t="s">
        <v>767</v>
      </c>
      <c r="F8" s="1185">
        <f>SUM(X16:X18)</f>
        <v>0</v>
      </c>
      <c r="G8" s="1185"/>
      <c r="H8" s="701" t="s">
        <v>766</v>
      </c>
      <c r="I8" s="702">
        <f>SUM(X51:X55)</f>
        <v>0</v>
      </c>
      <c r="J8" s="214" t="s">
        <v>146</v>
      </c>
      <c r="K8" s="796" t="s">
        <v>743</v>
      </c>
      <c r="L8" s="699"/>
      <c r="M8" s="699"/>
      <c r="N8" s="699"/>
      <c r="O8" s="699"/>
      <c r="P8" s="699"/>
      <c r="Q8" s="699"/>
      <c r="R8" s="699"/>
      <c r="S8" s="699"/>
      <c r="T8" s="699"/>
      <c r="U8" s="699"/>
      <c r="V8" s="699"/>
      <c r="W8" s="699"/>
      <c r="X8" s="699"/>
      <c r="Y8" s="700"/>
      <c r="Z8" s="482"/>
      <c r="AA8" s="585"/>
      <c r="AB8" s="1446" t="s">
        <v>1309</v>
      </c>
      <c r="AC8" s="1446"/>
      <c r="AD8" s="1446"/>
      <c r="AE8" s="1446"/>
      <c r="AF8" s="1446"/>
      <c r="AG8" s="545" t="s">
        <v>356</v>
      </c>
      <c r="AH8" s="1595" t="str">
        <f>IF(OR(F8=0,F8=""),"",(SQRT(SUM(BF16:BF18)))/F8)</f>
        <v/>
      </c>
      <c r="AI8" s="1595"/>
      <c r="AJ8" s="581" t="s">
        <v>1310</v>
      </c>
      <c r="AK8" s="545" t="s">
        <v>356</v>
      </c>
      <c r="AL8" s="1595" t="str">
        <f>IF(OR(I8=0,I8=""),"",(SQRT(SUM(BF51:BF55)))/I8)</f>
        <v/>
      </c>
      <c r="AM8" s="1595"/>
      <c r="AN8" s="1595"/>
      <c r="AO8" s="546" t="s">
        <v>1259</v>
      </c>
      <c r="AP8" s="584" t="s">
        <v>743</v>
      </c>
    </row>
    <row r="9" spans="1:58" s="213" customFormat="1" ht="42" customHeight="1" thickBot="1">
      <c r="A9" s="787"/>
      <c r="B9" s="785"/>
      <c r="C9" s="785"/>
      <c r="D9" s="785"/>
      <c r="E9" s="785"/>
      <c r="F9" s="785"/>
      <c r="G9" s="785"/>
      <c r="H9" s="785"/>
      <c r="I9" s="785"/>
      <c r="J9" s="785"/>
      <c r="K9" s="785"/>
      <c r="L9" s="785"/>
      <c r="M9" s="785"/>
      <c r="N9" s="785"/>
      <c r="O9" s="785"/>
      <c r="P9" s="785"/>
      <c r="Q9" s="785"/>
      <c r="R9" s="785"/>
      <c r="S9" s="785"/>
      <c r="T9" s="785"/>
      <c r="U9" s="785"/>
      <c r="V9" s="785"/>
      <c r="W9" s="785"/>
      <c r="X9" s="785"/>
      <c r="Y9" s="786"/>
      <c r="Z9" s="482"/>
      <c r="AA9" s="1578"/>
      <c r="AB9" s="1579"/>
      <c r="AC9" s="1579"/>
      <c r="AD9" s="1579"/>
      <c r="AE9" s="1579"/>
      <c r="AF9" s="1579"/>
      <c r="AG9" s="1579"/>
      <c r="AH9" s="1579"/>
      <c r="AI9" s="1579"/>
      <c r="AJ9" s="1579"/>
      <c r="AK9" s="1579"/>
      <c r="AL9" s="1579"/>
      <c r="AM9" s="1579"/>
      <c r="AN9" s="1579"/>
      <c r="AO9" s="1579"/>
      <c r="AP9" s="1580"/>
    </row>
    <row r="10" spans="1:58" s="213" customFormat="1" ht="60" customHeight="1" thickBot="1">
      <c r="A10" s="1712"/>
      <c r="B10" s="1712"/>
      <c r="C10" s="1712"/>
      <c r="D10" s="1712"/>
      <c r="E10" s="1712"/>
      <c r="F10" s="1712"/>
      <c r="G10" s="1712"/>
      <c r="H10" s="1712"/>
      <c r="I10" s="1712"/>
      <c r="J10" s="1712"/>
      <c r="K10" s="1712"/>
      <c r="L10" s="1712"/>
      <c r="M10" s="1712"/>
      <c r="N10" s="1712"/>
      <c r="O10" s="1712"/>
      <c r="P10" s="1712"/>
      <c r="Q10" s="1712"/>
      <c r="R10" s="1712"/>
      <c r="S10" s="1712"/>
      <c r="T10" s="1712"/>
      <c r="U10" s="1712"/>
      <c r="V10" s="1712"/>
      <c r="W10" s="1712"/>
      <c r="X10" s="1712"/>
      <c r="Y10" s="1712"/>
      <c r="Z10" s="1569"/>
      <c r="AA10" s="1569"/>
      <c r="AB10" s="1569"/>
      <c r="AC10" s="1569"/>
      <c r="AD10" s="1569"/>
      <c r="AE10" s="1569"/>
      <c r="AF10" s="1569"/>
      <c r="AG10" s="1569"/>
      <c r="AH10" s="1569"/>
      <c r="AI10" s="1569"/>
      <c r="AJ10" s="1569"/>
      <c r="AK10" s="1569"/>
      <c r="AL10" s="1569"/>
      <c r="AM10" s="1569"/>
      <c r="AN10" s="1569"/>
      <c r="AO10" s="1569"/>
      <c r="AP10" s="1569"/>
    </row>
    <row r="11" spans="1:58" s="213" customFormat="1" ht="42" customHeight="1" thickBot="1">
      <c r="A11" s="1662" t="s">
        <v>845</v>
      </c>
      <c r="B11" s="1663"/>
      <c r="C11" s="1663"/>
      <c r="D11" s="1663"/>
      <c r="E11" s="1663"/>
      <c r="F11" s="1663"/>
      <c r="G11" s="1663"/>
      <c r="H11" s="1663"/>
      <c r="I11" s="1663"/>
      <c r="J11" s="1663"/>
      <c r="K11" s="1663"/>
      <c r="L11" s="1663"/>
      <c r="M11" s="1663"/>
      <c r="N11" s="1663"/>
      <c r="O11" s="1663"/>
      <c r="P11" s="1663"/>
      <c r="Q11" s="1663"/>
      <c r="R11" s="1663"/>
      <c r="S11" s="1663"/>
      <c r="T11" s="1663"/>
      <c r="U11" s="1663"/>
      <c r="V11" s="1663"/>
      <c r="W11" s="1663"/>
      <c r="X11" s="1663"/>
      <c r="Y11" s="1663"/>
      <c r="AA11" s="1566" t="s">
        <v>1548</v>
      </c>
      <c r="AB11" s="1567"/>
      <c r="AC11" s="1567"/>
      <c r="AD11" s="1567"/>
      <c r="AE11" s="1567"/>
      <c r="AF11" s="1567"/>
      <c r="AG11" s="1567"/>
      <c r="AH11" s="1567"/>
      <c r="AI11" s="1567"/>
      <c r="AJ11" s="1567"/>
      <c r="AK11" s="1567"/>
      <c r="AL11" s="1567"/>
      <c r="AM11" s="1567"/>
      <c r="AN11" s="1567"/>
      <c r="AO11" s="1567"/>
      <c r="AP11" s="1568"/>
    </row>
    <row r="12" spans="1:58" s="213" customFormat="1" ht="22.5" customHeight="1" thickBot="1">
      <c r="A12" s="1065" t="s">
        <v>1570</v>
      </c>
      <c r="B12" s="1066"/>
      <c r="C12" s="1066"/>
      <c r="D12" s="1066"/>
      <c r="E12" s="1066"/>
      <c r="F12" s="1066"/>
      <c r="G12" s="1066"/>
      <c r="H12" s="1066"/>
      <c r="I12" s="1066"/>
      <c r="J12" s="1066"/>
      <c r="K12" s="1066"/>
      <c r="L12" s="1066"/>
      <c r="M12" s="1066"/>
      <c r="N12" s="1066"/>
      <c r="O12" s="1066"/>
      <c r="P12" s="1066"/>
      <c r="Q12" s="1066"/>
      <c r="R12" s="1066"/>
      <c r="S12" s="1066"/>
      <c r="T12" s="1066"/>
      <c r="U12" s="1066"/>
      <c r="V12" s="1066"/>
      <c r="W12" s="1066"/>
      <c r="X12" s="1066"/>
      <c r="Y12" s="1067"/>
      <c r="Z12" s="478"/>
      <c r="AA12" s="1464"/>
      <c r="AB12" s="1465"/>
      <c r="AC12" s="1465"/>
      <c r="AD12" s="1465"/>
      <c r="AE12" s="1465"/>
      <c r="AF12" s="1465"/>
      <c r="AG12" s="1465"/>
      <c r="AH12" s="1465"/>
      <c r="AI12" s="1465"/>
      <c r="AJ12" s="1465"/>
      <c r="AK12" s="1465"/>
      <c r="AL12" s="1465"/>
      <c r="AM12" s="1465"/>
      <c r="AN12" s="1465"/>
      <c r="AO12" s="1465"/>
      <c r="AP12" s="1467"/>
    </row>
    <row r="13" spans="1:58" s="213" customFormat="1" ht="31.05" customHeight="1" thickBot="1">
      <c r="A13" s="1666"/>
      <c r="B13" s="1676" t="s">
        <v>368</v>
      </c>
      <c r="C13" s="1376" t="s">
        <v>366</v>
      </c>
      <c r="D13" s="1377"/>
      <c r="E13" s="1377"/>
      <c r="F13" s="1377"/>
      <c r="G13" s="1377"/>
      <c r="H13" s="1377"/>
      <c r="I13" s="1377"/>
      <c r="J13" s="1377"/>
      <c r="K13" s="1377"/>
      <c r="L13" s="1377"/>
      <c r="M13" s="1378"/>
      <c r="N13" s="1376" t="s">
        <v>1069</v>
      </c>
      <c r="O13" s="1377"/>
      <c r="P13" s="1377"/>
      <c r="Q13" s="1377"/>
      <c r="R13" s="1377"/>
      <c r="S13" s="1376" t="s">
        <v>378</v>
      </c>
      <c r="T13" s="1377"/>
      <c r="U13" s="1377"/>
      <c r="V13" s="1377"/>
      <c r="W13" s="1377"/>
      <c r="X13" s="1377"/>
      <c r="Y13" s="1189"/>
      <c r="Z13" s="478"/>
      <c r="AA13" s="1494"/>
      <c r="AB13" s="1252" t="s">
        <v>1298</v>
      </c>
      <c r="AC13" s="1252"/>
      <c r="AD13" s="1252"/>
      <c r="AE13" s="1252"/>
      <c r="AF13" s="1252"/>
      <c r="AG13" s="1252"/>
      <c r="AH13" s="1581"/>
      <c r="AI13" s="1347" t="s">
        <v>1297</v>
      </c>
      <c r="AJ13" s="1233"/>
      <c r="AK13" s="1233"/>
      <c r="AL13" s="1233"/>
      <c r="AM13" s="1233"/>
      <c r="AN13" s="1233"/>
      <c r="AO13" s="1234"/>
      <c r="AP13" s="1494"/>
    </row>
    <row r="14" spans="1:58" s="213" customFormat="1" ht="31.05" customHeight="1">
      <c r="A14" s="1667"/>
      <c r="B14" s="1677"/>
      <c r="C14" s="1086" t="s">
        <v>370</v>
      </c>
      <c r="D14" s="1053"/>
      <c r="E14" s="1053"/>
      <c r="F14" s="1053"/>
      <c r="G14" s="1053"/>
      <c r="H14" s="1053"/>
      <c r="I14" s="1053"/>
      <c r="J14" s="1053"/>
      <c r="K14" s="1053"/>
      <c r="L14" s="1053"/>
      <c r="M14" s="1054"/>
      <c r="N14" s="821" t="s">
        <v>40</v>
      </c>
      <c r="O14" s="696" t="s">
        <v>39</v>
      </c>
      <c r="P14" s="1076" t="s">
        <v>145</v>
      </c>
      <c r="Q14" s="1076" t="s">
        <v>147</v>
      </c>
      <c r="R14" s="713" t="s">
        <v>31</v>
      </c>
      <c r="S14" s="821" t="s">
        <v>40</v>
      </c>
      <c r="T14" s="696" t="s">
        <v>39</v>
      </c>
      <c r="U14" s="1076" t="s">
        <v>145</v>
      </c>
      <c r="V14" s="1078" t="s">
        <v>147</v>
      </c>
      <c r="W14" s="1079"/>
      <c r="X14" s="713" t="s">
        <v>31</v>
      </c>
      <c r="Y14" s="1191"/>
      <c r="Z14" s="478"/>
      <c r="AA14" s="1495"/>
      <c r="AB14" s="1583" t="s">
        <v>1294</v>
      </c>
      <c r="AC14" s="1584"/>
      <c r="AD14" s="1258" t="s">
        <v>1261</v>
      </c>
      <c r="AE14" s="1258"/>
      <c r="AF14" s="1258"/>
      <c r="AG14" s="1258"/>
      <c r="AH14" s="1582"/>
      <c r="AI14" s="556" t="s">
        <v>40</v>
      </c>
      <c r="AJ14" s="557" t="s">
        <v>39</v>
      </c>
      <c r="AK14" s="557" t="s">
        <v>145</v>
      </c>
      <c r="AL14" s="1535" t="s">
        <v>147</v>
      </c>
      <c r="AM14" s="1536"/>
      <c r="AN14" s="1551" t="s">
        <v>31</v>
      </c>
      <c r="AO14" s="1552"/>
      <c r="AP14" s="1570"/>
      <c r="AT14" s="554" t="s">
        <v>40</v>
      </c>
      <c r="AU14" s="554" t="s">
        <v>39</v>
      </c>
      <c r="AV14" s="554" t="s">
        <v>145</v>
      </c>
      <c r="AW14" s="554" t="s">
        <v>147</v>
      </c>
      <c r="AX14" s="554"/>
      <c r="AY14" s="554" t="s">
        <v>31</v>
      </c>
      <c r="AZ14" s="217"/>
      <c r="BA14" s="529" t="s">
        <v>40</v>
      </c>
      <c r="BB14" s="530" t="s">
        <v>39</v>
      </c>
      <c r="BC14" s="530" t="s">
        <v>145</v>
      </c>
      <c r="BD14" s="530" t="s">
        <v>147</v>
      </c>
      <c r="BE14" s="537"/>
      <c r="BF14" s="531" t="s">
        <v>31</v>
      </c>
    </row>
    <row r="15" spans="1:58" s="213" customFormat="1" ht="31.05" customHeight="1" thickBot="1">
      <c r="A15" s="1667"/>
      <c r="B15" s="1677"/>
      <c r="C15" s="1649" t="s">
        <v>146</v>
      </c>
      <c r="D15" s="1650"/>
      <c r="E15" s="1650"/>
      <c r="F15" s="1650"/>
      <c r="G15" s="1650"/>
      <c r="H15" s="1650"/>
      <c r="I15" s="1650"/>
      <c r="J15" s="1650"/>
      <c r="K15" s="1650"/>
      <c r="L15" s="1650"/>
      <c r="M15" s="1682"/>
      <c r="N15" s="7" t="s">
        <v>373</v>
      </c>
      <c r="O15" s="5" t="s">
        <v>373</v>
      </c>
      <c r="P15" s="1077"/>
      <c r="Q15" s="1077"/>
      <c r="R15" s="8" t="s">
        <v>373</v>
      </c>
      <c r="S15" s="822" t="s">
        <v>146</v>
      </c>
      <c r="T15" s="697" t="s">
        <v>146</v>
      </c>
      <c r="U15" s="1077"/>
      <c r="V15" s="1080"/>
      <c r="W15" s="1081"/>
      <c r="X15" s="714" t="s">
        <v>146</v>
      </c>
      <c r="Y15" s="1191"/>
      <c r="Z15" s="478"/>
      <c r="AA15" s="1495"/>
      <c r="AB15" s="1585"/>
      <c r="AC15" s="1586"/>
      <c r="AD15" s="519" t="s">
        <v>40</v>
      </c>
      <c r="AE15" s="519" t="s">
        <v>39</v>
      </c>
      <c r="AF15" s="519" t="s">
        <v>145</v>
      </c>
      <c r="AG15" s="519" t="s">
        <v>147</v>
      </c>
      <c r="AH15" s="538" t="s">
        <v>31</v>
      </c>
      <c r="AI15" s="567" t="s">
        <v>1260</v>
      </c>
      <c r="AJ15" s="723" t="s">
        <v>1260</v>
      </c>
      <c r="AK15" s="723" t="s">
        <v>1260</v>
      </c>
      <c r="AL15" s="1537" t="s">
        <v>1260</v>
      </c>
      <c r="AM15" s="1354"/>
      <c r="AN15" s="1522" t="s">
        <v>1260</v>
      </c>
      <c r="AO15" s="1523"/>
      <c r="AP15" s="1570"/>
      <c r="AT15" s="1571" t="s">
        <v>1285</v>
      </c>
      <c r="AU15" s="1572"/>
      <c r="AV15" s="1573"/>
      <c r="AW15" s="1573"/>
      <c r="AX15" s="1573"/>
      <c r="AY15" s="1574"/>
      <c r="BA15" s="1557" t="s">
        <v>1286</v>
      </c>
      <c r="BB15" s="1558"/>
      <c r="BC15" s="1554"/>
      <c r="BD15" s="1554"/>
      <c r="BE15" s="1554"/>
      <c r="BF15" s="1559"/>
    </row>
    <row r="16" spans="1:58" ht="17.55" customHeight="1">
      <c r="A16" s="1668"/>
      <c r="B16" s="768" t="s">
        <v>316</v>
      </c>
      <c r="C16" s="1683"/>
      <c r="D16" s="1683"/>
      <c r="E16" s="1683"/>
      <c r="F16" s="1683"/>
      <c r="G16" s="1683"/>
      <c r="H16" s="1683"/>
      <c r="I16" s="1683"/>
      <c r="J16" s="1683"/>
      <c r="K16" s="1683"/>
      <c r="L16" s="1683"/>
      <c r="M16" s="1684"/>
      <c r="N16" s="311">
        <v>0.11</v>
      </c>
      <c r="O16" s="307">
        <v>0.67</v>
      </c>
      <c r="P16" s="1543" t="s">
        <v>1571</v>
      </c>
      <c r="Q16" s="1544"/>
      <c r="R16" s="325">
        <v>0.02</v>
      </c>
      <c r="S16" s="326" t="str">
        <f>IF(C16="","",(N16*C16*(10^-3)))</f>
        <v/>
      </c>
      <c r="T16" s="327" t="str">
        <f>IF(C16="","",(C16*O16*(10^-3)))</f>
        <v/>
      </c>
      <c r="U16" s="1543" t="s">
        <v>1571</v>
      </c>
      <c r="V16" s="1504"/>
      <c r="W16" s="1544"/>
      <c r="X16" s="328" t="str">
        <f>IF(C16="","",(R16*C16*(10^-3)))</f>
        <v/>
      </c>
      <c r="Y16" s="1191"/>
      <c r="Z16" s="458"/>
      <c r="AA16" s="1495"/>
      <c r="AB16" s="1587"/>
      <c r="AC16" s="1499"/>
      <c r="AD16" s="311">
        <v>40</v>
      </c>
      <c r="AE16" s="307">
        <v>40</v>
      </c>
      <c r="AF16" s="1543" t="s">
        <v>1296</v>
      </c>
      <c r="AG16" s="1544"/>
      <c r="AH16" s="325">
        <v>40</v>
      </c>
      <c r="AI16" s="528" t="str">
        <f>IF(AB16="","",(SQRT((AB16^2)+(AD16^2))))</f>
        <v/>
      </c>
      <c r="AJ16" s="528" t="str">
        <f>IF(AB16="","",(SQRT((AB16^2)+(AE16^2))))</f>
        <v/>
      </c>
      <c r="AK16" s="1538" t="s">
        <v>1296</v>
      </c>
      <c r="AL16" s="1506"/>
      <c r="AM16" s="1539"/>
      <c r="AN16" s="1590" t="str">
        <f>IF(AB16="","",(SQRT((AB16^2)+(AH16^2))))</f>
        <v/>
      </c>
      <c r="AO16" s="1591"/>
      <c r="AP16" s="1495"/>
      <c r="AQ16" s="213"/>
      <c r="AR16" s="213"/>
      <c r="AS16" s="213"/>
      <c r="AT16" s="719" t="str">
        <f>IF(OR(S16="",AI16=""),"",S16*AI16)</f>
        <v/>
      </c>
      <c r="AU16" s="778" t="str">
        <f>IF(OR(T16="",AJ16=""),"",T16*AJ16)</f>
        <v/>
      </c>
      <c r="AV16" s="1556"/>
      <c r="AW16" s="1556"/>
      <c r="AX16" s="1556"/>
      <c r="AY16" s="779" t="str">
        <f>IF(OR(X16="",AN16=""),"",X16*AN16)</f>
        <v/>
      </c>
      <c r="AZ16" s="213"/>
      <c r="BA16" s="719" t="str">
        <f t="shared" ref="BA16:BB18" si="0">IF(AT16="","",AT16^2)</f>
        <v/>
      </c>
      <c r="BB16" s="778" t="str">
        <f t="shared" si="0"/>
        <v/>
      </c>
      <c r="BC16" s="1556"/>
      <c r="BD16" s="1556"/>
      <c r="BE16" s="1556"/>
      <c r="BF16" s="779" t="str">
        <f>IF(AY16="","",AY16^2)</f>
        <v/>
      </c>
    </row>
    <row r="17" spans="1:58" ht="17.55" customHeight="1">
      <c r="A17" s="1668"/>
      <c r="B17" s="765" t="s">
        <v>317</v>
      </c>
      <c r="C17" s="1655"/>
      <c r="D17" s="1655"/>
      <c r="E17" s="1655"/>
      <c r="F17" s="1655"/>
      <c r="G17" s="1655"/>
      <c r="H17" s="1655"/>
      <c r="I17" s="1655"/>
      <c r="J17" s="1655"/>
      <c r="K17" s="1655"/>
      <c r="L17" s="1655"/>
      <c r="M17" s="1670"/>
      <c r="N17" s="316">
        <v>0.11</v>
      </c>
      <c r="O17" s="312">
        <v>0.67</v>
      </c>
      <c r="P17" s="1508"/>
      <c r="Q17" s="1539"/>
      <c r="R17" s="329">
        <v>0.02</v>
      </c>
      <c r="S17" s="326" t="str">
        <f t="shared" ref="S17:S18" si="1">IF(C17="","",(N17*C17*(10^-3)))</f>
        <v/>
      </c>
      <c r="T17" s="327" t="str">
        <f t="shared" ref="T17:T18" si="2">IF(C17="","",(C17*O17*(10^-3)))</f>
        <v/>
      </c>
      <c r="U17" s="1508"/>
      <c r="V17" s="1506"/>
      <c r="W17" s="1539"/>
      <c r="X17" s="328" t="str">
        <f t="shared" ref="X17:X18" si="3">IF(C17="","",(R17*C17*(10^-3)))</f>
        <v/>
      </c>
      <c r="Y17" s="1191"/>
      <c r="Z17" s="458"/>
      <c r="AA17" s="1495"/>
      <c r="AB17" s="1587"/>
      <c r="AC17" s="1499"/>
      <c r="AD17" s="316">
        <v>40</v>
      </c>
      <c r="AE17" s="312">
        <v>40</v>
      </c>
      <c r="AF17" s="1508"/>
      <c r="AG17" s="1539"/>
      <c r="AH17" s="329">
        <v>40</v>
      </c>
      <c r="AI17" s="528" t="str">
        <f t="shared" ref="AI17:AI18" si="4">IF(AB17="","",(SQRT((AB17^2)+(AD17^2))))</f>
        <v/>
      </c>
      <c r="AJ17" s="528" t="str">
        <f t="shared" ref="AJ17:AJ18" si="5">IF(AB17="","",(SQRT((AB17^2)+(AE17^2))))</f>
        <v/>
      </c>
      <c r="AK17" s="1538"/>
      <c r="AL17" s="1506"/>
      <c r="AM17" s="1539"/>
      <c r="AN17" s="1562" t="str">
        <f t="shared" ref="AN17:AN18" si="6">IF(AB17="","",(SQRT((AB17^2)+(AH17^2))))</f>
        <v/>
      </c>
      <c r="AO17" s="1592"/>
      <c r="AP17" s="1495"/>
      <c r="AQ17" s="213"/>
      <c r="AR17" s="213"/>
      <c r="AS17" s="213"/>
      <c r="AT17" s="719" t="str">
        <f t="shared" ref="AT17" si="7">IF(OR(S17="",AI17=""),"",S17*AI17)</f>
        <v/>
      </c>
      <c r="AU17" s="778" t="str">
        <f t="shared" ref="AU17" si="8">IF(OR(T17="",AJ17=""),"",T17*AJ17)</f>
        <v/>
      </c>
      <c r="AV17" s="1556"/>
      <c r="AW17" s="1556"/>
      <c r="AX17" s="1556"/>
      <c r="AY17" s="779" t="str">
        <f t="shared" ref="AY17:AY18" si="9">IF(OR(X17="",AN17=""),"",X17*AN17)</f>
        <v/>
      </c>
      <c r="AZ17" s="213"/>
      <c r="BA17" s="719" t="str">
        <f t="shared" si="0"/>
        <v/>
      </c>
      <c r="BB17" s="778" t="str">
        <f t="shared" si="0"/>
        <v/>
      </c>
      <c r="BC17" s="1556"/>
      <c r="BD17" s="1556"/>
      <c r="BE17" s="1556"/>
      <c r="BF17" s="779" t="str">
        <f>IF(AY17="","",AY17^2)</f>
        <v/>
      </c>
    </row>
    <row r="18" spans="1:58" ht="17.55" customHeight="1" thickBot="1">
      <c r="A18" s="1678"/>
      <c r="B18" s="769" t="s">
        <v>318</v>
      </c>
      <c r="C18" s="1671"/>
      <c r="D18" s="1671"/>
      <c r="E18" s="1671"/>
      <c r="F18" s="1671"/>
      <c r="G18" s="1671"/>
      <c r="H18" s="1671"/>
      <c r="I18" s="1671"/>
      <c r="J18" s="1671"/>
      <c r="K18" s="1671"/>
      <c r="L18" s="1671"/>
      <c r="M18" s="1672"/>
      <c r="N18" s="330">
        <v>0.11</v>
      </c>
      <c r="O18" s="331">
        <v>0.67</v>
      </c>
      <c r="P18" s="1545"/>
      <c r="Q18" s="1542"/>
      <c r="R18" s="332">
        <v>0.02</v>
      </c>
      <c r="S18" s="333" t="str">
        <f t="shared" si="1"/>
        <v/>
      </c>
      <c r="T18" s="334" t="str">
        <f t="shared" si="2"/>
        <v/>
      </c>
      <c r="U18" s="1545"/>
      <c r="V18" s="1541"/>
      <c r="W18" s="1542"/>
      <c r="X18" s="335" t="str">
        <f t="shared" si="3"/>
        <v/>
      </c>
      <c r="Y18" s="1673"/>
      <c r="Z18" s="458"/>
      <c r="AA18" s="1496"/>
      <c r="AB18" s="1588"/>
      <c r="AC18" s="1589"/>
      <c r="AD18" s="564">
        <v>40</v>
      </c>
      <c r="AE18" s="565">
        <v>40</v>
      </c>
      <c r="AF18" s="1508"/>
      <c r="AG18" s="1539"/>
      <c r="AH18" s="566">
        <v>40</v>
      </c>
      <c r="AI18" s="536" t="str">
        <f t="shared" si="4"/>
        <v/>
      </c>
      <c r="AJ18" s="536" t="str">
        <f t="shared" si="5"/>
        <v/>
      </c>
      <c r="AK18" s="1540"/>
      <c r="AL18" s="1541"/>
      <c r="AM18" s="1542"/>
      <c r="AN18" s="1593" t="str">
        <f t="shared" si="6"/>
        <v/>
      </c>
      <c r="AO18" s="1594"/>
      <c r="AP18" s="1496"/>
      <c r="AQ18" s="213"/>
      <c r="AR18" s="213"/>
      <c r="AS18" s="213"/>
      <c r="AT18" s="719" t="str">
        <f>IF(OR(S18="",AI18=""),"",S18*AI18)</f>
        <v/>
      </c>
      <c r="AU18" s="778" t="str">
        <f>IF(OR(T18="",AJ18=""),"",T18*AJ18)</f>
        <v/>
      </c>
      <c r="AV18" s="1556"/>
      <c r="AW18" s="1556"/>
      <c r="AX18" s="1556"/>
      <c r="AY18" s="779" t="str">
        <f t="shared" si="9"/>
        <v/>
      </c>
      <c r="AZ18" s="213"/>
      <c r="BA18" s="719" t="str">
        <f t="shared" si="0"/>
        <v/>
      </c>
      <c r="BB18" s="778" t="str">
        <f t="shared" si="0"/>
        <v/>
      </c>
      <c r="BC18" s="1556"/>
      <c r="BD18" s="1556"/>
      <c r="BE18" s="1556"/>
      <c r="BF18" s="779" t="str">
        <f>IF(AY18="","",AY18^2)</f>
        <v/>
      </c>
    </row>
    <row r="19" spans="1:58" ht="22.5" customHeight="1" thickBot="1">
      <c r="A19" s="1065" t="s">
        <v>1583</v>
      </c>
      <c r="B19" s="1066"/>
      <c r="C19" s="1066"/>
      <c r="D19" s="1066"/>
      <c r="E19" s="1066"/>
      <c r="F19" s="1066"/>
      <c r="G19" s="1066"/>
      <c r="H19" s="1066"/>
      <c r="I19" s="1066"/>
      <c r="J19" s="1066"/>
      <c r="K19" s="1066"/>
      <c r="L19" s="1066"/>
      <c r="M19" s="1066"/>
      <c r="N19" s="1066"/>
      <c r="O19" s="1066"/>
      <c r="P19" s="1066"/>
      <c r="Q19" s="1066"/>
      <c r="R19" s="1066"/>
      <c r="S19" s="1066"/>
      <c r="T19" s="1066"/>
      <c r="U19" s="1066"/>
      <c r="V19" s="1066"/>
      <c r="W19" s="1066"/>
      <c r="X19" s="1066"/>
      <c r="Y19" s="1067"/>
      <c r="AA19" s="1464"/>
      <c r="AB19" s="1465"/>
      <c r="AC19" s="1465"/>
      <c r="AD19" s="1465"/>
      <c r="AE19" s="1465"/>
      <c r="AF19" s="1465"/>
      <c r="AG19" s="1465"/>
      <c r="AH19" s="1465"/>
      <c r="AI19" s="1465"/>
      <c r="AJ19" s="1465"/>
      <c r="AK19" s="1465"/>
      <c r="AL19" s="1465"/>
      <c r="AM19" s="1465"/>
      <c r="AN19" s="1465"/>
      <c r="AO19" s="1465"/>
      <c r="AP19" s="1467"/>
      <c r="AQ19" s="213"/>
      <c r="AR19" s="213"/>
      <c r="AS19" s="213"/>
    </row>
    <row r="20" spans="1:58" s="213" customFormat="1" ht="31.05" customHeight="1" thickBot="1">
      <c r="A20" s="1666"/>
      <c r="B20" s="1714" t="s">
        <v>1575</v>
      </c>
      <c r="C20" s="1376" t="s">
        <v>312</v>
      </c>
      <c r="D20" s="1377"/>
      <c r="E20" s="1378"/>
      <c r="F20" s="1632" t="s">
        <v>1568</v>
      </c>
      <c r="G20" s="1633"/>
      <c r="H20" s="1633"/>
      <c r="I20" s="1633"/>
      <c r="J20" s="1633"/>
      <c r="K20" s="1633"/>
      <c r="L20" s="1633"/>
      <c r="M20" s="1634"/>
      <c r="N20" s="1376" t="s">
        <v>1569</v>
      </c>
      <c r="O20" s="1377"/>
      <c r="P20" s="1377"/>
      <c r="Q20" s="1377"/>
      <c r="R20" s="1378"/>
      <c r="S20" s="1204" t="s">
        <v>378</v>
      </c>
      <c r="T20" s="1205"/>
      <c r="U20" s="1205"/>
      <c r="V20" s="1205"/>
      <c r="W20" s="1205"/>
      <c r="X20" s="1206"/>
      <c r="Y20" s="1635"/>
      <c r="Z20" s="478"/>
      <c r="AA20" s="1494"/>
      <c r="AB20" s="1252" t="s">
        <v>1300</v>
      </c>
      <c r="AC20" s="1252"/>
      <c r="AD20" s="1252"/>
      <c r="AE20" s="1252"/>
      <c r="AF20" s="1252"/>
      <c r="AG20" s="1252"/>
      <c r="AH20" s="1581"/>
      <c r="AI20" s="1347" t="s">
        <v>1301</v>
      </c>
      <c r="AJ20" s="1233"/>
      <c r="AK20" s="1233"/>
      <c r="AL20" s="1233"/>
      <c r="AM20" s="1233"/>
      <c r="AN20" s="1233"/>
      <c r="AO20" s="1234"/>
      <c r="AP20" s="1494"/>
    </row>
    <row r="21" spans="1:58" s="213" customFormat="1" ht="38.549999999999997" customHeight="1">
      <c r="A21" s="1667"/>
      <c r="B21" s="1715"/>
      <c r="C21" s="1393" t="s">
        <v>288</v>
      </c>
      <c r="D21" s="1082"/>
      <c r="E21" s="930" t="s">
        <v>1073</v>
      </c>
      <c r="F21" s="1393" t="s">
        <v>1573</v>
      </c>
      <c r="G21" s="1391"/>
      <c r="H21" s="1699" t="s">
        <v>1572</v>
      </c>
      <c r="I21" s="1082"/>
      <c r="J21" s="1082"/>
      <c r="K21" s="1430" t="s">
        <v>1574</v>
      </c>
      <c r="L21" s="1082"/>
      <c r="M21" s="1083"/>
      <c r="N21" s="1393"/>
      <c r="O21" s="1082"/>
      <c r="P21" s="1082"/>
      <c r="Q21" s="1082"/>
      <c r="R21" s="1083"/>
      <c r="S21" s="1664" t="s">
        <v>40</v>
      </c>
      <c r="T21" s="1076" t="s">
        <v>39</v>
      </c>
      <c r="U21" s="1076" t="s">
        <v>145</v>
      </c>
      <c r="V21" s="927" t="s">
        <v>147</v>
      </c>
      <c r="W21" s="925" t="s">
        <v>147</v>
      </c>
      <c r="X21" s="1704" t="s">
        <v>31</v>
      </c>
      <c r="Y21" s="1190"/>
      <c r="Z21" s="478"/>
      <c r="AA21" s="1495"/>
      <c r="AB21" s="1583" t="s">
        <v>1576</v>
      </c>
      <c r="AC21" s="1584"/>
      <c r="AD21" s="1583" t="s">
        <v>1577</v>
      </c>
      <c r="AE21" s="1584"/>
      <c r="AF21" s="1512" t="s">
        <v>1303</v>
      </c>
      <c r="AG21" s="1513"/>
      <c r="AH21" s="1514"/>
      <c r="AI21" s="556" t="s">
        <v>40</v>
      </c>
      <c r="AJ21" s="557" t="s">
        <v>39</v>
      </c>
      <c r="AK21" s="557" t="s">
        <v>145</v>
      </c>
      <c r="AL21" s="932" t="s">
        <v>147</v>
      </c>
      <c r="AM21" s="932" t="s">
        <v>147</v>
      </c>
      <c r="AN21" s="1551" t="s">
        <v>31</v>
      </c>
      <c r="AO21" s="1552"/>
      <c r="AP21" s="1495"/>
      <c r="AT21" s="554" t="s">
        <v>40</v>
      </c>
      <c r="AU21" s="554" t="s">
        <v>39</v>
      </c>
      <c r="AV21" s="554" t="s">
        <v>145</v>
      </c>
      <c r="AW21" s="554" t="s">
        <v>147</v>
      </c>
      <c r="AX21" s="554"/>
      <c r="AY21" s="554" t="s">
        <v>31</v>
      </c>
      <c r="AZ21" s="217"/>
      <c r="BA21" s="529" t="s">
        <v>40</v>
      </c>
      <c r="BB21" s="530" t="s">
        <v>39</v>
      </c>
      <c r="BC21" s="530" t="s">
        <v>145</v>
      </c>
      <c r="BD21" s="530" t="s">
        <v>147</v>
      </c>
      <c r="BE21" s="537"/>
      <c r="BF21" s="531" t="s">
        <v>31</v>
      </c>
    </row>
    <row r="22" spans="1:58" s="213" customFormat="1" ht="40.200000000000003" customHeight="1" thickBot="1">
      <c r="A22" s="1667"/>
      <c r="B22" s="1716"/>
      <c r="C22" s="1394"/>
      <c r="D22" s="1084"/>
      <c r="E22" s="931" t="s">
        <v>1074</v>
      </c>
      <c r="F22" s="1702" t="s">
        <v>1071</v>
      </c>
      <c r="G22" s="1703"/>
      <c r="H22" s="1700" t="s">
        <v>1078</v>
      </c>
      <c r="I22" s="1701"/>
      <c r="J22" s="1701"/>
      <c r="K22" s="1431"/>
      <c r="L22" s="1084"/>
      <c r="M22" s="1085"/>
      <c r="N22" s="1394"/>
      <c r="O22" s="1084"/>
      <c r="P22" s="1084"/>
      <c r="Q22" s="1084"/>
      <c r="R22" s="1085"/>
      <c r="S22" s="1665"/>
      <c r="T22" s="1077"/>
      <c r="U22" s="1077"/>
      <c r="V22" s="926" t="s">
        <v>306</v>
      </c>
      <c r="W22" s="926" t="s">
        <v>753</v>
      </c>
      <c r="X22" s="1705"/>
      <c r="Y22" s="1190"/>
      <c r="Z22" s="478"/>
      <c r="AA22" s="1495"/>
      <c r="AB22" s="1585"/>
      <c r="AC22" s="1586"/>
      <c r="AD22" s="1585"/>
      <c r="AE22" s="1586"/>
      <c r="AF22" s="1515"/>
      <c r="AG22" s="1516"/>
      <c r="AH22" s="1517"/>
      <c r="AI22" s="567" t="s">
        <v>1260</v>
      </c>
      <c r="AJ22" s="929" t="s">
        <v>1260</v>
      </c>
      <c r="AK22" s="929" t="s">
        <v>1260</v>
      </c>
      <c r="AL22" s="928" t="s">
        <v>1260</v>
      </c>
      <c r="AM22" s="929" t="s">
        <v>1260</v>
      </c>
      <c r="AN22" s="1522" t="s">
        <v>1260</v>
      </c>
      <c r="AO22" s="1523"/>
      <c r="AP22" s="1495"/>
      <c r="AT22" s="1497" t="s">
        <v>1285</v>
      </c>
      <c r="AU22" s="1497"/>
      <c r="AV22" s="1497"/>
      <c r="AW22" s="1497"/>
      <c r="AX22" s="1497"/>
      <c r="AY22" s="1497"/>
      <c r="BA22" s="1553" t="s">
        <v>1286</v>
      </c>
      <c r="BB22" s="1554"/>
      <c r="BC22" s="1554"/>
      <c r="BD22" s="1554"/>
      <c r="BE22" s="1554"/>
      <c r="BF22" s="1555"/>
    </row>
    <row r="23" spans="1:58" s="213" customFormat="1" ht="16.5" customHeight="1">
      <c r="A23" s="1668"/>
      <c r="B23" s="1687" t="s">
        <v>316</v>
      </c>
      <c r="C23" s="1617"/>
      <c r="D23" s="1618"/>
      <c r="E23" s="347"/>
      <c r="F23" s="1609"/>
      <c r="G23" s="1610"/>
      <c r="H23" s="1601" t="str">
        <f>IF(AND(F23="",F24="",F25="",F26=""),"",F23+F24+F25+F26)</f>
        <v/>
      </c>
      <c r="I23" s="1602"/>
      <c r="J23" s="1603"/>
      <c r="K23" s="1644"/>
      <c r="L23" s="1645"/>
      <c r="M23" s="1646"/>
      <c r="N23" s="1636" t="s">
        <v>1076</v>
      </c>
      <c r="O23" s="1637"/>
      <c r="P23" s="1637"/>
      <c r="Q23" s="1637"/>
      <c r="R23" s="1638"/>
      <c r="S23" s="1679" t="s">
        <v>367</v>
      </c>
      <c r="T23" s="1626" t="s">
        <v>367</v>
      </c>
      <c r="U23" s="1629" t="s">
        <v>367</v>
      </c>
      <c r="V23" s="351" t="str">
        <f>IF(OR(C23="",E23="",F23="",K23=""),"",(F23*K23*(64/32)*(10^-9)))</f>
        <v/>
      </c>
      <c r="W23" s="1488" t="str">
        <f>IF(AND(V23="",V24="",V25="",V26=""),"",(SUMIF(V23:V26,"&lt;&gt;#N/A")))</f>
        <v/>
      </c>
      <c r="X23" s="1696" t="s">
        <v>367</v>
      </c>
      <c r="Y23" s="1190"/>
      <c r="Z23" s="478"/>
      <c r="AA23" s="1495"/>
      <c r="AB23" s="1509"/>
      <c r="AC23" s="1510"/>
      <c r="AD23" s="1510"/>
      <c r="AE23" s="1511"/>
      <c r="AF23" s="1504" t="s">
        <v>1268</v>
      </c>
      <c r="AG23" s="1504"/>
      <c r="AH23" s="1505"/>
      <c r="AI23" s="1546"/>
      <c r="AJ23" s="1547"/>
      <c r="AK23" s="1547"/>
      <c r="AL23" s="578" t="str">
        <f>IF(OR(AB23="",AD23=""),"", (SQRT((AB23^2)+(AD23^2)))   )</f>
        <v/>
      </c>
      <c r="AM23" s="1488" t="str">
        <f>IF(OR(AND(AL23="",AL24="",AL25="",AL26=""),OR(W23="",W23=0)),"",(SQRT(    (SUMIF(AR23:AR26,"&lt;&gt;#N/A"))    )/W23))</f>
        <v/>
      </c>
      <c r="AN23" s="1518"/>
      <c r="AO23" s="1519"/>
      <c r="AP23" s="1495"/>
      <c r="AR23" s="578" t="str">
        <f t="shared" ref="AR23:AR42" si="10">IF(OR(V23="",AL23=""),"",(V23*AL23)^2)</f>
        <v/>
      </c>
      <c r="AT23" s="1524"/>
      <c r="AU23" s="1525"/>
      <c r="AV23" s="1526"/>
      <c r="AW23" s="351" t="str">
        <f>IF(OR(AL23="",V23=""),"",AL23*V23)</f>
        <v/>
      </c>
      <c r="AX23" s="1487" t="str">
        <f>IF(OR(AM23="",W23=""),"",AM23*W23)</f>
        <v/>
      </c>
      <c r="AY23" s="1532"/>
      <c r="BA23" s="1524"/>
      <c r="BB23" s="1525"/>
      <c r="BC23" s="1526"/>
      <c r="BD23" s="351" t="str">
        <f>IF(AW23="","",AW23^2)</f>
        <v/>
      </c>
      <c r="BE23" s="1487" t="str">
        <f>IF(AX23="","",AX23^2)</f>
        <v/>
      </c>
      <c r="BF23" s="1532"/>
    </row>
    <row r="24" spans="1:58" s="213" customFormat="1" ht="16.5" customHeight="1">
      <c r="A24" s="1668"/>
      <c r="B24" s="1625"/>
      <c r="C24" s="1596"/>
      <c r="D24" s="1597"/>
      <c r="E24" s="348"/>
      <c r="F24" s="1630"/>
      <c r="G24" s="1631"/>
      <c r="H24" s="1601"/>
      <c r="I24" s="1602"/>
      <c r="J24" s="1603"/>
      <c r="K24" s="1611"/>
      <c r="L24" s="1612"/>
      <c r="M24" s="1613"/>
      <c r="N24" s="1636"/>
      <c r="O24" s="1637"/>
      <c r="P24" s="1637"/>
      <c r="Q24" s="1637"/>
      <c r="R24" s="1638"/>
      <c r="S24" s="1680"/>
      <c r="T24" s="1627"/>
      <c r="U24" s="1627"/>
      <c r="V24" s="352" t="str">
        <f>IF(OR(C24="",E24="",F24="",K24=""),"",(F24*K24*(64/32)*(10^-9)))</f>
        <v/>
      </c>
      <c r="W24" s="1488"/>
      <c r="X24" s="1697"/>
      <c r="Y24" s="1190"/>
      <c r="Z24" s="478"/>
      <c r="AA24" s="1495"/>
      <c r="AB24" s="1498"/>
      <c r="AC24" s="1499"/>
      <c r="AD24" s="1499"/>
      <c r="AE24" s="1500"/>
      <c r="AF24" s="1506"/>
      <c r="AG24" s="1506"/>
      <c r="AH24" s="1507"/>
      <c r="AI24" s="1548"/>
      <c r="AJ24" s="1549"/>
      <c r="AK24" s="1549"/>
      <c r="AL24" s="579" t="str">
        <f t="shared" ref="AL24:AL42" si="11">IF(OR(AB24="",AD24=""),"", (SQRT((AB24^2)+(AD24^2)))   )</f>
        <v/>
      </c>
      <c r="AM24" s="1488"/>
      <c r="AN24" s="1520"/>
      <c r="AO24" s="1521"/>
      <c r="AP24" s="1495"/>
      <c r="AR24" s="579" t="str">
        <f t="shared" si="10"/>
        <v/>
      </c>
      <c r="AT24" s="1527"/>
      <c r="AU24" s="1479"/>
      <c r="AV24" s="1528"/>
      <c r="AW24" s="352" t="str">
        <f t="shared" ref="AW24:AW41" si="12">IF(OR(AL24="",V24=""),"",AL24*V24)</f>
        <v/>
      </c>
      <c r="AX24" s="1488"/>
      <c r="AY24" s="1533"/>
      <c r="BA24" s="1527"/>
      <c r="BB24" s="1479"/>
      <c r="BC24" s="1528"/>
      <c r="BD24" s="352" t="str">
        <f t="shared" ref="BD24:BD42" si="13">IF(AW24="","",AW24^2)</f>
        <v/>
      </c>
      <c r="BE24" s="1488"/>
      <c r="BF24" s="1533"/>
    </row>
    <row r="25" spans="1:58" s="213" customFormat="1" ht="16.5" customHeight="1">
      <c r="A25" s="1668"/>
      <c r="B25" s="1625"/>
      <c r="C25" s="1596"/>
      <c r="D25" s="1598"/>
      <c r="E25" s="348"/>
      <c r="F25" s="1630"/>
      <c r="G25" s="1631"/>
      <c r="H25" s="1601"/>
      <c r="I25" s="1602"/>
      <c r="J25" s="1603"/>
      <c r="K25" s="1611"/>
      <c r="L25" s="1612"/>
      <c r="M25" s="1613"/>
      <c r="N25" s="1636"/>
      <c r="O25" s="1637"/>
      <c r="P25" s="1637"/>
      <c r="Q25" s="1637"/>
      <c r="R25" s="1638"/>
      <c r="S25" s="1680"/>
      <c r="T25" s="1627"/>
      <c r="U25" s="1627"/>
      <c r="V25" s="352" t="str">
        <f t="shared" ref="V25:V38" si="14">IF(OR(C25="",E25="",F25="",K25=""),"",(F25*K25*(64/32)*(10^-9)))</f>
        <v/>
      </c>
      <c r="W25" s="1488"/>
      <c r="X25" s="1697"/>
      <c r="Y25" s="1190"/>
      <c r="Z25" s="478"/>
      <c r="AA25" s="1495"/>
      <c r="AB25" s="1498"/>
      <c r="AC25" s="1499"/>
      <c r="AD25" s="1499"/>
      <c r="AE25" s="1500"/>
      <c r="AF25" s="1506"/>
      <c r="AG25" s="1506"/>
      <c r="AH25" s="1507"/>
      <c r="AI25" s="1548"/>
      <c r="AJ25" s="1549"/>
      <c r="AK25" s="1549"/>
      <c r="AL25" s="579" t="str">
        <f t="shared" si="11"/>
        <v/>
      </c>
      <c r="AM25" s="1488"/>
      <c r="AN25" s="1520"/>
      <c r="AO25" s="1521"/>
      <c r="AP25" s="1495"/>
      <c r="AR25" s="579" t="str">
        <f t="shared" si="10"/>
        <v/>
      </c>
      <c r="AT25" s="1527"/>
      <c r="AU25" s="1479"/>
      <c r="AV25" s="1528"/>
      <c r="AW25" s="352" t="str">
        <f t="shared" si="12"/>
        <v/>
      </c>
      <c r="AX25" s="1488"/>
      <c r="AY25" s="1533"/>
      <c r="BA25" s="1527"/>
      <c r="BB25" s="1479"/>
      <c r="BC25" s="1528"/>
      <c r="BD25" s="352" t="str">
        <f t="shared" si="13"/>
        <v/>
      </c>
      <c r="BE25" s="1488"/>
      <c r="BF25" s="1533"/>
    </row>
    <row r="26" spans="1:58" s="213" customFormat="1" ht="16.5" customHeight="1" thickBot="1">
      <c r="A26" s="1668"/>
      <c r="B26" s="1625"/>
      <c r="C26" s="1599"/>
      <c r="D26" s="1600"/>
      <c r="E26" s="349"/>
      <c r="F26" s="1642"/>
      <c r="G26" s="1643"/>
      <c r="H26" s="1604"/>
      <c r="I26" s="1605"/>
      <c r="J26" s="1606"/>
      <c r="K26" s="1614"/>
      <c r="L26" s="1615"/>
      <c r="M26" s="1616"/>
      <c r="N26" s="1636"/>
      <c r="O26" s="1637"/>
      <c r="P26" s="1637"/>
      <c r="Q26" s="1637"/>
      <c r="R26" s="1638"/>
      <c r="S26" s="1680"/>
      <c r="T26" s="1627"/>
      <c r="U26" s="1627"/>
      <c r="V26" s="353" t="str">
        <f t="shared" si="14"/>
        <v/>
      </c>
      <c r="W26" s="1489"/>
      <c r="X26" s="1697"/>
      <c r="Y26" s="1190"/>
      <c r="Z26" s="478"/>
      <c r="AA26" s="1495"/>
      <c r="AB26" s="1501"/>
      <c r="AC26" s="1502"/>
      <c r="AD26" s="1502"/>
      <c r="AE26" s="1503"/>
      <c r="AF26" s="1506"/>
      <c r="AG26" s="1506"/>
      <c r="AH26" s="1507"/>
      <c r="AI26" s="1548"/>
      <c r="AJ26" s="1549"/>
      <c r="AK26" s="1549"/>
      <c r="AL26" s="580" t="str">
        <f t="shared" si="11"/>
        <v/>
      </c>
      <c r="AM26" s="1489"/>
      <c r="AN26" s="1520"/>
      <c r="AO26" s="1521"/>
      <c r="AP26" s="1495"/>
      <c r="AR26" s="580" t="str">
        <f t="shared" si="10"/>
        <v/>
      </c>
      <c r="AT26" s="1527"/>
      <c r="AU26" s="1479"/>
      <c r="AV26" s="1528"/>
      <c r="AW26" s="353" t="str">
        <f t="shared" si="12"/>
        <v/>
      </c>
      <c r="AX26" s="1489"/>
      <c r="AY26" s="1533"/>
      <c r="BA26" s="1527"/>
      <c r="BB26" s="1479"/>
      <c r="BC26" s="1528"/>
      <c r="BD26" s="353" t="str">
        <f t="shared" si="13"/>
        <v/>
      </c>
      <c r="BE26" s="1489"/>
      <c r="BF26" s="1533"/>
    </row>
    <row r="27" spans="1:58" s="213" customFormat="1" ht="16.5" customHeight="1">
      <c r="A27" s="1668"/>
      <c r="B27" s="1625" t="s">
        <v>317</v>
      </c>
      <c r="C27" s="1607"/>
      <c r="D27" s="1608"/>
      <c r="E27" s="350"/>
      <c r="F27" s="1685"/>
      <c r="G27" s="1686"/>
      <c r="H27" s="1601" t="str">
        <f t="shared" ref="H27" si="15">IF(AND(F27="",F28="",F29="",F30=""),"",F27+F28+F29+F30)</f>
        <v/>
      </c>
      <c r="I27" s="1602"/>
      <c r="J27" s="1603"/>
      <c r="K27" s="1622"/>
      <c r="L27" s="1623"/>
      <c r="M27" s="1624"/>
      <c r="N27" s="1636"/>
      <c r="O27" s="1637"/>
      <c r="P27" s="1637"/>
      <c r="Q27" s="1637"/>
      <c r="R27" s="1638"/>
      <c r="S27" s="1680"/>
      <c r="T27" s="1627"/>
      <c r="U27" s="1627"/>
      <c r="V27" s="351" t="str">
        <f t="shared" si="14"/>
        <v/>
      </c>
      <c r="W27" s="1488" t="str">
        <f t="shared" ref="W27" si="16">IF(AND(V27="",V28="",V29="",V30=""),"",(SUMIF(V27:V30,"&lt;&gt;#N/A")))</f>
        <v/>
      </c>
      <c r="X27" s="1697"/>
      <c r="Y27" s="1190"/>
      <c r="Z27" s="478"/>
      <c r="AA27" s="1495"/>
      <c r="AB27" s="1509"/>
      <c r="AC27" s="1510"/>
      <c r="AD27" s="1510"/>
      <c r="AE27" s="1511"/>
      <c r="AF27" s="1508"/>
      <c r="AG27" s="1506"/>
      <c r="AH27" s="1507"/>
      <c r="AI27" s="1548"/>
      <c r="AJ27" s="1549"/>
      <c r="AK27" s="1549"/>
      <c r="AL27" s="578" t="str">
        <f t="shared" si="11"/>
        <v/>
      </c>
      <c r="AM27" s="1488" t="str">
        <f t="shared" ref="AM27" si="17">IF(OR(AND(AL27="",AL28="",AL29="",AL30=""),OR(W27="",W27=0)),"",(SQRT(    (SUMIF(AR27:AR30,"&lt;&gt;#N/A"))    )/W27))</f>
        <v/>
      </c>
      <c r="AN27" s="1520"/>
      <c r="AO27" s="1521"/>
      <c r="AP27" s="1495"/>
      <c r="AR27" s="578" t="str">
        <f t="shared" si="10"/>
        <v/>
      </c>
      <c r="AT27" s="1527"/>
      <c r="AU27" s="1479"/>
      <c r="AV27" s="1528"/>
      <c r="AW27" s="351" t="str">
        <f t="shared" si="12"/>
        <v/>
      </c>
      <c r="AX27" s="1487" t="str">
        <f>IF(OR(AM27="",W27=""),"",AM27*W27)</f>
        <v/>
      </c>
      <c r="AY27" s="1533"/>
      <c r="BA27" s="1527"/>
      <c r="BB27" s="1479"/>
      <c r="BC27" s="1528"/>
      <c r="BD27" s="351" t="str">
        <f t="shared" si="13"/>
        <v/>
      </c>
      <c r="BE27" s="1487" t="str">
        <f t="shared" ref="BE27" si="18">IF(AX27="","",AX27^2)</f>
        <v/>
      </c>
      <c r="BF27" s="1533"/>
    </row>
    <row r="28" spans="1:58" s="213" customFormat="1" ht="16.5" customHeight="1">
      <c r="A28" s="1668"/>
      <c r="B28" s="1625"/>
      <c r="C28" s="1596"/>
      <c r="D28" s="1597"/>
      <c r="E28" s="348"/>
      <c r="F28" s="1630"/>
      <c r="G28" s="1631"/>
      <c r="H28" s="1601"/>
      <c r="I28" s="1602"/>
      <c r="J28" s="1603"/>
      <c r="K28" s="1611"/>
      <c r="L28" s="1612"/>
      <c r="M28" s="1613"/>
      <c r="N28" s="1636"/>
      <c r="O28" s="1637"/>
      <c r="P28" s="1637"/>
      <c r="Q28" s="1637"/>
      <c r="R28" s="1638"/>
      <c r="S28" s="1680"/>
      <c r="T28" s="1627"/>
      <c r="U28" s="1627"/>
      <c r="V28" s="352" t="str">
        <f t="shared" si="14"/>
        <v/>
      </c>
      <c r="W28" s="1488"/>
      <c r="X28" s="1697"/>
      <c r="Y28" s="1190"/>
      <c r="Z28" s="478"/>
      <c r="AA28" s="1495"/>
      <c r="AB28" s="1498"/>
      <c r="AC28" s="1499"/>
      <c r="AD28" s="1499"/>
      <c r="AE28" s="1500"/>
      <c r="AF28" s="1508"/>
      <c r="AG28" s="1506"/>
      <c r="AH28" s="1507"/>
      <c r="AI28" s="1548"/>
      <c r="AJ28" s="1549"/>
      <c r="AK28" s="1549"/>
      <c r="AL28" s="579" t="str">
        <f t="shared" si="11"/>
        <v/>
      </c>
      <c r="AM28" s="1488"/>
      <c r="AN28" s="1520"/>
      <c r="AO28" s="1521"/>
      <c r="AP28" s="1495"/>
      <c r="AR28" s="579" t="str">
        <f t="shared" si="10"/>
        <v/>
      </c>
      <c r="AT28" s="1527"/>
      <c r="AU28" s="1479"/>
      <c r="AV28" s="1528"/>
      <c r="AW28" s="352" t="str">
        <f t="shared" si="12"/>
        <v/>
      </c>
      <c r="AX28" s="1488"/>
      <c r="AY28" s="1533"/>
      <c r="BA28" s="1527"/>
      <c r="BB28" s="1479"/>
      <c r="BC28" s="1528"/>
      <c r="BD28" s="352" t="str">
        <f t="shared" si="13"/>
        <v/>
      </c>
      <c r="BE28" s="1488"/>
      <c r="BF28" s="1533"/>
    </row>
    <row r="29" spans="1:58" s="213" customFormat="1" ht="16.5" customHeight="1">
      <c r="A29" s="1668"/>
      <c r="B29" s="1625"/>
      <c r="C29" s="1596"/>
      <c r="D29" s="1598"/>
      <c r="E29" s="348"/>
      <c r="F29" s="1630"/>
      <c r="G29" s="1631"/>
      <c r="H29" s="1601"/>
      <c r="I29" s="1602"/>
      <c r="J29" s="1603"/>
      <c r="K29" s="1611"/>
      <c r="L29" s="1612"/>
      <c r="M29" s="1613"/>
      <c r="N29" s="1636"/>
      <c r="O29" s="1637"/>
      <c r="P29" s="1637"/>
      <c r="Q29" s="1637"/>
      <c r="R29" s="1638"/>
      <c r="S29" s="1680"/>
      <c r="T29" s="1627"/>
      <c r="U29" s="1627"/>
      <c r="V29" s="352" t="str">
        <f t="shared" si="14"/>
        <v/>
      </c>
      <c r="W29" s="1488"/>
      <c r="X29" s="1697"/>
      <c r="Y29" s="1190"/>
      <c r="Z29" s="478"/>
      <c r="AA29" s="1495"/>
      <c r="AB29" s="1498"/>
      <c r="AC29" s="1499"/>
      <c r="AD29" s="1499"/>
      <c r="AE29" s="1500"/>
      <c r="AF29" s="1508"/>
      <c r="AG29" s="1506"/>
      <c r="AH29" s="1507"/>
      <c r="AI29" s="1548"/>
      <c r="AJ29" s="1549"/>
      <c r="AK29" s="1549"/>
      <c r="AL29" s="579" t="str">
        <f t="shared" si="11"/>
        <v/>
      </c>
      <c r="AM29" s="1488"/>
      <c r="AN29" s="1520"/>
      <c r="AO29" s="1521"/>
      <c r="AP29" s="1495"/>
      <c r="AR29" s="579" t="str">
        <f t="shared" si="10"/>
        <v/>
      </c>
      <c r="AT29" s="1527"/>
      <c r="AU29" s="1479"/>
      <c r="AV29" s="1528"/>
      <c r="AW29" s="352" t="str">
        <f t="shared" si="12"/>
        <v/>
      </c>
      <c r="AX29" s="1488"/>
      <c r="AY29" s="1533"/>
      <c r="BA29" s="1527"/>
      <c r="BB29" s="1479"/>
      <c r="BC29" s="1528"/>
      <c r="BD29" s="352" t="str">
        <f t="shared" si="13"/>
        <v/>
      </c>
      <c r="BE29" s="1488"/>
      <c r="BF29" s="1533"/>
    </row>
    <row r="30" spans="1:58" s="213" customFormat="1" ht="16.5" customHeight="1" thickBot="1">
      <c r="A30" s="1668"/>
      <c r="B30" s="1625"/>
      <c r="C30" s="1599"/>
      <c r="D30" s="1600"/>
      <c r="E30" s="349"/>
      <c r="F30" s="1642"/>
      <c r="G30" s="1643"/>
      <c r="H30" s="1604"/>
      <c r="I30" s="1605"/>
      <c r="J30" s="1606"/>
      <c r="K30" s="1614"/>
      <c r="L30" s="1615"/>
      <c r="M30" s="1616"/>
      <c r="N30" s="1636"/>
      <c r="O30" s="1637"/>
      <c r="P30" s="1637"/>
      <c r="Q30" s="1637"/>
      <c r="R30" s="1638"/>
      <c r="S30" s="1680"/>
      <c r="T30" s="1627"/>
      <c r="U30" s="1627"/>
      <c r="V30" s="353" t="str">
        <f t="shared" si="14"/>
        <v/>
      </c>
      <c r="W30" s="1489"/>
      <c r="X30" s="1697"/>
      <c r="Y30" s="1190"/>
      <c r="Z30" s="478"/>
      <c r="AA30" s="1495"/>
      <c r="AB30" s="1501"/>
      <c r="AC30" s="1502"/>
      <c r="AD30" s="1502"/>
      <c r="AE30" s="1503"/>
      <c r="AF30" s="1508"/>
      <c r="AG30" s="1506"/>
      <c r="AH30" s="1507"/>
      <c r="AI30" s="1548"/>
      <c r="AJ30" s="1549"/>
      <c r="AK30" s="1549"/>
      <c r="AL30" s="580" t="str">
        <f t="shared" si="11"/>
        <v/>
      </c>
      <c r="AM30" s="1489"/>
      <c r="AN30" s="1520"/>
      <c r="AO30" s="1521"/>
      <c r="AP30" s="1495"/>
      <c r="AR30" s="580" t="str">
        <f t="shared" si="10"/>
        <v/>
      </c>
      <c r="AT30" s="1527"/>
      <c r="AU30" s="1479"/>
      <c r="AV30" s="1528"/>
      <c r="AW30" s="353" t="str">
        <f t="shared" si="12"/>
        <v/>
      </c>
      <c r="AX30" s="1489"/>
      <c r="AY30" s="1533"/>
      <c r="BA30" s="1527"/>
      <c r="BB30" s="1479"/>
      <c r="BC30" s="1528"/>
      <c r="BD30" s="353" t="str">
        <f t="shared" si="13"/>
        <v/>
      </c>
      <c r="BE30" s="1489"/>
      <c r="BF30" s="1533"/>
    </row>
    <row r="31" spans="1:58" s="213" customFormat="1" ht="16.5" customHeight="1">
      <c r="A31" s="1668"/>
      <c r="B31" s="1625" t="s">
        <v>318</v>
      </c>
      <c r="C31" s="1607"/>
      <c r="D31" s="1608"/>
      <c r="E31" s="350"/>
      <c r="F31" s="1685"/>
      <c r="G31" s="1686"/>
      <c r="H31" s="1601" t="str">
        <f t="shared" ref="H31" si="19">IF(AND(F31="",F32="",F33="",F34=""),"",F31+F32+F33+F34)</f>
        <v/>
      </c>
      <c r="I31" s="1602"/>
      <c r="J31" s="1603"/>
      <c r="K31" s="1622"/>
      <c r="L31" s="1623"/>
      <c r="M31" s="1624"/>
      <c r="N31" s="1636"/>
      <c r="O31" s="1637"/>
      <c r="P31" s="1637"/>
      <c r="Q31" s="1637"/>
      <c r="R31" s="1638"/>
      <c r="S31" s="1680"/>
      <c r="T31" s="1627"/>
      <c r="U31" s="1627"/>
      <c r="V31" s="351" t="str">
        <f t="shared" si="14"/>
        <v/>
      </c>
      <c r="W31" s="1488" t="str">
        <f t="shared" ref="W31" si="20">IF(AND(V31="",V32="",V33="",V34=""),"",(SUMIF(V31:V34,"&lt;&gt;#N/A")))</f>
        <v/>
      </c>
      <c r="X31" s="1697"/>
      <c r="Y31" s="1190"/>
      <c r="Z31" s="478"/>
      <c r="AA31" s="1495"/>
      <c r="AB31" s="1509"/>
      <c r="AC31" s="1510"/>
      <c r="AD31" s="1510"/>
      <c r="AE31" s="1511"/>
      <c r="AF31" s="1508"/>
      <c r="AG31" s="1506"/>
      <c r="AH31" s="1507"/>
      <c r="AI31" s="1548"/>
      <c r="AJ31" s="1549"/>
      <c r="AK31" s="1550"/>
      <c r="AL31" s="578" t="str">
        <f t="shared" si="11"/>
        <v/>
      </c>
      <c r="AM31" s="1488" t="str">
        <f t="shared" ref="AM31" si="21">IF(OR(AND(AL31="",AL32="",AL33="",AL34=""),OR(W31="",W31=0)),"",(SQRT(    (SUMIF(AR31:AR34,"&lt;&gt;#N/A"))    )/W31))</f>
        <v/>
      </c>
      <c r="AN31" s="1520"/>
      <c r="AO31" s="1521"/>
      <c r="AP31" s="1495"/>
      <c r="AR31" s="578" t="str">
        <f t="shared" si="10"/>
        <v/>
      </c>
      <c r="AT31" s="1527"/>
      <c r="AU31" s="1479"/>
      <c r="AV31" s="1528"/>
      <c r="AW31" s="351" t="str">
        <f t="shared" si="12"/>
        <v/>
      </c>
      <c r="AX31" s="1487" t="str">
        <f>IF(OR(AM31="",W31=""),"",AM31*W31)</f>
        <v/>
      </c>
      <c r="AY31" s="1533"/>
      <c r="BA31" s="1527"/>
      <c r="BB31" s="1479"/>
      <c r="BC31" s="1528"/>
      <c r="BD31" s="351" t="str">
        <f t="shared" si="13"/>
        <v/>
      </c>
      <c r="BE31" s="1487" t="str">
        <f t="shared" ref="BE31" si="22">IF(AX31="","",AX31^2)</f>
        <v/>
      </c>
      <c r="BF31" s="1533"/>
    </row>
    <row r="32" spans="1:58" s="213" customFormat="1" ht="16.5" customHeight="1">
      <c r="A32" s="1668"/>
      <c r="B32" s="1625"/>
      <c r="C32" s="1596"/>
      <c r="D32" s="1597"/>
      <c r="E32" s="348"/>
      <c r="F32" s="1630"/>
      <c r="G32" s="1631"/>
      <c r="H32" s="1601"/>
      <c r="I32" s="1602"/>
      <c r="J32" s="1603"/>
      <c r="K32" s="1611"/>
      <c r="L32" s="1612"/>
      <c r="M32" s="1613"/>
      <c r="N32" s="1636"/>
      <c r="O32" s="1637"/>
      <c r="P32" s="1637"/>
      <c r="Q32" s="1637"/>
      <c r="R32" s="1638"/>
      <c r="S32" s="1680"/>
      <c r="T32" s="1627"/>
      <c r="U32" s="1627"/>
      <c r="V32" s="352" t="str">
        <f t="shared" si="14"/>
        <v/>
      </c>
      <c r="W32" s="1488"/>
      <c r="X32" s="1697"/>
      <c r="Y32" s="1190"/>
      <c r="Z32" s="478"/>
      <c r="AA32" s="1495"/>
      <c r="AB32" s="1498"/>
      <c r="AC32" s="1499"/>
      <c r="AD32" s="1499"/>
      <c r="AE32" s="1500"/>
      <c r="AF32" s="1508"/>
      <c r="AG32" s="1506"/>
      <c r="AH32" s="1507"/>
      <c r="AI32" s="1548"/>
      <c r="AJ32" s="1549"/>
      <c r="AK32" s="1550"/>
      <c r="AL32" s="579" t="str">
        <f t="shared" si="11"/>
        <v/>
      </c>
      <c r="AM32" s="1488"/>
      <c r="AN32" s="1520"/>
      <c r="AO32" s="1521"/>
      <c r="AP32" s="1495"/>
      <c r="AR32" s="579" t="str">
        <f t="shared" si="10"/>
        <v/>
      </c>
      <c r="AT32" s="1527"/>
      <c r="AU32" s="1479"/>
      <c r="AV32" s="1528"/>
      <c r="AW32" s="352" t="str">
        <f t="shared" si="12"/>
        <v/>
      </c>
      <c r="AX32" s="1488"/>
      <c r="AY32" s="1533"/>
      <c r="BA32" s="1527"/>
      <c r="BB32" s="1479"/>
      <c r="BC32" s="1528"/>
      <c r="BD32" s="352" t="str">
        <f t="shared" si="13"/>
        <v/>
      </c>
      <c r="BE32" s="1488"/>
      <c r="BF32" s="1533"/>
    </row>
    <row r="33" spans="1:60" s="213" customFormat="1" ht="16.5" customHeight="1">
      <c r="A33" s="1668"/>
      <c r="B33" s="1625"/>
      <c r="C33" s="1596"/>
      <c r="D33" s="1598"/>
      <c r="E33" s="348"/>
      <c r="F33" s="1630"/>
      <c r="G33" s="1631"/>
      <c r="H33" s="1601"/>
      <c r="I33" s="1602"/>
      <c r="J33" s="1603"/>
      <c r="K33" s="1611"/>
      <c r="L33" s="1612"/>
      <c r="M33" s="1613"/>
      <c r="N33" s="1636"/>
      <c r="O33" s="1637"/>
      <c r="P33" s="1637"/>
      <c r="Q33" s="1637"/>
      <c r="R33" s="1638"/>
      <c r="S33" s="1680"/>
      <c r="T33" s="1627"/>
      <c r="U33" s="1627"/>
      <c r="V33" s="352" t="str">
        <f t="shared" si="14"/>
        <v/>
      </c>
      <c r="W33" s="1488"/>
      <c r="X33" s="1697"/>
      <c r="Y33" s="1190"/>
      <c r="Z33" s="478"/>
      <c r="AA33" s="1495"/>
      <c r="AB33" s="1498"/>
      <c r="AC33" s="1499"/>
      <c r="AD33" s="1499"/>
      <c r="AE33" s="1500"/>
      <c r="AF33" s="1508"/>
      <c r="AG33" s="1506"/>
      <c r="AH33" s="1507"/>
      <c r="AI33" s="1548"/>
      <c r="AJ33" s="1549"/>
      <c r="AK33" s="1550"/>
      <c r="AL33" s="579" t="str">
        <f t="shared" si="11"/>
        <v/>
      </c>
      <c r="AM33" s="1488"/>
      <c r="AN33" s="1520"/>
      <c r="AO33" s="1521"/>
      <c r="AP33" s="1495"/>
      <c r="AR33" s="579" t="str">
        <f t="shared" si="10"/>
        <v/>
      </c>
      <c r="AT33" s="1527"/>
      <c r="AU33" s="1479"/>
      <c r="AV33" s="1528"/>
      <c r="AW33" s="352" t="str">
        <f t="shared" si="12"/>
        <v/>
      </c>
      <c r="AX33" s="1488"/>
      <c r="AY33" s="1533"/>
      <c r="BA33" s="1527"/>
      <c r="BB33" s="1479"/>
      <c r="BC33" s="1528"/>
      <c r="BD33" s="352" t="str">
        <f t="shared" si="13"/>
        <v/>
      </c>
      <c r="BE33" s="1488"/>
      <c r="BF33" s="1533"/>
    </row>
    <row r="34" spans="1:60" s="213" customFormat="1" ht="16.5" customHeight="1" thickBot="1">
      <c r="A34" s="1668"/>
      <c r="B34" s="1625"/>
      <c r="C34" s="1599"/>
      <c r="D34" s="1600"/>
      <c r="E34" s="349"/>
      <c r="F34" s="1642"/>
      <c r="G34" s="1643"/>
      <c r="H34" s="1604"/>
      <c r="I34" s="1605"/>
      <c r="J34" s="1606"/>
      <c r="K34" s="1614"/>
      <c r="L34" s="1615"/>
      <c r="M34" s="1616"/>
      <c r="N34" s="1636"/>
      <c r="O34" s="1637"/>
      <c r="P34" s="1637"/>
      <c r="Q34" s="1637"/>
      <c r="R34" s="1638"/>
      <c r="S34" s="1680"/>
      <c r="T34" s="1627"/>
      <c r="U34" s="1627"/>
      <c r="V34" s="353" t="str">
        <f t="shared" si="14"/>
        <v/>
      </c>
      <c r="W34" s="1489"/>
      <c r="X34" s="1697"/>
      <c r="Y34" s="1190"/>
      <c r="Z34" s="478"/>
      <c r="AA34" s="1495"/>
      <c r="AB34" s="1501"/>
      <c r="AC34" s="1502"/>
      <c r="AD34" s="1502"/>
      <c r="AE34" s="1503"/>
      <c r="AF34" s="1508"/>
      <c r="AG34" s="1506"/>
      <c r="AH34" s="1507"/>
      <c r="AI34" s="1548"/>
      <c r="AJ34" s="1549"/>
      <c r="AK34" s="1550"/>
      <c r="AL34" s="580" t="str">
        <f t="shared" si="11"/>
        <v/>
      </c>
      <c r="AM34" s="1489"/>
      <c r="AN34" s="1520"/>
      <c r="AO34" s="1521"/>
      <c r="AP34" s="1495"/>
      <c r="AR34" s="580" t="str">
        <f t="shared" si="10"/>
        <v/>
      </c>
      <c r="AT34" s="1527"/>
      <c r="AU34" s="1479"/>
      <c r="AV34" s="1528"/>
      <c r="AW34" s="353" t="str">
        <f t="shared" si="12"/>
        <v/>
      </c>
      <c r="AX34" s="1489"/>
      <c r="AY34" s="1533"/>
      <c r="BA34" s="1527"/>
      <c r="BB34" s="1479"/>
      <c r="BC34" s="1528"/>
      <c r="BD34" s="353" t="str">
        <f t="shared" si="13"/>
        <v/>
      </c>
      <c r="BE34" s="1489"/>
      <c r="BF34" s="1533"/>
    </row>
    <row r="35" spans="1:60" s="213" customFormat="1" ht="16.5" customHeight="1">
      <c r="A35" s="1668"/>
      <c r="B35" s="1625" t="s">
        <v>319</v>
      </c>
      <c r="C35" s="1617"/>
      <c r="D35" s="1618"/>
      <c r="E35" s="347"/>
      <c r="F35" s="1609"/>
      <c r="G35" s="1610"/>
      <c r="H35" s="1601" t="str">
        <f t="shared" ref="H35" si="23">IF(AND(F35="",F36="",F37="",F38=""),"",F35+F36+F37+F38)</f>
        <v/>
      </c>
      <c r="I35" s="1602"/>
      <c r="J35" s="1603"/>
      <c r="K35" s="1622"/>
      <c r="L35" s="1623"/>
      <c r="M35" s="1624"/>
      <c r="N35" s="1636"/>
      <c r="O35" s="1637"/>
      <c r="P35" s="1637"/>
      <c r="Q35" s="1637"/>
      <c r="R35" s="1638"/>
      <c r="S35" s="1680"/>
      <c r="T35" s="1627"/>
      <c r="U35" s="1627"/>
      <c r="V35" s="351" t="str">
        <f t="shared" si="14"/>
        <v/>
      </c>
      <c r="W35" s="1488" t="str">
        <f t="shared" ref="W35" si="24">IF(AND(V35="",V36="",V37="",V38=""),"",(SUMIF(V35:V38,"&lt;&gt;#N/A")))</f>
        <v/>
      </c>
      <c r="X35" s="1697"/>
      <c r="Y35" s="1190"/>
      <c r="Z35" s="478"/>
      <c r="AA35" s="1495"/>
      <c r="AB35" s="1509"/>
      <c r="AC35" s="1510"/>
      <c r="AD35" s="1510"/>
      <c r="AE35" s="1511"/>
      <c r="AF35" s="1508"/>
      <c r="AG35" s="1506"/>
      <c r="AH35" s="1507"/>
      <c r="AI35" s="1548"/>
      <c r="AJ35" s="1549"/>
      <c r="AK35" s="1550"/>
      <c r="AL35" s="578" t="str">
        <f t="shared" si="11"/>
        <v/>
      </c>
      <c r="AM35" s="1488" t="str">
        <f t="shared" ref="AM35" si="25">IF(OR(AND(AL35="",AL36="",AL37="",AL38=""),OR(W35="",W35=0)),"",(SQRT(    (SUMIF(AR35:AR38,"&lt;&gt;#N/A"))    )/W35))</f>
        <v/>
      </c>
      <c r="AN35" s="1520"/>
      <c r="AO35" s="1521"/>
      <c r="AP35" s="1495"/>
      <c r="AR35" s="578" t="str">
        <f t="shared" si="10"/>
        <v/>
      </c>
      <c r="AT35" s="1527"/>
      <c r="AU35" s="1479"/>
      <c r="AV35" s="1528"/>
      <c r="AW35" s="351" t="str">
        <f t="shared" si="12"/>
        <v/>
      </c>
      <c r="AX35" s="1487" t="str">
        <f>IF(OR(AM35="",W35=""),"",AM35*W35)</f>
        <v/>
      </c>
      <c r="AY35" s="1533"/>
      <c r="BA35" s="1527"/>
      <c r="BB35" s="1479"/>
      <c r="BC35" s="1528"/>
      <c r="BD35" s="351" t="str">
        <f t="shared" si="13"/>
        <v/>
      </c>
      <c r="BE35" s="1487" t="str">
        <f t="shared" ref="BE35" si="26">IF(AX35="","",AX35^2)</f>
        <v/>
      </c>
      <c r="BF35" s="1533"/>
    </row>
    <row r="36" spans="1:60" s="213" customFormat="1" ht="16.5" customHeight="1">
      <c r="A36" s="1668"/>
      <c r="B36" s="1625"/>
      <c r="C36" s="1617"/>
      <c r="D36" s="1618"/>
      <c r="E36" s="347"/>
      <c r="F36" s="1609"/>
      <c r="G36" s="1610"/>
      <c r="H36" s="1601"/>
      <c r="I36" s="1602"/>
      <c r="J36" s="1603"/>
      <c r="K36" s="1611"/>
      <c r="L36" s="1612"/>
      <c r="M36" s="1613"/>
      <c r="N36" s="1636"/>
      <c r="O36" s="1637"/>
      <c r="P36" s="1637"/>
      <c r="Q36" s="1637"/>
      <c r="R36" s="1638"/>
      <c r="S36" s="1680"/>
      <c r="T36" s="1627"/>
      <c r="U36" s="1627"/>
      <c r="V36" s="352" t="str">
        <f t="shared" si="14"/>
        <v/>
      </c>
      <c r="W36" s="1488"/>
      <c r="X36" s="1697"/>
      <c r="Y36" s="1190"/>
      <c r="Z36" s="478"/>
      <c r="AA36" s="1495"/>
      <c r="AB36" s="1498"/>
      <c r="AC36" s="1499"/>
      <c r="AD36" s="1499"/>
      <c r="AE36" s="1500"/>
      <c r="AF36" s="1508"/>
      <c r="AG36" s="1506"/>
      <c r="AH36" s="1507"/>
      <c r="AI36" s="1548"/>
      <c r="AJ36" s="1549"/>
      <c r="AK36" s="1550"/>
      <c r="AL36" s="579" t="str">
        <f t="shared" si="11"/>
        <v/>
      </c>
      <c r="AM36" s="1488"/>
      <c r="AN36" s="1520"/>
      <c r="AO36" s="1521"/>
      <c r="AP36" s="1495"/>
      <c r="AR36" s="579" t="str">
        <f t="shared" si="10"/>
        <v/>
      </c>
      <c r="AT36" s="1527"/>
      <c r="AU36" s="1479"/>
      <c r="AV36" s="1528"/>
      <c r="AW36" s="352" t="str">
        <f t="shared" si="12"/>
        <v/>
      </c>
      <c r="AX36" s="1488"/>
      <c r="AY36" s="1533"/>
      <c r="BA36" s="1527"/>
      <c r="BB36" s="1479"/>
      <c r="BC36" s="1528"/>
      <c r="BD36" s="352" t="str">
        <f t="shared" si="13"/>
        <v/>
      </c>
      <c r="BE36" s="1488"/>
      <c r="BF36" s="1533"/>
    </row>
    <row r="37" spans="1:60" s="213" customFormat="1" ht="16.5" customHeight="1">
      <c r="A37" s="1668"/>
      <c r="B37" s="1625"/>
      <c r="C37" s="1617"/>
      <c r="D37" s="1618"/>
      <c r="E37" s="347"/>
      <c r="F37" s="1609"/>
      <c r="G37" s="1610"/>
      <c r="H37" s="1601"/>
      <c r="I37" s="1602"/>
      <c r="J37" s="1603"/>
      <c r="K37" s="1611"/>
      <c r="L37" s="1612"/>
      <c r="M37" s="1613"/>
      <c r="N37" s="1636"/>
      <c r="O37" s="1637"/>
      <c r="P37" s="1637"/>
      <c r="Q37" s="1637"/>
      <c r="R37" s="1638"/>
      <c r="S37" s="1680"/>
      <c r="T37" s="1627"/>
      <c r="U37" s="1627"/>
      <c r="V37" s="352" t="str">
        <f t="shared" si="14"/>
        <v/>
      </c>
      <c r="W37" s="1488"/>
      <c r="X37" s="1697"/>
      <c r="Y37" s="1190"/>
      <c r="Z37" s="478"/>
      <c r="AA37" s="1495"/>
      <c r="AB37" s="1498"/>
      <c r="AC37" s="1499"/>
      <c r="AD37" s="1499"/>
      <c r="AE37" s="1500"/>
      <c r="AF37" s="1508"/>
      <c r="AG37" s="1506"/>
      <c r="AH37" s="1507"/>
      <c r="AI37" s="1548"/>
      <c r="AJ37" s="1549"/>
      <c r="AK37" s="1550"/>
      <c r="AL37" s="579" t="str">
        <f t="shared" si="11"/>
        <v/>
      </c>
      <c r="AM37" s="1488"/>
      <c r="AN37" s="1520"/>
      <c r="AO37" s="1521"/>
      <c r="AP37" s="1495"/>
      <c r="AR37" s="579" t="str">
        <f t="shared" si="10"/>
        <v/>
      </c>
      <c r="AT37" s="1527"/>
      <c r="AU37" s="1479"/>
      <c r="AV37" s="1528"/>
      <c r="AW37" s="352" t="str">
        <f t="shared" si="12"/>
        <v/>
      </c>
      <c r="AX37" s="1488"/>
      <c r="AY37" s="1533"/>
      <c r="BA37" s="1527"/>
      <c r="BB37" s="1479"/>
      <c r="BC37" s="1528"/>
      <c r="BD37" s="352" t="str">
        <f t="shared" si="13"/>
        <v/>
      </c>
      <c r="BE37" s="1488"/>
      <c r="BF37" s="1533"/>
    </row>
    <row r="38" spans="1:60" s="213" customFormat="1" ht="16.5" customHeight="1" thickBot="1">
      <c r="A38" s="1668"/>
      <c r="B38" s="1625"/>
      <c r="C38" s="1617"/>
      <c r="D38" s="1618"/>
      <c r="E38" s="347"/>
      <c r="F38" s="1609"/>
      <c r="G38" s="1610"/>
      <c r="H38" s="1604"/>
      <c r="I38" s="1605"/>
      <c r="J38" s="1606"/>
      <c r="K38" s="1614"/>
      <c r="L38" s="1615"/>
      <c r="M38" s="1616"/>
      <c r="N38" s="1636"/>
      <c r="O38" s="1637"/>
      <c r="P38" s="1637"/>
      <c r="Q38" s="1637"/>
      <c r="R38" s="1638"/>
      <c r="S38" s="1680"/>
      <c r="T38" s="1627"/>
      <c r="U38" s="1627"/>
      <c r="V38" s="353" t="str">
        <f t="shared" si="14"/>
        <v/>
      </c>
      <c r="W38" s="1489"/>
      <c r="X38" s="1697"/>
      <c r="Y38" s="1190"/>
      <c r="Z38" s="478"/>
      <c r="AA38" s="1495"/>
      <c r="AB38" s="1501"/>
      <c r="AC38" s="1502"/>
      <c r="AD38" s="1502"/>
      <c r="AE38" s="1503"/>
      <c r="AF38" s="1508"/>
      <c r="AG38" s="1506"/>
      <c r="AH38" s="1507"/>
      <c r="AI38" s="1548"/>
      <c r="AJ38" s="1549"/>
      <c r="AK38" s="1550"/>
      <c r="AL38" s="580" t="str">
        <f t="shared" si="11"/>
        <v/>
      </c>
      <c r="AM38" s="1489"/>
      <c r="AN38" s="1520"/>
      <c r="AO38" s="1521"/>
      <c r="AP38" s="1495"/>
      <c r="AR38" s="580" t="str">
        <f t="shared" si="10"/>
        <v/>
      </c>
      <c r="AT38" s="1527"/>
      <c r="AU38" s="1479"/>
      <c r="AV38" s="1528"/>
      <c r="AW38" s="353" t="str">
        <f t="shared" si="12"/>
        <v/>
      </c>
      <c r="AX38" s="1489"/>
      <c r="AY38" s="1533"/>
      <c r="BA38" s="1527"/>
      <c r="BB38" s="1479"/>
      <c r="BC38" s="1528"/>
      <c r="BD38" s="353" t="str">
        <f t="shared" si="13"/>
        <v/>
      </c>
      <c r="BE38" s="1489"/>
      <c r="BF38" s="1533"/>
    </row>
    <row r="39" spans="1:60" s="213" customFormat="1" ht="16.5" customHeight="1">
      <c r="A39" s="1668"/>
      <c r="B39" s="1625" t="s">
        <v>320</v>
      </c>
      <c r="C39" s="1607"/>
      <c r="D39" s="1608"/>
      <c r="E39" s="350"/>
      <c r="F39" s="1685"/>
      <c r="G39" s="1686"/>
      <c r="H39" s="1601" t="str">
        <f>IF(AND(F39="",F40="",F41="",F42=""),"",F39+F40+F41+F42)</f>
        <v/>
      </c>
      <c r="I39" s="1602"/>
      <c r="J39" s="1603"/>
      <c r="K39" s="1622"/>
      <c r="L39" s="1623"/>
      <c r="M39" s="1624"/>
      <c r="N39" s="1636"/>
      <c r="O39" s="1637"/>
      <c r="P39" s="1637"/>
      <c r="Q39" s="1637"/>
      <c r="R39" s="1638"/>
      <c r="S39" s="1680"/>
      <c r="T39" s="1627"/>
      <c r="U39" s="1627"/>
      <c r="V39" s="351" t="str">
        <f>IF(OR(C39="",E39="",F39="",K39=""),"",(F39*K39*(64/32)*(10^-9)))</f>
        <v/>
      </c>
      <c r="W39" s="1488" t="str">
        <f t="shared" ref="W39" si="27">IF(AND(V39="",V40="",V41="",V42=""),"",(SUMIF(V39:V42,"&lt;&gt;#N/A")))</f>
        <v/>
      </c>
      <c r="X39" s="1697"/>
      <c r="Y39" s="1190"/>
      <c r="Z39" s="478"/>
      <c r="AA39" s="1495"/>
      <c r="AB39" s="1509"/>
      <c r="AC39" s="1510"/>
      <c r="AD39" s="1510"/>
      <c r="AE39" s="1511"/>
      <c r="AF39" s="1508"/>
      <c r="AG39" s="1506"/>
      <c r="AH39" s="1507"/>
      <c r="AI39" s="1548"/>
      <c r="AJ39" s="1549"/>
      <c r="AK39" s="1550"/>
      <c r="AL39" s="578" t="str">
        <f t="shared" si="11"/>
        <v/>
      </c>
      <c r="AM39" s="1488" t="str">
        <f>IF(OR(AND(AL39="",AL40="",AL41="",AL42=""),OR(W39="",W39=0)),"",(SQRT(    (SUMIF(AR39:AR42,"&lt;&gt;#N/A"))    )/W39))</f>
        <v/>
      </c>
      <c r="AN39" s="1520"/>
      <c r="AO39" s="1521"/>
      <c r="AP39" s="1495"/>
      <c r="AR39" s="578" t="str">
        <f t="shared" si="10"/>
        <v/>
      </c>
      <c r="AT39" s="1527"/>
      <c r="AU39" s="1479"/>
      <c r="AV39" s="1528"/>
      <c r="AW39" s="351" t="str">
        <f t="shared" si="12"/>
        <v/>
      </c>
      <c r="AX39" s="1487" t="str">
        <f>IF(OR(AM39="",W39=""),"",AM39*W39)</f>
        <v/>
      </c>
      <c r="AY39" s="1533"/>
      <c r="BA39" s="1527"/>
      <c r="BB39" s="1479"/>
      <c r="BC39" s="1528"/>
      <c r="BD39" s="351" t="str">
        <f t="shared" si="13"/>
        <v/>
      </c>
      <c r="BE39" s="1487" t="str">
        <f>IF(AX39="","",AX39^2)</f>
        <v/>
      </c>
      <c r="BF39" s="1533"/>
    </row>
    <row r="40" spans="1:60" s="213" customFormat="1" ht="16.5" customHeight="1">
      <c r="A40" s="1668"/>
      <c r="B40" s="1625"/>
      <c r="C40" s="1617"/>
      <c r="D40" s="1618"/>
      <c r="E40" s="347"/>
      <c r="F40" s="1609"/>
      <c r="G40" s="1610"/>
      <c r="H40" s="1601"/>
      <c r="I40" s="1602"/>
      <c r="J40" s="1603"/>
      <c r="K40" s="1611"/>
      <c r="L40" s="1612"/>
      <c r="M40" s="1613"/>
      <c r="N40" s="1636"/>
      <c r="O40" s="1637"/>
      <c r="P40" s="1637"/>
      <c r="Q40" s="1637"/>
      <c r="R40" s="1638"/>
      <c r="S40" s="1680"/>
      <c r="T40" s="1627"/>
      <c r="U40" s="1627"/>
      <c r="V40" s="352" t="str">
        <f t="shared" ref="V40:V41" si="28">IF(OR(C40="",E40="",F40="",K40=""),"",(F40*K40*(64/32)*(10^-9)))</f>
        <v/>
      </c>
      <c r="W40" s="1488"/>
      <c r="X40" s="1697"/>
      <c r="Y40" s="1190"/>
      <c r="Z40" s="478"/>
      <c r="AA40" s="1495"/>
      <c r="AB40" s="1498"/>
      <c r="AC40" s="1499"/>
      <c r="AD40" s="1499"/>
      <c r="AE40" s="1500"/>
      <c r="AF40" s="1508"/>
      <c r="AG40" s="1506"/>
      <c r="AH40" s="1507"/>
      <c r="AI40" s="1548"/>
      <c r="AJ40" s="1549"/>
      <c r="AK40" s="1550"/>
      <c r="AL40" s="579" t="str">
        <f t="shared" si="11"/>
        <v/>
      </c>
      <c r="AM40" s="1488"/>
      <c r="AN40" s="1520"/>
      <c r="AO40" s="1521"/>
      <c r="AP40" s="1495"/>
      <c r="AR40" s="579" t="str">
        <f t="shared" si="10"/>
        <v/>
      </c>
      <c r="AT40" s="1527"/>
      <c r="AU40" s="1479"/>
      <c r="AV40" s="1528"/>
      <c r="AW40" s="352" t="str">
        <f t="shared" si="12"/>
        <v/>
      </c>
      <c r="AX40" s="1488"/>
      <c r="AY40" s="1533"/>
      <c r="BA40" s="1527"/>
      <c r="BB40" s="1479"/>
      <c r="BC40" s="1528"/>
      <c r="BD40" s="352" t="str">
        <f t="shared" si="13"/>
        <v/>
      </c>
      <c r="BE40" s="1488"/>
      <c r="BF40" s="1533"/>
    </row>
    <row r="41" spans="1:60" s="213" customFormat="1" ht="16.5" customHeight="1">
      <c r="A41" s="1668"/>
      <c r="B41" s="1625"/>
      <c r="C41" s="1617"/>
      <c r="D41" s="1618"/>
      <c r="E41" s="347"/>
      <c r="F41" s="1609"/>
      <c r="G41" s="1610"/>
      <c r="H41" s="1601"/>
      <c r="I41" s="1602"/>
      <c r="J41" s="1603"/>
      <c r="K41" s="1611"/>
      <c r="L41" s="1612"/>
      <c r="M41" s="1613"/>
      <c r="N41" s="1636"/>
      <c r="O41" s="1637"/>
      <c r="P41" s="1637"/>
      <c r="Q41" s="1637"/>
      <c r="R41" s="1638"/>
      <c r="S41" s="1680"/>
      <c r="T41" s="1627"/>
      <c r="U41" s="1627"/>
      <c r="V41" s="352" t="str">
        <f t="shared" si="28"/>
        <v/>
      </c>
      <c r="W41" s="1488"/>
      <c r="X41" s="1697"/>
      <c r="Y41" s="1190"/>
      <c r="Z41" s="478"/>
      <c r="AA41" s="1495"/>
      <c r="AB41" s="1498"/>
      <c r="AC41" s="1499"/>
      <c r="AD41" s="1499"/>
      <c r="AE41" s="1500"/>
      <c r="AF41" s="1508"/>
      <c r="AG41" s="1506"/>
      <c r="AH41" s="1507"/>
      <c r="AI41" s="1548"/>
      <c r="AJ41" s="1549"/>
      <c r="AK41" s="1550"/>
      <c r="AL41" s="579" t="str">
        <f t="shared" si="11"/>
        <v/>
      </c>
      <c r="AM41" s="1488"/>
      <c r="AN41" s="1520"/>
      <c r="AO41" s="1521"/>
      <c r="AP41" s="1495"/>
      <c r="AR41" s="579" t="str">
        <f t="shared" si="10"/>
        <v/>
      </c>
      <c r="AT41" s="1527"/>
      <c r="AU41" s="1479"/>
      <c r="AV41" s="1528"/>
      <c r="AW41" s="352" t="str">
        <f t="shared" si="12"/>
        <v/>
      </c>
      <c r="AX41" s="1488"/>
      <c r="AY41" s="1533"/>
      <c r="BA41" s="1527"/>
      <c r="BB41" s="1479"/>
      <c r="BC41" s="1528"/>
      <c r="BD41" s="352" t="str">
        <f t="shared" si="13"/>
        <v/>
      </c>
      <c r="BE41" s="1488"/>
      <c r="BF41" s="1533"/>
    </row>
    <row r="42" spans="1:60" s="213" customFormat="1" ht="16.5" customHeight="1" thickBot="1">
      <c r="A42" s="1668"/>
      <c r="B42" s="1661"/>
      <c r="C42" s="1617"/>
      <c r="D42" s="1618"/>
      <c r="E42" s="347"/>
      <c r="F42" s="1609"/>
      <c r="G42" s="1610"/>
      <c r="H42" s="1604"/>
      <c r="I42" s="1605"/>
      <c r="J42" s="1606"/>
      <c r="K42" s="1614"/>
      <c r="L42" s="1615"/>
      <c r="M42" s="1616"/>
      <c r="N42" s="1639"/>
      <c r="O42" s="1640"/>
      <c r="P42" s="1640"/>
      <c r="Q42" s="1640"/>
      <c r="R42" s="1641"/>
      <c r="S42" s="1681"/>
      <c r="T42" s="1628"/>
      <c r="U42" s="1628"/>
      <c r="V42" s="353" t="str">
        <f>IF(OR(C42="",E42="",F42="",K42=""),"",(F42*K42*(64/32)*(10^-9)))</f>
        <v/>
      </c>
      <c r="W42" s="1489"/>
      <c r="X42" s="1698"/>
      <c r="Y42" s="1190"/>
      <c r="Z42" s="586"/>
      <c r="AA42" s="1496"/>
      <c r="AB42" s="1501"/>
      <c r="AC42" s="1502"/>
      <c r="AD42" s="1502"/>
      <c r="AE42" s="1503"/>
      <c r="AF42" s="1508"/>
      <c r="AG42" s="1506"/>
      <c r="AH42" s="1507"/>
      <c r="AI42" s="1548"/>
      <c r="AJ42" s="1549"/>
      <c r="AK42" s="1550"/>
      <c r="AL42" s="580" t="str">
        <f t="shared" si="11"/>
        <v/>
      </c>
      <c r="AM42" s="1489"/>
      <c r="AN42" s="1520"/>
      <c r="AO42" s="1521"/>
      <c r="AP42" s="1496"/>
      <c r="AR42" s="580" t="str">
        <f t="shared" si="10"/>
        <v/>
      </c>
      <c r="AT42" s="1529"/>
      <c r="AU42" s="1530"/>
      <c r="AV42" s="1531"/>
      <c r="AW42" s="353" t="str">
        <f>IF(OR(AL42="",V42=""),"",AL42*V42)</f>
        <v/>
      </c>
      <c r="AX42" s="1489"/>
      <c r="AY42" s="1534"/>
      <c r="BA42" s="1529"/>
      <c r="BB42" s="1530"/>
      <c r="BC42" s="1531"/>
      <c r="BD42" s="353" t="str">
        <f t="shared" si="13"/>
        <v/>
      </c>
      <c r="BE42" s="1489"/>
      <c r="BF42" s="1534"/>
    </row>
    <row r="43" spans="1:60" s="213" customFormat="1" ht="22.5" customHeight="1" thickBot="1">
      <c r="A43" s="1224"/>
      <c r="B43" s="1226"/>
      <c r="C43" s="1225"/>
      <c r="D43" s="1225"/>
      <c r="E43" s="1225"/>
      <c r="F43" s="1226"/>
      <c r="G43" s="1226"/>
      <c r="H43" s="1226"/>
      <c r="I43" s="1226"/>
      <c r="J43" s="1226"/>
      <c r="K43" s="1226"/>
      <c r="L43" s="1226"/>
      <c r="M43" s="1226"/>
      <c r="N43" s="1225"/>
      <c r="O43" s="1225"/>
      <c r="P43" s="1225"/>
      <c r="Q43" s="1225"/>
      <c r="R43" s="1225"/>
      <c r="S43" s="1226"/>
      <c r="T43" s="1226"/>
      <c r="U43" s="1226"/>
      <c r="V43" s="1226"/>
      <c r="W43" s="1226"/>
      <c r="X43" s="1226"/>
      <c r="Y43" s="1227"/>
      <c r="Z43" s="586"/>
      <c r="AA43" s="1490" t="str">
        <f>IF(OR(AB43="",AD43=""),"",(SQRT((AB43^2)+(AD43^2))))</f>
        <v/>
      </c>
      <c r="AB43" s="1491"/>
      <c r="AC43" s="1491"/>
      <c r="AD43" s="1491"/>
      <c r="AE43" s="1491"/>
      <c r="AF43" s="1491"/>
      <c r="AG43" s="1491"/>
      <c r="AH43" s="1491"/>
      <c r="AI43" s="1491"/>
      <c r="AJ43" s="1491"/>
      <c r="AK43" s="1491"/>
      <c r="AL43" s="1492"/>
      <c r="AM43" s="1491"/>
      <c r="AN43" s="1491"/>
      <c r="AO43" s="1491"/>
      <c r="AP43" s="1493"/>
    </row>
    <row r="44" spans="1:60" ht="27.6" customHeight="1">
      <c r="A44" s="933"/>
      <c r="B44" s="933"/>
      <c r="C44" s="933"/>
      <c r="D44" s="933"/>
      <c r="E44" s="933"/>
      <c r="F44" s="933"/>
      <c r="G44" s="933"/>
      <c r="H44" s="933"/>
      <c r="I44" s="933"/>
      <c r="J44" s="933"/>
      <c r="K44" s="933"/>
      <c r="L44" s="933"/>
      <c r="M44" s="933"/>
      <c r="N44" s="933"/>
      <c r="O44" s="933"/>
      <c r="P44" s="933"/>
      <c r="Q44" s="933"/>
      <c r="R44" s="933"/>
      <c r="S44" s="933"/>
      <c r="T44" s="933"/>
      <c r="U44" s="933"/>
      <c r="V44" s="933"/>
      <c r="W44" s="933"/>
      <c r="X44" s="933"/>
      <c r="Y44" s="933"/>
      <c r="Z44" s="478"/>
      <c r="AA44" s="478"/>
      <c r="AB44" s="478"/>
      <c r="AC44" s="478"/>
      <c r="AD44" s="478"/>
      <c r="AE44" s="478"/>
      <c r="AF44" s="478"/>
      <c r="AG44" s="478"/>
      <c r="AH44" s="478"/>
      <c r="AI44" s="478"/>
      <c r="AJ44" s="478"/>
      <c r="AK44" s="478"/>
      <c r="AL44" s="478"/>
      <c r="AM44" s="478"/>
      <c r="AN44" s="478"/>
      <c r="AO44" s="478"/>
      <c r="AP44" s="478"/>
      <c r="AQ44" s="213"/>
      <c r="AR44" s="213"/>
      <c r="AS44" s="213"/>
      <c r="AT44" s="213"/>
      <c r="AU44" s="213"/>
      <c r="AV44" s="213"/>
      <c r="AW44" s="213"/>
      <c r="AX44" s="213"/>
      <c r="AY44" s="213"/>
      <c r="AZ44" s="213"/>
      <c r="BA44" s="213"/>
      <c r="BB44" s="213"/>
      <c r="BC44" s="213"/>
      <c r="BD44" s="213"/>
      <c r="BE44" s="213"/>
      <c r="BF44" s="213"/>
      <c r="BG44" s="213"/>
      <c r="BH44" s="213"/>
    </row>
    <row r="45" spans="1:60" ht="27.6" customHeight="1" thickBot="1">
      <c r="A45" s="933"/>
      <c r="B45" s="933"/>
      <c r="C45" s="933"/>
      <c r="D45" s="933"/>
      <c r="E45" s="933"/>
      <c r="F45" s="933"/>
      <c r="G45" s="933"/>
      <c r="H45" s="933"/>
      <c r="I45" s="933"/>
      <c r="J45" s="933"/>
      <c r="K45" s="933"/>
      <c r="L45" s="933"/>
      <c r="M45" s="933"/>
      <c r="N45" s="933"/>
      <c r="O45" s="933"/>
      <c r="P45" s="933"/>
      <c r="Q45" s="933"/>
      <c r="R45" s="933"/>
      <c r="S45" s="933"/>
      <c r="T45" s="933"/>
      <c r="U45" s="933"/>
      <c r="V45" s="933"/>
      <c r="W45" s="933"/>
      <c r="X45" s="933"/>
      <c r="Y45" s="933"/>
      <c r="Z45" s="478"/>
      <c r="AA45" s="478"/>
      <c r="AB45" s="478"/>
      <c r="AC45" s="478"/>
      <c r="AD45" s="478"/>
      <c r="AE45" s="478"/>
      <c r="AF45" s="478"/>
      <c r="AG45" s="478"/>
      <c r="AH45" s="478"/>
      <c r="AI45" s="478"/>
      <c r="AJ45" s="478"/>
      <c r="AK45" s="478"/>
      <c r="AL45" s="478"/>
      <c r="AM45" s="478"/>
      <c r="AN45" s="478"/>
      <c r="AO45" s="478"/>
      <c r="AP45" s="478"/>
      <c r="AQ45" s="213"/>
      <c r="AR45" s="213"/>
      <c r="AS45" s="213"/>
      <c r="AT45" s="213"/>
      <c r="AU45" s="213"/>
      <c r="AV45" s="213"/>
      <c r="AW45" s="213"/>
      <c r="AX45" s="213"/>
      <c r="AY45" s="213"/>
      <c r="AZ45" s="213"/>
      <c r="BA45" s="213"/>
      <c r="BB45" s="213"/>
      <c r="BC45" s="213"/>
      <c r="BD45" s="213"/>
      <c r="BE45" s="213"/>
      <c r="BF45" s="213"/>
      <c r="BG45" s="213"/>
      <c r="BH45" s="213"/>
    </row>
    <row r="46" spans="1:60" s="213" customFormat="1" ht="42" customHeight="1" thickBot="1">
      <c r="A46" s="1674" t="s">
        <v>369</v>
      </c>
      <c r="B46" s="1675"/>
      <c r="C46" s="1675"/>
      <c r="D46" s="1675"/>
      <c r="E46" s="1675"/>
      <c r="F46" s="1675"/>
      <c r="G46" s="1675"/>
      <c r="H46" s="1675"/>
      <c r="I46" s="1675"/>
      <c r="J46" s="1675"/>
      <c r="K46" s="1675"/>
      <c r="L46" s="1675"/>
      <c r="M46" s="1675"/>
      <c r="N46" s="1675"/>
      <c r="O46" s="1675"/>
      <c r="P46" s="1675"/>
      <c r="Q46" s="1675"/>
      <c r="R46" s="1675"/>
      <c r="S46" s="1675"/>
      <c r="T46" s="1675"/>
      <c r="U46" s="1675"/>
      <c r="V46" s="1675"/>
      <c r="W46" s="1675"/>
      <c r="X46" s="1675"/>
      <c r="Y46" s="1675"/>
      <c r="AA46" s="1566" t="s">
        <v>1549</v>
      </c>
      <c r="AB46" s="1567"/>
      <c r="AC46" s="1567"/>
      <c r="AD46" s="1567"/>
      <c r="AE46" s="1567"/>
      <c r="AF46" s="1567"/>
      <c r="AG46" s="1567"/>
      <c r="AH46" s="1567"/>
      <c r="AI46" s="1567"/>
      <c r="AJ46" s="1567"/>
      <c r="AK46" s="1567"/>
      <c r="AL46" s="1567"/>
      <c r="AM46" s="1567"/>
      <c r="AN46" s="1567"/>
      <c r="AO46" s="1567"/>
      <c r="AP46" s="1568"/>
    </row>
    <row r="47" spans="1:60" s="213" customFormat="1" ht="22.5" customHeight="1" thickBot="1">
      <c r="A47" s="1065" t="s">
        <v>1083</v>
      </c>
      <c r="B47" s="1066"/>
      <c r="C47" s="1066"/>
      <c r="D47" s="1066"/>
      <c r="E47" s="1066"/>
      <c r="F47" s="1066"/>
      <c r="G47" s="1066"/>
      <c r="H47" s="1066"/>
      <c r="I47" s="1066"/>
      <c r="J47" s="1066"/>
      <c r="K47" s="1066"/>
      <c r="L47" s="1066"/>
      <c r="M47" s="1066"/>
      <c r="N47" s="1066"/>
      <c r="O47" s="1066"/>
      <c r="P47" s="1066"/>
      <c r="Q47" s="1066"/>
      <c r="R47" s="1066"/>
      <c r="S47" s="1066"/>
      <c r="T47" s="1066"/>
      <c r="U47" s="1066"/>
      <c r="V47" s="1066"/>
      <c r="W47" s="1066"/>
      <c r="X47" s="1066"/>
      <c r="Y47" s="1067"/>
      <c r="Z47" s="478"/>
      <c r="AA47" s="1464"/>
      <c r="AB47" s="1465"/>
      <c r="AC47" s="1465"/>
      <c r="AD47" s="1465"/>
      <c r="AE47" s="1465"/>
      <c r="AF47" s="1465"/>
      <c r="AG47" s="1465"/>
      <c r="AH47" s="1465"/>
      <c r="AI47" s="1465"/>
      <c r="AJ47" s="1465"/>
      <c r="AK47" s="1465"/>
      <c r="AL47" s="1465"/>
      <c r="AM47" s="1465"/>
      <c r="AN47" s="1465"/>
      <c r="AO47" s="1465"/>
      <c r="AP47" s="1467"/>
    </row>
    <row r="48" spans="1:60" s="213" customFormat="1" ht="31.05" customHeight="1" thickBot="1">
      <c r="A48" s="1666"/>
      <c r="B48" s="1647" t="s">
        <v>377</v>
      </c>
      <c r="C48" s="1376" t="s">
        <v>375</v>
      </c>
      <c r="D48" s="1377"/>
      <c r="E48" s="1377"/>
      <c r="F48" s="1377"/>
      <c r="G48" s="1377"/>
      <c r="H48" s="1377"/>
      <c r="I48" s="1377"/>
      <c r="J48" s="1377"/>
      <c r="K48" s="1377"/>
      <c r="L48" s="1377"/>
      <c r="M48" s="1377"/>
      <c r="N48" s="1376" t="s">
        <v>1070</v>
      </c>
      <c r="O48" s="1377"/>
      <c r="P48" s="1377"/>
      <c r="Q48" s="1377"/>
      <c r="R48" s="1378"/>
      <c r="S48" s="1376" t="s">
        <v>379</v>
      </c>
      <c r="T48" s="1377"/>
      <c r="U48" s="1377"/>
      <c r="V48" s="1377"/>
      <c r="W48" s="1377"/>
      <c r="X48" s="1378"/>
      <c r="Y48" s="1189"/>
      <c r="Z48" s="478"/>
      <c r="AA48" s="568"/>
      <c r="AB48" s="1252" t="s">
        <v>1300</v>
      </c>
      <c r="AC48" s="1252"/>
      <c r="AD48" s="1252"/>
      <c r="AE48" s="1252"/>
      <c r="AF48" s="1252"/>
      <c r="AG48" s="1252"/>
      <c r="AH48" s="1581"/>
      <c r="AI48" s="1347" t="s">
        <v>1301</v>
      </c>
      <c r="AJ48" s="1233"/>
      <c r="AK48" s="1233"/>
      <c r="AL48" s="1233"/>
      <c r="AM48" s="1233"/>
      <c r="AN48" s="1233"/>
      <c r="AO48" s="1234"/>
      <c r="AP48" s="568"/>
    </row>
    <row r="49" spans="1:60" s="213" customFormat="1" ht="31.05" customHeight="1">
      <c r="A49" s="1667"/>
      <c r="B49" s="1648"/>
      <c r="C49" s="1086" t="s">
        <v>371</v>
      </c>
      <c r="D49" s="1053"/>
      <c r="E49" s="1053"/>
      <c r="F49" s="1053"/>
      <c r="G49" s="1053"/>
      <c r="H49" s="1053"/>
      <c r="I49" s="1053"/>
      <c r="J49" s="1053"/>
      <c r="K49" s="1053"/>
      <c r="L49" s="1053"/>
      <c r="M49" s="1053"/>
      <c r="N49" s="821" t="s">
        <v>40</v>
      </c>
      <c r="O49" s="696" t="s">
        <v>39</v>
      </c>
      <c r="P49" s="9" t="s">
        <v>145</v>
      </c>
      <c r="Q49" s="1076" t="s">
        <v>147</v>
      </c>
      <c r="R49" s="713" t="s">
        <v>31</v>
      </c>
      <c r="S49" s="821" t="s">
        <v>40</v>
      </c>
      <c r="T49" s="696" t="s">
        <v>39</v>
      </c>
      <c r="U49" s="696" t="s">
        <v>145</v>
      </c>
      <c r="V49" s="1078" t="s">
        <v>147</v>
      </c>
      <c r="W49" s="1079"/>
      <c r="X49" s="713" t="s">
        <v>31</v>
      </c>
      <c r="Y49" s="1191"/>
      <c r="Z49" s="478"/>
      <c r="AA49" s="569"/>
      <c r="AB49" s="1583" t="s">
        <v>1299</v>
      </c>
      <c r="AC49" s="1584"/>
      <c r="AD49" s="1258" t="s">
        <v>1261</v>
      </c>
      <c r="AE49" s="1258"/>
      <c r="AF49" s="1258"/>
      <c r="AG49" s="1258"/>
      <c r="AH49" s="1582"/>
      <c r="AI49" s="556" t="s">
        <v>40</v>
      </c>
      <c r="AJ49" s="557" t="s">
        <v>39</v>
      </c>
      <c r="AK49" s="557" t="s">
        <v>145</v>
      </c>
      <c r="AL49" s="1535" t="s">
        <v>147</v>
      </c>
      <c r="AM49" s="1536"/>
      <c r="AN49" s="1551" t="s">
        <v>31</v>
      </c>
      <c r="AO49" s="1552"/>
      <c r="AP49" s="569"/>
      <c r="AT49" s="554" t="s">
        <v>40</v>
      </c>
      <c r="AU49" s="554" t="s">
        <v>39</v>
      </c>
      <c r="AV49" s="554" t="s">
        <v>145</v>
      </c>
      <c r="AW49" s="554" t="s">
        <v>147</v>
      </c>
      <c r="AX49" s="554"/>
      <c r="AY49" s="554" t="s">
        <v>31</v>
      </c>
      <c r="AZ49" s="217"/>
      <c r="BA49" s="529" t="s">
        <v>40</v>
      </c>
      <c r="BB49" s="530" t="s">
        <v>39</v>
      </c>
      <c r="BC49" s="530" t="s">
        <v>145</v>
      </c>
      <c r="BD49" s="530" t="s">
        <v>147</v>
      </c>
      <c r="BE49" s="537"/>
      <c r="BF49" s="531" t="s">
        <v>31</v>
      </c>
    </row>
    <row r="50" spans="1:60" s="213" customFormat="1" ht="31.05" customHeight="1" thickBot="1">
      <c r="A50" s="1667"/>
      <c r="B50" s="1648"/>
      <c r="C50" s="1649" t="s">
        <v>372</v>
      </c>
      <c r="D50" s="1650"/>
      <c r="E50" s="1650"/>
      <c r="F50" s="1650"/>
      <c r="G50" s="1650"/>
      <c r="H50" s="1650"/>
      <c r="I50" s="1650"/>
      <c r="J50" s="1650"/>
      <c r="K50" s="1650"/>
      <c r="L50" s="1650"/>
      <c r="M50" s="1650"/>
      <c r="N50" s="7" t="s">
        <v>374</v>
      </c>
      <c r="O50" s="5" t="s">
        <v>374</v>
      </c>
      <c r="P50" s="5" t="s">
        <v>374</v>
      </c>
      <c r="Q50" s="1077"/>
      <c r="R50" s="8" t="s">
        <v>374</v>
      </c>
      <c r="S50" s="822" t="s">
        <v>146</v>
      </c>
      <c r="T50" s="697" t="s">
        <v>146</v>
      </c>
      <c r="U50" s="697" t="s">
        <v>146</v>
      </c>
      <c r="V50" s="1080"/>
      <c r="W50" s="1081"/>
      <c r="X50" s="714" t="s">
        <v>146</v>
      </c>
      <c r="Y50" s="1191"/>
      <c r="Z50" s="478"/>
      <c r="AA50" s="569"/>
      <c r="AB50" s="1585"/>
      <c r="AC50" s="1586"/>
      <c r="AD50" s="739" t="s">
        <v>40</v>
      </c>
      <c r="AE50" s="739" t="s">
        <v>39</v>
      </c>
      <c r="AF50" s="739" t="s">
        <v>145</v>
      </c>
      <c r="AG50" s="739" t="s">
        <v>147</v>
      </c>
      <c r="AH50" s="775" t="s">
        <v>31</v>
      </c>
      <c r="AI50" s="567" t="s">
        <v>1260</v>
      </c>
      <c r="AJ50" s="723" t="s">
        <v>1260</v>
      </c>
      <c r="AK50" s="723" t="s">
        <v>1260</v>
      </c>
      <c r="AL50" s="1537" t="s">
        <v>1260</v>
      </c>
      <c r="AM50" s="1354"/>
      <c r="AN50" s="1522" t="s">
        <v>1260</v>
      </c>
      <c r="AO50" s="1523"/>
      <c r="AP50" s="569"/>
      <c r="AT50" s="1332" t="s">
        <v>1285</v>
      </c>
      <c r="AU50" s="1332"/>
      <c r="AV50" s="1332"/>
      <c r="AW50" s="1497"/>
      <c r="AX50" s="1497"/>
      <c r="AY50" s="1332"/>
      <c r="BA50" s="1557" t="s">
        <v>1286</v>
      </c>
      <c r="BB50" s="1558"/>
      <c r="BC50" s="1554"/>
      <c r="BD50" s="1554"/>
      <c r="BE50" s="1554"/>
      <c r="BF50" s="1559"/>
    </row>
    <row r="51" spans="1:60" ht="17.55" customHeight="1">
      <c r="A51" s="1668"/>
      <c r="B51" s="768" t="s">
        <v>316</v>
      </c>
      <c r="C51" s="1669"/>
      <c r="D51" s="1669"/>
      <c r="E51" s="1669"/>
      <c r="F51" s="1669"/>
      <c r="G51" s="1669"/>
      <c r="H51" s="1669"/>
      <c r="I51" s="1669"/>
      <c r="J51" s="1669"/>
      <c r="K51" s="1669"/>
      <c r="L51" s="1669"/>
      <c r="M51" s="1669"/>
      <c r="N51" s="309">
        <v>4.7000000000000002E-3</v>
      </c>
      <c r="O51" s="336">
        <v>1.7000000000000001E-2</v>
      </c>
      <c r="P51" s="340">
        <v>2.9499999999999999E-3</v>
      </c>
      <c r="Q51" s="1656" t="s">
        <v>376</v>
      </c>
      <c r="R51" s="341">
        <v>1.2999999999999999E-2</v>
      </c>
      <c r="S51" s="326" t="str">
        <f>IF(C51="","",(C51*N51*(10^-3)))</f>
        <v/>
      </c>
      <c r="T51" s="730" t="str">
        <f>IF(C51="","",(C51*O51*(10^-3)))</f>
        <v/>
      </c>
      <c r="U51" s="730" t="str">
        <f>IF(C51="","",(P51*C51*(10^-3)))</f>
        <v/>
      </c>
      <c r="V51" s="1651" t="s">
        <v>376</v>
      </c>
      <c r="W51" s="1652"/>
      <c r="X51" s="325" t="str">
        <f>IF(C51="","",(R51*C51*(10^-3)))</f>
        <v/>
      </c>
      <c r="Y51" s="1191"/>
      <c r="Z51" s="458"/>
      <c r="AA51" s="571"/>
      <c r="AB51" s="1509"/>
      <c r="AC51" s="1510"/>
      <c r="AD51" s="572">
        <v>200</v>
      </c>
      <c r="AE51" s="570">
        <v>200</v>
      </c>
      <c r="AF51" s="570">
        <v>200</v>
      </c>
      <c r="AG51" s="1544" t="s">
        <v>1302</v>
      </c>
      <c r="AH51" s="773">
        <v>200</v>
      </c>
      <c r="AI51" s="818" t="str">
        <f>IF(AB51="","",(SQRT((AB51^2)+(AD51^2))))</f>
        <v/>
      </c>
      <c r="AJ51" s="752" t="str">
        <f>IF(AB51="","",(SQRT((AB51^2)+(AE51^2))))</f>
        <v/>
      </c>
      <c r="AK51" s="752" t="str">
        <f>IF(AB51="","",(SQRT((AB51^2)+(AF51^2))))</f>
        <v/>
      </c>
      <c r="AL51" s="1543" t="s">
        <v>1302</v>
      </c>
      <c r="AM51" s="1544"/>
      <c r="AN51" s="1560" t="str">
        <f>IF(AB51="","",(SQRT((AB51^2)+(AH51^2))))</f>
        <v/>
      </c>
      <c r="AO51" s="1561"/>
      <c r="AP51" s="575"/>
      <c r="AQ51" s="213"/>
      <c r="AR51" s="213"/>
      <c r="AS51" s="213"/>
      <c r="AT51" s="751" t="str">
        <f>IF(OR(S51="",AI51=""),"",S51*AI51)</f>
        <v/>
      </c>
      <c r="AU51" s="751" t="str">
        <f>IF(OR(T51="",AJ51=""),"",T51*AJ51)</f>
        <v/>
      </c>
      <c r="AV51" s="576" t="str">
        <f>IF(OR(U51="",AK51=""),"",U51*AK51)</f>
        <v/>
      </c>
      <c r="AW51" s="1556"/>
      <c r="AX51" s="1556"/>
      <c r="AY51" s="577" t="str">
        <f>IF(OR(X51="",AN51=""),"",X51*AN51)</f>
        <v/>
      </c>
      <c r="AZ51" s="213"/>
      <c r="BA51" s="719" t="str">
        <f>IF(AT51="","",AT51^2)</f>
        <v/>
      </c>
      <c r="BB51" s="719" t="str">
        <f t="shared" ref="BB51:BC51" si="29">IF(AU51="","",AU51^2)</f>
        <v/>
      </c>
      <c r="BC51" s="719" t="str">
        <f t="shared" si="29"/>
        <v/>
      </c>
      <c r="BD51" s="1556"/>
      <c r="BE51" s="1556"/>
      <c r="BF51" s="779" t="str">
        <f>IF(AY51="","",AY51^2)</f>
        <v/>
      </c>
      <c r="BG51" s="213"/>
      <c r="BH51" s="213"/>
    </row>
    <row r="52" spans="1:60" ht="17.55" customHeight="1">
      <c r="A52" s="1668"/>
      <c r="B52" s="765" t="s">
        <v>317</v>
      </c>
      <c r="C52" s="1655"/>
      <c r="D52" s="1655"/>
      <c r="E52" s="1655"/>
      <c r="F52" s="1655"/>
      <c r="G52" s="1655"/>
      <c r="H52" s="1655"/>
      <c r="I52" s="1655"/>
      <c r="J52" s="1655"/>
      <c r="K52" s="1655"/>
      <c r="L52" s="1655"/>
      <c r="M52" s="1655"/>
      <c r="N52" s="314">
        <v>4.7000000000000002E-3</v>
      </c>
      <c r="O52" s="338">
        <v>1.7000000000000001E-2</v>
      </c>
      <c r="P52" s="339">
        <v>2.9499999999999999E-3</v>
      </c>
      <c r="Q52" s="1657"/>
      <c r="R52" s="342">
        <v>1.2999999999999999E-2</v>
      </c>
      <c r="S52" s="326" t="str">
        <f t="shared" ref="S52:S55" si="30">IF(C52="","",(C52*N52*(10^-3)))</f>
        <v/>
      </c>
      <c r="T52" s="730" t="str">
        <f t="shared" ref="T52:T55" si="31">IF(C52="","",(C52*O52*(10^-3)))</f>
        <v/>
      </c>
      <c r="U52" s="730" t="str">
        <f t="shared" ref="U52:U55" si="32">IF(C52="","",(P52*C52*(10^-3)))</f>
        <v/>
      </c>
      <c r="V52" s="1651"/>
      <c r="W52" s="1652"/>
      <c r="X52" s="325" t="str">
        <f t="shared" ref="X52:X55" si="33">IF(C52="","",(R52*C52*(10^-3)))</f>
        <v/>
      </c>
      <c r="Y52" s="1191"/>
      <c r="Z52" s="458"/>
      <c r="AA52" s="571"/>
      <c r="AB52" s="1498"/>
      <c r="AC52" s="1499"/>
      <c r="AD52" s="728">
        <v>200</v>
      </c>
      <c r="AE52" s="312">
        <v>200</v>
      </c>
      <c r="AF52" s="312">
        <v>200</v>
      </c>
      <c r="AG52" s="1539"/>
      <c r="AH52" s="313">
        <v>200</v>
      </c>
      <c r="AI52" s="782" t="str">
        <f t="shared" ref="AI52:AI55" si="34">IF(AB52="","",(SQRT((AB52^2)+(AD52^2))))</f>
        <v/>
      </c>
      <c r="AJ52" s="754" t="str">
        <f t="shared" ref="AJ52:AJ55" si="35">IF(AB52="","",(SQRT((AB52^2)+(AE52^2))))</f>
        <v/>
      </c>
      <c r="AK52" s="754" t="str">
        <f t="shared" ref="AK52:AK55" si="36">IF(AB52="","",(SQRT((AB52^2)+(AF52^2))))</f>
        <v/>
      </c>
      <c r="AL52" s="1508"/>
      <c r="AM52" s="1539"/>
      <c r="AN52" s="1562" t="str">
        <f t="shared" ref="AN52:AN55" si="37">IF(AB52="","",(SQRT((AB52^2)+(AH52^2))))</f>
        <v/>
      </c>
      <c r="AO52" s="1563"/>
      <c r="AP52" s="575"/>
      <c r="AQ52" s="213"/>
      <c r="AR52" s="213"/>
      <c r="AS52" s="213"/>
      <c r="AT52" s="751" t="str">
        <f t="shared" ref="AT52:AT55" si="38">IF(OR(S52="",AI52=""),"",S52*AI52)</f>
        <v/>
      </c>
      <c r="AU52" s="751" t="str">
        <f t="shared" ref="AU52:AU55" si="39">IF(OR(T52="",AJ52=""),"",T52*AJ52)</f>
        <v/>
      </c>
      <c r="AV52" s="576" t="str">
        <f t="shared" ref="AV52:AV55" si="40">IF(OR(U52="",AK52=""),"",U52*AK52)</f>
        <v/>
      </c>
      <c r="AW52" s="1556"/>
      <c r="AX52" s="1556"/>
      <c r="AY52" s="577" t="str">
        <f t="shared" ref="AY52:AY55" si="41">IF(OR(X52="",AN52=""),"",X52*AN52)</f>
        <v/>
      </c>
      <c r="AZ52" s="213"/>
      <c r="BA52" s="719" t="str">
        <f t="shared" ref="BA52:BA53" si="42">IF(AT52="","",AT52^2)</f>
        <v/>
      </c>
      <c r="BB52" s="719" t="str">
        <f t="shared" ref="BB52:BB55" si="43">IF(AU52="","",AU52^2)</f>
        <v/>
      </c>
      <c r="BC52" s="719" t="str">
        <f t="shared" ref="BC52:BC55" si="44">IF(AV52="","",AV52^2)</f>
        <v/>
      </c>
      <c r="BD52" s="1556"/>
      <c r="BE52" s="1556"/>
      <c r="BF52" s="779" t="str">
        <f t="shared" ref="BF52:BF53" si="45">IF(AY52="","",AY52^2)</f>
        <v/>
      </c>
      <c r="BG52" s="213"/>
      <c r="BH52" s="213"/>
    </row>
    <row r="53" spans="1:60" ht="17.55" customHeight="1">
      <c r="A53" s="1668"/>
      <c r="B53" s="765" t="s">
        <v>318</v>
      </c>
      <c r="C53" s="1655"/>
      <c r="D53" s="1655"/>
      <c r="E53" s="1655"/>
      <c r="F53" s="1655"/>
      <c r="G53" s="1655"/>
      <c r="H53" s="1655"/>
      <c r="I53" s="1655"/>
      <c r="J53" s="1655"/>
      <c r="K53" s="1655"/>
      <c r="L53" s="1655"/>
      <c r="M53" s="1655"/>
      <c r="N53" s="314">
        <v>4.7000000000000002E-3</v>
      </c>
      <c r="O53" s="338">
        <v>1.7000000000000001E-2</v>
      </c>
      <c r="P53" s="339">
        <v>2.9499999999999999E-3</v>
      </c>
      <c r="Q53" s="1657"/>
      <c r="R53" s="342">
        <v>1.2999999999999999E-2</v>
      </c>
      <c r="S53" s="326" t="str">
        <f t="shared" si="30"/>
        <v/>
      </c>
      <c r="T53" s="730" t="str">
        <f t="shared" si="31"/>
        <v/>
      </c>
      <c r="U53" s="730" t="str">
        <f t="shared" si="32"/>
        <v/>
      </c>
      <c r="V53" s="1651"/>
      <c r="W53" s="1652"/>
      <c r="X53" s="325" t="str">
        <f t="shared" si="33"/>
        <v/>
      </c>
      <c r="Y53" s="1191"/>
      <c r="Z53" s="458"/>
      <c r="AA53" s="571"/>
      <c r="AB53" s="1498"/>
      <c r="AC53" s="1499"/>
      <c r="AD53" s="728">
        <v>200</v>
      </c>
      <c r="AE53" s="312">
        <v>200</v>
      </c>
      <c r="AF53" s="312">
        <v>200</v>
      </c>
      <c r="AG53" s="1539"/>
      <c r="AH53" s="313">
        <v>200</v>
      </c>
      <c r="AI53" s="782" t="str">
        <f t="shared" si="34"/>
        <v/>
      </c>
      <c r="AJ53" s="754" t="str">
        <f t="shared" si="35"/>
        <v/>
      </c>
      <c r="AK53" s="754" t="str">
        <f t="shared" si="36"/>
        <v/>
      </c>
      <c r="AL53" s="1508"/>
      <c r="AM53" s="1539"/>
      <c r="AN53" s="1562" t="str">
        <f t="shared" si="37"/>
        <v/>
      </c>
      <c r="AO53" s="1563"/>
      <c r="AP53" s="575"/>
      <c r="AQ53" s="213"/>
      <c r="AR53" s="213"/>
      <c r="AS53" s="213"/>
      <c r="AT53" s="751" t="str">
        <f t="shared" si="38"/>
        <v/>
      </c>
      <c r="AU53" s="751" t="str">
        <f t="shared" si="39"/>
        <v/>
      </c>
      <c r="AV53" s="576" t="str">
        <f t="shared" si="40"/>
        <v/>
      </c>
      <c r="AW53" s="1556"/>
      <c r="AX53" s="1556"/>
      <c r="AY53" s="577" t="str">
        <f t="shared" si="41"/>
        <v/>
      </c>
      <c r="AZ53" s="213"/>
      <c r="BA53" s="719" t="str">
        <f t="shared" si="42"/>
        <v/>
      </c>
      <c r="BB53" s="719" t="str">
        <f t="shared" si="43"/>
        <v/>
      </c>
      <c r="BC53" s="719" t="str">
        <f t="shared" si="44"/>
        <v/>
      </c>
      <c r="BD53" s="1556"/>
      <c r="BE53" s="1556"/>
      <c r="BF53" s="779" t="str">
        <f t="shared" si="45"/>
        <v/>
      </c>
      <c r="BG53" s="213"/>
      <c r="BH53" s="213"/>
    </row>
    <row r="54" spans="1:60" ht="17.55" customHeight="1">
      <c r="A54" s="1668"/>
      <c r="B54" s="765" t="s">
        <v>319</v>
      </c>
      <c r="C54" s="1655"/>
      <c r="D54" s="1655"/>
      <c r="E54" s="1655"/>
      <c r="F54" s="1655"/>
      <c r="G54" s="1655"/>
      <c r="H54" s="1655"/>
      <c r="I54" s="1655"/>
      <c r="J54" s="1655"/>
      <c r="K54" s="1655"/>
      <c r="L54" s="1655"/>
      <c r="M54" s="1655"/>
      <c r="N54" s="314">
        <v>4.7000000000000002E-3</v>
      </c>
      <c r="O54" s="338">
        <v>1.7000000000000001E-2</v>
      </c>
      <c r="P54" s="339">
        <v>2.9499999999999999E-3</v>
      </c>
      <c r="Q54" s="1657"/>
      <c r="R54" s="342">
        <v>1.2999999999999999E-2</v>
      </c>
      <c r="S54" s="326" t="str">
        <f t="shared" si="30"/>
        <v/>
      </c>
      <c r="T54" s="730" t="str">
        <f t="shared" si="31"/>
        <v/>
      </c>
      <c r="U54" s="730" t="str">
        <f t="shared" si="32"/>
        <v/>
      </c>
      <c r="V54" s="1651"/>
      <c r="W54" s="1652"/>
      <c r="X54" s="325" t="str">
        <f t="shared" si="33"/>
        <v/>
      </c>
      <c r="Y54" s="1191"/>
      <c r="Z54" s="458"/>
      <c r="AA54" s="571"/>
      <c r="AB54" s="1498"/>
      <c r="AC54" s="1499"/>
      <c r="AD54" s="728">
        <v>200</v>
      </c>
      <c r="AE54" s="312">
        <v>200</v>
      </c>
      <c r="AF54" s="312">
        <v>200</v>
      </c>
      <c r="AG54" s="1539"/>
      <c r="AH54" s="313">
        <v>200</v>
      </c>
      <c r="AI54" s="782" t="str">
        <f t="shared" si="34"/>
        <v/>
      </c>
      <c r="AJ54" s="754" t="str">
        <f t="shared" si="35"/>
        <v/>
      </c>
      <c r="AK54" s="754" t="str">
        <f t="shared" si="36"/>
        <v/>
      </c>
      <c r="AL54" s="1508"/>
      <c r="AM54" s="1539"/>
      <c r="AN54" s="1562" t="str">
        <f t="shared" si="37"/>
        <v/>
      </c>
      <c r="AO54" s="1563"/>
      <c r="AP54" s="575"/>
      <c r="AQ54" s="213"/>
      <c r="AR54" s="213"/>
      <c r="AS54" s="213"/>
      <c r="AT54" s="751" t="str">
        <f t="shared" si="38"/>
        <v/>
      </c>
      <c r="AU54" s="751" t="str">
        <f t="shared" si="39"/>
        <v/>
      </c>
      <c r="AV54" s="576" t="str">
        <f t="shared" si="40"/>
        <v/>
      </c>
      <c r="AW54" s="1556"/>
      <c r="AX54" s="1556"/>
      <c r="AY54" s="577" t="str">
        <f t="shared" si="41"/>
        <v/>
      </c>
      <c r="AZ54" s="213"/>
      <c r="BA54" s="719" t="str">
        <f>IF(AT54="","",AT54^2)</f>
        <v/>
      </c>
      <c r="BB54" s="719" t="str">
        <f t="shared" si="43"/>
        <v/>
      </c>
      <c r="BC54" s="719" t="str">
        <f t="shared" si="44"/>
        <v/>
      </c>
      <c r="BD54" s="1556"/>
      <c r="BE54" s="1556"/>
      <c r="BF54" s="779" t="str">
        <f>IF(AY54="","",AY54^2)</f>
        <v/>
      </c>
      <c r="BG54" s="213"/>
      <c r="BH54" s="213"/>
    </row>
    <row r="55" spans="1:60" ht="17.55" customHeight="1" thickBot="1">
      <c r="A55" s="1668"/>
      <c r="B55" s="765" t="s">
        <v>320</v>
      </c>
      <c r="C55" s="1655"/>
      <c r="D55" s="1655"/>
      <c r="E55" s="1655"/>
      <c r="F55" s="1655"/>
      <c r="G55" s="1655"/>
      <c r="H55" s="1655"/>
      <c r="I55" s="1655"/>
      <c r="J55" s="1655"/>
      <c r="K55" s="1655"/>
      <c r="L55" s="1655"/>
      <c r="M55" s="1655"/>
      <c r="N55" s="343">
        <v>4.7000000000000002E-3</v>
      </c>
      <c r="O55" s="344">
        <v>1.7000000000000001E-2</v>
      </c>
      <c r="P55" s="345">
        <v>2.9499999999999999E-3</v>
      </c>
      <c r="Q55" s="1658"/>
      <c r="R55" s="346">
        <v>1.2999999999999999E-2</v>
      </c>
      <c r="S55" s="333" t="str">
        <f t="shared" si="30"/>
        <v/>
      </c>
      <c r="T55" s="776" t="str">
        <f t="shared" si="31"/>
        <v/>
      </c>
      <c r="U55" s="776" t="str">
        <f t="shared" si="32"/>
        <v/>
      </c>
      <c r="V55" s="1653"/>
      <c r="W55" s="1654"/>
      <c r="X55" s="332" t="str">
        <f t="shared" si="33"/>
        <v/>
      </c>
      <c r="Y55" s="1191"/>
      <c r="Z55" s="458"/>
      <c r="AA55" s="562"/>
      <c r="AB55" s="1501"/>
      <c r="AC55" s="1502"/>
      <c r="AD55" s="573">
        <v>200</v>
      </c>
      <c r="AE55" s="331">
        <v>200</v>
      </c>
      <c r="AF55" s="331">
        <v>200</v>
      </c>
      <c r="AG55" s="1542"/>
      <c r="AH55" s="574">
        <v>200</v>
      </c>
      <c r="AI55" s="784" t="str">
        <f t="shared" si="34"/>
        <v/>
      </c>
      <c r="AJ55" s="756" t="str">
        <f t="shared" si="35"/>
        <v/>
      </c>
      <c r="AK55" s="756" t="str">
        <f t="shared" si="36"/>
        <v/>
      </c>
      <c r="AL55" s="1545"/>
      <c r="AM55" s="1542"/>
      <c r="AN55" s="1564" t="str">
        <f t="shared" si="37"/>
        <v/>
      </c>
      <c r="AO55" s="1565"/>
      <c r="AP55" s="563"/>
      <c r="AQ55" s="213"/>
      <c r="AR55" s="213"/>
      <c r="AS55" s="213"/>
      <c r="AT55" s="751" t="str">
        <f t="shared" si="38"/>
        <v/>
      </c>
      <c r="AU55" s="751" t="str">
        <f t="shared" si="39"/>
        <v/>
      </c>
      <c r="AV55" s="576" t="str">
        <f t="shared" si="40"/>
        <v/>
      </c>
      <c r="AW55" s="1556"/>
      <c r="AX55" s="1556"/>
      <c r="AY55" s="577" t="str">
        <f t="shared" si="41"/>
        <v/>
      </c>
      <c r="AZ55" s="213"/>
      <c r="BA55" s="719" t="str">
        <f>IF(AT55="","",AT55^2)</f>
        <v/>
      </c>
      <c r="BB55" s="719" t="str">
        <f t="shared" si="43"/>
        <v/>
      </c>
      <c r="BC55" s="719" t="str">
        <f t="shared" si="44"/>
        <v/>
      </c>
      <c r="BD55" s="1556"/>
      <c r="BE55" s="1556"/>
      <c r="BF55" s="779" t="str">
        <f>IF(AY55="","",AY55^2)</f>
        <v/>
      </c>
      <c r="BG55" s="213"/>
      <c r="BH55" s="213"/>
    </row>
    <row r="56" spans="1:60" s="213" customFormat="1" ht="22.5" customHeight="1" thickBot="1">
      <c r="A56" s="1065" t="s">
        <v>1584</v>
      </c>
      <c r="B56" s="1188"/>
      <c r="C56" s="1066"/>
      <c r="D56" s="1066"/>
      <c r="E56" s="1066"/>
      <c r="F56" s="1066"/>
      <c r="G56" s="1066"/>
      <c r="H56" s="1066"/>
      <c r="I56" s="1066"/>
      <c r="J56" s="1066"/>
      <c r="K56" s="1066"/>
      <c r="L56" s="1066"/>
      <c r="M56" s="1066"/>
      <c r="N56" s="1188"/>
      <c r="O56" s="1188"/>
      <c r="P56" s="1188"/>
      <c r="Q56" s="1188"/>
      <c r="R56" s="1188"/>
      <c r="S56" s="1188"/>
      <c r="T56" s="1188"/>
      <c r="U56" s="1188"/>
      <c r="V56" s="1188"/>
      <c r="W56" s="1188"/>
      <c r="X56" s="1188"/>
      <c r="Y56" s="1067"/>
      <c r="Z56" s="478"/>
      <c r="AA56" s="736"/>
      <c r="AB56" s="737"/>
      <c r="AC56" s="737"/>
      <c r="AD56" s="737"/>
      <c r="AE56" s="737"/>
      <c r="AF56" s="737"/>
      <c r="AG56" s="737"/>
      <c r="AH56" s="737"/>
      <c r="AI56" s="737"/>
      <c r="AJ56" s="737"/>
      <c r="AK56" s="737"/>
      <c r="AL56" s="737"/>
      <c r="AM56" s="737"/>
      <c r="AN56" s="737"/>
      <c r="AO56" s="737"/>
      <c r="AP56" s="738"/>
      <c r="AT56" s="98"/>
      <c r="AU56" s="98"/>
      <c r="AV56" s="98"/>
      <c r="AW56" s="98"/>
      <c r="AX56" s="98"/>
      <c r="AY56" s="98"/>
      <c r="AZ56" s="98"/>
      <c r="BA56" s="98"/>
      <c r="BB56" s="98"/>
      <c r="BC56" s="98"/>
      <c r="BD56" s="98"/>
      <c r="BE56" s="98"/>
      <c r="BF56" s="98"/>
    </row>
    <row r="57" spans="1:60" s="213" customFormat="1" ht="31.05" customHeight="1" thickBot="1">
      <c r="A57" s="1666"/>
      <c r="B57" s="1647" t="s">
        <v>377</v>
      </c>
      <c r="C57" s="1376" t="s">
        <v>312</v>
      </c>
      <c r="D57" s="1377"/>
      <c r="E57" s="1378"/>
      <c r="F57" s="1632" t="s">
        <v>380</v>
      </c>
      <c r="G57" s="1633"/>
      <c r="H57" s="1633"/>
      <c r="I57" s="1633"/>
      <c r="J57" s="1633"/>
      <c r="K57" s="1633"/>
      <c r="L57" s="1633"/>
      <c r="M57" s="1634"/>
      <c r="N57" s="1376" t="s">
        <v>1070</v>
      </c>
      <c r="O57" s="1377"/>
      <c r="P57" s="1377"/>
      <c r="Q57" s="1377"/>
      <c r="R57" s="1378"/>
      <c r="S57" s="1204" t="s">
        <v>379</v>
      </c>
      <c r="T57" s="1205"/>
      <c r="U57" s="1205"/>
      <c r="V57" s="1205"/>
      <c r="W57" s="1205"/>
      <c r="X57" s="1206"/>
      <c r="Y57" s="1635"/>
      <c r="Z57" s="478"/>
      <c r="AA57" s="1494"/>
      <c r="AB57" s="1252" t="s">
        <v>1300</v>
      </c>
      <c r="AC57" s="1252"/>
      <c r="AD57" s="1252"/>
      <c r="AE57" s="1252"/>
      <c r="AF57" s="1252"/>
      <c r="AG57" s="1252"/>
      <c r="AH57" s="1581"/>
      <c r="AI57" s="1347" t="s">
        <v>1301</v>
      </c>
      <c r="AJ57" s="1233"/>
      <c r="AK57" s="1233"/>
      <c r="AL57" s="1233"/>
      <c r="AM57" s="1233"/>
      <c r="AN57" s="1233"/>
      <c r="AO57" s="1234"/>
      <c r="AP57" s="1494"/>
    </row>
    <row r="58" spans="1:60" s="213" customFormat="1" ht="38.549999999999997" customHeight="1">
      <c r="A58" s="1667"/>
      <c r="B58" s="1648"/>
      <c r="C58" s="1393" t="s">
        <v>288</v>
      </c>
      <c r="D58" s="1082"/>
      <c r="E58" s="731" t="s">
        <v>1073</v>
      </c>
      <c r="F58" s="1393" t="s">
        <v>1075</v>
      </c>
      <c r="G58" s="1391"/>
      <c r="H58" s="1699" t="s">
        <v>1072</v>
      </c>
      <c r="I58" s="1082"/>
      <c r="J58" s="1082"/>
      <c r="K58" s="1430" t="s">
        <v>1079</v>
      </c>
      <c r="L58" s="1082"/>
      <c r="M58" s="1083"/>
      <c r="N58" s="1393"/>
      <c r="O58" s="1082"/>
      <c r="P58" s="1082"/>
      <c r="Q58" s="1082"/>
      <c r="R58" s="1083"/>
      <c r="S58" s="1664" t="s">
        <v>40</v>
      </c>
      <c r="T58" s="1076" t="s">
        <v>39</v>
      </c>
      <c r="U58" s="1076" t="s">
        <v>145</v>
      </c>
      <c r="V58" s="674" t="s">
        <v>147</v>
      </c>
      <c r="W58" s="696" t="s">
        <v>147</v>
      </c>
      <c r="X58" s="1704" t="s">
        <v>31</v>
      </c>
      <c r="Y58" s="1190"/>
      <c r="Z58" s="478"/>
      <c r="AA58" s="1495"/>
      <c r="AB58" s="1583" t="s">
        <v>1305</v>
      </c>
      <c r="AC58" s="1584"/>
      <c r="AD58" s="1583" t="s">
        <v>1304</v>
      </c>
      <c r="AE58" s="1584"/>
      <c r="AF58" s="1512" t="s">
        <v>1303</v>
      </c>
      <c r="AG58" s="1513"/>
      <c r="AH58" s="1514"/>
      <c r="AI58" s="556" t="s">
        <v>40</v>
      </c>
      <c r="AJ58" s="557" t="s">
        <v>39</v>
      </c>
      <c r="AK58" s="557" t="s">
        <v>145</v>
      </c>
      <c r="AL58" s="747" t="s">
        <v>147</v>
      </c>
      <c r="AM58" s="747" t="s">
        <v>147</v>
      </c>
      <c r="AN58" s="1551" t="s">
        <v>31</v>
      </c>
      <c r="AO58" s="1552"/>
      <c r="AP58" s="1495"/>
      <c r="AT58" s="554" t="s">
        <v>40</v>
      </c>
      <c r="AU58" s="554" t="s">
        <v>39</v>
      </c>
      <c r="AV58" s="554" t="s">
        <v>145</v>
      </c>
      <c r="AW58" s="554" t="s">
        <v>147</v>
      </c>
      <c r="AX58" s="554"/>
      <c r="AY58" s="554" t="s">
        <v>31</v>
      </c>
      <c r="AZ58" s="217"/>
      <c r="BA58" s="529" t="s">
        <v>40</v>
      </c>
      <c r="BB58" s="530" t="s">
        <v>39</v>
      </c>
      <c r="BC58" s="530" t="s">
        <v>145</v>
      </c>
      <c r="BD58" s="530" t="s">
        <v>147</v>
      </c>
      <c r="BE58" s="537"/>
      <c r="BF58" s="531" t="s">
        <v>31</v>
      </c>
    </row>
    <row r="59" spans="1:60" s="213" customFormat="1" ht="31.05" customHeight="1" thickBot="1">
      <c r="A59" s="1667"/>
      <c r="B59" s="1648"/>
      <c r="C59" s="1394"/>
      <c r="D59" s="1084"/>
      <c r="E59" s="732" t="s">
        <v>1074</v>
      </c>
      <c r="F59" s="1702" t="s">
        <v>1071</v>
      </c>
      <c r="G59" s="1703"/>
      <c r="H59" s="1700" t="s">
        <v>1078</v>
      </c>
      <c r="I59" s="1701"/>
      <c r="J59" s="1701"/>
      <c r="K59" s="1431"/>
      <c r="L59" s="1084"/>
      <c r="M59" s="1085"/>
      <c r="N59" s="1394"/>
      <c r="O59" s="1084"/>
      <c r="P59" s="1084"/>
      <c r="Q59" s="1084"/>
      <c r="R59" s="1085"/>
      <c r="S59" s="1665"/>
      <c r="T59" s="1077"/>
      <c r="U59" s="1077"/>
      <c r="V59" s="697" t="s">
        <v>306</v>
      </c>
      <c r="W59" s="697" t="s">
        <v>753</v>
      </c>
      <c r="X59" s="1705"/>
      <c r="Y59" s="1190"/>
      <c r="Z59" s="478"/>
      <c r="AA59" s="1495"/>
      <c r="AB59" s="1585"/>
      <c r="AC59" s="1586"/>
      <c r="AD59" s="1585"/>
      <c r="AE59" s="1586"/>
      <c r="AF59" s="1515"/>
      <c r="AG59" s="1516"/>
      <c r="AH59" s="1517"/>
      <c r="AI59" s="567" t="s">
        <v>1260</v>
      </c>
      <c r="AJ59" s="723" t="s">
        <v>1260</v>
      </c>
      <c r="AK59" s="723" t="s">
        <v>1260</v>
      </c>
      <c r="AL59" s="739" t="s">
        <v>1260</v>
      </c>
      <c r="AM59" s="723" t="s">
        <v>1260</v>
      </c>
      <c r="AN59" s="1522" t="s">
        <v>1260</v>
      </c>
      <c r="AO59" s="1523"/>
      <c r="AP59" s="1495"/>
      <c r="AT59" s="1497" t="s">
        <v>1285</v>
      </c>
      <c r="AU59" s="1497"/>
      <c r="AV59" s="1497"/>
      <c r="AW59" s="1497"/>
      <c r="AX59" s="1497"/>
      <c r="AY59" s="1497"/>
      <c r="BA59" s="1553" t="s">
        <v>1286</v>
      </c>
      <c r="BB59" s="1554"/>
      <c r="BC59" s="1554"/>
      <c r="BD59" s="1554"/>
      <c r="BE59" s="1554"/>
      <c r="BF59" s="1555"/>
    </row>
    <row r="60" spans="1:60" s="213" customFormat="1" ht="16.5" customHeight="1">
      <c r="A60" s="1668"/>
      <c r="B60" s="1687" t="s">
        <v>316</v>
      </c>
      <c r="C60" s="1617"/>
      <c r="D60" s="1618"/>
      <c r="E60" s="347"/>
      <c r="F60" s="1609"/>
      <c r="G60" s="1610"/>
      <c r="H60" s="1601" t="str">
        <f>IF(AND(F60="",F61="",F62="",F63=""),"",F60+F61+F62+F63)</f>
        <v/>
      </c>
      <c r="I60" s="1602"/>
      <c r="J60" s="1603"/>
      <c r="K60" s="1644"/>
      <c r="L60" s="1645"/>
      <c r="M60" s="1646"/>
      <c r="N60" s="1636" t="s">
        <v>1076</v>
      </c>
      <c r="O60" s="1637"/>
      <c r="P60" s="1637"/>
      <c r="Q60" s="1637"/>
      <c r="R60" s="1638"/>
      <c r="S60" s="1679" t="s">
        <v>367</v>
      </c>
      <c r="T60" s="1626" t="s">
        <v>367</v>
      </c>
      <c r="U60" s="1629" t="s">
        <v>367</v>
      </c>
      <c r="V60" s="351" t="str">
        <f>IF(OR(C60="",E60="",F60="",K60=""),"",(F60*K60*(64/32)*(10^-9)))</f>
        <v/>
      </c>
      <c r="W60" s="1488" t="str">
        <f>IF(AND(V60="",V61="",V62="",V63=""),"",(SUMIF(V60:V63,"&lt;&gt;#N/A")))</f>
        <v/>
      </c>
      <c r="X60" s="1696" t="s">
        <v>367</v>
      </c>
      <c r="Y60" s="1190"/>
      <c r="Z60" s="478"/>
      <c r="AA60" s="1495"/>
      <c r="AB60" s="1509"/>
      <c r="AC60" s="1510"/>
      <c r="AD60" s="1510"/>
      <c r="AE60" s="1511"/>
      <c r="AF60" s="1504" t="s">
        <v>1268</v>
      </c>
      <c r="AG60" s="1504"/>
      <c r="AH60" s="1505"/>
      <c r="AI60" s="1546"/>
      <c r="AJ60" s="1547"/>
      <c r="AK60" s="1547"/>
      <c r="AL60" s="578" t="str">
        <f>IF(OR(AB60="",AD60=""),"", (SQRT((AB60^2)+(AD60^2)))   )</f>
        <v/>
      </c>
      <c r="AM60" s="1488" t="str">
        <f>IF(OR(AND(AL60="",AL61="",AL62="",AL63=""),OR(W60="",W60=0)),"",(SQRT(    (SUMIF(AR60:AR63,"&lt;&gt;#N/A"))    )/W60))</f>
        <v/>
      </c>
      <c r="AN60" s="1518"/>
      <c r="AO60" s="1519"/>
      <c r="AP60" s="1495"/>
      <c r="AR60" s="578" t="str">
        <f t="shared" ref="AR60:AR79" si="46">IF(OR(V60="",AL60=""),"",(V60*AL60)^2)</f>
        <v/>
      </c>
      <c r="AT60" s="1524"/>
      <c r="AU60" s="1525"/>
      <c r="AV60" s="1526"/>
      <c r="AW60" s="351" t="str">
        <f>IF(OR(AL60="",V60=""),"",AL60*V60)</f>
        <v/>
      </c>
      <c r="AX60" s="1487" t="str">
        <f>IF(OR(AM60="",W60=""),"",AM60*W60)</f>
        <v/>
      </c>
      <c r="AY60" s="1532"/>
      <c r="BA60" s="1524"/>
      <c r="BB60" s="1525"/>
      <c r="BC60" s="1526"/>
      <c r="BD60" s="351" t="str">
        <f>IF(AW60="","",AW60^2)</f>
        <v/>
      </c>
      <c r="BE60" s="1487" t="str">
        <f>IF(AX60="","",AX60^2)</f>
        <v/>
      </c>
      <c r="BF60" s="1532"/>
    </row>
    <row r="61" spans="1:60" s="213" customFormat="1" ht="16.5" customHeight="1">
      <c r="A61" s="1668"/>
      <c r="B61" s="1625"/>
      <c r="C61" s="1596"/>
      <c r="D61" s="1597"/>
      <c r="E61" s="348"/>
      <c r="F61" s="1630"/>
      <c r="G61" s="1631"/>
      <c r="H61" s="1601"/>
      <c r="I61" s="1602"/>
      <c r="J61" s="1603"/>
      <c r="K61" s="1611"/>
      <c r="L61" s="1612"/>
      <c r="M61" s="1613"/>
      <c r="N61" s="1636"/>
      <c r="O61" s="1637"/>
      <c r="P61" s="1637"/>
      <c r="Q61" s="1637"/>
      <c r="R61" s="1638"/>
      <c r="S61" s="1680"/>
      <c r="T61" s="1627"/>
      <c r="U61" s="1627"/>
      <c r="V61" s="352" t="str">
        <f>IF(OR(C61="",E61="",F61="",K61=""),"",(F61*K61*(64/32)*(10^-9)))</f>
        <v/>
      </c>
      <c r="W61" s="1488"/>
      <c r="X61" s="1697"/>
      <c r="Y61" s="1190"/>
      <c r="Z61" s="478"/>
      <c r="AA61" s="1495"/>
      <c r="AB61" s="1498"/>
      <c r="AC61" s="1499"/>
      <c r="AD61" s="1499"/>
      <c r="AE61" s="1500"/>
      <c r="AF61" s="1506"/>
      <c r="AG61" s="1506"/>
      <c r="AH61" s="1507"/>
      <c r="AI61" s="1548"/>
      <c r="AJ61" s="1549"/>
      <c r="AK61" s="1549"/>
      <c r="AL61" s="579" t="str">
        <f t="shared" ref="AL61:AL79" si="47">IF(OR(AB61="",AD61=""),"", (SQRT((AB61^2)+(AD61^2)))   )</f>
        <v/>
      </c>
      <c r="AM61" s="1488"/>
      <c r="AN61" s="1520"/>
      <c r="AO61" s="1521"/>
      <c r="AP61" s="1495"/>
      <c r="AR61" s="579" t="str">
        <f t="shared" si="46"/>
        <v/>
      </c>
      <c r="AT61" s="1527"/>
      <c r="AU61" s="1479"/>
      <c r="AV61" s="1528"/>
      <c r="AW61" s="352" t="str">
        <f t="shared" ref="AW61:AW78" si="48">IF(OR(AL61="",V61=""),"",AL61*V61)</f>
        <v/>
      </c>
      <c r="AX61" s="1488"/>
      <c r="AY61" s="1533"/>
      <c r="BA61" s="1527"/>
      <c r="BB61" s="1479"/>
      <c r="BC61" s="1528"/>
      <c r="BD61" s="352" t="str">
        <f t="shared" ref="BD61:BD79" si="49">IF(AW61="","",AW61^2)</f>
        <v/>
      </c>
      <c r="BE61" s="1488"/>
      <c r="BF61" s="1533"/>
    </row>
    <row r="62" spans="1:60" s="213" customFormat="1" ht="16.5" customHeight="1">
      <c r="A62" s="1668"/>
      <c r="B62" s="1625"/>
      <c r="C62" s="1596"/>
      <c r="D62" s="1598"/>
      <c r="E62" s="348"/>
      <c r="F62" s="1630"/>
      <c r="G62" s="1631"/>
      <c r="H62" s="1601"/>
      <c r="I62" s="1602"/>
      <c r="J62" s="1603"/>
      <c r="K62" s="1611"/>
      <c r="L62" s="1612"/>
      <c r="M62" s="1613"/>
      <c r="N62" s="1636"/>
      <c r="O62" s="1637"/>
      <c r="P62" s="1637"/>
      <c r="Q62" s="1637"/>
      <c r="R62" s="1638"/>
      <c r="S62" s="1680"/>
      <c r="T62" s="1627"/>
      <c r="U62" s="1627"/>
      <c r="V62" s="352" t="str">
        <f t="shared" ref="V62:V78" si="50">IF(OR(C62="",E62="",F62="",K62=""),"",(F62*K62*(64/32)*(10^-9)))</f>
        <v/>
      </c>
      <c r="W62" s="1488"/>
      <c r="X62" s="1697"/>
      <c r="Y62" s="1190"/>
      <c r="Z62" s="478"/>
      <c r="AA62" s="1495"/>
      <c r="AB62" s="1498"/>
      <c r="AC62" s="1499"/>
      <c r="AD62" s="1499"/>
      <c r="AE62" s="1500"/>
      <c r="AF62" s="1506"/>
      <c r="AG62" s="1506"/>
      <c r="AH62" s="1507"/>
      <c r="AI62" s="1548"/>
      <c r="AJ62" s="1549"/>
      <c r="AK62" s="1549"/>
      <c r="AL62" s="579" t="str">
        <f t="shared" si="47"/>
        <v/>
      </c>
      <c r="AM62" s="1488"/>
      <c r="AN62" s="1520"/>
      <c r="AO62" s="1521"/>
      <c r="AP62" s="1495"/>
      <c r="AR62" s="579" t="str">
        <f t="shared" si="46"/>
        <v/>
      </c>
      <c r="AT62" s="1527"/>
      <c r="AU62" s="1479"/>
      <c r="AV62" s="1528"/>
      <c r="AW62" s="352" t="str">
        <f t="shared" si="48"/>
        <v/>
      </c>
      <c r="AX62" s="1488"/>
      <c r="AY62" s="1533"/>
      <c r="BA62" s="1527"/>
      <c r="BB62" s="1479"/>
      <c r="BC62" s="1528"/>
      <c r="BD62" s="352" t="str">
        <f t="shared" si="49"/>
        <v/>
      </c>
      <c r="BE62" s="1488"/>
      <c r="BF62" s="1533"/>
    </row>
    <row r="63" spans="1:60" s="213" customFormat="1" ht="16.5" customHeight="1" thickBot="1">
      <c r="A63" s="1668"/>
      <c r="B63" s="1625"/>
      <c r="C63" s="1599"/>
      <c r="D63" s="1600"/>
      <c r="E63" s="349"/>
      <c r="F63" s="1642"/>
      <c r="G63" s="1643"/>
      <c r="H63" s="1604"/>
      <c r="I63" s="1605"/>
      <c r="J63" s="1606"/>
      <c r="K63" s="1614"/>
      <c r="L63" s="1615"/>
      <c r="M63" s="1616"/>
      <c r="N63" s="1636"/>
      <c r="O63" s="1637"/>
      <c r="P63" s="1637"/>
      <c r="Q63" s="1637"/>
      <c r="R63" s="1638"/>
      <c r="S63" s="1680"/>
      <c r="T63" s="1627"/>
      <c r="U63" s="1627"/>
      <c r="V63" s="353" t="str">
        <f t="shared" si="50"/>
        <v/>
      </c>
      <c r="W63" s="1489"/>
      <c r="X63" s="1697"/>
      <c r="Y63" s="1190"/>
      <c r="Z63" s="478"/>
      <c r="AA63" s="1495"/>
      <c r="AB63" s="1501"/>
      <c r="AC63" s="1502"/>
      <c r="AD63" s="1502"/>
      <c r="AE63" s="1503"/>
      <c r="AF63" s="1506"/>
      <c r="AG63" s="1506"/>
      <c r="AH63" s="1507"/>
      <c r="AI63" s="1548"/>
      <c r="AJ63" s="1549"/>
      <c r="AK63" s="1549"/>
      <c r="AL63" s="580" t="str">
        <f t="shared" si="47"/>
        <v/>
      </c>
      <c r="AM63" s="1489"/>
      <c r="AN63" s="1520"/>
      <c r="AO63" s="1521"/>
      <c r="AP63" s="1495"/>
      <c r="AR63" s="580" t="str">
        <f t="shared" si="46"/>
        <v/>
      </c>
      <c r="AT63" s="1527"/>
      <c r="AU63" s="1479"/>
      <c r="AV63" s="1528"/>
      <c r="AW63" s="353" t="str">
        <f t="shared" si="48"/>
        <v/>
      </c>
      <c r="AX63" s="1489"/>
      <c r="AY63" s="1533"/>
      <c r="BA63" s="1527"/>
      <c r="BB63" s="1479"/>
      <c r="BC63" s="1528"/>
      <c r="BD63" s="353" t="str">
        <f t="shared" si="49"/>
        <v/>
      </c>
      <c r="BE63" s="1489"/>
      <c r="BF63" s="1533"/>
    </row>
    <row r="64" spans="1:60" s="213" customFormat="1" ht="16.5" customHeight="1">
      <c r="A64" s="1668"/>
      <c r="B64" s="1625" t="s">
        <v>317</v>
      </c>
      <c r="C64" s="1607"/>
      <c r="D64" s="1608"/>
      <c r="E64" s="350"/>
      <c r="F64" s="1685"/>
      <c r="G64" s="1686"/>
      <c r="H64" s="1601" t="str">
        <f t="shared" ref="H64" si="51">IF(AND(F64="",F65="",F66="",F67=""),"",F64+F65+F66+F67)</f>
        <v/>
      </c>
      <c r="I64" s="1602"/>
      <c r="J64" s="1603"/>
      <c r="K64" s="1622"/>
      <c r="L64" s="1623"/>
      <c r="M64" s="1624"/>
      <c r="N64" s="1636"/>
      <c r="O64" s="1637"/>
      <c r="P64" s="1637"/>
      <c r="Q64" s="1637"/>
      <c r="R64" s="1638"/>
      <c r="S64" s="1680"/>
      <c r="T64" s="1627"/>
      <c r="U64" s="1627"/>
      <c r="V64" s="351" t="str">
        <f t="shared" si="50"/>
        <v/>
      </c>
      <c r="W64" s="1488" t="str">
        <f t="shared" ref="W64" si="52">IF(AND(V64="",V65="",V66="",V67=""),"",(SUMIF(V64:V67,"&lt;&gt;#N/A")))</f>
        <v/>
      </c>
      <c r="X64" s="1697"/>
      <c r="Y64" s="1190"/>
      <c r="Z64" s="478"/>
      <c r="AA64" s="1495"/>
      <c r="AB64" s="1509"/>
      <c r="AC64" s="1510"/>
      <c r="AD64" s="1510"/>
      <c r="AE64" s="1511"/>
      <c r="AF64" s="1508"/>
      <c r="AG64" s="1506"/>
      <c r="AH64" s="1507"/>
      <c r="AI64" s="1548"/>
      <c r="AJ64" s="1549"/>
      <c r="AK64" s="1549"/>
      <c r="AL64" s="578" t="str">
        <f t="shared" si="47"/>
        <v/>
      </c>
      <c r="AM64" s="1488" t="str">
        <f t="shared" ref="AM64" si="53">IF(OR(AND(AL64="",AL65="",AL66="",AL67=""),OR(W64="",W64=0)),"",(SQRT(    (SUMIF(AR64:AR67,"&lt;&gt;#N/A"))    )/W64))</f>
        <v/>
      </c>
      <c r="AN64" s="1520"/>
      <c r="AO64" s="1521"/>
      <c r="AP64" s="1495"/>
      <c r="AR64" s="578" t="str">
        <f t="shared" si="46"/>
        <v/>
      </c>
      <c r="AT64" s="1527"/>
      <c r="AU64" s="1479"/>
      <c r="AV64" s="1528"/>
      <c r="AW64" s="351" t="str">
        <f t="shared" si="48"/>
        <v/>
      </c>
      <c r="AX64" s="1487" t="str">
        <f>IF(OR(AM64="",W64=""),"",AM64*W64)</f>
        <v/>
      </c>
      <c r="AY64" s="1533"/>
      <c r="BA64" s="1527"/>
      <c r="BB64" s="1479"/>
      <c r="BC64" s="1528"/>
      <c r="BD64" s="351" t="str">
        <f t="shared" si="49"/>
        <v/>
      </c>
      <c r="BE64" s="1487" t="str">
        <f t="shared" ref="BE64" si="54">IF(AX64="","",AX64^2)</f>
        <v/>
      </c>
      <c r="BF64" s="1533"/>
    </row>
    <row r="65" spans="1:58" s="213" customFormat="1" ht="16.5" customHeight="1">
      <c r="A65" s="1668"/>
      <c r="B65" s="1625"/>
      <c r="C65" s="1596"/>
      <c r="D65" s="1597"/>
      <c r="E65" s="348"/>
      <c r="F65" s="1630"/>
      <c r="G65" s="1631"/>
      <c r="H65" s="1601"/>
      <c r="I65" s="1602"/>
      <c r="J65" s="1603"/>
      <c r="K65" s="1611"/>
      <c r="L65" s="1612"/>
      <c r="M65" s="1613"/>
      <c r="N65" s="1636"/>
      <c r="O65" s="1637"/>
      <c r="P65" s="1637"/>
      <c r="Q65" s="1637"/>
      <c r="R65" s="1638"/>
      <c r="S65" s="1680"/>
      <c r="T65" s="1627"/>
      <c r="U65" s="1627"/>
      <c r="V65" s="352" t="str">
        <f t="shared" si="50"/>
        <v/>
      </c>
      <c r="W65" s="1488"/>
      <c r="X65" s="1697"/>
      <c r="Y65" s="1190"/>
      <c r="Z65" s="478"/>
      <c r="AA65" s="1495"/>
      <c r="AB65" s="1498"/>
      <c r="AC65" s="1499"/>
      <c r="AD65" s="1499"/>
      <c r="AE65" s="1500"/>
      <c r="AF65" s="1508"/>
      <c r="AG65" s="1506"/>
      <c r="AH65" s="1507"/>
      <c r="AI65" s="1548"/>
      <c r="AJ65" s="1549"/>
      <c r="AK65" s="1549"/>
      <c r="AL65" s="579" t="str">
        <f t="shared" si="47"/>
        <v/>
      </c>
      <c r="AM65" s="1488"/>
      <c r="AN65" s="1520"/>
      <c r="AO65" s="1521"/>
      <c r="AP65" s="1495"/>
      <c r="AR65" s="579" t="str">
        <f t="shared" si="46"/>
        <v/>
      </c>
      <c r="AT65" s="1527"/>
      <c r="AU65" s="1479"/>
      <c r="AV65" s="1528"/>
      <c r="AW65" s="352" t="str">
        <f t="shared" si="48"/>
        <v/>
      </c>
      <c r="AX65" s="1488"/>
      <c r="AY65" s="1533"/>
      <c r="BA65" s="1527"/>
      <c r="BB65" s="1479"/>
      <c r="BC65" s="1528"/>
      <c r="BD65" s="352" t="str">
        <f t="shared" si="49"/>
        <v/>
      </c>
      <c r="BE65" s="1488"/>
      <c r="BF65" s="1533"/>
    </row>
    <row r="66" spans="1:58" s="213" customFormat="1" ht="16.5" customHeight="1">
      <c r="A66" s="1668"/>
      <c r="B66" s="1625"/>
      <c r="C66" s="1596"/>
      <c r="D66" s="1598"/>
      <c r="E66" s="348"/>
      <c r="F66" s="1630"/>
      <c r="G66" s="1631"/>
      <c r="H66" s="1601"/>
      <c r="I66" s="1602"/>
      <c r="J66" s="1603"/>
      <c r="K66" s="1611"/>
      <c r="L66" s="1612"/>
      <c r="M66" s="1613"/>
      <c r="N66" s="1636"/>
      <c r="O66" s="1637"/>
      <c r="P66" s="1637"/>
      <c r="Q66" s="1637"/>
      <c r="R66" s="1638"/>
      <c r="S66" s="1680"/>
      <c r="T66" s="1627"/>
      <c r="U66" s="1627"/>
      <c r="V66" s="352" t="str">
        <f t="shared" si="50"/>
        <v/>
      </c>
      <c r="W66" s="1488"/>
      <c r="X66" s="1697"/>
      <c r="Y66" s="1190"/>
      <c r="Z66" s="478"/>
      <c r="AA66" s="1495"/>
      <c r="AB66" s="1498"/>
      <c r="AC66" s="1499"/>
      <c r="AD66" s="1499"/>
      <c r="AE66" s="1500"/>
      <c r="AF66" s="1508"/>
      <c r="AG66" s="1506"/>
      <c r="AH66" s="1507"/>
      <c r="AI66" s="1548"/>
      <c r="AJ66" s="1549"/>
      <c r="AK66" s="1549"/>
      <c r="AL66" s="579" t="str">
        <f t="shared" si="47"/>
        <v/>
      </c>
      <c r="AM66" s="1488"/>
      <c r="AN66" s="1520"/>
      <c r="AO66" s="1521"/>
      <c r="AP66" s="1495"/>
      <c r="AR66" s="579" t="str">
        <f t="shared" si="46"/>
        <v/>
      </c>
      <c r="AT66" s="1527"/>
      <c r="AU66" s="1479"/>
      <c r="AV66" s="1528"/>
      <c r="AW66" s="352" t="str">
        <f t="shared" si="48"/>
        <v/>
      </c>
      <c r="AX66" s="1488"/>
      <c r="AY66" s="1533"/>
      <c r="BA66" s="1527"/>
      <c r="BB66" s="1479"/>
      <c r="BC66" s="1528"/>
      <c r="BD66" s="352" t="str">
        <f t="shared" si="49"/>
        <v/>
      </c>
      <c r="BE66" s="1488"/>
      <c r="BF66" s="1533"/>
    </row>
    <row r="67" spans="1:58" s="213" customFormat="1" ht="16.5" customHeight="1" thickBot="1">
      <c r="A67" s="1668"/>
      <c r="B67" s="1625"/>
      <c r="C67" s="1599"/>
      <c r="D67" s="1600"/>
      <c r="E67" s="349"/>
      <c r="F67" s="1642"/>
      <c r="G67" s="1643"/>
      <c r="H67" s="1604"/>
      <c r="I67" s="1605"/>
      <c r="J67" s="1606"/>
      <c r="K67" s="1614"/>
      <c r="L67" s="1615"/>
      <c r="M67" s="1616"/>
      <c r="N67" s="1636"/>
      <c r="O67" s="1637"/>
      <c r="P67" s="1637"/>
      <c r="Q67" s="1637"/>
      <c r="R67" s="1638"/>
      <c r="S67" s="1680"/>
      <c r="T67" s="1627"/>
      <c r="U67" s="1627"/>
      <c r="V67" s="353" t="str">
        <f t="shared" si="50"/>
        <v/>
      </c>
      <c r="W67" s="1489"/>
      <c r="X67" s="1697"/>
      <c r="Y67" s="1190"/>
      <c r="Z67" s="478"/>
      <c r="AA67" s="1495"/>
      <c r="AB67" s="1501"/>
      <c r="AC67" s="1502"/>
      <c r="AD67" s="1502"/>
      <c r="AE67" s="1503"/>
      <c r="AF67" s="1508"/>
      <c r="AG67" s="1506"/>
      <c r="AH67" s="1507"/>
      <c r="AI67" s="1548"/>
      <c r="AJ67" s="1549"/>
      <c r="AK67" s="1549"/>
      <c r="AL67" s="580" t="str">
        <f t="shared" si="47"/>
        <v/>
      </c>
      <c r="AM67" s="1489"/>
      <c r="AN67" s="1520"/>
      <c r="AO67" s="1521"/>
      <c r="AP67" s="1495"/>
      <c r="AR67" s="580" t="str">
        <f t="shared" si="46"/>
        <v/>
      </c>
      <c r="AT67" s="1527"/>
      <c r="AU67" s="1479"/>
      <c r="AV67" s="1528"/>
      <c r="AW67" s="353" t="str">
        <f t="shared" si="48"/>
        <v/>
      </c>
      <c r="AX67" s="1489"/>
      <c r="AY67" s="1533"/>
      <c r="BA67" s="1527"/>
      <c r="BB67" s="1479"/>
      <c r="BC67" s="1528"/>
      <c r="BD67" s="353" t="str">
        <f t="shared" si="49"/>
        <v/>
      </c>
      <c r="BE67" s="1489"/>
      <c r="BF67" s="1533"/>
    </row>
    <row r="68" spans="1:58" s="213" customFormat="1" ht="16.5" customHeight="1">
      <c r="A68" s="1668"/>
      <c r="B68" s="1625" t="s">
        <v>318</v>
      </c>
      <c r="C68" s="1607"/>
      <c r="D68" s="1608"/>
      <c r="E68" s="350"/>
      <c r="F68" s="1685"/>
      <c r="G68" s="1686"/>
      <c r="H68" s="1601" t="str">
        <f t="shared" ref="H68" si="55">IF(AND(F68="",F69="",F70="",F71=""),"",F68+F69+F70+F71)</f>
        <v/>
      </c>
      <c r="I68" s="1602"/>
      <c r="J68" s="1603"/>
      <c r="K68" s="1622"/>
      <c r="L68" s="1623"/>
      <c r="M68" s="1624"/>
      <c r="N68" s="1636"/>
      <c r="O68" s="1637"/>
      <c r="P68" s="1637"/>
      <c r="Q68" s="1637"/>
      <c r="R68" s="1638"/>
      <c r="S68" s="1680"/>
      <c r="T68" s="1627"/>
      <c r="U68" s="1627"/>
      <c r="V68" s="351" t="str">
        <f t="shared" si="50"/>
        <v/>
      </c>
      <c r="W68" s="1488" t="str">
        <f t="shared" ref="W68" si="56">IF(AND(V68="",V69="",V70="",V71=""),"",(SUMIF(V68:V71,"&lt;&gt;#N/A")))</f>
        <v/>
      </c>
      <c r="X68" s="1697"/>
      <c r="Y68" s="1190"/>
      <c r="Z68" s="478"/>
      <c r="AA68" s="1495"/>
      <c r="AB68" s="1509"/>
      <c r="AC68" s="1510"/>
      <c r="AD68" s="1510"/>
      <c r="AE68" s="1511"/>
      <c r="AF68" s="1508"/>
      <c r="AG68" s="1506"/>
      <c r="AH68" s="1507"/>
      <c r="AI68" s="1548"/>
      <c r="AJ68" s="1549"/>
      <c r="AK68" s="1550"/>
      <c r="AL68" s="578" t="str">
        <f t="shared" si="47"/>
        <v/>
      </c>
      <c r="AM68" s="1488" t="str">
        <f t="shared" ref="AM68" si="57">IF(OR(AND(AL68="",AL69="",AL70="",AL71=""),OR(W68="",W68=0)),"",(SQRT(    (SUMIF(AR68:AR71,"&lt;&gt;#N/A"))    )/W68))</f>
        <v/>
      </c>
      <c r="AN68" s="1520"/>
      <c r="AO68" s="1521"/>
      <c r="AP68" s="1495"/>
      <c r="AR68" s="578" t="str">
        <f t="shared" si="46"/>
        <v/>
      </c>
      <c r="AT68" s="1527"/>
      <c r="AU68" s="1479"/>
      <c r="AV68" s="1528"/>
      <c r="AW68" s="351" t="str">
        <f t="shared" si="48"/>
        <v/>
      </c>
      <c r="AX68" s="1487" t="str">
        <f>IF(OR(AM68="",W68=""),"",AM68*W68)</f>
        <v/>
      </c>
      <c r="AY68" s="1533"/>
      <c r="BA68" s="1527"/>
      <c r="BB68" s="1479"/>
      <c r="BC68" s="1528"/>
      <c r="BD68" s="351" t="str">
        <f t="shared" si="49"/>
        <v/>
      </c>
      <c r="BE68" s="1487" t="str">
        <f t="shared" ref="BE68" si="58">IF(AX68="","",AX68^2)</f>
        <v/>
      </c>
      <c r="BF68" s="1533"/>
    </row>
    <row r="69" spans="1:58" s="213" customFormat="1" ht="16.5" customHeight="1">
      <c r="A69" s="1668"/>
      <c r="B69" s="1625"/>
      <c r="C69" s="1596"/>
      <c r="D69" s="1597"/>
      <c r="E69" s="348"/>
      <c r="F69" s="1630"/>
      <c r="G69" s="1631"/>
      <c r="H69" s="1601"/>
      <c r="I69" s="1602"/>
      <c r="J69" s="1603"/>
      <c r="K69" s="1611"/>
      <c r="L69" s="1612"/>
      <c r="M69" s="1613"/>
      <c r="N69" s="1636"/>
      <c r="O69" s="1637"/>
      <c r="P69" s="1637"/>
      <c r="Q69" s="1637"/>
      <c r="R69" s="1638"/>
      <c r="S69" s="1680"/>
      <c r="T69" s="1627"/>
      <c r="U69" s="1627"/>
      <c r="V69" s="352" t="str">
        <f t="shared" si="50"/>
        <v/>
      </c>
      <c r="W69" s="1488"/>
      <c r="X69" s="1697"/>
      <c r="Y69" s="1190"/>
      <c r="Z69" s="478"/>
      <c r="AA69" s="1495"/>
      <c r="AB69" s="1498"/>
      <c r="AC69" s="1499"/>
      <c r="AD69" s="1499"/>
      <c r="AE69" s="1500"/>
      <c r="AF69" s="1508"/>
      <c r="AG69" s="1506"/>
      <c r="AH69" s="1507"/>
      <c r="AI69" s="1548"/>
      <c r="AJ69" s="1549"/>
      <c r="AK69" s="1550"/>
      <c r="AL69" s="579" t="str">
        <f t="shared" si="47"/>
        <v/>
      </c>
      <c r="AM69" s="1488"/>
      <c r="AN69" s="1520"/>
      <c r="AO69" s="1521"/>
      <c r="AP69" s="1495"/>
      <c r="AR69" s="579" t="str">
        <f t="shared" si="46"/>
        <v/>
      </c>
      <c r="AT69" s="1527"/>
      <c r="AU69" s="1479"/>
      <c r="AV69" s="1528"/>
      <c r="AW69" s="352" t="str">
        <f t="shared" si="48"/>
        <v/>
      </c>
      <c r="AX69" s="1488"/>
      <c r="AY69" s="1533"/>
      <c r="BA69" s="1527"/>
      <c r="BB69" s="1479"/>
      <c r="BC69" s="1528"/>
      <c r="BD69" s="352" t="str">
        <f t="shared" si="49"/>
        <v/>
      </c>
      <c r="BE69" s="1488"/>
      <c r="BF69" s="1533"/>
    </row>
    <row r="70" spans="1:58" s="213" customFormat="1" ht="16.5" customHeight="1">
      <c r="A70" s="1668"/>
      <c r="B70" s="1625"/>
      <c r="C70" s="1596"/>
      <c r="D70" s="1598"/>
      <c r="E70" s="348"/>
      <c r="F70" s="1630"/>
      <c r="G70" s="1631"/>
      <c r="H70" s="1601"/>
      <c r="I70" s="1602"/>
      <c r="J70" s="1603"/>
      <c r="K70" s="1611"/>
      <c r="L70" s="1612"/>
      <c r="M70" s="1613"/>
      <c r="N70" s="1636"/>
      <c r="O70" s="1637"/>
      <c r="P70" s="1637"/>
      <c r="Q70" s="1637"/>
      <c r="R70" s="1638"/>
      <c r="S70" s="1680"/>
      <c r="T70" s="1627"/>
      <c r="U70" s="1627"/>
      <c r="V70" s="352" t="str">
        <f t="shared" si="50"/>
        <v/>
      </c>
      <c r="W70" s="1488"/>
      <c r="X70" s="1697"/>
      <c r="Y70" s="1190"/>
      <c r="Z70" s="478"/>
      <c r="AA70" s="1495"/>
      <c r="AB70" s="1498"/>
      <c r="AC70" s="1499"/>
      <c r="AD70" s="1499"/>
      <c r="AE70" s="1500"/>
      <c r="AF70" s="1508"/>
      <c r="AG70" s="1506"/>
      <c r="AH70" s="1507"/>
      <c r="AI70" s="1548"/>
      <c r="AJ70" s="1549"/>
      <c r="AK70" s="1550"/>
      <c r="AL70" s="579" t="str">
        <f t="shared" si="47"/>
        <v/>
      </c>
      <c r="AM70" s="1488"/>
      <c r="AN70" s="1520"/>
      <c r="AO70" s="1521"/>
      <c r="AP70" s="1495"/>
      <c r="AR70" s="579" t="str">
        <f t="shared" si="46"/>
        <v/>
      </c>
      <c r="AT70" s="1527"/>
      <c r="AU70" s="1479"/>
      <c r="AV70" s="1528"/>
      <c r="AW70" s="352" t="str">
        <f t="shared" si="48"/>
        <v/>
      </c>
      <c r="AX70" s="1488"/>
      <c r="AY70" s="1533"/>
      <c r="BA70" s="1527"/>
      <c r="BB70" s="1479"/>
      <c r="BC70" s="1528"/>
      <c r="BD70" s="352" t="str">
        <f t="shared" si="49"/>
        <v/>
      </c>
      <c r="BE70" s="1488"/>
      <c r="BF70" s="1533"/>
    </row>
    <row r="71" spans="1:58" s="213" customFormat="1" ht="16.5" customHeight="1" thickBot="1">
      <c r="A71" s="1668"/>
      <c r="B71" s="1625"/>
      <c r="C71" s="1599"/>
      <c r="D71" s="1600"/>
      <c r="E71" s="349"/>
      <c r="F71" s="1642"/>
      <c r="G71" s="1643"/>
      <c r="H71" s="1604"/>
      <c r="I71" s="1605"/>
      <c r="J71" s="1606"/>
      <c r="K71" s="1614"/>
      <c r="L71" s="1615"/>
      <c r="M71" s="1616"/>
      <c r="N71" s="1636"/>
      <c r="O71" s="1637"/>
      <c r="P71" s="1637"/>
      <c r="Q71" s="1637"/>
      <c r="R71" s="1638"/>
      <c r="S71" s="1680"/>
      <c r="T71" s="1627"/>
      <c r="U71" s="1627"/>
      <c r="V71" s="353" t="str">
        <f t="shared" si="50"/>
        <v/>
      </c>
      <c r="W71" s="1489"/>
      <c r="X71" s="1697"/>
      <c r="Y71" s="1190"/>
      <c r="Z71" s="478"/>
      <c r="AA71" s="1495"/>
      <c r="AB71" s="1501"/>
      <c r="AC71" s="1502"/>
      <c r="AD71" s="1502"/>
      <c r="AE71" s="1503"/>
      <c r="AF71" s="1508"/>
      <c r="AG71" s="1506"/>
      <c r="AH71" s="1507"/>
      <c r="AI71" s="1548"/>
      <c r="AJ71" s="1549"/>
      <c r="AK71" s="1550"/>
      <c r="AL71" s="580" t="str">
        <f t="shared" si="47"/>
        <v/>
      </c>
      <c r="AM71" s="1489"/>
      <c r="AN71" s="1520"/>
      <c r="AO71" s="1521"/>
      <c r="AP71" s="1495"/>
      <c r="AR71" s="580" t="str">
        <f t="shared" si="46"/>
        <v/>
      </c>
      <c r="AT71" s="1527"/>
      <c r="AU71" s="1479"/>
      <c r="AV71" s="1528"/>
      <c r="AW71" s="353" t="str">
        <f t="shared" si="48"/>
        <v/>
      </c>
      <c r="AX71" s="1489"/>
      <c r="AY71" s="1533"/>
      <c r="BA71" s="1527"/>
      <c r="BB71" s="1479"/>
      <c r="BC71" s="1528"/>
      <c r="BD71" s="353" t="str">
        <f t="shared" si="49"/>
        <v/>
      </c>
      <c r="BE71" s="1489"/>
      <c r="BF71" s="1533"/>
    </row>
    <row r="72" spans="1:58" s="213" customFormat="1" ht="16.5" customHeight="1">
      <c r="A72" s="1668"/>
      <c r="B72" s="1625" t="s">
        <v>319</v>
      </c>
      <c r="C72" s="1617"/>
      <c r="D72" s="1618"/>
      <c r="E72" s="347"/>
      <c r="F72" s="1609"/>
      <c r="G72" s="1610"/>
      <c r="H72" s="1601" t="str">
        <f t="shared" ref="H72" si="59">IF(AND(F72="",F73="",F74="",F75=""),"",F72+F73+F74+F75)</f>
        <v/>
      </c>
      <c r="I72" s="1602"/>
      <c r="J72" s="1603"/>
      <c r="K72" s="1622"/>
      <c r="L72" s="1623"/>
      <c r="M72" s="1624"/>
      <c r="N72" s="1636"/>
      <c r="O72" s="1637"/>
      <c r="P72" s="1637"/>
      <c r="Q72" s="1637"/>
      <c r="R72" s="1638"/>
      <c r="S72" s="1680"/>
      <c r="T72" s="1627"/>
      <c r="U72" s="1627"/>
      <c r="V72" s="351" t="str">
        <f t="shared" si="50"/>
        <v/>
      </c>
      <c r="W72" s="1488" t="str">
        <f t="shared" ref="W72" si="60">IF(AND(V72="",V73="",V74="",V75=""),"",(SUMIF(V72:V75,"&lt;&gt;#N/A")))</f>
        <v/>
      </c>
      <c r="X72" s="1697"/>
      <c r="Y72" s="1190"/>
      <c r="Z72" s="478"/>
      <c r="AA72" s="1495"/>
      <c r="AB72" s="1509"/>
      <c r="AC72" s="1510"/>
      <c r="AD72" s="1510"/>
      <c r="AE72" s="1511"/>
      <c r="AF72" s="1508"/>
      <c r="AG72" s="1506"/>
      <c r="AH72" s="1507"/>
      <c r="AI72" s="1548"/>
      <c r="AJ72" s="1549"/>
      <c r="AK72" s="1550"/>
      <c r="AL72" s="578" t="str">
        <f t="shared" si="47"/>
        <v/>
      </c>
      <c r="AM72" s="1488" t="str">
        <f t="shared" ref="AM72" si="61">IF(OR(AND(AL72="",AL73="",AL74="",AL75=""),OR(W72="",W72=0)),"",(SQRT(    (SUMIF(AR72:AR75,"&lt;&gt;#N/A"))    )/W72))</f>
        <v/>
      </c>
      <c r="AN72" s="1520"/>
      <c r="AO72" s="1521"/>
      <c r="AP72" s="1495"/>
      <c r="AR72" s="578" t="str">
        <f t="shared" si="46"/>
        <v/>
      </c>
      <c r="AT72" s="1527"/>
      <c r="AU72" s="1479"/>
      <c r="AV72" s="1528"/>
      <c r="AW72" s="351" t="str">
        <f t="shared" si="48"/>
        <v/>
      </c>
      <c r="AX72" s="1487" t="str">
        <f>IF(OR(AM72="",W72=""),"",AM72*W72)</f>
        <v/>
      </c>
      <c r="AY72" s="1533"/>
      <c r="BA72" s="1527"/>
      <c r="BB72" s="1479"/>
      <c r="BC72" s="1528"/>
      <c r="BD72" s="351" t="str">
        <f t="shared" si="49"/>
        <v/>
      </c>
      <c r="BE72" s="1487" t="str">
        <f t="shared" ref="BE72" si="62">IF(AX72="","",AX72^2)</f>
        <v/>
      </c>
      <c r="BF72" s="1533"/>
    </row>
    <row r="73" spans="1:58" s="213" customFormat="1" ht="16.5" customHeight="1">
      <c r="A73" s="1668"/>
      <c r="B73" s="1625"/>
      <c r="C73" s="1617"/>
      <c r="D73" s="1618"/>
      <c r="E73" s="347"/>
      <c r="F73" s="1609"/>
      <c r="G73" s="1610"/>
      <c r="H73" s="1601"/>
      <c r="I73" s="1602"/>
      <c r="J73" s="1603"/>
      <c r="K73" s="1611"/>
      <c r="L73" s="1612"/>
      <c r="M73" s="1613"/>
      <c r="N73" s="1636"/>
      <c r="O73" s="1637"/>
      <c r="P73" s="1637"/>
      <c r="Q73" s="1637"/>
      <c r="R73" s="1638"/>
      <c r="S73" s="1680"/>
      <c r="T73" s="1627"/>
      <c r="U73" s="1627"/>
      <c r="V73" s="352" t="str">
        <f t="shared" si="50"/>
        <v/>
      </c>
      <c r="W73" s="1488"/>
      <c r="X73" s="1697"/>
      <c r="Y73" s="1190"/>
      <c r="Z73" s="478"/>
      <c r="AA73" s="1495"/>
      <c r="AB73" s="1498"/>
      <c r="AC73" s="1499"/>
      <c r="AD73" s="1499"/>
      <c r="AE73" s="1500"/>
      <c r="AF73" s="1508"/>
      <c r="AG73" s="1506"/>
      <c r="AH73" s="1507"/>
      <c r="AI73" s="1548"/>
      <c r="AJ73" s="1549"/>
      <c r="AK73" s="1550"/>
      <c r="AL73" s="579" t="str">
        <f t="shared" si="47"/>
        <v/>
      </c>
      <c r="AM73" s="1488"/>
      <c r="AN73" s="1520"/>
      <c r="AO73" s="1521"/>
      <c r="AP73" s="1495"/>
      <c r="AR73" s="579" t="str">
        <f t="shared" si="46"/>
        <v/>
      </c>
      <c r="AT73" s="1527"/>
      <c r="AU73" s="1479"/>
      <c r="AV73" s="1528"/>
      <c r="AW73" s="352" t="str">
        <f t="shared" si="48"/>
        <v/>
      </c>
      <c r="AX73" s="1488"/>
      <c r="AY73" s="1533"/>
      <c r="BA73" s="1527"/>
      <c r="BB73" s="1479"/>
      <c r="BC73" s="1528"/>
      <c r="BD73" s="352" t="str">
        <f t="shared" si="49"/>
        <v/>
      </c>
      <c r="BE73" s="1488"/>
      <c r="BF73" s="1533"/>
    </row>
    <row r="74" spans="1:58" s="213" customFormat="1" ht="16.5" customHeight="1">
      <c r="A74" s="1668"/>
      <c r="B74" s="1625"/>
      <c r="C74" s="1617"/>
      <c r="D74" s="1618"/>
      <c r="E74" s="347"/>
      <c r="F74" s="1609"/>
      <c r="G74" s="1610"/>
      <c r="H74" s="1601"/>
      <c r="I74" s="1602"/>
      <c r="J74" s="1603"/>
      <c r="K74" s="1611"/>
      <c r="L74" s="1612"/>
      <c r="M74" s="1613"/>
      <c r="N74" s="1636"/>
      <c r="O74" s="1637"/>
      <c r="P74" s="1637"/>
      <c r="Q74" s="1637"/>
      <c r="R74" s="1638"/>
      <c r="S74" s="1680"/>
      <c r="T74" s="1627"/>
      <c r="U74" s="1627"/>
      <c r="V74" s="352" t="str">
        <f t="shared" si="50"/>
        <v/>
      </c>
      <c r="W74" s="1488"/>
      <c r="X74" s="1697"/>
      <c r="Y74" s="1190"/>
      <c r="Z74" s="478"/>
      <c r="AA74" s="1495"/>
      <c r="AB74" s="1498"/>
      <c r="AC74" s="1499"/>
      <c r="AD74" s="1499"/>
      <c r="AE74" s="1500"/>
      <c r="AF74" s="1508"/>
      <c r="AG74" s="1506"/>
      <c r="AH74" s="1507"/>
      <c r="AI74" s="1548"/>
      <c r="AJ74" s="1549"/>
      <c r="AK74" s="1550"/>
      <c r="AL74" s="579" t="str">
        <f t="shared" si="47"/>
        <v/>
      </c>
      <c r="AM74" s="1488"/>
      <c r="AN74" s="1520"/>
      <c r="AO74" s="1521"/>
      <c r="AP74" s="1495"/>
      <c r="AR74" s="579" t="str">
        <f t="shared" si="46"/>
        <v/>
      </c>
      <c r="AT74" s="1527"/>
      <c r="AU74" s="1479"/>
      <c r="AV74" s="1528"/>
      <c r="AW74" s="352" t="str">
        <f t="shared" si="48"/>
        <v/>
      </c>
      <c r="AX74" s="1488"/>
      <c r="AY74" s="1533"/>
      <c r="BA74" s="1527"/>
      <c r="BB74" s="1479"/>
      <c r="BC74" s="1528"/>
      <c r="BD74" s="352" t="str">
        <f t="shared" si="49"/>
        <v/>
      </c>
      <c r="BE74" s="1488"/>
      <c r="BF74" s="1533"/>
    </row>
    <row r="75" spans="1:58" s="213" customFormat="1" ht="16.5" customHeight="1" thickBot="1">
      <c r="A75" s="1668"/>
      <c r="B75" s="1625"/>
      <c r="C75" s="1617"/>
      <c r="D75" s="1618"/>
      <c r="E75" s="347"/>
      <c r="F75" s="1609"/>
      <c r="G75" s="1610"/>
      <c r="H75" s="1604"/>
      <c r="I75" s="1605"/>
      <c r="J75" s="1606"/>
      <c r="K75" s="1614"/>
      <c r="L75" s="1615"/>
      <c r="M75" s="1616"/>
      <c r="N75" s="1636"/>
      <c r="O75" s="1637"/>
      <c r="P75" s="1637"/>
      <c r="Q75" s="1637"/>
      <c r="R75" s="1638"/>
      <c r="S75" s="1680"/>
      <c r="T75" s="1627"/>
      <c r="U75" s="1627"/>
      <c r="V75" s="353" t="str">
        <f t="shared" si="50"/>
        <v/>
      </c>
      <c r="W75" s="1489"/>
      <c r="X75" s="1697"/>
      <c r="Y75" s="1190"/>
      <c r="Z75" s="478"/>
      <c r="AA75" s="1495"/>
      <c r="AB75" s="1501"/>
      <c r="AC75" s="1502"/>
      <c r="AD75" s="1502"/>
      <c r="AE75" s="1503"/>
      <c r="AF75" s="1508"/>
      <c r="AG75" s="1506"/>
      <c r="AH75" s="1507"/>
      <c r="AI75" s="1548"/>
      <c r="AJ75" s="1549"/>
      <c r="AK75" s="1550"/>
      <c r="AL75" s="580" t="str">
        <f t="shared" si="47"/>
        <v/>
      </c>
      <c r="AM75" s="1489"/>
      <c r="AN75" s="1520"/>
      <c r="AO75" s="1521"/>
      <c r="AP75" s="1495"/>
      <c r="AR75" s="580" t="str">
        <f t="shared" si="46"/>
        <v/>
      </c>
      <c r="AT75" s="1527"/>
      <c r="AU75" s="1479"/>
      <c r="AV75" s="1528"/>
      <c r="AW75" s="353" t="str">
        <f t="shared" si="48"/>
        <v/>
      </c>
      <c r="AX75" s="1489"/>
      <c r="AY75" s="1533"/>
      <c r="BA75" s="1527"/>
      <c r="BB75" s="1479"/>
      <c r="BC75" s="1528"/>
      <c r="BD75" s="353" t="str">
        <f t="shared" si="49"/>
        <v/>
      </c>
      <c r="BE75" s="1489"/>
      <c r="BF75" s="1533"/>
    </row>
    <row r="76" spans="1:58" s="213" customFormat="1" ht="16.5" customHeight="1">
      <c r="A76" s="1668"/>
      <c r="B76" s="1625" t="s">
        <v>320</v>
      </c>
      <c r="C76" s="1607"/>
      <c r="D76" s="1608"/>
      <c r="E76" s="350"/>
      <c r="F76" s="1685"/>
      <c r="G76" s="1686"/>
      <c r="H76" s="1601" t="str">
        <f>IF(AND(F76="",F77="",F78="",F79=""),"",F76+F77+F78+F79)</f>
        <v/>
      </c>
      <c r="I76" s="1602"/>
      <c r="J76" s="1603"/>
      <c r="K76" s="1622"/>
      <c r="L76" s="1623"/>
      <c r="M76" s="1624"/>
      <c r="N76" s="1636"/>
      <c r="O76" s="1637"/>
      <c r="P76" s="1637"/>
      <c r="Q76" s="1637"/>
      <c r="R76" s="1638"/>
      <c r="S76" s="1680"/>
      <c r="T76" s="1627"/>
      <c r="U76" s="1627"/>
      <c r="V76" s="351" t="str">
        <f>IF(OR(C76="",E76="",F76="",K76=""),"",(F76*K76*(64/32)*(10^-9)))</f>
        <v/>
      </c>
      <c r="W76" s="1488" t="str">
        <f t="shared" ref="W76" si="63">IF(AND(V76="",V77="",V78="",V79=""),"",(SUMIF(V76:V79,"&lt;&gt;#N/A")))</f>
        <v/>
      </c>
      <c r="X76" s="1697"/>
      <c r="Y76" s="1190"/>
      <c r="Z76" s="478"/>
      <c r="AA76" s="1495"/>
      <c r="AB76" s="1509"/>
      <c r="AC76" s="1510"/>
      <c r="AD76" s="1510"/>
      <c r="AE76" s="1511"/>
      <c r="AF76" s="1508"/>
      <c r="AG76" s="1506"/>
      <c r="AH76" s="1507"/>
      <c r="AI76" s="1548"/>
      <c r="AJ76" s="1549"/>
      <c r="AK76" s="1550"/>
      <c r="AL76" s="578" t="str">
        <f t="shared" si="47"/>
        <v/>
      </c>
      <c r="AM76" s="1488" t="str">
        <f>IF(OR(AND(AL76="",AL77="",AL78="",AL79=""),OR(W76="",W76=0)),"",(SQRT(    (SUMIF(AR76:AR79,"&lt;&gt;#N/A"))    )/W76))</f>
        <v/>
      </c>
      <c r="AN76" s="1520"/>
      <c r="AO76" s="1521"/>
      <c r="AP76" s="1495"/>
      <c r="AR76" s="578" t="str">
        <f t="shared" si="46"/>
        <v/>
      </c>
      <c r="AT76" s="1527"/>
      <c r="AU76" s="1479"/>
      <c r="AV76" s="1528"/>
      <c r="AW76" s="351" t="str">
        <f t="shared" si="48"/>
        <v/>
      </c>
      <c r="AX76" s="1487" t="str">
        <f>IF(OR(AM76="",W76=""),"",AM76*W76)</f>
        <v/>
      </c>
      <c r="AY76" s="1533"/>
      <c r="BA76" s="1527"/>
      <c r="BB76" s="1479"/>
      <c r="BC76" s="1528"/>
      <c r="BD76" s="351" t="str">
        <f t="shared" si="49"/>
        <v/>
      </c>
      <c r="BE76" s="1487" t="str">
        <f>IF(AX76="","",AX76^2)</f>
        <v/>
      </c>
      <c r="BF76" s="1533"/>
    </row>
    <row r="77" spans="1:58" s="213" customFormat="1" ht="16.5" customHeight="1">
      <c r="A77" s="1668"/>
      <c r="B77" s="1625"/>
      <c r="C77" s="1617"/>
      <c r="D77" s="1618"/>
      <c r="E77" s="347"/>
      <c r="F77" s="1609"/>
      <c r="G77" s="1610"/>
      <c r="H77" s="1601"/>
      <c r="I77" s="1602"/>
      <c r="J77" s="1603"/>
      <c r="K77" s="1611"/>
      <c r="L77" s="1612"/>
      <c r="M77" s="1613"/>
      <c r="N77" s="1636"/>
      <c r="O77" s="1637"/>
      <c r="P77" s="1637"/>
      <c r="Q77" s="1637"/>
      <c r="R77" s="1638"/>
      <c r="S77" s="1680"/>
      <c r="T77" s="1627"/>
      <c r="U77" s="1627"/>
      <c r="V77" s="352" t="str">
        <f t="shared" si="50"/>
        <v/>
      </c>
      <c r="W77" s="1488"/>
      <c r="X77" s="1697"/>
      <c r="Y77" s="1190"/>
      <c r="Z77" s="478"/>
      <c r="AA77" s="1495"/>
      <c r="AB77" s="1498"/>
      <c r="AC77" s="1499"/>
      <c r="AD77" s="1499"/>
      <c r="AE77" s="1500"/>
      <c r="AF77" s="1508"/>
      <c r="AG77" s="1506"/>
      <c r="AH77" s="1507"/>
      <c r="AI77" s="1548"/>
      <c r="AJ77" s="1549"/>
      <c r="AK77" s="1550"/>
      <c r="AL77" s="579" t="str">
        <f t="shared" si="47"/>
        <v/>
      </c>
      <c r="AM77" s="1488"/>
      <c r="AN77" s="1520"/>
      <c r="AO77" s="1521"/>
      <c r="AP77" s="1495"/>
      <c r="AR77" s="579" t="str">
        <f t="shared" si="46"/>
        <v/>
      </c>
      <c r="AT77" s="1527"/>
      <c r="AU77" s="1479"/>
      <c r="AV77" s="1528"/>
      <c r="AW77" s="352" t="str">
        <f t="shared" si="48"/>
        <v/>
      </c>
      <c r="AX77" s="1488"/>
      <c r="AY77" s="1533"/>
      <c r="BA77" s="1527"/>
      <c r="BB77" s="1479"/>
      <c r="BC77" s="1528"/>
      <c r="BD77" s="352" t="str">
        <f t="shared" si="49"/>
        <v/>
      </c>
      <c r="BE77" s="1488"/>
      <c r="BF77" s="1533"/>
    </row>
    <row r="78" spans="1:58" s="213" customFormat="1" ht="16.5" customHeight="1">
      <c r="A78" s="1668"/>
      <c r="B78" s="1625"/>
      <c r="C78" s="1617"/>
      <c r="D78" s="1618"/>
      <c r="E78" s="347"/>
      <c r="F78" s="1609"/>
      <c r="G78" s="1610"/>
      <c r="H78" s="1601"/>
      <c r="I78" s="1602"/>
      <c r="J78" s="1603"/>
      <c r="K78" s="1611"/>
      <c r="L78" s="1612"/>
      <c r="M78" s="1613"/>
      <c r="N78" s="1636"/>
      <c r="O78" s="1637"/>
      <c r="P78" s="1637"/>
      <c r="Q78" s="1637"/>
      <c r="R78" s="1638"/>
      <c r="S78" s="1680"/>
      <c r="T78" s="1627"/>
      <c r="U78" s="1627"/>
      <c r="V78" s="352" t="str">
        <f t="shared" si="50"/>
        <v/>
      </c>
      <c r="W78" s="1488"/>
      <c r="X78" s="1697"/>
      <c r="Y78" s="1190"/>
      <c r="Z78" s="478"/>
      <c r="AA78" s="1495"/>
      <c r="AB78" s="1498"/>
      <c r="AC78" s="1499"/>
      <c r="AD78" s="1499"/>
      <c r="AE78" s="1500"/>
      <c r="AF78" s="1508"/>
      <c r="AG78" s="1506"/>
      <c r="AH78" s="1507"/>
      <c r="AI78" s="1548"/>
      <c r="AJ78" s="1549"/>
      <c r="AK78" s="1550"/>
      <c r="AL78" s="579" t="str">
        <f t="shared" si="47"/>
        <v/>
      </c>
      <c r="AM78" s="1488"/>
      <c r="AN78" s="1520"/>
      <c r="AO78" s="1521"/>
      <c r="AP78" s="1495"/>
      <c r="AR78" s="579" t="str">
        <f t="shared" si="46"/>
        <v/>
      </c>
      <c r="AT78" s="1527"/>
      <c r="AU78" s="1479"/>
      <c r="AV78" s="1528"/>
      <c r="AW78" s="352" t="str">
        <f t="shared" si="48"/>
        <v/>
      </c>
      <c r="AX78" s="1488"/>
      <c r="AY78" s="1533"/>
      <c r="BA78" s="1527"/>
      <c r="BB78" s="1479"/>
      <c r="BC78" s="1528"/>
      <c r="BD78" s="352" t="str">
        <f t="shared" si="49"/>
        <v/>
      </c>
      <c r="BE78" s="1488"/>
      <c r="BF78" s="1533"/>
    </row>
    <row r="79" spans="1:58" s="213" customFormat="1" ht="16.5" customHeight="1" thickBot="1">
      <c r="A79" s="1668"/>
      <c r="B79" s="1661"/>
      <c r="C79" s="1617"/>
      <c r="D79" s="1618"/>
      <c r="E79" s="347"/>
      <c r="F79" s="1609"/>
      <c r="G79" s="1610"/>
      <c r="H79" s="1604"/>
      <c r="I79" s="1605"/>
      <c r="J79" s="1606"/>
      <c r="K79" s="1614"/>
      <c r="L79" s="1615"/>
      <c r="M79" s="1616"/>
      <c r="N79" s="1639"/>
      <c r="O79" s="1640"/>
      <c r="P79" s="1640"/>
      <c r="Q79" s="1640"/>
      <c r="R79" s="1641"/>
      <c r="S79" s="1681"/>
      <c r="T79" s="1628"/>
      <c r="U79" s="1628"/>
      <c r="V79" s="353" t="str">
        <f>IF(OR(C79="",E79="",F79="",K79=""),"",(F79*K79*(64/32)*(10^-9)))</f>
        <v/>
      </c>
      <c r="W79" s="1489"/>
      <c r="X79" s="1698"/>
      <c r="Y79" s="1190"/>
      <c r="Z79" s="586"/>
      <c r="AA79" s="1496"/>
      <c r="AB79" s="1501"/>
      <c r="AC79" s="1502"/>
      <c r="AD79" s="1502"/>
      <c r="AE79" s="1503"/>
      <c r="AF79" s="1508"/>
      <c r="AG79" s="1506"/>
      <c r="AH79" s="1507"/>
      <c r="AI79" s="1548"/>
      <c r="AJ79" s="1549"/>
      <c r="AK79" s="1550"/>
      <c r="AL79" s="580" t="str">
        <f t="shared" si="47"/>
        <v/>
      </c>
      <c r="AM79" s="1489"/>
      <c r="AN79" s="1520"/>
      <c r="AO79" s="1521"/>
      <c r="AP79" s="1496"/>
      <c r="AR79" s="580" t="str">
        <f t="shared" si="46"/>
        <v/>
      </c>
      <c r="AT79" s="1529"/>
      <c r="AU79" s="1530"/>
      <c r="AV79" s="1531"/>
      <c r="AW79" s="353" t="str">
        <f>IF(OR(AL79="",V79=""),"",AL79*V79)</f>
        <v/>
      </c>
      <c r="AX79" s="1489"/>
      <c r="AY79" s="1534"/>
      <c r="BA79" s="1529"/>
      <c r="BB79" s="1530"/>
      <c r="BC79" s="1531"/>
      <c r="BD79" s="353" t="str">
        <f t="shared" si="49"/>
        <v/>
      </c>
      <c r="BE79" s="1489"/>
      <c r="BF79" s="1534"/>
    </row>
    <row r="80" spans="1:58" s="213" customFormat="1" ht="22.5" customHeight="1" thickBot="1">
      <c r="A80" s="1224"/>
      <c r="B80" s="1226"/>
      <c r="C80" s="1225"/>
      <c r="D80" s="1225"/>
      <c r="E80" s="1225"/>
      <c r="F80" s="1226"/>
      <c r="G80" s="1226"/>
      <c r="H80" s="1226"/>
      <c r="I80" s="1226"/>
      <c r="J80" s="1226"/>
      <c r="K80" s="1226"/>
      <c r="L80" s="1226"/>
      <c r="M80" s="1226"/>
      <c r="N80" s="1225"/>
      <c r="O80" s="1225"/>
      <c r="P80" s="1225"/>
      <c r="Q80" s="1225"/>
      <c r="R80" s="1225"/>
      <c r="S80" s="1226"/>
      <c r="T80" s="1226"/>
      <c r="U80" s="1226"/>
      <c r="V80" s="1226"/>
      <c r="W80" s="1226"/>
      <c r="X80" s="1226"/>
      <c r="Y80" s="1227"/>
      <c r="Z80" s="586"/>
      <c r="AA80" s="1490" t="str">
        <f>IF(OR(AB80="",AD80=""),"",(SQRT((AB80^2)+(AD80^2))))</f>
        <v/>
      </c>
      <c r="AB80" s="1491"/>
      <c r="AC80" s="1491"/>
      <c r="AD80" s="1491"/>
      <c r="AE80" s="1491"/>
      <c r="AF80" s="1491"/>
      <c r="AG80" s="1491"/>
      <c r="AH80" s="1491"/>
      <c r="AI80" s="1491"/>
      <c r="AJ80" s="1491"/>
      <c r="AK80" s="1491"/>
      <c r="AL80" s="1492"/>
      <c r="AM80" s="1491"/>
      <c r="AN80" s="1491"/>
      <c r="AO80" s="1491"/>
      <c r="AP80" s="1493"/>
    </row>
    <row r="81" spans="1:60" s="213" customFormat="1" ht="16.95" customHeight="1">
      <c r="A81" s="478"/>
      <c r="B81" s="478"/>
      <c r="C81" s="478"/>
      <c r="D81" s="478"/>
      <c r="E81" s="478"/>
      <c r="F81" s="478"/>
      <c r="G81" s="478"/>
      <c r="H81" s="478"/>
      <c r="I81" s="478"/>
      <c r="J81" s="478"/>
      <c r="K81" s="478"/>
      <c r="L81" s="478"/>
      <c r="M81" s="478"/>
      <c r="N81" s="478"/>
      <c r="O81" s="478"/>
      <c r="P81" s="478"/>
      <c r="Q81" s="478"/>
      <c r="R81" s="478"/>
      <c r="S81" s="478"/>
      <c r="T81" s="478"/>
      <c r="U81" s="478"/>
      <c r="V81" s="478"/>
      <c r="W81" s="478"/>
      <c r="X81" s="478"/>
      <c r="Y81" s="478"/>
      <c r="Z81" s="586"/>
      <c r="AA81" s="478"/>
      <c r="AB81" s="478"/>
      <c r="AC81" s="478"/>
      <c r="AD81" s="478"/>
      <c r="AE81" s="478"/>
      <c r="AF81" s="478"/>
      <c r="AG81" s="478"/>
      <c r="AH81" s="478"/>
      <c r="AI81" s="478"/>
      <c r="AJ81" s="478"/>
      <c r="AK81" s="478"/>
      <c r="AL81" s="478"/>
      <c r="AM81" s="478"/>
      <c r="AN81" s="478"/>
      <c r="AO81" s="478"/>
      <c r="AP81" s="478"/>
    </row>
    <row r="82" spans="1:60" s="213" customFormat="1" ht="16.95" customHeight="1">
      <c r="A82" s="478"/>
      <c r="B82" s="478"/>
      <c r="C82" s="478"/>
      <c r="D82" s="478"/>
      <c r="E82" s="478"/>
      <c r="F82" s="478"/>
      <c r="G82" s="478"/>
      <c r="H82" s="478"/>
      <c r="I82" s="478"/>
      <c r="J82" s="478"/>
      <c r="K82" s="478"/>
      <c r="L82" s="478"/>
      <c r="M82" s="478"/>
      <c r="N82" s="478"/>
      <c r="O82" s="478"/>
      <c r="P82" s="478"/>
      <c r="Q82" s="478"/>
      <c r="R82" s="478"/>
      <c r="S82" s="478"/>
      <c r="T82" s="478"/>
      <c r="U82" s="478"/>
      <c r="V82" s="478"/>
      <c r="W82" s="478"/>
      <c r="X82" s="478"/>
      <c r="Y82" s="478"/>
      <c r="Z82" s="586"/>
      <c r="AA82" s="478"/>
      <c r="AB82" s="478"/>
      <c r="AC82" s="478"/>
      <c r="AD82" s="478"/>
      <c r="AE82" s="478"/>
      <c r="AF82" s="478"/>
      <c r="AG82" s="478"/>
      <c r="AH82" s="478"/>
      <c r="AI82" s="478"/>
      <c r="AJ82" s="478"/>
      <c r="AK82" s="478"/>
      <c r="AL82" s="478"/>
      <c r="AM82" s="478"/>
      <c r="AN82" s="478"/>
      <c r="AO82" s="478"/>
      <c r="AP82" s="478"/>
    </row>
    <row r="83" spans="1:60" s="213" customFormat="1" ht="16.95" customHeight="1" thickBot="1">
      <c r="A83" s="478"/>
      <c r="B83" s="478"/>
      <c r="C83" s="478"/>
      <c r="D83" s="478"/>
      <c r="E83" s="478"/>
      <c r="F83" s="478"/>
      <c r="G83" s="478"/>
      <c r="H83" s="478"/>
      <c r="I83" s="478"/>
      <c r="J83" s="478"/>
      <c r="K83" s="478"/>
      <c r="L83" s="478"/>
      <c r="M83" s="478"/>
      <c r="N83" s="478"/>
      <c r="O83" s="478"/>
      <c r="P83" s="478"/>
      <c r="Q83" s="478"/>
      <c r="R83" s="478"/>
      <c r="S83" s="478"/>
      <c r="T83" s="478"/>
      <c r="U83" s="478"/>
      <c r="V83" s="478"/>
      <c r="W83" s="478"/>
      <c r="X83" s="478"/>
      <c r="Y83" s="478"/>
      <c r="Z83" s="586"/>
      <c r="AA83" s="478"/>
      <c r="AB83" s="478"/>
      <c r="AC83" s="478"/>
      <c r="AD83" s="478"/>
      <c r="AE83" s="478"/>
      <c r="AF83" s="478"/>
      <c r="AG83" s="478"/>
      <c r="AH83" s="478"/>
      <c r="AI83" s="478"/>
      <c r="AJ83" s="478"/>
      <c r="AK83" s="478"/>
      <c r="AL83" s="478"/>
      <c r="AM83" s="478"/>
      <c r="AN83" s="478"/>
      <c r="AO83" s="478"/>
      <c r="AP83" s="478"/>
    </row>
    <row r="84" spans="1:60" s="213" customFormat="1" ht="28.5" customHeight="1">
      <c r="A84" s="1015" t="s">
        <v>846</v>
      </c>
      <c r="B84" s="1284"/>
      <c r="C84" s="1284"/>
      <c r="D84" s="1284"/>
      <c r="E84" s="1284"/>
      <c r="F84" s="1284"/>
      <c r="G84" s="1284"/>
      <c r="H84" s="1284"/>
      <c r="I84" s="1284"/>
      <c r="J84" s="1284"/>
      <c r="K84" s="1284"/>
      <c r="L84" s="1284"/>
      <c r="M84" s="1284"/>
      <c r="N84" s="1619" t="s">
        <v>752</v>
      </c>
      <c r="O84" s="1620"/>
      <c r="P84" s="1620"/>
      <c r="Q84" s="1620"/>
      <c r="R84" s="1620"/>
      <c r="S84" s="1620"/>
      <c r="T84" s="1620"/>
      <c r="U84" s="1620"/>
      <c r="V84" s="1620"/>
      <c r="W84" s="1620"/>
      <c r="X84" s="1620"/>
      <c r="Y84" s="1621"/>
      <c r="Z84" s="586"/>
      <c r="AA84" s="1688" t="s">
        <v>1312</v>
      </c>
      <c r="AB84" s="1689"/>
      <c r="AC84" s="1689"/>
      <c r="AD84" s="1689"/>
      <c r="AE84" s="1689"/>
      <c r="AF84" s="1689"/>
      <c r="AG84" s="1689"/>
      <c r="AH84" s="1689"/>
      <c r="AI84" s="1689"/>
      <c r="AJ84" s="1689"/>
      <c r="AK84" s="1689"/>
      <c r="AL84" s="1689"/>
      <c r="AM84" s="1689"/>
      <c r="AN84" s="1690"/>
      <c r="AO84" s="478"/>
      <c r="AP84" s="478"/>
    </row>
    <row r="85" spans="1:60" s="337" customFormat="1" ht="127.05" customHeight="1">
      <c r="A85" s="1039" t="s">
        <v>1578</v>
      </c>
      <c r="B85" s="1037"/>
      <c r="C85" s="1037"/>
      <c r="D85" s="1037"/>
      <c r="E85" s="1037"/>
      <c r="F85" s="1037"/>
      <c r="G85" s="1037"/>
      <c r="H85" s="1037"/>
      <c r="I85" s="1037"/>
      <c r="J85" s="1037"/>
      <c r="K85" s="1037"/>
      <c r="L85" s="1037"/>
      <c r="M85" s="1037"/>
      <c r="N85" s="1481"/>
      <c r="O85" s="1482"/>
      <c r="P85" s="1482"/>
      <c r="Q85" s="1482"/>
      <c r="R85" s="1482"/>
      <c r="S85" s="1482"/>
      <c r="T85" s="1482"/>
      <c r="U85" s="1482"/>
      <c r="V85" s="1482"/>
      <c r="W85" s="1482"/>
      <c r="X85" s="1482"/>
      <c r="Y85" s="1483"/>
      <c r="Z85" s="586"/>
      <c r="AA85" s="1691" t="s">
        <v>1274</v>
      </c>
      <c r="AB85" s="1037"/>
      <c r="AC85" s="1037"/>
      <c r="AD85" s="1037"/>
      <c r="AE85" s="1037"/>
      <c r="AF85" s="1037"/>
      <c r="AG85" s="1037"/>
      <c r="AH85" s="1037"/>
      <c r="AI85" s="1037"/>
      <c r="AJ85" s="1037"/>
      <c r="AK85" s="1037"/>
      <c r="AL85" s="1037"/>
      <c r="AM85" s="1037"/>
      <c r="AN85" s="1692"/>
      <c r="AO85" s="478"/>
      <c r="AP85" s="478"/>
      <c r="AQ85" s="213"/>
      <c r="AR85" s="213"/>
      <c r="AS85" s="213"/>
      <c r="AT85" s="213"/>
      <c r="AU85" s="213"/>
      <c r="AV85" s="213"/>
      <c r="AW85" s="213"/>
      <c r="AX85" s="213"/>
      <c r="AY85" s="213"/>
      <c r="AZ85" s="213"/>
      <c r="BA85" s="213"/>
      <c r="BB85" s="213"/>
      <c r="BC85" s="213"/>
      <c r="BD85" s="213"/>
      <c r="BE85" s="213"/>
      <c r="BF85" s="213"/>
      <c r="BG85" s="213"/>
      <c r="BH85" s="213"/>
    </row>
    <row r="86" spans="1:60" s="337" customFormat="1" ht="22.95" customHeight="1" thickBot="1">
      <c r="A86" s="1018" t="s">
        <v>1080</v>
      </c>
      <c r="B86" s="1019"/>
      <c r="C86" s="1019"/>
      <c r="D86" s="1019"/>
      <c r="E86" s="1019"/>
      <c r="F86" s="1019"/>
      <c r="G86" s="1019"/>
      <c r="H86" s="1019"/>
      <c r="I86" s="1019"/>
      <c r="J86" s="1019"/>
      <c r="K86" s="1019"/>
      <c r="L86" s="1019"/>
      <c r="M86" s="1019"/>
      <c r="N86" s="1481"/>
      <c r="O86" s="1482"/>
      <c r="P86" s="1482"/>
      <c r="Q86" s="1482"/>
      <c r="R86" s="1482"/>
      <c r="S86" s="1482"/>
      <c r="T86" s="1482"/>
      <c r="U86" s="1482"/>
      <c r="V86" s="1482"/>
      <c r="W86" s="1482"/>
      <c r="X86" s="1482"/>
      <c r="Y86" s="1483"/>
      <c r="Z86" s="586"/>
      <c r="AA86" s="1693"/>
      <c r="AB86" s="1694"/>
      <c r="AC86" s="1694"/>
      <c r="AD86" s="1694"/>
      <c r="AE86" s="1694"/>
      <c r="AF86" s="1694"/>
      <c r="AG86" s="1694"/>
      <c r="AH86" s="1694"/>
      <c r="AI86" s="1694"/>
      <c r="AJ86" s="1694"/>
      <c r="AK86" s="1694"/>
      <c r="AL86" s="1694"/>
      <c r="AM86" s="1694"/>
      <c r="AN86" s="1695"/>
      <c r="AO86" s="478"/>
      <c r="AP86" s="478"/>
      <c r="AQ86" s="213"/>
      <c r="AR86" s="213"/>
      <c r="AS86" s="213"/>
      <c r="AT86" s="213"/>
      <c r="AU86" s="213"/>
      <c r="AV86" s="213"/>
      <c r="AW86" s="213"/>
      <c r="AX86" s="213"/>
      <c r="AY86" s="213"/>
      <c r="AZ86" s="213"/>
      <c r="BA86" s="213"/>
      <c r="BB86" s="213"/>
      <c r="BC86" s="213"/>
      <c r="BD86" s="213"/>
      <c r="BE86" s="213"/>
      <c r="BF86" s="213"/>
      <c r="BG86" s="213"/>
      <c r="BH86" s="213"/>
    </row>
    <row r="87" spans="1:60" s="337" customFormat="1" ht="61.5" customHeight="1" thickBot="1">
      <c r="A87" s="1024" t="s">
        <v>1579</v>
      </c>
      <c r="B87" s="1025"/>
      <c r="C87" s="1025"/>
      <c r="D87" s="1025"/>
      <c r="E87" s="1025"/>
      <c r="F87" s="1025"/>
      <c r="G87" s="1025"/>
      <c r="H87" s="1025"/>
      <c r="I87" s="1025"/>
      <c r="J87" s="1025"/>
      <c r="K87" s="1025"/>
      <c r="L87" s="1025"/>
      <c r="M87" s="1025"/>
      <c r="N87" s="1484"/>
      <c r="O87" s="1485"/>
      <c r="P87" s="1485"/>
      <c r="Q87" s="1485"/>
      <c r="R87" s="1485"/>
      <c r="S87" s="1485"/>
      <c r="T87" s="1485"/>
      <c r="U87" s="1485"/>
      <c r="V87" s="1485"/>
      <c r="W87" s="1485"/>
      <c r="X87" s="1485"/>
      <c r="Y87" s="1486"/>
      <c r="Z87" s="586"/>
      <c r="AA87" s="478"/>
      <c r="AB87" s="478"/>
      <c r="AC87" s="478"/>
      <c r="AD87" s="478"/>
      <c r="AE87" s="478"/>
      <c r="AF87" s="478"/>
      <c r="AG87" s="478"/>
      <c r="AH87" s="478"/>
      <c r="AI87" s="478"/>
      <c r="AJ87" s="478"/>
      <c r="AK87" s="478"/>
      <c r="AL87" s="478"/>
      <c r="AM87" s="478"/>
      <c r="AN87" s="478"/>
      <c r="AO87" s="478"/>
      <c r="AP87" s="478"/>
      <c r="AQ87" s="213"/>
      <c r="AR87" s="213"/>
      <c r="AS87" s="213"/>
      <c r="AT87" s="213"/>
      <c r="AU87" s="213"/>
      <c r="AV87" s="213"/>
      <c r="AW87" s="213"/>
      <c r="AX87" s="213"/>
      <c r="AY87" s="213"/>
      <c r="AZ87" s="213"/>
      <c r="BA87" s="213"/>
      <c r="BB87" s="213"/>
      <c r="BC87" s="213"/>
      <c r="BD87" s="213"/>
      <c r="BE87" s="213"/>
      <c r="BF87" s="213"/>
      <c r="BG87" s="213"/>
      <c r="BH87" s="213"/>
    </row>
    <row r="88" spans="1:60" s="213" customFormat="1" ht="25.95" customHeight="1">
      <c r="A88" s="1015" t="s">
        <v>1580</v>
      </c>
      <c r="B88" s="1284"/>
      <c r="C88" s="1284"/>
      <c r="D88" s="1284"/>
      <c r="E88" s="1284"/>
      <c r="F88" s="1284"/>
      <c r="G88" s="1284"/>
      <c r="H88" s="1284"/>
      <c r="I88" s="1284"/>
      <c r="J88" s="1284"/>
      <c r="K88" s="1284"/>
      <c r="L88" s="1284"/>
      <c r="M88" s="1285"/>
      <c r="N88" s="1619" t="s">
        <v>752</v>
      </c>
      <c r="O88" s="1620"/>
      <c r="P88" s="1620"/>
      <c r="Q88" s="1620"/>
      <c r="R88" s="1620"/>
      <c r="S88" s="1620"/>
      <c r="T88" s="1620"/>
      <c r="U88" s="1620"/>
      <c r="V88" s="1620"/>
      <c r="W88" s="1620"/>
      <c r="X88" s="1620"/>
      <c r="Y88" s="1621"/>
      <c r="Z88" s="478"/>
      <c r="AA88" s="478"/>
      <c r="AB88" s="478"/>
      <c r="AC88" s="478"/>
      <c r="AD88" s="478"/>
      <c r="AE88" s="478"/>
      <c r="AF88" s="478"/>
      <c r="AG88" s="478"/>
      <c r="AH88" s="478"/>
      <c r="AI88" s="478"/>
      <c r="AJ88" s="478"/>
      <c r="AK88" s="478"/>
      <c r="AL88" s="478"/>
      <c r="AM88" s="478"/>
      <c r="AN88" s="478"/>
      <c r="AO88" s="478"/>
      <c r="AP88" s="478"/>
    </row>
    <row r="89" spans="1:60" ht="28.05" customHeight="1">
      <c r="A89" s="1021" t="s">
        <v>1081</v>
      </c>
      <c r="B89" s="1022"/>
      <c r="C89" s="1022"/>
      <c r="D89" s="1022"/>
      <c r="E89" s="1022"/>
      <c r="F89" s="1022"/>
      <c r="G89" s="1022"/>
      <c r="H89" s="1022"/>
      <c r="I89" s="1022"/>
      <c r="J89" s="1022"/>
      <c r="K89" s="1022"/>
      <c r="L89" s="1022"/>
      <c r="M89" s="1023"/>
      <c r="N89" s="1481"/>
      <c r="O89" s="1482"/>
      <c r="P89" s="1482"/>
      <c r="Q89" s="1482"/>
      <c r="R89" s="1482"/>
      <c r="S89" s="1482"/>
      <c r="T89" s="1482"/>
      <c r="U89" s="1482"/>
      <c r="V89" s="1482"/>
      <c r="W89" s="1482"/>
      <c r="X89" s="1482"/>
      <c r="Y89" s="1483"/>
      <c r="Z89" s="458"/>
      <c r="AA89" s="478"/>
      <c r="AB89" s="478"/>
      <c r="AC89" s="478"/>
      <c r="AD89" s="478"/>
      <c r="AE89" s="478"/>
      <c r="AF89" s="478"/>
      <c r="AG89" s="478"/>
      <c r="AH89" s="478"/>
      <c r="AI89" s="478"/>
      <c r="AJ89" s="478"/>
      <c r="AK89" s="478"/>
      <c r="AL89" s="478"/>
      <c r="AM89" s="478"/>
      <c r="AN89" s="478"/>
      <c r="AO89" s="478"/>
      <c r="AP89" s="478"/>
      <c r="AQ89" s="213"/>
      <c r="AR89" s="213"/>
      <c r="AS89" s="213"/>
      <c r="AT89" s="213"/>
      <c r="AU89" s="213"/>
      <c r="AV89" s="213"/>
      <c r="AW89" s="213"/>
      <c r="AX89" s="213"/>
      <c r="AY89" s="213"/>
      <c r="AZ89" s="213"/>
      <c r="BA89" s="213"/>
      <c r="BB89" s="213"/>
      <c r="BC89" s="213"/>
      <c r="BD89" s="213"/>
      <c r="BE89" s="213"/>
      <c r="BF89" s="213"/>
      <c r="BG89" s="213"/>
      <c r="BH89" s="213"/>
    </row>
    <row r="90" spans="1:60" ht="67.5" customHeight="1" thickBot="1">
      <c r="A90" s="1024" t="s">
        <v>1066</v>
      </c>
      <c r="B90" s="1025"/>
      <c r="C90" s="1025"/>
      <c r="D90" s="1025"/>
      <c r="E90" s="1025"/>
      <c r="F90" s="1025"/>
      <c r="G90" s="1025"/>
      <c r="H90" s="1025"/>
      <c r="I90" s="1025"/>
      <c r="J90" s="1025"/>
      <c r="K90" s="1025"/>
      <c r="L90" s="1025"/>
      <c r="M90" s="1026"/>
      <c r="N90" s="1484"/>
      <c r="O90" s="1485"/>
      <c r="P90" s="1485"/>
      <c r="Q90" s="1485"/>
      <c r="R90" s="1485"/>
      <c r="S90" s="1485"/>
      <c r="T90" s="1485"/>
      <c r="U90" s="1485"/>
      <c r="V90" s="1485"/>
      <c r="W90" s="1485"/>
      <c r="X90" s="1485"/>
      <c r="Y90" s="1486"/>
      <c r="Z90" s="458"/>
      <c r="AA90" s="478"/>
      <c r="AB90" s="478"/>
      <c r="AC90" s="478"/>
      <c r="AD90" s="478"/>
      <c r="AE90" s="478"/>
      <c r="AF90" s="478"/>
      <c r="AG90" s="478"/>
      <c r="AH90" s="478"/>
      <c r="AI90" s="478"/>
      <c r="AJ90" s="478"/>
      <c r="AK90" s="478"/>
      <c r="AL90" s="478"/>
      <c r="AM90" s="478"/>
      <c r="AN90" s="478"/>
      <c r="AO90" s="478"/>
      <c r="AP90" s="478"/>
      <c r="AQ90" s="213"/>
      <c r="AR90" s="213"/>
      <c r="AS90" s="213"/>
      <c r="AT90" s="213"/>
      <c r="AU90" s="213"/>
      <c r="AV90" s="213"/>
      <c r="AW90" s="213"/>
      <c r="AX90" s="213"/>
      <c r="AY90" s="213"/>
      <c r="AZ90" s="213"/>
      <c r="BA90" s="213"/>
      <c r="BB90" s="213"/>
      <c r="BC90" s="213"/>
      <c r="BD90" s="213"/>
      <c r="BE90" s="213"/>
      <c r="BF90" s="213"/>
      <c r="BG90" s="213"/>
      <c r="BH90" s="213"/>
    </row>
    <row r="91" spans="1:60" s="213" customFormat="1" ht="25.5" customHeight="1">
      <c r="A91" s="1015" t="s">
        <v>1084</v>
      </c>
      <c r="B91" s="1284"/>
      <c r="C91" s="1284"/>
      <c r="D91" s="1284"/>
      <c r="E91" s="1284"/>
      <c r="F91" s="1284"/>
      <c r="G91" s="1284"/>
      <c r="H91" s="1284"/>
      <c r="I91" s="1284"/>
      <c r="J91" s="1284"/>
      <c r="K91" s="1284"/>
      <c r="L91" s="1284"/>
      <c r="M91" s="1285"/>
      <c r="N91" s="1619" t="s">
        <v>752</v>
      </c>
      <c r="O91" s="1620"/>
      <c r="P91" s="1620"/>
      <c r="Q91" s="1620"/>
      <c r="R91" s="1620"/>
      <c r="S91" s="1620"/>
      <c r="T91" s="1620"/>
      <c r="U91" s="1620"/>
      <c r="V91" s="1620"/>
      <c r="W91" s="1620"/>
      <c r="X91" s="1620"/>
      <c r="Y91" s="1621"/>
      <c r="Z91" s="478"/>
      <c r="AA91" s="478"/>
      <c r="AB91" s="478"/>
      <c r="AC91" s="478"/>
      <c r="AD91" s="478"/>
      <c r="AE91" s="478"/>
      <c r="AF91" s="478"/>
      <c r="AG91" s="478"/>
      <c r="AH91" s="478"/>
      <c r="AI91" s="478"/>
      <c r="AJ91" s="478"/>
      <c r="AK91" s="478"/>
      <c r="AL91" s="478"/>
      <c r="AM91" s="478"/>
      <c r="AN91" s="478"/>
      <c r="AO91" s="478"/>
      <c r="AP91" s="478"/>
    </row>
    <row r="92" spans="1:60" ht="36.450000000000003" customHeight="1">
      <c r="A92" s="1021" t="s">
        <v>1082</v>
      </c>
      <c r="B92" s="1022"/>
      <c r="C92" s="1022"/>
      <c r="D92" s="1022"/>
      <c r="E92" s="1022"/>
      <c r="F92" s="1022"/>
      <c r="G92" s="1022"/>
      <c r="H92" s="1022"/>
      <c r="I92" s="1022"/>
      <c r="J92" s="1022"/>
      <c r="K92" s="1022"/>
      <c r="L92" s="1022"/>
      <c r="M92" s="1023"/>
      <c r="N92" s="1481"/>
      <c r="O92" s="1482"/>
      <c r="P92" s="1482"/>
      <c r="Q92" s="1482"/>
      <c r="R92" s="1482"/>
      <c r="S92" s="1482"/>
      <c r="T92" s="1482"/>
      <c r="U92" s="1482"/>
      <c r="V92" s="1482"/>
      <c r="W92" s="1482"/>
      <c r="X92" s="1482"/>
      <c r="Y92" s="1483"/>
      <c r="Z92" s="458"/>
      <c r="AA92" s="458"/>
      <c r="AB92" s="458"/>
      <c r="AC92" s="458"/>
      <c r="AD92" s="458"/>
      <c r="AE92" s="458"/>
      <c r="AF92" s="458"/>
      <c r="AG92" s="458"/>
      <c r="AH92" s="458"/>
      <c r="AI92" s="458"/>
      <c r="AJ92" s="458"/>
      <c r="AK92" s="458"/>
      <c r="AL92" s="458"/>
      <c r="AM92" s="458"/>
      <c r="AN92" s="458"/>
      <c r="AO92" s="458"/>
      <c r="AP92" s="458"/>
    </row>
    <row r="93" spans="1:60" ht="71.55" customHeight="1" thickBot="1">
      <c r="A93" s="1024" t="s">
        <v>1067</v>
      </c>
      <c r="B93" s="1025"/>
      <c r="C93" s="1025"/>
      <c r="D93" s="1025"/>
      <c r="E93" s="1025"/>
      <c r="F93" s="1025"/>
      <c r="G93" s="1025"/>
      <c r="H93" s="1025"/>
      <c r="I93" s="1025"/>
      <c r="J93" s="1025"/>
      <c r="K93" s="1025"/>
      <c r="L93" s="1025"/>
      <c r="M93" s="1026"/>
      <c r="N93" s="1484"/>
      <c r="O93" s="1485"/>
      <c r="P93" s="1485"/>
      <c r="Q93" s="1485"/>
      <c r="R93" s="1485"/>
      <c r="S93" s="1485"/>
      <c r="T93" s="1485"/>
      <c r="U93" s="1485"/>
      <c r="V93" s="1485"/>
      <c r="W93" s="1485"/>
      <c r="X93" s="1485"/>
      <c r="Y93" s="1486"/>
      <c r="Z93" s="458"/>
      <c r="AA93" s="458"/>
      <c r="AB93" s="458"/>
      <c r="AC93" s="458"/>
      <c r="AD93" s="458"/>
      <c r="AE93" s="458"/>
      <c r="AF93" s="458"/>
      <c r="AG93" s="458"/>
      <c r="AH93" s="458"/>
      <c r="AI93" s="458"/>
      <c r="AJ93" s="458"/>
      <c r="AK93" s="458"/>
      <c r="AL93" s="458"/>
      <c r="AM93" s="458"/>
      <c r="AN93" s="458"/>
      <c r="AO93" s="458"/>
      <c r="AP93" s="458"/>
    </row>
    <row r="94" spans="1:60" s="213" customFormat="1" ht="32.549999999999997" customHeight="1">
      <c r="A94" s="1229" t="s">
        <v>1585</v>
      </c>
      <c r="B94" s="1659"/>
      <c r="C94" s="1659"/>
      <c r="D94" s="1659"/>
      <c r="E94" s="1659"/>
      <c r="F94" s="1659"/>
      <c r="G94" s="1659"/>
      <c r="H94" s="1659"/>
      <c r="I94" s="1659"/>
      <c r="J94" s="1659"/>
      <c r="K94" s="1659"/>
      <c r="L94" s="1659"/>
      <c r="M94" s="1660"/>
      <c r="N94" s="1619" t="s">
        <v>752</v>
      </c>
      <c r="O94" s="1620"/>
      <c r="P94" s="1620"/>
      <c r="Q94" s="1620"/>
      <c r="R94" s="1620"/>
      <c r="S94" s="1620"/>
      <c r="T94" s="1620"/>
      <c r="U94" s="1620"/>
      <c r="V94" s="1620"/>
      <c r="W94" s="1620"/>
      <c r="X94" s="1620"/>
      <c r="Y94" s="1621"/>
      <c r="Z94" s="458"/>
      <c r="AA94" s="478"/>
      <c r="AB94" s="478"/>
      <c r="AC94" s="478"/>
      <c r="AD94" s="478"/>
      <c r="AE94" s="478"/>
      <c r="AF94" s="478"/>
      <c r="AG94" s="478"/>
      <c r="AH94" s="478"/>
      <c r="AI94" s="478"/>
      <c r="AJ94" s="478"/>
      <c r="AK94" s="478"/>
      <c r="AL94" s="478"/>
      <c r="AM94" s="478"/>
      <c r="AN94" s="478"/>
      <c r="AO94" s="478"/>
      <c r="AP94" s="478"/>
    </row>
    <row r="95" spans="1:60" ht="49.95" customHeight="1">
      <c r="A95" s="1021" t="s">
        <v>1581</v>
      </c>
      <c r="B95" s="1022"/>
      <c r="C95" s="1022"/>
      <c r="D95" s="1022"/>
      <c r="E95" s="1022"/>
      <c r="F95" s="1022"/>
      <c r="G95" s="1022"/>
      <c r="H95" s="1022"/>
      <c r="I95" s="1022"/>
      <c r="J95" s="1022"/>
      <c r="K95" s="1022"/>
      <c r="L95" s="1022"/>
      <c r="M95" s="1023"/>
      <c r="N95" s="1481"/>
      <c r="O95" s="1482"/>
      <c r="P95" s="1482"/>
      <c r="Q95" s="1482"/>
      <c r="R95" s="1482"/>
      <c r="S95" s="1482"/>
      <c r="T95" s="1482"/>
      <c r="U95" s="1482"/>
      <c r="V95" s="1482"/>
      <c r="W95" s="1482"/>
      <c r="X95" s="1482"/>
      <c r="Y95" s="1483"/>
      <c r="Z95" s="458"/>
      <c r="AA95" s="458"/>
      <c r="AB95" s="458"/>
      <c r="AC95" s="458"/>
      <c r="AD95" s="458"/>
      <c r="AE95" s="458"/>
      <c r="AF95" s="458"/>
      <c r="AG95" s="458"/>
      <c r="AH95" s="458"/>
      <c r="AI95" s="458"/>
      <c r="AJ95" s="458"/>
      <c r="AK95" s="458"/>
      <c r="AL95" s="458"/>
      <c r="AM95" s="458"/>
      <c r="AN95" s="458"/>
      <c r="AO95" s="458"/>
      <c r="AP95" s="458"/>
    </row>
    <row r="96" spans="1:60" ht="58.5" customHeight="1">
      <c r="A96" s="1018" t="s">
        <v>1582</v>
      </c>
      <c r="B96" s="1019"/>
      <c r="C96" s="1019"/>
      <c r="D96" s="1019"/>
      <c r="E96" s="1019"/>
      <c r="F96" s="1019"/>
      <c r="G96" s="1019"/>
      <c r="H96" s="1019"/>
      <c r="I96" s="1019"/>
      <c r="J96" s="1019"/>
      <c r="K96" s="1019"/>
      <c r="L96" s="1019"/>
      <c r="M96" s="1020"/>
      <c r="N96" s="1481"/>
      <c r="O96" s="1482"/>
      <c r="P96" s="1482"/>
      <c r="Q96" s="1482"/>
      <c r="R96" s="1482"/>
      <c r="S96" s="1482"/>
      <c r="T96" s="1482"/>
      <c r="U96" s="1482"/>
      <c r="V96" s="1482"/>
      <c r="W96" s="1482"/>
      <c r="X96" s="1482"/>
      <c r="Y96" s="1483"/>
      <c r="Z96" s="458"/>
      <c r="AA96" s="458"/>
      <c r="AB96" s="458"/>
      <c r="AC96" s="458"/>
      <c r="AD96" s="458"/>
      <c r="AE96" s="458"/>
      <c r="AF96" s="458"/>
      <c r="AG96" s="458"/>
      <c r="AH96" s="458"/>
      <c r="AI96" s="458"/>
      <c r="AJ96" s="458"/>
      <c r="AK96" s="458"/>
      <c r="AL96" s="458"/>
      <c r="AM96" s="458"/>
      <c r="AN96" s="458"/>
      <c r="AO96" s="458"/>
      <c r="AP96" s="458"/>
    </row>
    <row r="97" spans="1:42" ht="127.8" customHeight="1" thickBot="1">
      <c r="A97" s="1024" t="s">
        <v>1068</v>
      </c>
      <c r="B97" s="1025"/>
      <c r="C97" s="1025"/>
      <c r="D97" s="1025"/>
      <c r="E97" s="1025"/>
      <c r="F97" s="1025"/>
      <c r="G97" s="1025"/>
      <c r="H97" s="1025"/>
      <c r="I97" s="1025"/>
      <c r="J97" s="1025"/>
      <c r="K97" s="1025"/>
      <c r="L97" s="1025"/>
      <c r="M97" s="1026"/>
      <c r="N97" s="1484"/>
      <c r="O97" s="1485"/>
      <c r="P97" s="1485"/>
      <c r="Q97" s="1485"/>
      <c r="R97" s="1485"/>
      <c r="S97" s="1485"/>
      <c r="T97" s="1485"/>
      <c r="U97" s="1485"/>
      <c r="V97" s="1485"/>
      <c r="W97" s="1485"/>
      <c r="X97" s="1485"/>
      <c r="Y97" s="1486"/>
      <c r="Z97" s="458"/>
      <c r="AA97" s="458"/>
      <c r="AB97" s="458"/>
      <c r="AC97" s="458"/>
      <c r="AD97" s="458"/>
      <c r="AE97" s="458"/>
      <c r="AF97" s="458"/>
      <c r="AG97" s="458"/>
      <c r="AH97" s="458"/>
      <c r="AI97" s="458"/>
      <c r="AJ97" s="458"/>
      <c r="AK97" s="458"/>
      <c r="AL97" s="458"/>
      <c r="AM97" s="458"/>
      <c r="AN97" s="458"/>
      <c r="AO97" s="458"/>
      <c r="AP97" s="458"/>
    </row>
  </sheetData>
  <sheetProtection password="9F15" sheet="1" objects="1" scenarios="1"/>
  <mergeCells count="493">
    <mergeCell ref="A43:Y43"/>
    <mergeCell ref="AA43:AP43"/>
    <mergeCell ref="AX39:AX42"/>
    <mergeCell ref="BE39:BE42"/>
    <mergeCell ref="C40:D40"/>
    <mergeCell ref="F40:G40"/>
    <mergeCell ref="K40:M40"/>
    <mergeCell ref="AB40:AC40"/>
    <mergeCell ref="AD40:AE40"/>
    <mergeCell ref="C41:D41"/>
    <mergeCell ref="F41:G41"/>
    <mergeCell ref="K41:M41"/>
    <mergeCell ref="AB41:AC41"/>
    <mergeCell ref="AD41:AE41"/>
    <mergeCell ref="C42:D42"/>
    <mergeCell ref="F42:G42"/>
    <mergeCell ref="K42:M42"/>
    <mergeCell ref="AB42:AC42"/>
    <mergeCell ref="AD42:AE42"/>
    <mergeCell ref="B39:B42"/>
    <mergeCell ref="C39:D39"/>
    <mergeCell ref="F39:G39"/>
    <mergeCell ref="H39:J42"/>
    <mergeCell ref="K39:M39"/>
    <mergeCell ref="W39:W42"/>
    <mergeCell ref="AB39:AC39"/>
    <mergeCell ref="AD39:AE39"/>
    <mergeCell ref="AM39:AM42"/>
    <mergeCell ref="AX35:AX38"/>
    <mergeCell ref="BE35:BE38"/>
    <mergeCell ref="C36:D36"/>
    <mergeCell ref="F36:G36"/>
    <mergeCell ref="K36:M36"/>
    <mergeCell ref="AB36:AC36"/>
    <mergeCell ref="AD36:AE36"/>
    <mergeCell ref="C37:D37"/>
    <mergeCell ref="F37:G37"/>
    <mergeCell ref="K37:M37"/>
    <mergeCell ref="AB37:AC37"/>
    <mergeCell ref="AD37:AE37"/>
    <mergeCell ref="C38:D38"/>
    <mergeCell ref="F38:G38"/>
    <mergeCell ref="K38:M38"/>
    <mergeCell ref="AB38:AC38"/>
    <mergeCell ref="AD38:AE38"/>
    <mergeCell ref="B35:B38"/>
    <mergeCell ref="C35:D35"/>
    <mergeCell ref="F35:G35"/>
    <mergeCell ref="H35:J38"/>
    <mergeCell ref="K35:M35"/>
    <mergeCell ref="W35:W38"/>
    <mergeCell ref="AB35:AC35"/>
    <mergeCell ref="AD35:AE35"/>
    <mergeCell ref="AM35:AM38"/>
    <mergeCell ref="W31:W34"/>
    <mergeCell ref="AB31:AC31"/>
    <mergeCell ref="AD31:AE31"/>
    <mergeCell ref="AM31:AM34"/>
    <mergeCell ref="AX31:AX34"/>
    <mergeCell ref="BE31:BE34"/>
    <mergeCell ref="C32:D32"/>
    <mergeCell ref="F32:G32"/>
    <mergeCell ref="K32:M32"/>
    <mergeCell ref="AB32:AC32"/>
    <mergeCell ref="AD32:AE32"/>
    <mergeCell ref="C33:D33"/>
    <mergeCell ref="F33:G33"/>
    <mergeCell ref="K33:M33"/>
    <mergeCell ref="AB33:AC33"/>
    <mergeCell ref="AD33:AE33"/>
    <mergeCell ref="C34:D34"/>
    <mergeCell ref="F34:G34"/>
    <mergeCell ref="K34:M34"/>
    <mergeCell ref="AB34:AC34"/>
    <mergeCell ref="AD34:AE34"/>
    <mergeCell ref="AX27:AX30"/>
    <mergeCell ref="BE27:BE30"/>
    <mergeCell ref="C28:D28"/>
    <mergeCell ref="F28:G28"/>
    <mergeCell ref="K28:M28"/>
    <mergeCell ref="AB28:AC28"/>
    <mergeCell ref="AD28:AE28"/>
    <mergeCell ref="C29:D29"/>
    <mergeCell ref="F29:G29"/>
    <mergeCell ref="K29:M29"/>
    <mergeCell ref="AB29:AC29"/>
    <mergeCell ref="AD29:AE29"/>
    <mergeCell ref="C30:D30"/>
    <mergeCell ref="F30:G30"/>
    <mergeCell ref="K30:M30"/>
    <mergeCell ref="AB30:AC30"/>
    <mergeCell ref="AD30:AE30"/>
    <mergeCell ref="AA20:AA42"/>
    <mergeCell ref="AB20:AH20"/>
    <mergeCell ref="AI20:AO20"/>
    <mergeCell ref="AP20:AP42"/>
    <mergeCell ref="C21:D22"/>
    <mergeCell ref="F21:G21"/>
    <mergeCell ref="H21:J21"/>
    <mergeCell ref="BF23:BF42"/>
    <mergeCell ref="C24:D24"/>
    <mergeCell ref="F24:G24"/>
    <mergeCell ref="K24:M24"/>
    <mergeCell ref="AB24:AC24"/>
    <mergeCell ref="AD24:AE24"/>
    <mergeCell ref="C25:D25"/>
    <mergeCell ref="F25:G25"/>
    <mergeCell ref="K25:M25"/>
    <mergeCell ref="AB25:AC25"/>
    <mergeCell ref="AD25:AE25"/>
    <mergeCell ref="C26:D26"/>
    <mergeCell ref="F26:G26"/>
    <mergeCell ref="K26:M26"/>
    <mergeCell ref="AB26:AC26"/>
    <mergeCell ref="AD26:AE26"/>
    <mergeCell ref="C27:D27"/>
    <mergeCell ref="F27:G27"/>
    <mergeCell ref="H27:J30"/>
    <mergeCell ref="K27:M27"/>
    <mergeCell ref="W27:W30"/>
    <mergeCell ref="AB27:AC27"/>
    <mergeCell ref="AD27:AE27"/>
    <mergeCell ref="AM27:AM30"/>
    <mergeCell ref="AT22:AY22"/>
    <mergeCell ref="BA22:BF22"/>
    <mergeCell ref="B23:B26"/>
    <mergeCell ref="C23:D23"/>
    <mergeCell ref="F23:G23"/>
    <mergeCell ref="H23:J26"/>
    <mergeCell ref="K23:M23"/>
    <mergeCell ref="N23:R42"/>
    <mergeCell ref="S23:S42"/>
    <mergeCell ref="T23:T42"/>
    <mergeCell ref="U23:U42"/>
    <mergeCell ref="W23:W26"/>
    <mergeCell ref="X23:X42"/>
    <mergeCell ref="AB23:AC23"/>
    <mergeCell ref="AD23:AE23"/>
    <mergeCell ref="AF23:AH42"/>
    <mergeCell ref="AI23:AK42"/>
    <mergeCell ref="AM23:AM26"/>
    <mergeCell ref="AN23:AO42"/>
    <mergeCell ref="AT23:AV42"/>
    <mergeCell ref="AX23:AX26"/>
    <mergeCell ref="AY23:AY42"/>
    <mergeCell ref="BA23:BC42"/>
    <mergeCell ref="BE23:BE26"/>
    <mergeCell ref="K21:M22"/>
    <mergeCell ref="N21:R22"/>
    <mergeCell ref="S21:S22"/>
    <mergeCell ref="T21:T22"/>
    <mergeCell ref="U21:U22"/>
    <mergeCell ref="X21:X22"/>
    <mergeCell ref="AB21:AC22"/>
    <mergeCell ref="AD21:AE22"/>
    <mergeCell ref="AF21:AH22"/>
    <mergeCell ref="AN21:AO21"/>
    <mergeCell ref="F22:G22"/>
    <mergeCell ref="H22:J22"/>
    <mergeCell ref="AN22:AO22"/>
    <mergeCell ref="C31:D31"/>
    <mergeCell ref="F31:G31"/>
    <mergeCell ref="H31:J34"/>
    <mergeCell ref="K31:M31"/>
    <mergeCell ref="A1:AP1"/>
    <mergeCell ref="A2:Y2"/>
    <mergeCell ref="A12:Y12"/>
    <mergeCell ref="A3:Y3"/>
    <mergeCell ref="F4:G4"/>
    <mergeCell ref="A5:C5"/>
    <mergeCell ref="F5:G5"/>
    <mergeCell ref="A6:C6"/>
    <mergeCell ref="A10:Y10"/>
    <mergeCell ref="F6:G6"/>
    <mergeCell ref="A7:C7"/>
    <mergeCell ref="F7:G7"/>
    <mergeCell ref="A8:C8"/>
    <mergeCell ref="F8:G8"/>
    <mergeCell ref="B20:B22"/>
    <mergeCell ref="C20:E20"/>
    <mergeCell ref="AA46:AP46"/>
    <mergeCell ref="AA84:AN84"/>
    <mergeCell ref="AA85:AN86"/>
    <mergeCell ref="K58:M59"/>
    <mergeCell ref="C65:D65"/>
    <mergeCell ref="C66:D66"/>
    <mergeCell ref="C67:D67"/>
    <mergeCell ref="C64:D64"/>
    <mergeCell ref="T58:T59"/>
    <mergeCell ref="U58:U59"/>
    <mergeCell ref="N58:R59"/>
    <mergeCell ref="X60:X79"/>
    <mergeCell ref="H58:J58"/>
    <mergeCell ref="H59:J59"/>
    <mergeCell ref="H60:J63"/>
    <mergeCell ref="F76:G76"/>
    <mergeCell ref="F77:G77"/>
    <mergeCell ref="F67:G67"/>
    <mergeCell ref="F68:G68"/>
    <mergeCell ref="F58:G58"/>
    <mergeCell ref="F59:G59"/>
    <mergeCell ref="F60:G60"/>
    <mergeCell ref="F61:G61"/>
    <mergeCell ref="X58:X59"/>
    <mergeCell ref="S60:S79"/>
    <mergeCell ref="Y57:Y79"/>
    <mergeCell ref="C13:M13"/>
    <mergeCell ref="C14:M14"/>
    <mergeCell ref="C15:M15"/>
    <mergeCell ref="C16:M16"/>
    <mergeCell ref="C78:D78"/>
    <mergeCell ref="C79:D79"/>
    <mergeCell ref="C76:D76"/>
    <mergeCell ref="A19:Y19"/>
    <mergeCell ref="N13:R13"/>
    <mergeCell ref="S13:X13"/>
    <mergeCell ref="U14:U15"/>
    <mergeCell ref="W60:W63"/>
    <mergeCell ref="W64:W67"/>
    <mergeCell ref="W68:W71"/>
    <mergeCell ref="W72:W75"/>
    <mergeCell ref="F62:G62"/>
    <mergeCell ref="F63:G63"/>
    <mergeCell ref="F69:G69"/>
    <mergeCell ref="F64:G64"/>
    <mergeCell ref="F65:G65"/>
    <mergeCell ref="B57:B59"/>
    <mergeCell ref="B60:B63"/>
    <mergeCell ref="B64:B67"/>
    <mergeCell ref="B76:B79"/>
    <mergeCell ref="C58:D59"/>
    <mergeCell ref="A11:Y11"/>
    <mergeCell ref="C60:D60"/>
    <mergeCell ref="S58:S59"/>
    <mergeCell ref="C72:D72"/>
    <mergeCell ref="C73:D73"/>
    <mergeCell ref="C74:D74"/>
    <mergeCell ref="C75:D75"/>
    <mergeCell ref="A48:A55"/>
    <mergeCell ref="A56:Y56"/>
    <mergeCell ref="Y48:Y55"/>
    <mergeCell ref="A57:A79"/>
    <mergeCell ref="C51:M51"/>
    <mergeCell ref="C52:M52"/>
    <mergeCell ref="C17:M17"/>
    <mergeCell ref="C18:M18"/>
    <mergeCell ref="Y13:Y18"/>
    <mergeCell ref="A46:Y46"/>
    <mergeCell ref="A47:Y47"/>
    <mergeCell ref="B13:B15"/>
    <mergeCell ref="A13:A18"/>
    <mergeCell ref="A20:A42"/>
    <mergeCell ref="A95:M95"/>
    <mergeCell ref="A97:M97"/>
    <mergeCell ref="A96:M96"/>
    <mergeCell ref="A93:M93"/>
    <mergeCell ref="A91:M91"/>
    <mergeCell ref="A92:M92"/>
    <mergeCell ref="A88:M88"/>
    <mergeCell ref="A89:M89"/>
    <mergeCell ref="A90:M90"/>
    <mergeCell ref="A94:M94"/>
    <mergeCell ref="A84:M84"/>
    <mergeCell ref="A4:C4"/>
    <mergeCell ref="B48:B50"/>
    <mergeCell ref="C48:M48"/>
    <mergeCell ref="C49:M49"/>
    <mergeCell ref="C50:M50"/>
    <mergeCell ref="S57:X57"/>
    <mergeCell ref="N57:R57"/>
    <mergeCell ref="U16:W18"/>
    <mergeCell ref="V14:W15"/>
    <mergeCell ref="Q49:Q50"/>
    <mergeCell ref="P16:Q18"/>
    <mergeCell ref="C57:E57"/>
    <mergeCell ref="F57:M57"/>
    <mergeCell ref="V49:W50"/>
    <mergeCell ref="V51:W55"/>
    <mergeCell ref="N48:R48"/>
    <mergeCell ref="S48:X48"/>
    <mergeCell ref="P14:P15"/>
    <mergeCell ref="Q14:Q15"/>
    <mergeCell ref="C53:M53"/>
    <mergeCell ref="C54:M54"/>
    <mergeCell ref="C55:M55"/>
    <mergeCell ref="Q51:Q55"/>
    <mergeCell ref="F20:M20"/>
    <mergeCell ref="N20:R20"/>
    <mergeCell ref="S20:X20"/>
    <mergeCell ref="Y20:Y42"/>
    <mergeCell ref="B27:B30"/>
    <mergeCell ref="B31:B34"/>
    <mergeCell ref="N60:R79"/>
    <mergeCell ref="K73:M73"/>
    <mergeCell ref="K74:M74"/>
    <mergeCell ref="K75:M75"/>
    <mergeCell ref="K76:M76"/>
    <mergeCell ref="K77:M77"/>
    <mergeCell ref="F70:G70"/>
    <mergeCell ref="F71:G71"/>
    <mergeCell ref="F72:G72"/>
    <mergeCell ref="F73:G73"/>
    <mergeCell ref="F74:G74"/>
    <mergeCell ref="K65:M65"/>
    <mergeCell ref="K64:M64"/>
    <mergeCell ref="K60:M60"/>
    <mergeCell ref="K61:M61"/>
    <mergeCell ref="K62:M62"/>
    <mergeCell ref="K63:M63"/>
    <mergeCell ref="B72:B75"/>
    <mergeCell ref="N94:Y94"/>
    <mergeCell ref="N95:Y97"/>
    <mergeCell ref="N92:Y93"/>
    <mergeCell ref="N89:Y90"/>
    <mergeCell ref="A85:M85"/>
    <mergeCell ref="K66:M66"/>
    <mergeCell ref="K67:M67"/>
    <mergeCell ref="K68:M68"/>
    <mergeCell ref="K69:M69"/>
    <mergeCell ref="A86:M86"/>
    <mergeCell ref="A87:M87"/>
    <mergeCell ref="N84:Y84"/>
    <mergeCell ref="N88:Y88"/>
    <mergeCell ref="N91:Y91"/>
    <mergeCell ref="K72:M72"/>
    <mergeCell ref="F75:G75"/>
    <mergeCell ref="A80:Y80"/>
    <mergeCell ref="B68:B71"/>
    <mergeCell ref="W76:W79"/>
    <mergeCell ref="K78:M78"/>
    <mergeCell ref="K79:M79"/>
    <mergeCell ref="T60:T79"/>
    <mergeCell ref="U60:U79"/>
    <mergeCell ref="F66:G66"/>
    <mergeCell ref="C68:D68"/>
    <mergeCell ref="C69:D69"/>
    <mergeCell ref="C70:D70"/>
    <mergeCell ref="C71:D71"/>
    <mergeCell ref="F78:G78"/>
    <mergeCell ref="F79:G79"/>
    <mergeCell ref="K70:M70"/>
    <mergeCell ref="K71:M71"/>
    <mergeCell ref="H72:J75"/>
    <mergeCell ref="H76:J79"/>
    <mergeCell ref="C77:D77"/>
    <mergeCell ref="C61:D61"/>
    <mergeCell ref="C62:D62"/>
    <mergeCell ref="C63:D63"/>
    <mergeCell ref="H64:J67"/>
    <mergeCell ref="H68:J71"/>
    <mergeCell ref="AA47:AP47"/>
    <mergeCell ref="AB48:AH48"/>
    <mergeCell ref="AI48:AO48"/>
    <mergeCell ref="AB49:AC50"/>
    <mergeCell ref="AD49:AH49"/>
    <mergeCell ref="AN49:AO49"/>
    <mergeCell ref="AN50:AO50"/>
    <mergeCell ref="AB61:AC61"/>
    <mergeCell ref="AB62:AC62"/>
    <mergeCell ref="AB63:AC63"/>
    <mergeCell ref="AB64:AC64"/>
    <mergeCell ref="AB65:AC65"/>
    <mergeCell ref="AD65:AE65"/>
    <mergeCell ref="AB66:AC66"/>
    <mergeCell ref="AD66:AE66"/>
    <mergeCell ref="AB57:AH57"/>
    <mergeCell ref="AB58:AC59"/>
    <mergeCell ref="AB60:AC60"/>
    <mergeCell ref="AD58:AE59"/>
    <mergeCell ref="AL4:AN4"/>
    <mergeCell ref="AH5:AI5"/>
    <mergeCell ref="AH6:AI6"/>
    <mergeCell ref="AH7:AI7"/>
    <mergeCell ref="AH8:AI8"/>
    <mergeCell ref="AB4:AF4"/>
    <mergeCell ref="AB5:AF5"/>
    <mergeCell ref="AB6:AF6"/>
    <mergeCell ref="AB7:AF7"/>
    <mergeCell ref="AB8:AF8"/>
    <mergeCell ref="AL5:AN5"/>
    <mergeCell ref="AL6:AN6"/>
    <mergeCell ref="AL7:AN7"/>
    <mergeCell ref="AL8:AN8"/>
    <mergeCell ref="AA11:AP11"/>
    <mergeCell ref="Z10:AP10"/>
    <mergeCell ref="AA19:AP19"/>
    <mergeCell ref="AA13:AA18"/>
    <mergeCell ref="AP13:AP18"/>
    <mergeCell ref="AI13:AO13"/>
    <mergeCell ref="AT15:AY15"/>
    <mergeCell ref="BA15:BF15"/>
    <mergeCell ref="AA2:AP2"/>
    <mergeCell ref="AA9:AP9"/>
    <mergeCell ref="AB13:AH13"/>
    <mergeCell ref="AD14:AH14"/>
    <mergeCell ref="AA12:AP12"/>
    <mergeCell ref="AB14:AC15"/>
    <mergeCell ref="AB16:AC16"/>
    <mergeCell ref="AB17:AC17"/>
    <mergeCell ref="AB18:AC18"/>
    <mergeCell ref="AF16:AG18"/>
    <mergeCell ref="AN14:AO14"/>
    <mergeCell ref="AN15:AO15"/>
    <mergeCell ref="AN16:AO16"/>
    <mergeCell ref="AN17:AO17"/>
    <mergeCell ref="AN18:AO18"/>
    <mergeCell ref="AH4:AI4"/>
    <mergeCell ref="BE60:BE63"/>
    <mergeCell ref="AT50:AY50"/>
    <mergeCell ref="BA50:BF50"/>
    <mergeCell ref="AB51:AC51"/>
    <mergeCell ref="AN51:AO51"/>
    <mergeCell ref="AB54:AC54"/>
    <mergeCell ref="AN54:AO54"/>
    <mergeCell ref="AB55:AC55"/>
    <mergeCell ref="AN55:AO55"/>
    <mergeCell ref="AB52:AC52"/>
    <mergeCell ref="AN52:AO52"/>
    <mergeCell ref="AB53:AC53"/>
    <mergeCell ref="AN53:AO53"/>
    <mergeCell ref="AG51:AG55"/>
    <mergeCell ref="AD64:AE64"/>
    <mergeCell ref="AT60:AV79"/>
    <mergeCell ref="AY60:AY79"/>
    <mergeCell ref="BA60:BC79"/>
    <mergeCell ref="BF60:BF79"/>
    <mergeCell ref="AX60:AX63"/>
    <mergeCell ref="AX64:AX67"/>
    <mergeCell ref="AL14:AM14"/>
    <mergeCell ref="AL15:AM15"/>
    <mergeCell ref="AK16:AM18"/>
    <mergeCell ref="AL49:AM49"/>
    <mergeCell ref="AL50:AM50"/>
    <mergeCell ref="AL51:AM55"/>
    <mergeCell ref="AI60:AK79"/>
    <mergeCell ref="AI57:AO57"/>
    <mergeCell ref="AN58:AO58"/>
    <mergeCell ref="BA59:BF59"/>
    <mergeCell ref="AV16:AX18"/>
    <mergeCell ref="BC16:BE18"/>
    <mergeCell ref="BD51:BE55"/>
    <mergeCell ref="AW51:AX55"/>
    <mergeCell ref="AX68:AX71"/>
    <mergeCell ref="AX72:AX75"/>
    <mergeCell ref="AX76:AX79"/>
    <mergeCell ref="AD73:AE73"/>
    <mergeCell ref="AF58:AH59"/>
    <mergeCell ref="AN60:AO79"/>
    <mergeCell ref="AN59:AO59"/>
    <mergeCell ref="AB76:AC76"/>
    <mergeCell ref="AD76:AE76"/>
    <mergeCell ref="AB67:AC67"/>
    <mergeCell ref="AD67:AE67"/>
    <mergeCell ref="AB68:AC68"/>
    <mergeCell ref="AD68:AE68"/>
    <mergeCell ref="AB69:AC69"/>
    <mergeCell ref="AD69:AE69"/>
    <mergeCell ref="AB70:AC70"/>
    <mergeCell ref="AD70:AE70"/>
    <mergeCell ref="AB71:AC71"/>
    <mergeCell ref="AD71:AE71"/>
    <mergeCell ref="AB74:AC74"/>
    <mergeCell ref="AD74:AE74"/>
    <mergeCell ref="AB75:AC75"/>
    <mergeCell ref="AD75:AE75"/>
    <mergeCell ref="AD60:AE60"/>
    <mergeCell ref="AD61:AE61"/>
    <mergeCell ref="AD62:AE62"/>
    <mergeCell ref="AD63:AE63"/>
    <mergeCell ref="N85:Y87"/>
    <mergeCell ref="BE64:BE67"/>
    <mergeCell ref="BE68:BE71"/>
    <mergeCell ref="BE72:BE75"/>
    <mergeCell ref="BE76:BE79"/>
    <mergeCell ref="AA80:AP80"/>
    <mergeCell ref="AP57:AP79"/>
    <mergeCell ref="AA57:AA79"/>
    <mergeCell ref="AM60:AM63"/>
    <mergeCell ref="AM64:AM67"/>
    <mergeCell ref="AM68:AM71"/>
    <mergeCell ref="AM72:AM75"/>
    <mergeCell ref="AM76:AM79"/>
    <mergeCell ref="AT59:AY59"/>
    <mergeCell ref="AB77:AC77"/>
    <mergeCell ref="AD77:AE77"/>
    <mergeCell ref="AB78:AC78"/>
    <mergeCell ref="AD78:AE78"/>
    <mergeCell ref="AB79:AC79"/>
    <mergeCell ref="AD79:AE79"/>
    <mergeCell ref="AF60:AH79"/>
    <mergeCell ref="AB72:AC72"/>
    <mergeCell ref="AD72:AE72"/>
    <mergeCell ref="AB73:AC73"/>
  </mergeCells>
  <dataValidations count="3">
    <dataValidation type="decimal" operator="greaterThan" allowBlank="1" showInputMessage="1" showErrorMessage="1" sqref="C16:M18 C51:M55 F60:G79 F23:G42">
      <formula1>0</formula1>
    </dataValidation>
    <dataValidation operator="greaterThan" allowBlank="1" showInputMessage="1" showErrorMessage="1" sqref="E60:E79 H60:J79 A19 E23:E42 H23:J42 A44:A45"/>
    <dataValidation type="decimal" operator="greaterThanOrEqual" allowBlank="1" showInputMessage="1" showErrorMessage="1" sqref="K60:M79 AB60:AE79 AB51:AC55 AB16:AC18 K23:M42 AB23:AE42">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'Emission factors'!$B$58:$E$58</xm:f>
          </x14:formula1>
          <xm:sqref>C60:C79 C23:C42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71F49"/>
  </sheetPr>
  <dimension ref="A1:BF170"/>
  <sheetViews>
    <sheetView rightToLeft="1" zoomScale="50" zoomScaleNormal="50" workbookViewId="0">
      <selection sqref="A1:AP1"/>
    </sheetView>
  </sheetViews>
  <sheetFormatPr defaultColWidth="8.69921875" defaultRowHeight="15"/>
  <cols>
    <col min="1" max="1" width="5" style="98" customWidth="1"/>
    <col min="2" max="2" width="6.796875" style="98" customWidth="1"/>
    <col min="3" max="3" width="7.296875" style="98" customWidth="1"/>
    <col min="4" max="4" width="10.69921875" style="98" customWidth="1"/>
    <col min="5" max="5" width="18.59765625" style="98" customWidth="1"/>
    <col min="6" max="7" width="10.19921875" style="98" customWidth="1"/>
    <col min="8" max="8" width="14.5" style="98" customWidth="1"/>
    <col min="9" max="9" width="9.8984375" style="98" customWidth="1"/>
    <col min="10" max="11" width="10.8984375" style="98" customWidth="1"/>
    <col min="12" max="12" width="13.3984375" style="98" customWidth="1"/>
    <col min="13" max="13" width="20.69921875" style="98" customWidth="1"/>
    <col min="14" max="14" width="16.8984375" style="98" customWidth="1"/>
    <col min="15" max="15" width="18.19921875" style="98" customWidth="1"/>
    <col min="16" max="16" width="20.296875" style="98" customWidth="1"/>
    <col min="17" max="17" width="12.8984375" style="98" customWidth="1"/>
    <col min="18" max="18" width="16.19921875" style="98" customWidth="1"/>
    <col min="19" max="19" width="14.19921875" style="98" customWidth="1"/>
    <col min="20" max="20" width="18.5" style="98" customWidth="1"/>
    <col min="21" max="23" width="13.5" style="98" customWidth="1"/>
    <col min="24" max="24" width="15" style="98" customWidth="1"/>
    <col min="25" max="25" width="16.5" style="98" customWidth="1"/>
    <col min="26" max="26" width="5" style="98" customWidth="1"/>
    <col min="27" max="27" width="8.69921875" style="98"/>
    <col min="28" max="28" width="4.69921875" style="98" customWidth="1"/>
    <col min="29" max="30" width="27" style="98" customWidth="1"/>
    <col min="31" max="31" width="8.69921875" style="98"/>
    <col min="32" max="32" width="14.3984375" style="98" customWidth="1"/>
    <col min="33" max="35" width="9.796875" style="98" customWidth="1"/>
    <col min="36" max="36" width="10.19921875" style="98" customWidth="1"/>
    <col min="37" max="41" width="11.5" style="98" customWidth="1"/>
    <col min="42" max="42" width="4.69921875" style="98" customWidth="1"/>
    <col min="43" max="43" width="8.69921875" style="98"/>
    <col min="44" max="44" width="10.59765625" style="98" hidden="1" customWidth="1"/>
    <col min="45" max="45" width="13.69921875" style="98" hidden="1" customWidth="1"/>
    <col min="46" max="46" width="13.09765625" style="98" hidden="1" customWidth="1"/>
    <col min="47" max="47" width="11.796875" style="98" hidden="1" customWidth="1"/>
    <col min="48" max="48" width="13.5" style="98" hidden="1" customWidth="1"/>
    <col min="49" max="49" width="0" style="98" hidden="1" customWidth="1"/>
    <col min="50" max="50" width="15.69921875" style="98" hidden="1" customWidth="1"/>
    <col min="51" max="51" width="19.19921875" style="98" hidden="1" customWidth="1"/>
    <col min="52" max="52" width="19" style="98" hidden="1" customWidth="1"/>
    <col min="53" max="53" width="19.296875" style="98" hidden="1" customWidth="1"/>
    <col min="54" max="54" width="17.3984375" style="98" hidden="1" customWidth="1"/>
    <col min="55" max="55" width="0" style="98" hidden="1" customWidth="1"/>
    <col min="56" max="56" width="19.09765625" style="98" hidden="1" customWidth="1"/>
    <col min="57" max="57" width="15.09765625" style="98" hidden="1" customWidth="1"/>
    <col min="58" max="58" width="25.09765625" style="98" hidden="1" customWidth="1"/>
    <col min="59" max="60" width="0" style="98" hidden="1" customWidth="1"/>
    <col min="61" max="16384" width="8.69921875" style="98"/>
  </cols>
  <sheetData>
    <row r="1" spans="1:54" s="213" customFormat="1" ht="33" thickBot="1">
      <c r="A1" s="1706" t="s">
        <v>1027</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8"/>
    </row>
    <row r="2" spans="1:54" s="213" customFormat="1" ht="40.950000000000003" customHeight="1" thickBot="1">
      <c r="A2" s="1174" t="s">
        <v>847</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709"/>
      <c r="AA2" s="478"/>
      <c r="AB2" s="1966" t="s">
        <v>1314</v>
      </c>
      <c r="AC2" s="1444"/>
      <c r="AD2" s="1444"/>
      <c r="AE2" s="1444"/>
      <c r="AF2" s="1444"/>
      <c r="AG2" s="1444"/>
      <c r="AH2" s="1444"/>
      <c r="AI2" s="1444"/>
      <c r="AJ2" s="1444"/>
      <c r="AK2" s="1444"/>
      <c r="AL2" s="1444"/>
      <c r="AM2" s="1444"/>
      <c r="AN2" s="1444"/>
      <c r="AO2" s="1444"/>
      <c r="AP2" s="1967"/>
      <c r="AR2" s="98"/>
      <c r="AS2" s="98"/>
      <c r="AT2" s="98"/>
      <c r="AU2" s="98"/>
      <c r="AV2" s="98"/>
      <c r="AW2" s="98"/>
      <c r="AX2" s="98"/>
      <c r="AY2" s="98"/>
      <c r="AZ2" s="98"/>
      <c r="BA2" s="98"/>
      <c r="BB2" s="98"/>
    </row>
    <row r="3" spans="1:54" s="213" customFormat="1" ht="21" customHeight="1" thickBot="1">
      <c r="A3" s="1711" t="s">
        <v>772</v>
      </c>
      <c r="B3" s="1381"/>
      <c r="C3" s="1381"/>
      <c r="D3" s="1381"/>
      <c r="E3" s="1381"/>
      <c r="F3" s="1893"/>
      <c r="G3" s="1893"/>
      <c r="H3" s="1893"/>
      <c r="I3" s="1894"/>
      <c r="J3" s="699"/>
      <c r="K3" s="699"/>
      <c r="L3" s="699"/>
      <c r="M3" s="699"/>
      <c r="N3" s="699"/>
      <c r="O3" s="699"/>
      <c r="P3" s="699"/>
      <c r="Q3" s="699"/>
      <c r="R3" s="699"/>
      <c r="S3" s="1176"/>
      <c r="T3" s="1176"/>
      <c r="U3" s="1176"/>
      <c r="V3" s="1176"/>
      <c r="W3" s="1176"/>
      <c r="X3" s="1176"/>
      <c r="Y3" s="1176"/>
      <c r="Z3" s="1177"/>
      <c r="AA3" s="478"/>
      <c r="AB3" s="582"/>
      <c r="AC3" s="540"/>
      <c r="AD3" s="540"/>
      <c r="AE3" s="540"/>
      <c r="AF3" s="540"/>
      <c r="AG3" s="540"/>
      <c r="AH3" s="540"/>
      <c r="AI3" s="540"/>
      <c r="AJ3" s="540"/>
      <c r="AK3" s="540"/>
      <c r="AL3" s="540"/>
      <c r="AM3" s="540"/>
      <c r="AN3" s="540"/>
      <c r="AO3" s="540"/>
      <c r="AP3" s="583"/>
      <c r="AR3" s="98"/>
      <c r="AS3" s="98"/>
      <c r="AT3" s="98"/>
      <c r="AU3" s="98"/>
      <c r="AV3" s="98"/>
      <c r="AW3" s="98"/>
      <c r="AX3" s="98"/>
      <c r="AY3" s="98"/>
      <c r="AZ3" s="98"/>
      <c r="BA3" s="98"/>
      <c r="BB3" s="98"/>
    </row>
    <row r="4" spans="1:54" s="213" customFormat="1" ht="21" customHeight="1" thickBot="1">
      <c r="A4" s="1895" t="str">
        <f>IF(F3="پتروشيمي","آيا فرآيندهاي زير در اين واحد پتروشيمي وجود دارند؟ ( گزينه خير يا بله را انتخاب كنيد.) ","")</f>
        <v/>
      </c>
      <c r="B4" s="1896"/>
      <c r="C4" s="1896"/>
      <c r="D4" s="1896"/>
      <c r="E4" s="1896"/>
      <c r="F4" s="1896"/>
      <c r="G4" s="1896"/>
      <c r="H4" s="1896"/>
      <c r="I4" s="1897"/>
      <c r="J4" s="1794"/>
      <c r="K4" s="1176"/>
      <c r="L4" s="1176"/>
      <c r="M4" s="1176"/>
      <c r="N4" s="1176"/>
      <c r="O4" s="1176"/>
      <c r="P4" s="1176"/>
      <c r="Q4" s="1176"/>
      <c r="R4" s="1176"/>
      <c r="S4" s="1176"/>
      <c r="T4" s="1176"/>
      <c r="U4" s="1176"/>
      <c r="V4" s="1176"/>
      <c r="W4" s="1176"/>
      <c r="X4" s="1176"/>
      <c r="Y4" s="1176"/>
      <c r="Z4" s="1177"/>
      <c r="AA4" s="478"/>
      <c r="AB4" s="582"/>
      <c r="AC4" s="540"/>
      <c r="AD4" s="540"/>
      <c r="AE4" s="540"/>
      <c r="AF4" s="540"/>
      <c r="AG4" s="540"/>
      <c r="AH4" s="540"/>
      <c r="AI4" s="540"/>
      <c r="AJ4" s="540"/>
      <c r="AK4" s="540"/>
      <c r="AL4" s="540"/>
      <c r="AM4" s="540"/>
      <c r="AN4" s="540"/>
      <c r="AO4" s="540"/>
      <c r="AP4" s="583"/>
      <c r="AR4" s="98"/>
      <c r="AS4" s="98"/>
      <c r="AT4" s="98"/>
      <c r="AU4" s="98"/>
      <c r="AV4" s="98"/>
      <c r="AW4" s="98"/>
      <c r="AX4" s="98"/>
      <c r="AY4" s="98"/>
      <c r="AZ4" s="98"/>
      <c r="BA4" s="98"/>
      <c r="BB4" s="98"/>
    </row>
    <row r="5" spans="1:54" s="213" customFormat="1" ht="21" customHeight="1" thickBot="1">
      <c r="A5" s="1183" t="str">
        <f>IF(F3="پتروشيمي","توليد پلی اتیلن سنگین:","")</f>
        <v/>
      </c>
      <c r="B5" s="1184"/>
      <c r="C5" s="1184"/>
      <c r="D5" s="796"/>
      <c r="E5" s="725" t="str">
        <f>IF(F3="پتروشيمي","توليد پلی پروپیلن:","")</f>
        <v/>
      </c>
      <c r="F5" s="1184"/>
      <c r="G5" s="1903"/>
      <c r="H5" s="354" t="str">
        <f>IF(F3="پتروشيمي","توليد آمونياك:","")</f>
        <v/>
      </c>
      <c r="I5" s="796"/>
      <c r="J5" s="1794"/>
      <c r="K5" s="1176"/>
      <c r="L5" s="1176"/>
      <c r="M5" s="1176"/>
      <c r="N5" s="1176"/>
      <c r="O5" s="1176"/>
      <c r="P5" s="1176"/>
      <c r="Q5" s="1176"/>
      <c r="R5" s="1176"/>
      <c r="S5" s="1176"/>
      <c r="T5" s="1176"/>
      <c r="U5" s="1176"/>
      <c r="V5" s="1176"/>
      <c r="W5" s="1176"/>
      <c r="X5" s="1176"/>
      <c r="Y5" s="1176"/>
      <c r="Z5" s="1177"/>
      <c r="AA5" s="478"/>
      <c r="AB5" s="582"/>
      <c r="AC5" s="540"/>
      <c r="AD5" s="540"/>
      <c r="AE5" s="540"/>
      <c r="AF5" s="540"/>
      <c r="AG5" s="540"/>
      <c r="AH5" s="540"/>
      <c r="AI5" s="540"/>
      <c r="AJ5" s="540"/>
      <c r="AK5" s="540"/>
      <c r="AL5" s="540"/>
      <c r="AM5" s="540"/>
      <c r="AN5" s="540"/>
      <c r="AO5" s="540"/>
      <c r="AP5" s="583"/>
      <c r="AR5" s="98"/>
      <c r="AS5" s="98"/>
      <c r="AT5" s="98"/>
      <c r="AU5" s="98"/>
      <c r="AV5" s="98"/>
      <c r="AW5" s="98"/>
      <c r="AX5" s="98"/>
      <c r="AY5" s="98"/>
      <c r="AZ5" s="98"/>
      <c r="BA5" s="98"/>
      <c r="BB5" s="98"/>
    </row>
    <row r="6" spans="1:54" s="213" customFormat="1" ht="21" customHeight="1" thickBot="1">
      <c r="A6" s="1898" t="str">
        <f>IF(F3="پتروشيمي","توليد ونیل کلراید مونومر:","")</f>
        <v/>
      </c>
      <c r="B6" s="1184"/>
      <c r="C6" s="1184"/>
      <c r="D6" s="796"/>
      <c r="E6" s="792" t="str">
        <f>IF(F3="پتروشيمي","توليد اسید نیتریک:","")</f>
        <v/>
      </c>
      <c r="F6" s="1184"/>
      <c r="G6" s="1903"/>
      <c r="H6" s="355" t="str">
        <f>IF(F3="پتروشيمي","توليد پلی‌استایرن:","")</f>
        <v/>
      </c>
      <c r="I6" s="796"/>
      <c r="J6" s="1794"/>
      <c r="K6" s="1176"/>
      <c r="L6" s="1176"/>
      <c r="M6" s="1176"/>
      <c r="N6" s="1176"/>
      <c r="O6" s="1176"/>
      <c r="P6" s="1176"/>
      <c r="Q6" s="1176"/>
      <c r="R6" s="1176"/>
      <c r="S6" s="1176"/>
      <c r="T6" s="1176"/>
      <c r="U6" s="1176"/>
      <c r="V6" s="1176"/>
      <c r="W6" s="1176"/>
      <c r="X6" s="1176"/>
      <c r="Y6" s="1176"/>
      <c r="Z6" s="1177"/>
      <c r="AA6" s="478"/>
      <c r="AB6" s="582"/>
      <c r="AC6" s="1446" t="s">
        <v>1343</v>
      </c>
      <c r="AD6" s="1446"/>
      <c r="AE6" s="545" t="s">
        <v>356</v>
      </c>
      <c r="AF6" s="1181" t="str">
        <f>IF(F3="","",  IF(F3="پالايش گاز","",IF(F3="پالايش نفت",IF(OR(F8="",F8=0,AX37=""),"",(SQRT(AX37)/F8)        ),IF(F6="بله",IF(OR(F8="",F8=0,AND(AX122="",AX123="")),"",SQRT(SUM(AX122:AX123))/F8    ),""))    )     )</f>
        <v/>
      </c>
      <c r="AG6" s="1181"/>
      <c r="AH6" s="1181"/>
      <c r="AI6" s="1181"/>
      <c r="AJ6" s="1181"/>
      <c r="AK6" s="546" t="s">
        <v>1259</v>
      </c>
      <c r="AL6" s="545" t="s">
        <v>743</v>
      </c>
      <c r="AM6" s="540"/>
      <c r="AN6" s="540"/>
      <c r="AO6" s="540"/>
      <c r="AP6" s="583"/>
      <c r="AR6" s="98"/>
      <c r="AS6" s="98"/>
      <c r="AT6" s="98"/>
      <c r="AU6" s="98"/>
      <c r="AV6" s="98"/>
      <c r="AW6" s="98"/>
      <c r="AX6" s="98"/>
      <c r="AY6" s="98"/>
      <c r="AZ6" s="98"/>
      <c r="BA6" s="98"/>
      <c r="BB6" s="98"/>
    </row>
    <row r="7" spans="1:54" s="213" customFormat="1" ht="21" customHeight="1" thickBot="1">
      <c r="A7" s="1898" t="str">
        <f>IF(F3="پتروشيمي","توليد پلی ونیل کلراید:","")</f>
        <v/>
      </c>
      <c r="B7" s="1184"/>
      <c r="C7" s="1184"/>
      <c r="D7" s="796"/>
      <c r="E7" s="1900"/>
      <c r="F7" s="1902"/>
      <c r="G7" s="1901"/>
      <c r="H7" s="1900"/>
      <c r="I7" s="1901"/>
      <c r="J7" s="1794"/>
      <c r="K7" s="1176"/>
      <c r="L7" s="1176"/>
      <c r="M7" s="1176"/>
      <c r="N7" s="1176"/>
      <c r="O7" s="1176"/>
      <c r="P7" s="1176"/>
      <c r="Q7" s="1176"/>
      <c r="R7" s="1176"/>
      <c r="S7" s="1176"/>
      <c r="T7" s="1176"/>
      <c r="U7" s="1176"/>
      <c r="V7" s="1176"/>
      <c r="W7" s="1176"/>
      <c r="X7" s="1176"/>
      <c r="Y7" s="1176"/>
      <c r="Z7" s="1177"/>
      <c r="AA7" s="478"/>
      <c r="AB7" s="582"/>
      <c r="AC7" s="1446" t="s">
        <v>1344</v>
      </c>
      <c r="AD7" s="1446"/>
      <c r="AE7" s="545" t="s">
        <v>356</v>
      </c>
      <c r="AF7" s="1181" t="str">
        <f>IF(F3="","",  IF(F3="پالايش گاز","",IF(F3="پالايش نفت",IF(OR(F9="",F9=0,AY37=""),"",(SQRT(AY37)/F9)        ),IF(I5="بله",IF(OR(F9="",F9=0,AND(AY114="",AY115="")),"",SQRT(SUM(AY114:AY115))/F9    ),""))    )     )</f>
        <v/>
      </c>
      <c r="AG7" s="1181"/>
      <c r="AH7" s="1181"/>
      <c r="AI7" s="1181"/>
      <c r="AJ7" s="1181"/>
      <c r="AK7" s="546" t="s">
        <v>1259</v>
      </c>
      <c r="AL7" s="545" t="s">
        <v>743</v>
      </c>
      <c r="AM7" s="540"/>
      <c r="AN7" s="540"/>
      <c r="AO7" s="540"/>
      <c r="AP7" s="583"/>
      <c r="AR7" s="98"/>
      <c r="AS7" s="98"/>
      <c r="AT7" s="98"/>
      <c r="AU7" s="98"/>
      <c r="AV7" s="98"/>
      <c r="AW7" s="98"/>
      <c r="AX7" s="98"/>
      <c r="AY7" s="98"/>
      <c r="AZ7" s="98"/>
      <c r="BA7" s="98"/>
      <c r="BB7" s="98"/>
    </row>
    <row r="8" spans="1:54" s="213" customFormat="1" ht="21" customHeight="1" thickBot="1">
      <c r="A8" s="1183" t="s">
        <v>741</v>
      </c>
      <c r="B8" s="1184"/>
      <c r="C8" s="1184"/>
      <c r="D8" s="214" t="s">
        <v>40</v>
      </c>
      <c r="E8" s="701" t="s">
        <v>768</v>
      </c>
      <c r="F8" s="1891" t="str">
        <f>IF(F3="","",(IF(F3="پالايش گاز",0,  (IF(F3="پالايش نفت",U37,(IF(F6="بله",(SUM(U122:U123)),0)))))))</f>
        <v/>
      </c>
      <c r="G8" s="1891"/>
      <c r="H8" s="214" t="s">
        <v>146</v>
      </c>
      <c r="I8" s="796" t="s">
        <v>743</v>
      </c>
      <c r="J8" s="1794"/>
      <c r="K8" s="1176"/>
      <c r="L8" s="1176"/>
      <c r="M8" s="1176"/>
      <c r="N8" s="1176"/>
      <c r="O8" s="1176"/>
      <c r="P8" s="1176"/>
      <c r="Q8" s="1176"/>
      <c r="R8" s="1176"/>
      <c r="S8" s="1176"/>
      <c r="T8" s="1176"/>
      <c r="U8" s="1176"/>
      <c r="V8" s="1176"/>
      <c r="W8" s="1176"/>
      <c r="X8" s="1176"/>
      <c r="Y8" s="1176"/>
      <c r="Z8" s="1177"/>
      <c r="AA8" s="478"/>
      <c r="AB8" s="585"/>
      <c r="AC8" s="1446" t="s">
        <v>1345</v>
      </c>
      <c r="AD8" s="1446"/>
      <c r="AE8" s="545" t="s">
        <v>356</v>
      </c>
      <c r="AF8" s="1181" t="str">
        <f>IF(F3="","",  IF(F3="پالايش گاز","",IF(F3="پالايش نفت",IF(OR(F10="",F10=0,AND(AZ37="",AZ60="")),"",(  (SQRT( (IF(AZ37="",0,AZ37)+IF(AZ60="",0,AZ60))  )   )   /F10)       ),IF(OR( F10="",F10=0,AND(AZ96="",AZ102=""),AND(F5="",D7=""),AND(F5="خير",D7="خير")),"",  (   (SQRT((IF(D7="بله",IF(AZ96="",0,AZ96),0))+(IF(F5="بله",IF(AZ102="",0,AZ102),0))) )/F10   )           ))    )     )</f>
        <v/>
      </c>
      <c r="AG8" s="1181"/>
      <c r="AH8" s="1181"/>
      <c r="AI8" s="1181"/>
      <c r="AJ8" s="1181"/>
      <c r="AK8" s="546" t="s">
        <v>1259</v>
      </c>
      <c r="AL8" s="545" t="s">
        <v>743</v>
      </c>
      <c r="AM8" s="540"/>
      <c r="AN8" s="540"/>
      <c r="AO8" s="540"/>
      <c r="AP8" s="583"/>
      <c r="AR8" s="98"/>
      <c r="AS8" s="98"/>
      <c r="AT8" s="98"/>
      <c r="AU8" s="98"/>
      <c r="AV8" s="98"/>
      <c r="AW8" s="98"/>
      <c r="AX8" s="98"/>
      <c r="AY8" s="98"/>
      <c r="AZ8" s="98"/>
      <c r="BA8" s="98"/>
      <c r="BB8" s="98"/>
    </row>
    <row r="9" spans="1:54" s="213" customFormat="1" ht="21" customHeight="1" thickBot="1">
      <c r="A9" s="1711" t="s">
        <v>741</v>
      </c>
      <c r="B9" s="1381"/>
      <c r="C9" s="1381"/>
      <c r="D9" s="299" t="s">
        <v>39</v>
      </c>
      <c r="E9" s="701" t="s">
        <v>768</v>
      </c>
      <c r="F9" s="1899" t="str">
        <f>IF(F3="","",(IF(F3="پالايش گاز",0, (IF(F3="پالايش نفت",V37,(IF(I5="بله",SUM(V114:V115),0)))))))</f>
        <v/>
      </c>
      <c r="G9" s="1899"/>
      <c r="H9" s="299" t="s">
        <v>146</v>
      </c>
      <c r="I9" s="300" t="s">
        <v>743</v>
      </c>
      <c r="J9" s="1794"/>
      <c r="K9" s="1176"/>
      <c r="L9" s="1176"/>
      <c r="M9" s="1176"/>
      <c r="N9" s="1176"/>
      <c r="O9" s="1176"/>
      <c r="P9" s="1176"/>
      <c r="Q9" s="1176"/>
      <c r="R9" s="1176"/>
      <c r="S9" s="1176"/>
      <c r="T9" s="1176"/>
      <c r="U9" s="1176"/>
      <c r="V9" s="1176"/>
      <c r="W9" s="1176"/>
      <c r="X9" s="1176"/>
      <c r="Y9" s="1176"/>
      <c r="Z9" s="1177"/>
      <c r="AA9" s="478"/>
      <c r="AB9" s="585"/>
      <c r="AC9" s="1446" t="s">
        <v>1346</v>
      </c>
      <c r="AD9" s="1446"/>
      <c r="AE9" s="545" t="s">
        <v>356</v>
      </c>
      <c r="AF9" s="1181" t="str">
        <f>IF(F3="","",IF(F3="پالايش گاز","",IF(F3="پالايش نفت",    IF(OR(F11="",F11=0,BA37=""),"",(SQRT(BA37)/F11) ),IF(I5="بله",IF(OR(F11="",F11=0,BA114=""),"",SQRT(BA114)/F11    ),"")    )))</f>
        <v/>
      </c>
      <c r="AG9" s="1181"/>
      <c r="AH9" s="1181"/>
      <c r="AI9" s="1181"/>
      <c r="AJ9" s="1181"/>
      <c r="AK9" s="546" t="s">
        <v>1259</v>
      </c>
      <c r="AL9" s="545" t="s">
        <v>743</v>
      </c>
      <c r="AM9" s="540"/>
      <c r="AN9" s="540"/>
      <c r="AO9" s="540"/>
      <c r="AP9" s="583"/>
      <c r="AR9" s="98"/>
      <c r="AS9" s="98"/>
      <c r="AT9" s="98"/>
      <c r="AU9" s="98"/>
      <c r="AV9" s="98"/>
      <c r="AW9" s="98"/>
      <c r="AX9" s="98"/>
      <c r="AY9" s="98"/>
      <c r="AZ9" s="98"/>
      <c r="BA9" s="98"/>
      <c r="BB9" s="98"/>
    </row>
    <row r="10" spans="1:54" ht="21" customHeight="1" thickBot="1">
      <c r="A10" s="1183" t="s">
        <v>741</v>
      </c>
      <c r="B10" s="1184"/>
      <c r="C10" s="1184"/>
      <c r="D10" s="214" t="s">
        <v>145</v>
      </c>
      <c r="E10" s="701" t="s">
        <v>768</v>
      </c>
      <c r="F10" s="1891" t="str">
        <f>IF(F3="","",(IF(F3="پالايش گاز",0,     (IF(F3="پالايش نفت",(IF(W37="",0,W37)+IF(W60="",0,W60)),    ((IF(D7="بله",IF(W96="",0,W96),0))+(IF(F5="بله",IF(W102="",0,W102),0)))      )))))</f>
        <v/>
      </c>
      <c r="G10" s="1891"/>
      <c r="H10" s="214" t="s">
        <v>146</v>
      </c>
      <c r="I10" s="796" t="s">
        <v>743</v>
      </c>
      <c r="J10" s="1794"/>
      <c r="K10" s="1176"/>
      <c r="L10" s="1176"/>
      <c r="M10" s="1176"/>
      <c r="N10" s="1176"/>
      <c r="O10" s="1176"/>
      <c r="P10" s="1176"/>
      <c r="Q10" s="1176"/>
      <c r="R10" s="1176"/>
      <c r="S10" s="1176"/>
      <c r="T10" s="1176"/>
      <c r="U10" s="1176"/>
      <c r="V10" s="1176"/>
      <c r="W10" s="1176"/>
      <c r="X10" s="1176"/>
      <c r="Y10" s="1176"/>
      <c r="Z10" s="1177"/>
      <c r="AA10" s="478"/>
      <c r="AB10" s="585"/>
      <c r="AC10" s="1446" t="s">
        <v>1347</v>
      </c>
      <c r="AD10" s="1446"/>
      <c r="AE10" s="545" t="s">
        <v>356</v>
      </c>
      <c r="AF10" s="1181" t="str">
        <f>IF(F3="","",  IF(F3="پالايش گاز",IF(OR(F12="",F12=0,BB25=""),"",(SQRT(BB25)/F12)),IF(F3="پالايش نفت",IF(OR(F12="",F12=0,AND(BB37="",BB43="",BB44="",BB45="",BB46="",BB47="",BB48="",BB54="",BB60="",BB66="",BB72="")),"",( (SQRT((IF(BB37="",0,BB37))+(SUM(BB43:BB48))+(IF(BB54="",0,BB54))+(IF(BB60="",0,BB60))+(IF(BB66="",0,BB66))+(IF(BB72="",0,BB72))))/F12)       ),IF(OR( F12="",F12=0,AND(BB84="",BB90="",BB96="",BB102="",BB108="",BB114="",BB115="",BB116="")),"",  (  ((SQRT((IF(D5="بله",(IF(BB84="",0,BB84)),0))+(IF(D6="بله",(IF(BB90="",0,BB90)),0))+(IF(D7="بله",(IF(BB96="",0,BB96)),0))+(IF(F5="بله",(IF(BB102="",0,BB102)),0))+(IF(I5="بله",(SUM(BB114:BB116)),0))+(IF(I6="بله",(IF(BB108="",0,BB108)),0))))/F12)         )           ))    )     )</f>
        <v/>
      </c>
      <c r="AG10" s="1181"/>
      <c r="AH10" s="1181"/>
      <c r="AI10" s="1181"/>
      <c r="AJ10" s="1181"/>
      <c r="AK10" s="546" t="s">
        <v>1259</v>
      </c>
      <c r="AL10" s="545" t="s">
        <v>743</v>
      </c>
      <c r="AM10" s="540"/>
      <c r="AN10" s="540"/>
      <c r="AO10" s="540"/>
      <c r="AP10" s="583"/>
    </row>
    <row r="11" spans="1:54" ht="21" customHeight="1" thickBot="1">
      <c r="A11" s="1713" t="s">
        <v>741</v>
      </c>
      <c r="B11" s="1383"/>
      <c r="C11" s="1383"/>
      <c r="D11" s="301" t="s">
        <v>147</v>
      </c>
      <c r="E11" s="701" t="s">
        <v>768</v>
      </c>
      <c r="F11" s="1892" t="str">
        <f>IF(F3="","",(IF(F3="پالايش گاز",0,     (IF(F3="پالايش نفت",(X37), (IF(I5="بله",(IF(X114="",0,X114)),0))   )))))</f>
        <v/>
      </c>
      <c r="G11" s="1892"/>
      <c r="H11" s="301" t="s">
        <v>146</v>
      </c>
      <c r="I11" s="302" t="s">
        <v>743</v>
      </c>
      <c r="J11" s="1794"/>
      <c r="K11" s="1176"/>
      <c r="L11" s="1176"/>
      <c r="M11" s="1176"/>
      <c r="N11" s="1176"/>
      <c r="O11" s="1176"/>
      <c r="P11" s="1176"/>
      <c r="Q11" s="1176"/>
      <c r="R11" s="1176"/>
      <c r="S11" s="1176"/>
      <c r="T11" s="1176"/>
      <c r="U11" s="1176"/>
      <c r="V11" s="1176"/>
      <c r="W11" s="1176"/>
      <c r="X11" s="1176"/>
      <c r="Y11" s="1176"/>
      <c r="Z11" s="1177"/>
      <c r="AA11" s="478"/>
      <c r="AB11" s="585"/>
      <c r="AC11" s="540"/>
      <c r="AD11" s="540"/>
      <c r="AE11" s="540"/>
      <c r="AF11" s="540"/>
      <c r="AG11" s="540"/>
      <c r="AH11" s="540"/>
      <c r="AI11" s="540"/>
      <c r="AJ11" s="540"/>
      <c r="AK11" s="540"/>
      <c r="AL11" s="540"/>
      <c r="AM11" s="540"/>
      <c r="AN11" s="540"/>
      <c r="AO11" s="540"/>
      <c r="AP11" s="583"/>
    </row>
    <row r="12" spans="1:54" ht="21" customHeight="1" thickBot="1">
      <c r="A12" s="1183" t="s">
        <v>741</v>
      </c>
      <c r="B12" s="1184"/>
      <c r="C12" s="1184"/>
      <c r="D12" s="214" t="s">
        <v>31</v>
      </c>
      <c r="E12" s="701" t="s">
        <v>768</v>
      </c>
      <c r="F12" s="1891" t="str">
        <f>IF(F3="","",(IF(F3="پالايش گاز",Y25,(IF(F3="پالايش نفت",((IF(Y37="",0,Y37))+(SUM(Y43:Y48))+(IF(Y54="",0,Y54))+(IF(Y60="",0,Y60))+(IF(Y66="",0,Y66))+(IF(Y72="",0,Y72))), ((IF(D5="بله",(IF(Y84="",0,Y84)),0))+(IF(D6="بله",(IF(Y90="",0,Y90)),0))+(IF(D7="بله",(IF(Y96="",0,Y96)),0))+(IF(F5="بله",(IF(Y102="",0,Y102)),0))+(IF(I5="بله",(SUM(Y114:Y116)),0))+(IF(I6="بله",(IF(Y108="",0,Y108)),0)))      )))))</f>
        <v/>
      </c>
      <c r="G12" s="1891"/>
      <c r="H12" s="214" t="s">
        <v>146</v>
      </c>
      <c r="I12" s="796" t="s">
        <v>743</v>
      </c>
      <c r="J12" s="1794"/>
      <c r="K12" s="1176"/>
      <c r="L12" s="1176"/>
      <c r="M12" s="1176"/>
      <c r="N12" s="1176"/>
      <c r="O12" s="1176"/>
      <c r="P12" s="1176"/>
      <c r="Q12" s="1176"/>
      <c r="R12" s="1176"/>
      <c r="S12" s="1176"/>
      <c r="T12" s="1176"/>
      <c r="U12" s="1176"/>
      <c r="V12" s="1176"/>
      <c r="W12" s="1176"/>
      <c r="X12" s="1176"/>
      <c r="Y12" s="1176"/>
      <c r="Z12" s="1177"/>
      <c r="AA12" s="478"/>
      <c r="AB12" s="585"/>
      <c r="AC12" s="540"/>
      <c r="AD12" s="540"/>
      <c r="AE12" s="540"/>
      <c r="AF12" s="540"/>
      <c r="AG12" s="540"/>
      <c r="AH12" s="540"/>
      <c r="AI12" s="540"/>
      <c r="AJ12" s="540"/>
      <c r="AK12" s="540"/>
      <c r="AL12" s="540"/>
      <c r="AM12" s="540"/>
      <c r="AN12" s="540"/>
      <c r="AO12" s="540"/>
      <c r="AP12" s="583"/>
    </row>
    <row r="13" spans="1:54" ht="57">
      <c r="A13" s="1710"/>
      <c r="B13" s="1176"/>
      <c r="C13" s="1176"/>
      <c r="D13" s="1176"/>
      <c r="E13" s="1176"/>
      <c r="F13" s="1176"/>
      <c r="G13" s="1176"/>
      <c r="H13" s="1176"/>
      <c r="I13" s="1176"/>
      <c r="J13" s="1176"/>
      <c r="K13" s="1176"/>
      <c r="L13" s="1176"/>
      <c r="M13" s="1176"/>
      <c r="N13" s="356"/>
      <c r="O13" s="356"/>
      <c r="P13" s="699"/>
      <c r="Q13" s="356"/>
      <c r="R13" s="699"/>
      <c r="S13" s="1176"/>
      <c r="T13" s="1176"/>
      <c r="U13" s="1176"/>
      <c r="V13" s="1176"/>
      <c r="W13" s="1176"/>
      <c r="X13" s="1176"/>
      <c r="Y13" s="1176"/>
      <c r="Z13" s="1177"/>
      <c r="AA13" s="478"/>
      <c r="AB13" s="585"/>
      <c r="AC13" s="540"/>
      <c r="AD13" s="540"/>
      <c r="AE13" s="540"/>
      <c r="AF13" s="540"/>
      <c r="AG13" s="540"/>
      <c r="AH13" s="540"/>
      <c r="AI13" s="540"/>
      <c r="AJ13" s="540"/>
      <c r="AK13" s="540"/>
      <c r="AL13" s="540"/>
      <c r="AM13" s="540"/>
      <c r="AN13" s="540"/>
      <c r="AO13" s="540"/>
      <c r="AP13" s="583"/>
    </row>
    <row r="14" spans="1:54" ht="49.05" customHeight="1" thickBot="1">
      <c r="A14" s="1793"/>
      <c r="B14" s="1791"/>
      <c r="C14" s="1791"/>
      <c r="D14" s="1791"/>
      <c r="E14" s="1791"/>
      <c r="F14" s="1791"/>
      <c r="G14" s="1791"/>
      <c r="H14" s="1791"/>
      <c r="I14" s="1791"/>
      <c r="J14" s="1791"/>
      <c r="K14" s="1791"/>
      <c r="L14" s="1791"/>
      <c r="M14" s="1791"/>
      <c r="N14" s="389"/>
      <c r="O14" s="389"/>
      <c r="P14" s="785"/>
      <c r="Q14" s="389"/>
      <c r="R14" s="785"/>
      <c r="S14" s="1791"/>
      <c r="T14" s="1791"/>
      <c r="U14" s="1791"/>
      <c r="V14" s="1791"/>
      <c r="W14" s="1791"/>
      <c r="X14" s="1791"/>
      <c r="Y14" s="1791"/>
      <c r="Z14" s="1792"/>
      <c r="AA14" s="478"/>
      <c r="AB14" s="612"/>
      <c r="AC14" s="613"/>
      <c r="AD14" s="613"/>
      <c r="AE14" s="613"/>
      <c r="AF14" s="613"/>
      <c r="AG14" s="613"/>
      <c r="AH14" s="613"/>
      <c r="AI14" s="613"/>
      <c r="AJ14" s="613"/>
      <c r="AK14" s="613"/>
      <c r="AL14" s="613"/>
      <c r="AM14" s="613"/>
      <c r="AN14" s="613"/>
      <c r="AO14" s="613"/>
      <c r="AP14" s="614"/>
    </row>
    <row r="15" spans="1:54" ht="49.05" hidden="1" customHeight="1">
      <c r="A15" s="699"/>
      <c r="B15" s="699"/>
      <c r="C15" s="699"/>
      <c r="D15" s="699"/>
      <c r="E15" s="699"/>
      <c r="F15" s="699"/>
      <c r="G15" s="699"/>
      <c r="H15" s="699"/>
      <c r="I15" s="699"/>
      <c r="J15" s="699"/>
      <c r="K15" s="699"/>
      <c r="L15" s="699"/>
      <c r="M15" s="699"/>
      <c r="N15" s="356"/>
      <c r="O15" s="356"/>
      <c r="P15" s="699"/>
      <c r="Q15" s="356"/>
      <c r="R15" s="699"/>
      <c r="S15" s="699"/>
      <c r="T15" s="699"/>
      <c r="U15" s="699"/>
      <c r="V15" s="356"/>
      <c r="W15" s="356"/>
      <c r="X15" s="699"/>
      <c r="Y15" s="356"/>
      <c r="Z15" s="699"/>
      <c r="AA15" s="478"/>
      <c r="AB15" s="213"/>
      <c r="AC15" s="213"/>
    </row>
    <row r="16" spans="1:54" ht="64.95" hidden="1" customHeight="1">
      <c r="A16" s="699"/>
      <c r="B16" s="699"/>
      <c r="C16" s="699"/>
      <c r="D16" s="699"/>
      <c r="E16" s="699"/>
      <c r="F16" s="699"/>
      <c r="G16" s="699"/>
      <c r="H16" s="699"/>
      <c r="I16" s="699"/>
      <c r="J16" s="699"/>
      <c r="K16" s="699"/>
      <c r="L16" s="699"/>
      <c r="M16" s="699"/>
      <c r="N16" s="356"/>
      <c r="O16" s="356"/>
      <c r="P16" s="699"/>
      <c r="Q16" s="356"/>
      <c r="R16" s="699"/>
      <c r="S16" s="699"/>
      <c r="T16" s="699"/>
      <c r="U16" s="699"/>
      <c r="V16" s="356"/>
      <c r="W16" s="356"/>
      <c r="X16" s="699"/>
      <c r="Y16" s="356"/>
      <c r="Z16" s="699"/>
      <c r="AA16" s="478"/>
      <c r="AB16" s="213"/>
      <c r="AC16" s="213"/>
    </row>
    <row r="17" spans="1:58" ht="64.95" hidden="1" customHeight="1">
      <c r="A17" s="217"/>
      <c r="B17" s="217"/>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478"/>
      <c r="AB17" s="213"/>
      <c r="AC17" s="213"/>
    </row>
    <row r="18" spans="1:58" ht="64.95" hidden="1" customHeight="1">
      <c r="A18" s="1569"/>
      <c r="B18" s="1569"/>
      <c r="C18" s="1569"/>
      <c r="D18" s="1569"/>
      <c r="E18" s="1569"/>
      <c r="F18" s="1569"/>
      <c r="G18" s="1569"/>
      <c r="H18" s="1569"/>
      <c r="I18" s="1569"/>
      <c r="J18" s="1569"/>
      <c r="K18" s="1569"/>
      <c r="L18" s="1569"/>
      <c r="M18" s="1569"/>
      <c r="N18" s="1569"/>
      <c r="O18" s="1569"/>
      <c r="P18" s="1569"/>
      <c r="Q18" s="1569"/>
      <c r="R18" s="1569"/>
      <c r="S18" s="1569"/>
      <c r="T18" s="1569"/>
      <c r="U18" s="1569"/>
      <c r="V18" s="1569"/>
      <c r="W18" s="1569"/>
      <c r="X18" s="1569"/>
      <c r="Y18" s="1569"/>
      <c r="Z18" s="1569"/>
      <c r="AA18" s="478"/>
      <c r="AB18" s="478"/>
      <c r="AC18" s="478"/>
      <c r="AD18" s="458"/>
      <c r="AE18" s="458"/>
      <c r="AF18" s="458"/>
      <c r="AG18" s="458"/>
      <c r="AH18" s="458"/>
      <c r="AI18" s="458"/>
      <c r="AJ18" s="458"/>
      <c r="AK18" s="458"/>
      <c r="AL18" s="458"/>
      <c r="AM18" s="458"/>
      <c r="AN18" s="458"/>
      <c r="AO18" s="458"/>
      <c r="AP18" s="458"/>
    </row>
    <row r="19" spans="1:58" ht="49.05" customHeight="1" thickBot="1">
      <c r="A19" s="1569"/>
      <c r="B19" s="1569"/>
      <c r="C19" s="1569"/>
      <c r="D19" s="1569"/>
      <c r="E19" s="1569"/>
      <c r="F19" s="1569"/>
      <c r="G19" s="1569"/>
      <c r="H19" s="1569"/>
      <c r="I19" s="1569"/>
      <c r="J19" s="1569"/>
      <c r="K19" s="1569"/>
      <c r="L19" s="1569"/>
      <c r="M19" s="1569"/>
      <c r="N19" s="1569"/>
      <c r="O19" s="1569"/>
      <c r="P19" s="1569"/>
      <c r="Q19" s="1569"/>
      <c r="R19" s="1569"/>
      <c r="S19" s="1569"/>
      <c r="T19" s="1569"/>
      <c r="U19" s="1569"/>
      <c r="V19" s="1569"/>
      <c r="W19" s="1569"/>
      <c r="X19" s="1569"/>
      <c r="Y19" s="1569"/>
      <c r="Z19" s="1569"/>
      <c r="AA19" s="478"/>
      <c r="AB19" s="478"/>
      <c r="AC19" s="478"/>
      <c r="AD19" s="458"/>
      <c r="AE19" s="458"/>
      <c r="AF19" s="458"/>
      <c r="AG19" s="458"/>
      <c r="AH19" s="458"/>
      <c r="AI19" s="458"/>
      <c r="AJ19" s="458"/>
      <c r="AK19" s="458"/>
      <c r="AL19" s="458"/>
      <c r="AM19" s="458"/>
      <c r="AN19" s="458"/>
      <c r="AO19" s="458"/>
      <c r="AP19" s="458"/>
    </row>
    <row r="20" spans="1:58" s="213" customFormat="1" ht="42" customHeight="1" thickBot="1">
      <c r="A20" s="1820" t="s">
        <v>773</v>
      </c>
      <c r="B20" s="1821"/>
      <c r="C20" s="1821"/>
      <c r="D20" s="1821"/>
      <c r="E20" s="1821"/>
      <c r="F20" s="1821"/>
      <c r="G20" s="1821"/>
      <c r="H20" s="1821"/>
      <c r="I20" s="1821"/>
      <c r="J20" s="1821"/>
      <c r="K20" s="1821"/>
      <c r="L20" s="1821"/>
      <c r="M20" s="1821"/>
      <c r="N20" s="1821"/>
      <c r="O20" s="1821"/>
      <c r="P20" s="1821"/>
      <c r="Q20" s="1821"/>
      <c r="R20" s="1821"/>
      <c r="S20" s="1821"/>
      <c r="T20" s="1821"/>
      <c r="U20" s="1821"/>
      <c r="V20" s="1821"/>
      <c r="W20" s="1821"/>
      <c r="X20" s="1821"/>
      <c r="Y20" s="1821"/>
      <c r="Z20" s="1822"/>
      <c r="AA20" s="478"/>
      <c r="AB20" s="1566" t="s">
        <v>1534</v>
      </c>
      <c r="AC20" s="1567"/>
      <c r="AD20" s="1567"/>
      <c r="AE20" s="1567"/>
      <c r="AF20" s="1567"/>
      <c r="AG20" s="1567"/>
      <c r="AH20" s="1567"/>
      <c r="AI20" s="1567"/>
      <c r="AJ20" s="1567"/>
      <c r="AK20" s="1567"/>
      <c r="AL20" s="1567"/>
      <c r="AM20" s="1567"/>
      <c r="AN20" s="1567"/>
      <c r="AO20" s="1567"/>
      <c r="AP20" s="1568"/>
    </row>
    <row r="21" spans="1:58" s="213" customFormat="1" ht="28.95" customHeight="1" thickBot="1">
      <c r="A21" s="1823" t="s">
        <v>389</v>
      </c>
      <c r="B21" s="1824"/>
      <c r="C21" s="1824"/>
      <c r="D21" s="1824"/>
      <c r="E21" s="1824"/>
      <c r="F21" s="1824"/>
      <c r="G21" s="1824"/>
      <c r="H21" s="1824"/>
      <c r="I21" s="1824"/>
      <c r="J21" s="1824"/>
      <c r="K21" s="1824"/>
      <c r="L21" s="1824"/>
      <c r="M21" s="1824"/>
      <c r="N21" s="1824"/>
      <c r="O21" s="1824"/>
      <c r="P21" s="1824"/>
      <c r="Q21" s="1824"/>
      <c r="R21" s="1824"/>
      <c r="S21" s="1824"/>
      <c r="T21" s="1824"/>
      <c r="U21" s="1824"/>
      <c r="V21" s="1824"/>
      <c r="W21" s="1824"/>
      <c r="X21" s="1824"/>
      <c r="Y21" s="1824"/>
      <c r="Z21" s="1825"/>
      <c r="AA21" s="478"/>
      <c r="AB21" s="1244"/>
      <c r="AC21" s="1451"/>
      <c r="AD21" s="1451"/>
      <c r="AE21" s="1451"/>
      <c r="AF21" s="1451"/>
      <c r="AG21" s="1451"/>
      <c r="AH21" s="1451"/>
      <c r="AI21" s="1451"/>
      <c r="AJ21" s="1451"/>
      <c r="AK21" s="1245"/>
      <c r="AL21" s="1245"/>
      <c r="AM21" s="1245"/>
      <c r="AN21" s="1245"/>
      <c r="AO21" s="1245"/>
      <c r="AP21" s="1269"/>
    </row>
    <row r="22" spans="1:58" s="213" customFormat="1" ht="25.05" customHeight="1" thickBot="1">
      <c r="A22" s="1804"/>
      <c r="B22" s="790" t="s">
        <v>383</v>
      </c>
      <c r="C22" s="1828" t="s">
        <v>384</v>
      </c>
      <c r="D22" s="1827"/>
      <c r="E22" s="1828" t="s">
        <v>385</v>
      </c>
      <c r="F22" s="1826"/>
      <c r="G22" s="1826"/>
      <c r="H22" s="1826"/>
      <c r="I22" s="1826"/>
      <c r="J22" s="1826"/>
      <c r="K22" s="1826"/>
      <c r="L22" s="1826"/>
      <c r="M22" s="1826"/>
      <c r="N22" s="1826"/>
      <c r="O22" s="1827"/>
      <c r="P22" s="1317" t="s">
        <v>441</v>
      </c>
      <c r="Q22" s="1318"/>
      <c r="R22" s="1318"/>
      <c r="S22" s="1318"/>
      <c r="T22" s="1319"/>
      <c r="U22" s="1826" t="s">
        <v>440</v>
      </c>
      <c r="V22" s="1826"/>
      <c r="W22" s="1826"/>
      <c r="X22" s="1826"/>
      <c r="Y22" s="1827"/>
      <c r="Z22" s="1189"/>
      <c r="AA22" s="478"/>
      <c r="AB22" s="1979"/>
      <c r="AC22" s="1204" t="s">
        <v>1322</v>
      </c>
      <c r="AD22" s="1205"/>
      <c r="AE22" s="1205"/>
      <c r="AF22" s="1205"/>
      <c r="AG22" s="1205"/>
      <c r="AH22" s="1205"/>
      <c r="AI22" s="1205"/>
      <c r="AJ22" s="1206"/>
      <c r="AK22" s="1263" t="s">
        <v>1323</v>
      </c>
      <c r="AL22" s="1263"/>
      <c r="AM22" s="1263"/>
      <c r="AN22" s="1263"/>
      <c r="AO22" s="1263"/>
      <c r="AP22" s="1494"/>
    </row>
    <row r="23" spans="1:58" s="217" customFormat="1" ht="37.049999999999997" customHeight="1">
      <c r="A23" s="1805"/>
      <c r="B23" s="1829" t="s">
        <v>392</v>
      </c>
      <c r="C23" s="1393" t="s">
        <v>381</v>
      </c>
      <c r="D23" s="1083"/>
      <c r="E23" s="1086" t="s">
        <v>386</v>
      </c>
      <c r="F23" s="1053"/>
      <c r="G23" s="1053"/>
      <c r="H23" s="1052" t="s">
        <v>387</v>
      </c>
      <c r="I23" s="1053"/>
      <c r="J23" s="1053"/>
      <c r="K23" s="1052" t="s">
        <v>388</v>
      </c>
      <c r="L23" s="1053"/>
      <c r="M23" s="1087"/>
      <c r="N23" s="1052" t="s">
        <v>1131</v>
      </c>
      <c r="O23" s="1054"/>
      <c r="P23" s="1832"/>
      <c r="Q23" s="1833"/>
      <c r="R23" s="1833"/>
      <c r="S23" s="1833"/>
      <c r="T23" s="1834"/>
      <c r="U23" s="711" t="s">
        <v>40</v>
      </c>
      <c r="V23" s="696" t="s">
        <v>39</v>
      </c>
      <c r="W23" s="696" t="s">
        <v>145</v>
      </c>
      <c r="X23" s="696" t="s">
        <v>147</v>
      </c>
      <c r="Y23" s="713" t="s">
        <v>31</v>
      </c>
      <c r="Z23" s="1191"/>
      <c r="AA23" s="478"/>
      <c r="AB23" s="1980"/>
      <c r="AC23" s="1452" t="s">
        <v>1313</v>
      </c>
      <c r="AD23" s="1453"/>
      <c r="AE23" s="1456" t="s">
        <v>1315</v>
      </c>
      <c r="AF23" s="1453"/>
      <c r="AG23" s="1456" t="s">
        <v>1316</v>
      </c>
      <c r="AH23" s="1458"/>
      <c r="AI23" s="1458"/>
      <c r="AJ23" s="1974"/>
      <c r="AK23" s="549" t="s">
        <v>40</v>
      </c>
      <c r="AL23" s="530" t="s">
        <v>39</v>
      </c>
      <c r="AM23" s="530" t="s">
        <v>145</v>
      </c>
      <c r="AN23" s="530" t="s">
        <v>147</v>
      </c>
      <c r="AO23" s="537" t="s">
        <v>31</v>
      </c>
      <c r="AP23" s="1495"/>
      <c r="AR23" s="556" t="s">
        <v>40</v>
      </c>
      <c r="AS23" s="557" t="s">
        <v>39</v>
      </c>
      <c r="AT23" s="557" t="s">
        <v>145</v>
      </c>
      <c r="AU23" s="557" t="s">
        <v>147</v>
      </c>
      <c r="AV23" s="558" t="s">
        <v>31</v>
      </c>
      <c r="AX23" s="556" t="s">
        <v>40</v>
      </c>
      <c r="AY23" s="557" t="s">
        <v>39</v>
      </c>
      <c r="AZ23" s="557" t="s">
        <v>145</v>
      </c>
      <c r="BA23" s="557" t="s">
        <v>147</v>
      </c>
      <c r="BB23" s="558" t="s">
        <v>31</v>
      </c>
    </row>
    <row r="24" spans="1:58" s="213" customFormat="1" ht="22.95" customHeight="1" thickBot="1">
      <c r="A24" s="1805"/>
      <c r="B24" s="1830"/>
      <c r="C24" s="1843" t="s">
        <v>382</v>
      </c>
      <c r="D24" s="1844"/>
      <c r="E24" s="1843" t="s">
        <v>1085</v>
      </c>
      <c r="F24" s="1797"/>
      <c r="G24" s="1797"/>
      <c r="H24" s="1796" t="s">
        <v>1086</v>
      </c>
      <c r="I24" s="1797"/>
      <c r="J24" s="1798"/>
      <c r="K24" s="1796" t="s">
        <v>1086</v>
      </c>
      <c r="L24" s="1797"/>
      <c r="M24" s="1797"/>
      <c r="N24" s="1147"/>
      <c r="O24" s="1139"/>
      <c r="P24" s="1835"/>
      <c r="Q24" s="1836"/>
      <c r="R24" s="1836"/>
      <c r="S24" s="1836"/>
      <c r="T24" s="1837"/>
      <c r="U24" s="712" t="s">
        <v>146</v>
      </c>
      <c r="V24" s="697" t="s">
        <v>146</v>
      </c>
      <c r="W24" s="697" t="s">
        <v>146</v>
      </c>
      <c r="X24" s="697" t="s">
        <v>146</v>
      </c>
      <c r="Y24" s="714" t="s">
        <v>146</v>
      </c>
      <c r="Z24" s="1191"/>
      <c r="AA24" s="478"/>
      <c r="AB24" s="1980"/>
      <c r="AC24" s="1454"/>
      <c r="AD24" s="1455"/>
      <c r="AE24" s="1457"/>
      <c r="AF24" s="1455"/>
      <c r="AG24" s="1457"/>
      <c r="AH24" s="1459"/>
      <c r="AI24" s="1459"/>
      <c r="AJ24" s="1975"/>
      <c r="AK24" s="552" t="s">
        <v>1260</v>
      </c>
      <c r="AL24" s="739" t="s">
        <v>1260</v>
      </c>
      <c r="AM24" s="739" t="s">
        <v>1260</v>
      </c>
      <c r="AN24" s="739" t="s">
        <v>1260</v>
      </c>
      <c r="AO24" s="775" t="s">
        <v>1260</v>
      </c>
      <c r="AP24" s="1495"/>
      <c r="AR24" s="1784" t="s">
        <v>1285</v>
      </c>
      <c r="AS24" s="1289"/>
      <c r="AT24" s="1289"/>
      <c r="AU24" s="1289"/>
      <c r="AV24" s="1785"/>
      <c r="AX24" s="1784" t="s">
        <v>1286</v>
      </c>
      <c r="AY24" s="1289"/>
      <c r="AZ24" s="1289"/>
      <c r="BA24" s="1289"/>
      <c r="BB24" s="1785"/>
      <c r="BD24" s="593" t="s">
        <v>1319</v>
      </c>
      <c r="BE24" s="593" t="s">
        <v>1320</v>
      </c>
      <c r="BF24" s="593" t="s">
        <v>1318</v>
      </c>
    </row>
    <row r="25" spans="1:58" ht="42" customHeight="1" thickBot="1">
      <c r="A25" s="1806"/>
      <c r="B25" s="1831"/>
      <c r="C25" s="1815"/>
      <c r="D25" s="1816"/>
      <c r="E25" s="1816"/>
      <c r="F25" s="1816"/>
      <c r="G25" s="1816"/>
      <c r="H25" s="1799"/>
      <c r="I25" s="1800"/>
      <c r="J25" s="1800"/>
      <c r="K25" s="1801"/>
      <c r="L25" s="1801"/>
      <c r="M25" s="1801"/>
      <c r="N25" s="1802" t="str">
        <f>IF(K25&gt;H25,"مقدار غلظت  VOC در جريان گاز خروجي نبايد بزرگتر از مقدار غظت VOC جريان ورودي باشد.","")</f>
        <v/>
      </c>
      <c r="O25" s="1803"/>
      <c r="P25" s="1840" t="s">
        <v>793</v>
      </c>
      <c r="Q25" s="1841"/>
      <c r="R25" s="1841"/>
      <c r="S25" s="1841"/>
      <c r="T25" s="1842"/>
      <c r="U25" s="1838" t="s">
        <v>399</v>
      </c>
      <c r="V25" s="1839"/>
      <c r="W25" s="1839"/>
      <c r="X25" s="1839"/>
      <c r="Y25" s="357">
        <f>IF(K25&gt;H25,"",(E25*(H25-K25)*(C25)*(10^-9)))</f>
        <v>0</v>
      </c>
      <c r="Z25" s="1673"/>
      <c r="AA25" s="478"/>
      <c r="AB25" s="1981"/>
      <c r="AC25" s="1968"/>
      <c r="AD25" s="1968"/>
      <c r="AE25" s="1969"/>
      <c r="AF25" s="1970"/>
      <c r="AG25" s="1971"/>
      <c r="AH25" s="1972"/>
      <c r="AI25" s="1972"/>
      <c r="AJ25" s="1973"/>
      <c r="AK25" s="1976" t="s">
        <v>1317</v>
      </c>
      <c r="AL25" s="1977"/>
      <c r="AM25" s="1977"/>
      <c r="AN25" s="1978"/>
      <c r="AO25" s="746" t="str">
        <f>IF(OR(AC25="",BF25=""),"",(SQRT((AC25^2)+(BF25^2))))</f>
        <v/>
      </c>
      <c r="AP25" s="1496"/>
      <c r="AR25" s="1779"/>
      <c r="AS25" s="1780"/>
      <c r="AT25" s="1780"/>
      <c r="AU25" s="1781"/>
      <c r="AV25" s="591" t="str">
        <f>IF(OR(Y25="",AO25=""),"",Y25*AO25)</f>
        <v/>
      </c>
      <c r="AW25" s="213"/>
      <c r="AX25" s="1779"/>
      <c r="AY25" s="1780"/>
      <c r="AZ25" s="1780"/>
      <c r="BA25" s="1781"/>
      <c r="BB25" s="591" t="str">
        <f>IF(AV25="","",AV25^2)</f>
        <v/>
      </c>
      <c r="BD25" s="592" t="str">
        <f>IF(OR(AE25="",H25=""),"",(AE25*H25)^2)</f>
        <v/>
      </c>
      <c r="BE25" s="592" t="str">
        <f>IF(OR(AG25="",K25=""),"",(AG25*K25)^2)</f>
        <v/>
      </c>
      <c r="BF25" s="592" t="str">
        <f>IF(OR(BD25="",BE25="",AND(H25=0,K25=0),K25&gt;H25),"",(SQRT(BD25+BE25)/(H25-K25)))</f>
        <v/>
      </c>
    </row>
    <row r="26" spans="1:58" ht="28.95" customHeight="1" thickBot="1">
      <c r="A26" s="1224"/>
      <c r="B26" s="1225"/>
      <c r="C26" s="1226"/>
      <c r="D26" s="1226"/>
      <c r="E26" s="1226"/>
      <c r="F26" s="1226"/>
      <c r="G26" s="1226"/>
      <c r="H26" s="1226"/>
      <c r="I26" s="1226"/>
      <c r="J26" s="1226"/>
      <c r="K26" s="1226"/>
      <c r="L26" s="1226"/>
      <c r="M26" s="1226"/>
      <c r="N26" s="1226"/>
      <c r="O26" s="1226"/>
      <c r="P26" s="1225"/>
      <c r="Q26" s="1225"/>
      <c r="R26" s="1225"/>
      <c r="S26" s="1225"/>
      <c r="T26" s="1225"/>
      <c r="U26" s="1225"/>
      <c r="V26" s="1225"/>
      <c r="W26" s="1225"/>
      <c r="X26" s="1225"/>
      <c r="Y26" s="1225"/>
      <c r="Z26" s="1227"/>
      <c r="AA26" s="478"/>
      <c r="AB26" s="1464"/>
      <c r="AC26" s="1465"/>
      <c r="AD26" s="1465"/>
      <c r="AE26" s="1465"/>
      <c r="AF26" s="1465"/>
      <c r="AG26" s="1465"/>
      <c r="AH26" s="1465"/>
      <c r="AI26" s="1465"/>
      <c r="AJ26" s="1465"/>
      <c r="AK26" s="1465"/>
      <c r="AL26" s="1465"/>
      <c r="AM26" s="1465"/>
      <c r="AN26" s="1465"/>
      <c r="AO26" s="1465"/>
      <c r="AP26" s="1467"/>
      <c r="AR26" s="217"/>
      <c r="AS26" s="217"/>
      <c r="AT26" s="217"/>
      <c r="AU26" s="217"/>
      <c r="AV26" s="217"/>
      <c r="AW26" s="217"/>
      <c r="AX26" s="217"/>
      <c r="AY26" s="217"/>
      <c r="AZ26" s="217"/>
      <c r="BA26" s="217"/>
      <c r="BB26" s="217"/>
      <c r="BC26" s="217"/>
      <c r="BD26" s="217"/>
    </row>
    <row r="27" spans="1:58" ht="37.049999999999997" hidden="1" customHeight="1">
      <c r="AA27" s="458"/>
      <c r="AB27" s="548"/>
      <c r="AC27" s="1986"/>
      <c r="AD27" s="1986"/>
      <c r="AE27" s="1987"/>
      <c r="AF27" s="1988"/>
      <c r="AG27" s="1989"/>
      <c r="AH27" s="1989"/>
      <c r="AI27" s="1989"/>
      <c r="AJ27" s="550"/>
      <c r="AK27" s="587"/>
      <c r="AL27" s="588"/>
      <c r="AM27" s="589"/>
      <c r="AN27" s="760"/>
      <c r="AO27" s="783"/>
      <c r="AP27" s="590"/>
      <c r="AR27" s="217"/>
      <c r="AS27" s="217"/>
      <c r="AT27" s="217"/>
      <c r="AU27" s="217" t="str">
        <f t="shared" ref="AU27:AV30" si="0">IF(OR(X27="",AN27=""),"",X27*AN27)</f>
        <v/>
      </c>
      <c r="AV27" s="217" t="str">
        <f t="shared" si="0"/>
        <v/>
      </c>
      <c r="AW27" s="217"/>
      <c r="AX27" s="217"/>
      <c r="AY27" s="217"/>
      <c r="AZ27" s="217"/>
      <c r="BA27" s="217" t="str">
        <f t="shared" ref="BA27:BB30" si="1">IF(AU27="","",AU27^2)</f>
        <v/>
      </c>
      <c r="BB27" s="217" t="str">
        <f t="shared" si="1"/>
        <v/>
      </c>
      <c r="BC27" s="217"/>
      <c r="BD27" s="217"/>
    </row>
    <row r="28" spans="1:58" ht="37.049999999999997" hidden="1" customHeight="1">
      <c r="AA28" s="458"/>
      <c r="AB28" s="548"/>
      <c r="AC28" s="1985"/>
      <c r="AD28" s="1985"/>
      <c r="AE28" s="1982"/>
      <c r="AF28" s="1983"/>
      <c r="AG28" s="1984"/>
      <c r="AH28" s="1984"/>
      <c r="AI28" s="1984"/>
      <c r="AJ28" s="551"/>
      <c r="AK28" s="587"/>
      <c r="AL28" s="588"/>
      <c r="AM28" s="589"/>
      <c r="AN28" s="754"/>
      <c r="AO28" s="755"/>
      <c r="AP28" s="590"/>
      <c r="AR28" s="217"/>
      <c r="AS28" s="217"/>
      <c r="AT28" s="217"/>
      <c r="AU28" s="217" t="str">
        <f t="shared" si="0"/>
        <v/>
      </c>
      <c r="AV28" s="217" t="str">
        <f t="shared" si="0"/>
        <v/>
      </c>
      <c r="AW28" s="217"/>
      <c r="AX28" s="217"/>
      <c r="AY28" s="217"/>
      <c r="AZ28" s="217"/>
      <c r="BA28" s="217" t="str">
        <f t="shared" si="1"/>
        <v/>
      </c>
      <c r="BB28" s="217" t="str">
        <f t="shared" si="1"/>
        <v/>
      </c>
      <c r="BC28" s="217"/>
      <c r="BD28" s="217"/>
    </row>
    <row r="29" spans="1:58" ht="37.049999999999997" hidden="1" customHeight="1">
      <c r="A29" s="217"/>
      <c r="B29" s="217"/>
      <c r="C29" s="217"/>
      <c r="D29" s="217"/>
      <c r="E29" s="217"/>
      <c r="F29" s="217"/>
      <c r="G29" s="217"/>
      <c r="H29" s="217"/>
      <c r="I29" s="217"/>
      <c r="J29" s="217"/>
      <c r="K29" s="217"/>
      <c r="L29" s="217"/>
      <c r="M29" s="217"/>
      <c r="N29" s="217"/>
      <c r="O29" s="217"/>
      <c r="P29" s="217"/>
      <c r="Q29" s="217"/>
      <c r="R29" s="217"/>
      <c r="S29" s="217"/>
      <c r="T29" s="217"/>
      <c r="U29" s="217"/>
      <c r="V29" s="217"/>
      <c r="W29" s="217"/>
      <c r="X29" s="217"/>
      <c r="Y29" s="217"/>
      <c r="Z29" s="217"/>
      <c r="AA29" s="478"/>
      <c r="AB29" s="548"/>
      <c r="AC29" s="1985"/>
      <c r="AD29" s="1985"/>
      <c r="AE29" s="1982"/>
      <c r="AF29" s="1983"/>
      <c r="AG29" s="1984"/>
      <c r="AH29" s="1984"/>
      <c r="AI29" s="1984"/>
      <c r="AJ29" s="551"/>
      <c r="AK29" s="587"/>
      <c r="AL29" s="588"/>
      <c r="AM29" s="589"/>
      <c r="AN29" s="754"/>
      <c r="AO29" s="755"/>
      <c r="AP29" s="590"/>
      <c r="AR29" s="217"/>
      <c r="AS29" s="217"/>
      <c r="AT29" s="217"/>
      <c r="AU29" s="217" t="str">
        <f t="shared" si="0"/>
        <v/>
      </c>
      <c r="AV29" s="217" t="str">
        <f t="shared" si="0"/>
        <v/>
      </c>
      <c r="AW29" s="217"/>
      <c r="AX29" s="217"/>
      <c r="AY29" s="217"/>
      <c r="AZ29" s="217"/>
      <c r="BA29" s="217" t="str">
        <f t="shared" si="1"/>
        <v/>
      </c>
      <c r="BB29" s="217" t="str">
        <f t="shared" si="1"/>
        <v/>
      </c>
      <c r="BC29" s="217"/>
      <c r="BD29" s="217"/>
    </row>
    <row r="30" spans="1:58" ht="49.05" hidden="1" customHeight="1">
      <c r="A30" s="213"/>
      <c r="B30" s="213"/>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458"/>
      <c r="AB30" s="548"/>
      <c r="AC30" s="1985"/>
      <c r="AD30" s="1985"/>
      <c r="AE30" s="1982"/>
      <c r="AF30" s="1983"/>
      <c r="AG30" s="1984"/>
      <c r="AH30" s="1984"/>
      <c r="AI30" s="1984"/>
      <c r="AJ30" s="551"/>
      <c r="AK30" s="587"/>
      <c r="AL30" s="588"/>
      <c r="AM30" s="589"/>
      <c r="AN30" s="754"/>
      <c r="AO30" s="755"/>
      <c r="AP30" s="590"/>
      <c r="AR30" s="217"/>
      <c r="AS30" s="217"/>
      <c r="AT30" s="217"/>
      <c r="AU30" s="217" t="str">
        <f t="shared" si="0"/>
        <v/>
      </c>
      <c r="AV30" s="217" t="str">
        <f t="shared" si="0"/>
        <v/>
      </c>
      <c r="AW30" s="217"/>
      <c r="AX30" s="217"/>
      <c r="AY30" s="217"/>
      <c r="AZ30" s="217"/>
      <c r="BA30" s="217" t="str">
        <f t="shared" si="1"/>
        <v/>
      </c>
      <c r="BB30" s="217" t="str">
        <f t="shared" si="1"/>
        <v/>
      </c>
      <c r="BC30" s="217"/>
      <c r="BD30" s="217"/>
    </row>
    <row r="31" spans="1:58" ht="50.55" customHeight="1" thickBot="1">
      <c r="A31" s="1795"/>
      <c r="B31" s="1795"/>
      <c r="C31" s="1795"/>
      <c r="D31" s="1795"/>
      <c r="E31" s="1795"/>
      <c r="F31" s="1795"/>
      <c r="G31" s="1795"/>
      <c r="H31" s="1795"/>
      <c r="I31" s="1795"/>
      <c r="J31" s="1795"/>
      <c r="K31" s="1795"/>
      <c r="L31" s="1795"/>
      <c r="M31" s="1795"/>
      <c r="N31" s="1795"/>
      <c r="O31" s="1795"/>
      <c r="P31" s="1795"/>
      <c r="Q31" s="1795"/>
      <c r="R31" s="1795"/>
      <c r="S31" s="1795"/>
      <c r="T31" s="1795"/>
      <c r="U31" s="1795"/>
      <c r="V31" s="1795"/>
      <c r="W31" s="1795"/>
      <c r="X31" s="1795"/>
      <c r="Y31" s="1795"/>
      <c r="Z31" s="1795"/>
      <c r="AA31" s="478"/>
      <c r="AB31" s="478"/>
      <c r="AC31" s="478"/>
      <c r="AD31" s="478"/>
      <c r="AE31" s="478"/>
      <c r="AF31" s="478"/>
      <c r="AG31" s="478"/>
      <c r="AH31" s="478"/>
      <c r="AI31" s="478"/>
      <c r="AJ31" s="478"/>
      <c r="AK31" s="478"/>
      <c r="AL31" s="478"/>
      <c r="AM31" s="478"/>
      <c r="AN31" s="478"/>
      <c r="AO31" s="478"/>
      <c r="AP31" s="478"/>
      <c r="AQ31" s="217"/>
      <c r="AR31" s="217"/>
      <c r="AS31" s="217"/>
      <c r="AT31" s="217"/>
      <c r="AU31" s="217"/>
      <c r="AV31" s="217"/>
      <c r="AW31" s="217"/>
      <c r="AX31" s="217"/>
      <c r="AY31" s="217"/>
      <c r="AZ31" s="217"/>
      <c r="BA31" s="217"/>
      <c r="BB31" s="217"/>
      <c r="BC31" s="217"/>
      <c r="BD31" s="217"/>
    </row>
    <row r="32" spans="1:58" s="213" customFormat="1" ht="42" customHeight="1" thickBot="1">
      <c r="A32" s="1820" t="s">
        <v>774</v>
      </c>
      <c r="B32" s="1821"/>
      <c r="C32" s="1821"/>
      <c r="D32" s="1821"/>
      <c r="E32" s="1821"/>
      <c r="F32" s="1821"/>
      <c r="G32" s="1821"/>
      <c r="H32" s="1821"/>
      <c r="I32" s="1821"/>
      <c r="J32" s="1821"/>
      <c r="K32" s="1821"/>
      <c r="L32" s="1821"/>
      <c r="M32" s="1821"/>
      <c r="N32" s="1821"/>
      <c r="O32" s="1821"/>
      <c r="P32" s="1821"/>
      <c r="Q32" s="1821"/>
      <c r="R32" s="1821"/>
      <c r="S32" s="1821"/>
      <c r="T32" s="1821"/>
      <c r="U32" s="1821"/>
      <c r="V32" s="1821"/>
      <c r="W32" s="1821"/>
      <c r="X32" s="1821"/>
      <c r="Y32" s="1821"/>
      <c r="Z32" s="1821"/>
      <c r="AA32" s="478"/>
      <c r="AB32" s="1566" t="s">
        <v>1535</v>
      </c>
      <c r="AC32" s="1567"/>
      <c r="AD32" s="1567"/>
      <c r="AE32" s="1567"/>
      <c r="AF32" s="1567"/>
      <c r="AG32" s="1567"/>
      <c r="AH32" s="1567"/>
      <c r="AI32" s="1567"/>
      <c r="AJ32" s="1567"/>
      <c r="AK32" s="1567"/>
      <c r="AL32" s="1567"/>
      <c r="AM32" s="1567"/>
      <c r="AN32" s="1567"/>
      <c r="AO32" s="1567"/>
      <c r="AP32" s="1568"/>
      <c r="AQ32" s="217"/>
      <c r="AR32" s="217"/>
      <c r="AS32" s="217"/>
      <c r="AT32" s="217"/>
      <c r="AU32" s="217"/>
      <c r="AV32" s="217"/>
      <c r="AW32" s="217"/>
      <c r="AX32" s="217"/>
      <c r="AY32" s="217"/>
      <c r="AZ32" s="217"/>
      <c r="BA32" s="217"/>
      <c r="BB32" s="217"/>
      <c r="BC32" s="217"/>
    </row>
    <row r="33" spans="1:57" s="213" customFormat="1" ht="28.95" customHeight="1" thickBot="1">
      <c r="A33" s="1065" t="s">
        <v>390</v>
      </c>
      <c r="B33" s="1066"/>
      <c r="C33" s="1066"/>
      <c r="D33" s="1066"/>
      <c r="E33" s="1066"/>
      <c r="F33" s="1066"/>
      <c r="G33" s="1066"/>
      <c r="H33" s="1066"/>
      <c r="I33" s="1066"/>
      <c r="J33" s="1066"/>
      <c r="K33" s="1066"/>
      <c r="L33" s="1066"/>
      <c r="M33" s="1066"/>
      <c r="N33" s="1066"/>
      <c r="O33" s="1066"/>
      <c r="P33" s="1066"/>
      <c r="Q33" s="1066"/>
      <c r="R33" s="1066"/>
      <c r="S33" s="1066"/>
      <c r="T33" s="1066"/>
      <c r="U33" s="1066"/>
      <c r="V33" s="1066"/>
      <c r="W33" s="1066"/>
      <c r="X33" s="1066"/>
      <c r="Y33" s="1066"/>
      <c r="Z33" s="1067"/>
      <c r="AA33" s="478"/>
      <c r="AB33" s="1464"/>
      <c r="AC33" s="1465"/>
      <c r="AD33" s="1465"/>
      <c r="AE33" s="1465"/>
      <c r="AF33" s="1465"/>
      <c r="AG33" s="1465"/>
      <c r="AH33" s="1465"/>
      <c r="AI33" s="1465"/>
      <c r="AJ33" s="1465"/>
      <c r="AK33" s="1465"/>
      <c r="AL33" s="1465"/>
      <c r="AM33" s="1465"/>
      <c r="AN33" s="1465"/>
      <c r="AO33" s="1465"/>
      <c r="AP33" s="1467"/>
      <c r="AQ33" s="217"/>
      <c r="AR33" s="217"/>
      <c r="AS33" s="217"/>
      <c r="AT33" s="217"/>
      <c r="AU33" s="217"/>
      <c r="AV33" s="217"/>
      <c r="AW33" s="217"/>
      <c r="AX33" s="217"/>
      <c r="AY33" s="217"/>
      <c r="AZ33" s="217"/>
      <c r="BA33" s="217"/>
      <c r="BB33" s="217"/>
      <c r="BC33" s="217"/>
    </row>
    <row r="34" spans="1:57" s="213" customFormat="1" ht="25.05" customHeight="1" thickBot="1">
      <c r="A34" s="1804"/>
      <c r="B34" s="791" t="s">
        <v>383</v>
      </c>
      <c r="C34" s="1317" t="s">
        <v>408</v>
      </c>
      <c r="D34" s="1318"/>
      <c r="E34" s="1318"/>
      <c r="F34" s="1318"/>
      <c r="G34" s="1318"/>
      <c r="H34" s="1318"/>
      <c r="I34" s="1318"/>
      <c r="J34" s="1318"/>
      <c r="K34" s="1318"/>
      <c r="L34" s="1318"/>
      <c r="M34" s="1318"/>
      <c r="N34" s="1318"/>
      <c r="O34" s="1319"/>
      <c r="P34" s="1317" t="s">
        <v>403</v>
      </c>
      <c r="Q34" s="1318"/>
      <c r="R34" s="1318"/>
      <c r="S34" s="1318"/>
      <c r="T34" s="1319"/>
      <c r="U34" s="1828" t="s">
        <v>439</v>
      </c>
      <c r="V34" s="1826"/>
      <c r="W34" s="1826"/>
      <c r="X34" s="1826"/>
      <c r="Y34" s="1827"/>
      <c r="Z34" s="1189"/>
      <c r="AA34" s="478"/>
      <c r="AB34" s="568"/>
      <c r="AC34" s="1252" t="s">
        <v>1324</v>
      </c>
      <c r="AD34" s="1252"/>
      <c r="AE34" s="1252"/>
      <c r="AF34" s="1252"/>
      <c r="AG34" s="1252"/>
      <c r="AH34" s="1252"/>
      <c r="AI34" s="1581"/>
      <c r="AJ34" s="1730" t="s">
        <v>1323</v>
      </c>
      <c r="AK34" s="1205"/>
      <c r="AL34" s="1205"/>
      <c r="AM34" s="1205"/>
      <c r="AN34" s="1205"/>
      <c r="AO34" s="1206"/>
      <c r="AP34" s="1494"/>
      <c r="AQ34" s="217"/>
      <c r="AR34" s="217"/>
      <c r="AS34" s="217"/>
      <c r="AT34" s="217"/>
      <c r="AU34" s="217"/>
      <c r="AV34" s="217"/>
      <c r="AW34" s="217"/>
      <c r="AX34" s="217"/>
      <c r="AY34" s="217"/>
      <c r="AZ34" s="217"/>
      <c r="BA34" s="217"/>
      <c r="BB34" s="217"/>
      <c r="BC34" s="217"/>
    </row>
    <row r="35" spans="1:57" s="217" customFormat="1" ht="27" customHeight="1">
      <c r="A35" s="1805"/>
      <c r="B35" s="1851" t="s">
        <v>794</v>
      </c>
      <c r="C35" s="1086" t="s">
        <v>391</v>
      </c>
      <c r="D35" s="1053"/>
      <c r="E35" s="1053"/>
      <c r="F35" s="1053"/>
      <c r="G35" s="1053"/>
      <c r="H35" s="1053"/>
      <c r="I35" s="1053"/>
      <c r="J35" s="1053"/>
      <c r="K35" s="1053"/>
      <c r="L35" s="1053"/>
      <c r="M35" s="1053"/>
      <c r="N35" s="1053"/>
      <c r="O35" s="1054"/>
      <c r="P35" s="821" t="s">
        <v>40</v>
      </c>
      <c r="Q35" s="696" t="s">
        <v>39</v>
      </c>
      <c r="R35" s="696" t="s">
        <v>145</v>
      </c>
      <c r="S35" s="696" t="s">
        <v>147</v>
      </c>
      <c r="T35" s="713" t="s">
        <v>31</v>
      </c>
      <c r="U35" s="821" t="s">
        <v>40</v>
      </c>
      <c r="V35" s="696" t="s">
        <v>39</v>
      </c>
      <c r="W35" s="696" t="s">
        <v>145</v>
      </c>
      <c r="X35" s="696" t="s">
        <v>147</v>
      </c>
      <c r="Y35" s="713" t="s">
        <v>31</v>
      </c>
      <c r="Z35" s="1191"/>
      <c r="AA35" s="478"/>
      <c r="AB35" s="569"/>
      <c r="AC35" s="1583" t="s">
        <v>1321</v>
      </c>
      <c r="AD35" s="1584"/>
      <c r="AE35" s="1258" t="s">
        <v>1261</v>
      </c>
      <c r="AF35" s="1258"/>
      <c r="AG35" s="1258"/>
      <c r="AH35" s="1258"/>
      <c r="AI35" s="1582"/>
      <c r="AJ35" s="556" t="s">
        <v>40</v>
      </c>
      <c r="AK35" s="557" t="s">
        <v>39</v>
      </c>
      <c r="AL35" s="557" t="s">
        <v>145</v>
      </c>
      <c r="AM35" s="774" t="s">
        <v>147</v>
      </c>
      <c r="AN35" s="1734" t="s">
        <v>31</v>
      </c>
      <c r="AO35" s="1735"/>
      <c r="AP35" s="1495"/>
      <c r="AR35" s="529" t="s">
        <v>40</v>
      </c>
      <c r="AS35" s="530" t="s">
        <v>39</v>
      </c>
      <c r="AT35" s="530" t="s">
        <v>145</v>
      </c>
      <c r="AU35" s="530" t="s">
        <v>147</v>
      </c>
      <c r="AV35" s="531" t="s">
        <v>31</v>
      </c>
      <c r="AX35" s="529" t="s">
        <v>40</v>
      </c>
      <c r="AY35" s="530" t="s">
        <v>39</v>
      </c>
      <c r="AZ35" s="530" t="s">
        <v>145</v>
      </c>
      <c r="BA35" s="530" t="s">
        <v>147</v>
      </c>
      <c r="BB35" s="531" t="s">
        <v>31</v>
      </c>
    </row>
    <row r="36" spans="1:57" s="213" customFormat="1" ht="27" customHeight="1" thickBot="1">
      <c r="A36" s="1805"/>
      <c r="B36" s="1852"/>
      <c r="C36" s="1649" t="s">
        <v>1078</v>
      </c>
      <c r="D36" s="1650"/>
      <c r="E36" s="1650"/>
      <c r="F36" s="1650"/>
      <c r="G36" s="1650"/>
      <c r="H36" s="1650"/>
      <c r="I36" s="1650"/>
      <c r="J36" s="1650"/>
      <c r="K36" s="1650"/>
      <c r="L36" s="1650"/>
      <c r="M36" s="1650"/>
      <c r="N36" s="1650"/>
      <c r="O36" s="1682"/>
      <c r="P36" s="822" t="s">
        <v>1087</v>
      </c>
      <c r="Q36" s="697" t="s">
        <v>1087</v>
      </c>
      <c r="R36" s="697" t="s">
        <v>1087</v>
      </c>
      <c r="S36" s="697" t="s">
        <v>1087</v>
      </c>
      <c r="T36" s="714" t="s">
        <v>1087</v>
      </c>
      <c r="U36" s="822" t="s">
        <v>146</v>
      </c>
      <c r="V36" s="697" t="s">
        <v>146</v>
      </c>
      <c r="W36" s="697" t="s">
        <v>146</v>
      </c>
      <c r="X36" s="697" t="s">
        <v>146</v>
      </c>
      <c r="Y36" s="714" t="s">
        <v>146</v>
      </c>
      <c r="Z36" s="1191"/>
      <c r="AA36" s="478"/>
      <c r="AB36" s="569"/>
      <c r="AC36" s="1585"/>
      <c r="AD36" s="1586"/>
      <c r="AE36" s="739" t="s">
        <v>40</v>
      </c>
      <c r="AF36" s="739" t="s">
        <v>39</v>
      </c>
      <c r="AG36" s="739" t="s">
        <v>145</v>
      </c>
      <c r="AH36" s="739" t="s">
        <v>147</v>
      </c>
      <c r="AI36" s="775" t="s">
        <v>31</v>
      </c>
      <c r="AJ36" s="567" t="s">
        <v>1260</v>
      </c>
      <c r="AK36" s="723" t="s">
        <v>1260</v>
      </c>
      <c r="AL36" s="723" t="s">
        <v>1260</v>
      </c>
      <c r="AM36" s="749" t="s">
        <v>1260</v>
      </c>
      <c r="AN36" s="1537" t="s">
        <v>1260</v>
      </c>
      <c r="AO36" s="1762"/>
      <c r="AP36" s="1495"/>
      <c r="AQ36" s="217"/>
      <c r="AR36" s="1557" t="s">
        <v>1285</v>
      </c>
      <c r="AS36" s="1558"/>
      <c r="AT36" s="1558"/>
      <c r="AU36" s="1558"/>
      <c r="AV36" s="1559"/>
      <c r="AX36" s="1289" t="s">
        <v>1286</v>
      </c>
      <c r="AY36" s="1289"/>
      <c r="AZ36" s="1289"/>
      <c r="BA36" s="1289"/>
      <c r="BB36" s="1289"/>
    </row>
    <row r="37" spans="1:57" ht="31.95" customHeight="1" thickBot="1">
      <c r="A37" s="1806"/>
      <c r="B37" s="1852"/>
      <c r="C37" s="1885"/>
      <c r="D37" s="1886"/>
      <c r="E37" s="1886"/>
      <c r="F37" s="1886"/>
      <c r="G37" s="1886"/>
      <c r="H37" s="1886"/>
      <c r="I37" s="1886"/>
      <c r="J37" s="1886"/>
      <c r="K37" s="1886"/>
      <c r="L37" s="1886"/>
      <c r="M37" s="1886"/>
      <c r="N37" s="1886"/>
      <c r="O37" s="1887"/>
      <c r="P37" s="358">
        <v>204</v>
      </c>
      <c r="Q37" s="359">
        <v>0</v>
      </c>
      <c r="R37" s="359">
        <v>128</v>
      </c>
      <c r="S37" s="359">
        <v>1413</v>
      </c>
      <c r="T37" s="357">
        <v>0.9365</v>
      </c>
      <c r="U37" s="358">
        <f>$C$37*P37*(10^-6)</f>
        <v>0</v>
      </c>
      <c r="V37" s="359">
        <f t="shared" ref="V37:Y37" si="2">$C$37*Q37*(10^-6)</f>
        <v>0</v>
      </c>
      <c r="W37" s="359">
        <f t="shared" si="2"/>
        <v>0</v>
      </c>
      <c r="X37" s="359">
        <f t="shared" si="2"/>
        <v>0</v>
      </c>
      <c r="Y37" s="357">
        <f t="shared" si="2"/>
        <v>0</v>
      </c>
      <c r="Z37" s="1673"/>
      <c r="AA37" s="478"/>
      <c r="AB37" s="571"/>
      <c r="AC37" s="1509"/>
      <c r="AD37" s="1510"/>
      <c r="AE37" s="572">
        <v>40</v>
      </c>
      <c r="AF37" s="570">
        <v>40</v>
      </c>
      <c r="AG37" s="570">
        <v>40</v>
      </c>
      <c r="AH37" s="570">
        <v>40</v>
      </c>
      <c r="AI37" s="773">
        <v>40</v>
      </c>
      <c r="AJ37" s="818" t="str">
        <f>IF(AC37="","",(SQRT((AC37^2)+(AE37^2))))</f>
        <v/>
      </c>
      <c r="AK37" s="752" t="str">
        <f>IF(AC37="","",(SQRT((AC37^2)+(AF37^2))))</f>
        <v/>
      </c>
      <c r="AL37" s="752" t="str">
        <f>IF(AC37="","",(SQRT((AC37^2)+(AG37^2))))</f>
        <v/>
      </c>
      <c r="AM37" s="752" t="str">
        <f>IF(AC37="","",(SQRT((AC37^2)+(AH37^2))))</f>
        <v/>
      </c>
      <c r="AN37" s="1769" t="str">
        <f>IF(AC37="","",(SQRT((AC37^2)+(AI37^2))))</f>
        <v/>
      </c>
      <c r="AO37" s="1990"/>
      <c r="AP37" s="1496"/>
      <c r="AQ37" s="217"/>
      <c r="AR37" s="719" t="str">
        <f>IF(OR(AJ37="",U37=""),"",AJ37*U37)</f>
        <v/>
      </c>
      <c r="AS37" s="719" t="str">
        <f t="shared" ref="AS37:AV37" si="3">IF(OR(AK37="",V37=""),"",AK37*V37)</f>
        <v/>
      </c>
      <c r="AT37" s="719" t="str">
        <f t="shared" si="3"/>
        <v/>
      </c>
      <c r="AU37" s="719" t="str">
        <f t="shared" si="3"/>
        <v/>
      </c>
      <c r="AV37" s="719" t="str">
        <f t="shared" si="3"/>
        <v/>
      </c>
      <c r="AW37" s="213"/>
      <c r="AX37" s="719" t="str">
        <f>IF(AR37="","",AR37^2)</f>
        <v/>
      </c>
      <c r="AY37" s="719" t="str">
        <f t="shared" ref="AY37:BB37" si="4">IF(AS37="","",AS37^2)</f>
        <v/>
      </c>
      <c r="AZ37" s="719" t="str">
        <f t="shared" si="4"/>
        <v/>
      </c>
      <c r="BA37" s="719" t="str">
        <f t="shared" si="4"/>
        <v/>
      </c>
      <c r="BB37" s="719" t="str">
        <f t="shared" si="4"/>
        <v/>
      </c>
    </row>
    <row r="38" spans="1:57" s="213" customFormat="1" ht="42" customHeight="1" thickBot="1">
      <c r="A38" s="1878" t="s">
        <v>775</v>
      </c>
      <c r="B38" s="1879"/>
      <c r="C38" s="1879"/>
      <c r="D38" s="1879"/>
      <c r="E38" s="1879"/>
      <c r="F38" s="1879"/>
      <c r="G38" s="1879"/>
      <c r="H38" s="1879"/>
      <c r="I38" s="1879"/>
      <c r="J38" s="1879"/>
      <c r="K38" s="1879"/>
      <c r="L38" s="1879"/>
      <c r="M38" s="1879"/>
      <c r="N38" s="1879"/>
      <c r="O38" s="1879"/>
      <c r="P38" s="1879"/>
      <c r="Q38" s="1879"/>
      <c r="R38" s="1879"/>
      <c r="S38" s="1879"/>
      <c r="T38" s="1879"/>
      <c r="U38" s="1879"/>
      <c r="V38" s="1879"/>
      <c r="W38" s="1879"/>
      <c r="X38" s="1879"/>
      <c r="Y38" s="1879"/>
      <c r="Z38" s="1879"/>
      <c r="AA38" s="478"/>
      <c r="AB38" s="1566" t="s">
        <v>1536</v>
      </c>
      <c r="AC38" s="1567"/>
      <c r="AD38" s="1567"/>
      <c r="AE38" s="1567"/>
      <c r="AF38" s="1567"/>
      <c r="AG38" s="1567"/>
      <c r="AH38" s="1567"/>
      <c r="AI38" s="1567"/>
      <c r="AJ38" s="1567"/>
      <c r="AK38" s="1567"/>
      <c r="AL38" s="1567"/>
      <c r="AM38" s="1567"/>
      <c r="AN38" s="1567"/>
      <c r="AO38" s="1567"/>
      <c r="AP38" s="1568"/>
      <c r="AQ38" s="217"/>
      <c r="AR38" s="217"/>
    </row>
    <row r="39" spans="1:57" s="213" customFormat="1" ht="28.95" customHeight="1" thickBot="1">
      <c r="A39" s="1065" t="s">
        <v>390</v>
      </c>
      <c r="B39" s="1066"/>
      <c r="C39" s="1066"/>
      <c r="D39" s="1066"/>
      <c r="E39" s="1066"/>
      <c r="F39" s="1066"/>
      <c r="G39" s="1066"/>
      <c r="H39" s="1066"/>
      <c r="I39" s="1066"/>
      <c r="J39" s="1066"/>
      <c r="K39" s="1066"/>
      <c r="L39" s="1066"/>
      <c r="M39" s="1066"/>
      <c r="N39" s="1066"/>
      <c r="O39" s="1066"/>
      <c r="P39" s="1066"/>
      <c r="Q39" s="1066"/>
      <c r="R39" s="1066"/>
      <c r="S39" s="1066"/>
      <c r="T39" s="1066"/>
      <c r="U39" s="1066"/>
      <c r="V39" s="1066"/>
      <c r="W39" s="1066"/>
      <c r="X39" s="1066"/>
      <c r="Y39" s="1066"/>
      <c r="Z39" s="1067"/>
      <c r="AA39" s="478"/>
      <c r="AB39" s="1464"/>
      <c r="AC39" s="1465"/>
      <c r="AD39" s="1465"/>
      <c r="AE39" s="1465"/>
      <c r="AF39" s="1465"/>
      <c r="AG39" s="1465"/>
      <c r="AH39" s="1465"/>
      <c r="AI39" s="1465"/>
      <c r="AJ39" s="1465"/>
      <c r="AK39" s="1465"/>
      <c r="AL39" s="1465"/>
      <c r="AM39" s="1465"/>
      <c r="AN39" s="1465"/>
      <c r="AO39" s="1465"/>
      <c r="AP39" s="1467"/>
      <c r="AQ39" s="217"/>
      <c r="AR39" s="217"/>
    </row>
    <row r="40" spans="1:57" s="213" customFormat="1" ht="25.05" customHeight="1" thickBot="1">
      <c r="A40" s="1804"/>
      <c r="B40" s="390" t="s">
        <v>383</v>
      </c>
      <c r="C40" s="1963" t="s">
        <v>395</v>
      </c>
      <c r="D40" s="1317" t="s">
        <v>407</v>
      </c>
      <c r="E40" s="1318"/>
      <c r="F40" s="1318"/>
      <c r="G40" s="1318"/>
      <c r="H40" s="1318"/>
      <c r="I40" s="1318"/>
      <c r="J40" s="1318"/>
      <c r="K40" s="1318"/>
      <c r="L40" s="1318"/>
      <c r="M40" s="1318"/>
      <c r="N40" s="1318"/>
      <c r="O40" s="1319"/>
      <c r="P40" s="1828" t="s">
        <v>404</v>
      </c>
      <c r="Q40" s="1826"/>
      <c r="R40" s="1826"/>
      <c r="S40" s="1826"/>
      <c r="T40" s="1827"/>
      <c r="U40" s="1828" t="s">
        <v>438</v>
      </c>
      <c r="V40" s="1826"/>
      <c r="W40" s="1826"/>
      <c r="X40" s="1826"/>
      <c r="Y40" s="1827"/>
      <c r="Z40" s="1960" t="str">
        <f>IF(N43="خطا","ارتفاع فضاي خالي بالاي بستر كك (Houtage) نبايد از ارتفاع داخلي محفظه (HD) بزرگتر باشد.",IF(O43="خطا","به نظر مي رسد كه ارتفاع سطح آب تا كف محفظه كم است. ",(IF(M43="خطا","به نظر مي‌رسد كه دما در بالای محفظه کک سازی بايستي بالاتر باشد.",""))))</f>
        <v/>
      </c>
      <c r="AA40" s="478"/>
      <c r="AB40" s="1494"/>
      <c r="AC40" s="1252" t="s">
        <v>1324</v>
      </c>
      <c r="AD40" s="1252"/>
      <c r="AE40" s="1252"/>
      <c r="AF40" s="1252"/>
      <c r="AG40" s="1252"/>
      <c r="AH40" s="1252"/>
      <c r="AI40" s="1581"/>
      <c r="AJ40" s="1347" t="s">
        <v>1323</v>
      </c>
      <c r="AK40" s="1233"/>
      <c r="AL40" s="1233"/>
      <c r="AM40" s="1233"/>
      <c r="AN40" s="1233"/>
      <c r="AO40" s="1233"/>
      <c r="AP40" s="1494"/>
      <c r="AQ40" s="217"/>
      <c r="AR40" s="217"/>
    </row>
    <row r="41" spans="1:57" s="217" customFormat="1" ht="75" customHeight="1">
      <c r="A41" s="1805"/>
      <c r="B41" s="1864" t="s">
        <v>393</v>
      </c>
      <c r="C41" s="1963"/>
      <c r="D41" s="726" t="s">
        <v>1088</v>
      </c>
      <c r="E41" s="682" t="s">
        <v>1089</v>
      </c>
      <c r="F41" s="1082" t="s">
        <v>1090</v>
      </c>
      <c r="G41" s="1082"/>
      <c r="H41" s="1699" t="s">
        <v>1091</v>
      </c>
      <c r="I41" s="1391"/>
      <c r="J41" s="1699" t="s">
        <v>396</v>
      </c>
      <c r="K41" s="1391"/>
      <c r="L41" s="1699" t="s">
        <v>397</v>
      </c>
      <c r="M41" s="682" t="s">
        <v>1092</v>
      </c>
      <c r="N41" s="682" t="s">
        <v>1093</v>
      </c>
      <c r="O41" s="731" t="s">
        <v>1094</v>
      </c>
      <c r="P41" s="1664" t="s">
        <v>40</v>
      </c>
      <c r="Q41" s="1076" t="s">
        <v>39</v>
      </c>
      <c r="R41" s="1076" t="s">
        <v>145</v>
      </c>
      <c r="S41" s="1076" t="s">
        <v>147</v>
      </c>
      <c r="T41" s="713" t="s">
        <v>31</v>
      </c>
      <c r="U41" s="1664" t="s">
        <v>40</v>
      </c>
      <c r="V41" s="1076" t="s">
        <v>39</v>
      </c>
      <c r="W41" s="1076" t="s">
        <v>145</v>
      </c>
      <c r="X41" s="1076" t="s">
        <v>147</v>
      </c>
      <c r="Y41" s="713" t="s">
        <v>31</v>
      </c>
      <c r="Z41" s="1961"/>
      <c r="AA41" s="478"/>
      <c r="AB41" s="1722"/>
      <c r="AC41" s="1787" t="s">
        <v>1369</v>
      </c>
      <c r="AD41" s="1789" t="s">
        <v>1368</v>
      </c>
      <c r="AE41" s="1743" t="s">
        <v>1261</v>
      </c>
      <c r="AF41" s="1743"/>
      <c r="AG41" s="1743"/>
      <c r="AH41" s="1743"/>
      <c r="AI41" s="1744"/>
      <c r="AJ41" s="748" t="s">
        <v>40</v>
      </c>
      <c r="AK41" s="557" t="s">
        <v>39</v>
      </c>
      <c r="AL41" s="557" t="s">
        <v>145</v>
      </c>
      <c r="AM41" s="774" t="s">
        <v>147</v>
      </c>
      <c r="AN41" s="1734" t="s">
        <v>31</v>
      </c>
      <c r="AO41" s="1735"/>
      <c r="AP41" s="1495"/>
      <c r="AR41" s="556" t="s">
        <v>40</v>
      </c>
      <c r="AS41" s="557" t="s">
        <v>39</v>
      </c>
      <c r="AT41" s="557" t="s">
        <v>145</v>
      </c>
      <c r="AU41" s="557" t="s">
        <v>147</v>
      </c>
      <c r="AV41" s="558" t="s">
        <v>31</v>
      </c>
      <c r="AX41" s="556" t="s">
        <v>40</v>
      </c>
      <c r="AY41" s="557" t="s">
        <v>39</v>
      </c>
      <c r="AZ41" s="557" t="s">
        <v>145</v>
      </c>
      <c r="BA41" s="557" t="s">
        <v>147</v>
      </c>
      <c r="BB41" s="558" t="s">
        <v>31</v>
      </c>
    </row>
    <row r="42" spans="1:57" s="213" customFormat="1" ht="31.95" customHeight="1" thickBot="1">
      <c r="A42" s="1805"/>
      <c r="B42" s="1864"/>
      <c r="C42" s="1964"/>
      <c r="D42" s="767" t="s">
        <v>394</v>
      </c>
      <c r="E42" s="360" t="s">
        <v>394</v>
      </c>
      <c r="F42" s="1650" t="s">
        <v>394</v>
      </c>
      <c r="G42" s="1650"/>
      <c r="H42" s="1947" t="s">
        <v>394</v>
      </c>
      <c r="I42" s="1948"/>
      <c r="J42" s="1947"/>
      <c r="K42" s="1948"/>
      <c r="L42" s="1965"/>
      <c r="M42" s="360" t="s">
        <v>398</v>
      </c>
      <c r="N42" s="360" t="s">
        <v>398</v>
      </c>
      <c r="O42" s="361" t="s">
        <v>398</v>
      </c>
      <c r="P42" s="1665"/>
      <c r="Q42" s="1077"/>
      <c r="R42" s="1077"/>
      <c r="S42" s="1077"/>
      <c r="T42" s="714" t="s">
        <v>1095</v>
      </c>
      <c r="U42" s="1665"/>
      <c r="V42" s="1077"/>
      <c r="W42" s="1077"/>
      <c r="X42" s="1077"/>
      <c r="Y42" s="714" t="s">
        <v>146</v>
      </c>
      <c r="Z42" s="1961"/>
      <c r="AA42" s="478"/>
      <c r="AB42" s="1722"/>
      <c r="AC42" s="1788"/>
      <c r="AD42" s="1790"/>
      <c r="AE42" s="723" t="s">
        <v>40</v>
      </c>
      <c r="AF42" s="723" t="s">
        <v>39</v>
      </c>
      <c r="AG42" s="723" t="s">
        <v>145</v>
      </c>
      <c r="AH42" s="723" t="s">
        <v>147</v>
      </c>
      <c r="AI42" s="724" t="s">
        <v>31</v>
      </c>
      <c r="AJ42" s="616" t="s">
        <v>1260</v>
      </c>
      <c r="AK42" s="723" t="s">
        <v>1260</v>
      </c>
      <c r="AL42" s="723" t="s">
        <v>1260</v>
      </c>
      <c r="AM42" s="749" t="s">
        <v>1260</v>
      </c>
      <c r="AN42" s="1537" t="s">
        <v>1260</v>
      </c>
      <c r="AO42" s="1762"/>
      <c r="AP42" s="1495"/>
      <c r="AQ42" s="217"/>
      <c r="AR42" s="1782" t="s">
        <v>1285</v>
      </c>
      <c r="AS42" s="1558"/>
      <c r="AT42" s="1558"/>
      <c r="AU42" s="1558"/>
      <c r="AV42" s="1783"/>
      <c r="AX42" s="1784" t="s">
        <v>1286</v>
      </c>
      <c r="AY42" s="1289"/>
      <c r="AZ42" s="1289"/>
      <c r="BA42" s="1289"/>
      <c r="BB42" s="1785"/>
      <c r="BD42" s="718" t="s">
        <v>1370</v>
      </c>
      <c r="BE42" s="718" t="s">
        <v>1371</v>
      </c>
    </row>
    <row r="43" spans="1:57" ht="47.55" customHeight="1" thickBot="1">
      <c r="A43" s="1805"/>
      <c r="B43" s="1864"/>
      <c r="C43" s="362" t="s">
        <v>316</v>
      </c>
      <c r="D43" s="288"/>
      <c r="E43" s="802"/>
      <c r="F43" s="1907"/>
      <c r="G43" s="1908"/>
      <c r="H43" s="1907"/>
      <c r="I43" s="1908"/>
      <c r="J43" s="1907"/>
      <c r="K43" s="1908"/>
      <c r="L43" s="363"/>
      <c r="M43" s="391" t="str">
        <f>IF(OR(D43="",E43="",F43="",H43="",J43="",L43="",N43="",O43=""),"",(IF(OR(N43="خطا،  (Houtage) بايد از (HD) كوچكتر باشد.",O43="خطا، (HW) بايد كوچكتر از (HD) باشد.",O43="خطا، به نظر مي رسد كه (HW) بايد بزرگتر باشد."),"",IF(((((1-0.1)*((O43*4182)+(N43*1108)))/(2.4*(10^6)))*((J43-100)/2))&gt;0,((((1-0.1)*((O43*4182)+(N43*1108)))/(2.4*(10^6)))*((J43-100)/2)),"خطا، دما در بالای محفظه کک سازی بايد بزرگتر از 100 درجه سلسيوس باشد."))))</f>
        <v/>
      </c>
      <c r="N43" s="391" t="str">
        <f>IF(OR(D43="",E43="",F43="",H43="",J43="",L43=""),"",(IF((710*((E43-F43)*(3.14159265359*(D43^2)/4)))&gt;0,(710*((E43-F43)*(3.14159265359*(D43^2)/4))),"خطا،  (Houtage) بايد از (HD) كوچكتر باشد.")))</f>
        <v/>
      </c>
      <c r="O43" s="391" t="str">
        <f>IF(OR(D43="",E43="",F43="",H43="",J43="",L43=""),"",    (      IF(N43="خطا،  (Houtage) بايد از (HD) كوچكتر باشد.","",(IF(H43&gt;E43,"خطا، (HW) بايد كوچكتر از (HD) باشد.",         (IF((1000*((H43*(3.14159265359*(D43^2)/4))-(N43/1417)))&gt;0,(1000*((H43*(3.14159265359*(D43^2)/4))-(N43/1417))),"خطا، به نظر مي رسد كه (HW) بايد بزرگتر باشد."))            ))      )      ))</f>
        <v/>
      </c>
      <c r="P43" s="1957" t="s">
        <v>400</v>
      </c>
      <c r="Q43" s="1958"/>
      <c r="R43" s="1958"/>
      <c r="S43" s="1959"/>
      <c r="T43" s="364">
        <v>1.7</v>
      </c>
      <c r="U43" s="1957" t="s">
        <v>400</v>
      </c>
      <c r="V43" s="1958"/>
      <c r="W43" s="1958"/>
      <c r="X43" s="1959"/>
      <c r="Y43" s="365" t="str">
        <f>IF(OR(N43="",N43="خطا،  (Houtage) بايد از (HD) كوچكتر باشد.",O43="خطا، (HW) بايد كوچكتر از (HD) باشد.",O43="",O43="خطا، به نظر مي رسد كه (HW) بايد بزرگتر باشد.",M43="",M43="خطا، دما در بالای محفظه کک سازی بايد بزرگتر از 100 درجه سلسيوس باشد."),"",(M43*T43*L43*(10^-6)))</f>
        <v/>
      </c>
      <c r="Z43" s="1961"/>
      <c r="AA43" s="478"/>
      <c r="AB43" s="1722"/>
      <c r="AC43" s="228"/>
      <c r="AD43" s="228"/>
      <c r="AE43" s="1402"/>
      <c r="AF43" s="1402"/>
      <c r="AG43" s="1402"/>
      <c r="AH43" s="1402"/>
      <c r="AI43" s="596">
        <v>40</v>
      </c>
      <c r="AJ43" s="1786"/>
      <c r="AK43" s="1590"/>
      <c r="AL43" s="1590"/>
      <c r="AM43" s="1590"/>
      <c r="AN43" s="1590" t="str">
        <f>IF(BD43="","",IF(OR(AD43="",AD43=0),(SQRT((BD43^2)+(BE43^2)+(0)^2)),(SQRT((BD43^2)+(BE43^2)+(AD43)^2))  )               )</f>
        <v/>
      </c>
      <c r="AO43" s="1776"/>
      <c r="AP43" s="1495"/>
      <c r="AQ43" s="217"/>
      <c r="AR43" s="1777"/>
      <c r="AS43" s="1760"/>
      <c r="AT43" s="1760"/>
      <c r="AU43" s="1761"/>
      <c r="AV43" s="597" t="str">
        <f>IF(OR(AN43="",Y43=""),"",AN43*Y43)</f>
        <v/>
      </c>
      <c r="AW43" s="213"/>
      <c r="AX43" s="1777"/>
      <c r="AY43" s="1760"/>
      <c r="AZ43" s="1760"/>
      <c r="BA43" s="1761"/>
      <c r="BB43" s="597" t="str">
        <f t="shared" ref="BB43" si="5">IF(AV43="","",AV43^2)</f>
        <v/>
      </c>
      <c r="BD43" s="718" t="str">
        <f>IF(OR(AC43="",J43=""),"",SQRT((AC43)^2*(J43)^2)/(J43-100))</f>
        <v/>
      </c>
      <c r="BE43" s="718">
        <f>SQRT((0.1)^2*(40)^2)/(0.9)</f>
        <v>4.4444444444444446</v>
      </c>
    </row>
    <row r="44" spans="1:57" ht="47.55" customHeight="1" thickBot="1">
      <c r="A44" s="1805"/>
      <c r="B44" s="1864"/>
      <c r="C44" s="366" t="s">
        <v>317</v>
      </c>
      <c r="D44" s="288"/>
      <c r="E44" s="802"/>
      <c r="F44" s="1907"/>
      <c r="G44" s="1908"/>
      <c r="H44" s="1907"/>
      <c r="I44" s="1908"/>
      <c r="J44" s="1907"/>
      <c r="K44" s="1908"/>
      <c r="L44" s="363"/>
      <c r="M44" s="391" t="str">
        <f t="shared" ref="M44:M48" si="6">IF(OR(D44="",E44="",F44="",H44="",J44="",L44="",N44="",O44=""),"",(IF(OR(N44="خطا،  (Houtage) بايد از (HD) كوچكتر باشد.",O44="خطا، (HW) بايد كوچكتر از (HD) باشد.",O44="خطا، به نظر مي رسد كه (HW) بايد بزرگتر باشد."),"",IF(((((1-0.1)*((O44*4182)+(N44*1108)))/(2.4*(10^6)))*((J44-100)/2))&gt;0,((((1-0.1)*((O44*4182)+(N44*1108)))/(2.4*(10^6)))*((J44-100)/2)),"خطا، دما در بالای محفظه کک سازی بايد بزرگتر از 100 درجه سلسيوس باشد."))))</f>
        <v/>
      </c>
      <c r="N44" s="391" t="str">
        <f t="shared" ref="N44:N48" si="7">IF(OR(D44="",E44="",F44="",H44="",J44="",L44=""),"",(IF((710*((E44-F44)*(3.14159265359*(D44^2)/4)))&gt;0,(710*((E44-F44)*(3.14159265359*(D44^2)/4))),"خطا،  (Houtage) بايد از (HD) كوچكتر باشد.")))</f>
        <v/>
      </c>
      <c r="O44" s="391" t="str">
        <f t="shared" ref="O44:O48" si="8">IF(OR(D44="",E44="",F44="",H44="",J44="",L44=""),"",    (      IF(N44="خطا،  (Houtage) بايد از (HD) كوچكتر باشد.","",(IF(H44&gt;E44,"خطا، (HW) بايد كوچكتر از (HD) باشد.",         (IF((1000*((H44*(3.14159265359*(D44^2)/4))-(N44/1417)))&gt;0,(1000*((H44*(3.14159265359*(D44^2)/4))-(N44/1417))),"خطا، به نظر مي رسد كه (HW) بايد بزرگتر باشد."))            ))      )      ))</f>
        <v/>
      </c>
      <c r="P44" s="1957"/>
      <c r="Q44" s="1958"/>
      <c r="R44" s="1958"/>
      <c r="S44" s="1959"/>
      <c r="T44" s="368">
        <v>1.7</v>
      </c>
      <c r="U44" s="1957"/>
      <c r="V44" s="1958"/>
      <c r="W44" s="1958"/>
      <c r="X44" s="1959"/>
      <c r="Y44" s="365" t="str">
        <f t="shared" ref="Y44:Y48" si="9">IF(OR(N44="",N44="خطا،  (Houtage) بايد از (HD) كوچكتر باشد.",O44="خطا، (HW) بايد كوچكتر از (HD) باشد.",O44="",O44="خطا، به نظر مي رسد كه (HW) بايد بزرگتر باشد.",M44="",M44="خطا، دما در بالای محفظه کک سازی بايد بزرگتر از 100 درجه سلسيوس باشد."),"",(M44*T44*L44*(10^-6)))</f>
        <v/>
      </c>
      <c r="Z44" s="1961"/>
      <c r="AA44" s="478"/>
      <c r="AB44" s="1495"/>
      <c r="AC44" s="228"/>
      <c r="AD44" s="615"/>
      <c r="AE44" s="1400"/>
      <c r="AF44" s="1400"/>
      <c r="AG44" s="1400"/>
      <c r="AH44" s="1400"/>
      <c r="AI44" s="595">
        <v>40</v>
      </c>
      <c r="AJ44" s="1775"/>
      <c r="AK44" s="1562"/>
      <c r="AL44" s="1562"/>
      <c r="AM44" s="1562"/>
      <c r="AN44" s="1590" t="str">
        <f t="shared" ref="AN44:AN47" si="10">IF(BD44="","",IF(OR(AD44="",AD44=0),(SQRT((BD44^2)+(BE44^2)+(0)^2)),(SQRT((BD44^2)+(BE44^2)+(AD44)^2))  )               )</f>
        <v/>
      </c>
      <c r="AO44" s="1776"/>
      <c r="AP44" s="1495"/>
      <c r="AQ44" s="217"/>
      <c r="AR44" s="1777"/>
      <c r="AS44" s="1760"/>
      <c r="AT44" s="1760"/>
      <c r="AU44" s="1761"/>
      <c r="AV44" s="597" t="str">
        <f t="shared" ref="AV44:AV47" si="11">IF(OR(AN44="",Y44=""),"",AN44*Y44)</f>
        <v/>
      </c>
      <c r="AW44" s="213"/>
      <c r="AX44" s="1777"/>
      <c r="AY44" s="1760"/>
      <c r="AZ44" s="1760"/>
      <c r="BA44" s="1761"/>
      <c r="BB44" s="597" t="str">
        <f t="shared" ref="BB44:BB48" si="12">IF(AV44="","",AV44^2)</f>
        <v/>
      </c>
      <c r="BD44" s="718" t="str">
        <f t="shared" ref="BD44:BD47" si="13">IF(OR(AC44="",J44=""),"",SQRT((AC44)^2*(J44)^2)/(J44-100))</f>
        <v/>
      </c>
      <c r="BE44" s="718">
        <f t="shared" ref="BE44:BE48" si="14">SQRT((0.1)^2*(40)^2)/(0.9)</f>
        <v>4.4444444444444446</v>
      </c>
    </row>
    <row r="45" spans="1:57" ht="47.55" customHeight="1" thickBot="1">
      <c r="A45" s="1805"/>
      <c r="B45" s="1864"/>
      <c r="C45" s="366" t="s">
        <v>318</v>
      </c>
      <c r="D45" s="288"/>
      <c r="E45" s="802"/>
      <c r="F45" s="1907"/>
      <c r="G45" s="1908"/>
      <c r="H45" s="1907"/>
      <c r="I45" s="1908"/>
      <c r="J45" s="1907"/>
      <c r="K45" s="1908"/>
      <c r="L45" s="363"/>
      <c r="M45" s="391" t="str">
        <f t="shared" si="6"/>
        <v/>
      </c>
      <c r="N45" s="391" t="str">
        <f t="shared" si="7"/>
        <v/>
      </c>
      <c r="O45" s="391" t="str">
        <f t="shared" si="8"/>
        <v/>
      </c>
      <c r="P45" s="1957"/>
      <c r="Q45" s="1958"/>
      <c r="R45" s="1958"/>
      <c r="S45" s="1959"/>
      <c r="T45" s="368">
        <v>1.7</v>
      </c>
      <c r="U45" s="1957"/>
      <c r="V45" s="1958"/>
      <c r="W45" s="1958"/>
      <c r="X45" s="1959"/>
      <c r="Y45" s="365" t="str">
        <f t="shared" si="9"/>
        <v/>
      </c>
      <c r="Z45" s="1961"/>
      <c r="AA45" s="478"/>
      <c r="AB45" s="1495"/>
      <c r="AC45" s="228"/>
      <c r="AD45" s="615"/>
      <c r="AE45" s="1400"/>
      <c r="AF45" s="1400"/>
      <c r="AG45" s="1400"/>
      <c r="AH45" s="1400"/>
      <c r="AI45" s="595">
        <v>40</v>
      </c>
      <c r="AJ45" s="1775"/>
      <c r="AK45" s="1562"/>
      <c r="AL45" s="1562"/>
      <c r="AM45" s="1562"/>
      <c r="AN45" s="1590" t="str">
        <f t="shared" si="10"/>
        <v/>
      </c>
      <c r="AO45" s="1776"/>
      <c r="AP45" s="1495"/>
      <c r="AQ45" s="217"/>
      <c r="AR45" s="1777"/>
      <c r="AS45" s="1760"/>
      <c r="AT45" s="1760"/>
      <c r="AU45" s="1761"/>
      <c r="AV45" s="597" t="str">
        <f t="shared" si="11"/>
        <v/>
      </c>
      <c r="AW45" s="213"/>
      <c r="AX45" s="1777"/>
      <c r="AY45" s="1760"/>
      <c r="AZ45" s="1760"/>
      <c r="BA45" s="1761"/>
      <c r="BB45" s="597" t="str">
        <f t="shared" si="12"/>
        <v/>
      </c>
      <c r="BD45" s="718" t="str">
        <f t="shared" si="13"/>
        <v/>
      </c>
      <c r="BE45" s="718">
        <f t="shared" si="14"/>
        <v>4.4444444444444446</v>
      </c>
    </row>
    <row r="46" spans="1:57" ht="47.55" customHeight="1" thickBot="1">
      <c r="A46" s="1805"/>
      <c r="B46" s="1864"/>
      <c r="C46" s="366" t="s">
        <v>319</v>
      </c>
      <c r="D46" s="288"/>
      <c r="E46" s="802"/>
      <c r="F46" s="1907"/>
      <c r="G46" s="1908"/>
      <c r="H46" s="1953"/>
      <c r="I46" s="1954"/>
      <c r="J46" s="1953"/>
      <c r="K46" s="1954"/>
      <c r="L46" s="367"/>
      <c r="M46" s="391" t="str">
        <f t="shared" si="6"/>
        <v/>
      </c>
      <c r="N46" s="391" t="str">
        <f t="shared" si="7"/>
        <v/>
      </c>
      <c r="O46" s="391" t="str">
        <f t="shared" si="8"/>
        <v/>
      </c>
      <c r="P46" s="1957"/>
      <c r="Q46" s="1958"/>
      <c r="R46" s="1958"/>
      <c r="S46" s="1959"/>
      <c r="T46" s="368">
        <v>1.7</v>
      </c>
      <c r="U46" s="1957"/>
      <c r="V46" s="1958"/>
      <c r="W46" s="1958"/>
      <c r="X46" s="1959"/>
      <c r="Y46" s="365" t="str">
        <f t="shared" si="9"/>
        <v/>
      </c>
      <c r="Z46" s="1961"/>
      <c r="AA46" s="478"/>
      <c r="AB46" s="1495"/>
      <c r="AC46" s="228"/>
      <c r="AD46" s="615"/>
      <c r="AE46" s="1400"/>
      <c r="AF46" s="1400"/>
      <c r="AG46" s="1400"/>
      <c r="AH46" s="1400"/>
      <c r="AI46" s="595">
        <v>40</v>
      </c>
      <c r="AJ46" s="1775"/>
      <c r="AK46" s="1562"/>
      <c r="AL46" s="1562"/>
      <c r="AM46" s="1562"/>
      <c r="AN46" s="1590" t="str">
        <f t="shared" si="10"/>
        <v/>
      </c>
      <c r="AO46" s="1776"/>
      <c r="AP46" s="1495"/>
      <c r="AQ46" s="217"/>
      <c r="AR46" s="1777"/>
      <c r="AS46" s="1760"/>
      <c r="AT46" s="1760"/>
      <c r="AU46" s="1761"/>
      <c r="AV46" s="597" t="str">
        <f t="shared" si="11"/>
        <v/>
      </c>
      <c r="AW46" s="213"/>
      <c r="AX46" s="1777"/>
      <c r="AY46" s="1760"/>
      <c r="AZ46" s="1760"/>
      <c r="BA46" s="1761"/>
      <c r="BB46" s="597" t="str">
        <f t="shared" si="12"/>
        <v/>
      </c>
      <c r="BD46" s="718" t="str">
        <f t="shared" si="13"/>
        <v/>
      </c>
      <c r="BE46" s="718">
        <f t="shared" si="14"/>
        <v>4.4444444444444446</v>
      </c>
    </row>
    <row r="47" spans="1:57" ht="47.55" customHeight="1" thickBot="1">
      <c r="A47" s="1805"/>
      <c r="B47" s="1864"/>
      <c r="C47" s="366" t="s">
        <v>320</v>
      </c>
      <c r="D47" s="288"/>
      <c r="E47" s="802"/>
      <c r="F47" s="1907"/>
      <c r="G47" s="1908"/>
      <c r="H47" s="1953"/>
      <c r="I47" s="1954"/>
      <c r="J47" s="1953"/>
      <c r="K47" s="1954"/>
      <c r="L47" s="367"/>
      <c r="M47" s="391" t="str">
        <f t="shared" si="6"/>
        <v/>
      </c>
      <c r="N47" s="391" t="str">
        <f t="shared" si="7"/>
        <v/>
      </c>
      <c r="O47" s="391" t="str">
        <f t="shared" si="8"/>
        <v/>
      </c>
      <c r="P47" s="1957"/>
      <c r="Q47" s="1958"/>
      <c r="R47" s="1958"/>
      <c r="S47" s="1959"/>
      <c r="T47" s="368">
        <v>1.7</v>
      </c>
      <c r="U47" s="1957"/>
      <c r="V47" s="1958"/>
      <c r="W47" s="1958"/>
      <c r="X47" s="1959"/>
      <c r="Y47" s="365" t="str">
        <f t="shared" si="9"/>
        <v/>
      </c>
      <c r="Z47" s="1961"/>
      <c r="AA47" s="478"/>
      <c r="AB47" s="1495"/>
      <c r="AC47" s="228"/>
      <c r="AD47" s="615"/>
      <c r="AE47" s="1400"/>
      <c r="AF47" s="1400"/>
      <c r="AG47" s="1400"/>
      <c r="AH47" s="1400"/>
      <c r="AI47" s="595">
        <v>40</v>
      </c>
      <c r="AJ47" s="1775"/>
      <c r="AK47" s="1562"/>
      <c r="AL47" s="1562"/>
      <c r="AM47" s="1562"/>
      <c r="AN47" s="1590" t="str">
        <f t="shared" si="10"/>
        <v/>
      </c>
      <c r="AO47" s="1776"/>
      <c r="AP47" s="1495"/>
      <c r="AQ47" s="217"/>
      <c r="AR47" s="1777"/>
      <c r="AS47" s="1760"/>
      <c r="AT47" s="1760"/>
      <c r="AU47" s="1761"/>
      <c r="AV47" s="597" t="str">
        <f t="shared" si="11"/>
        <v/>
      </c>
      <c r="AW47" s="213"/>
      <c r="AX47" s="1777"/>
      <c r="AY47" s="1760"/>
      <c r="AZ47" s="1760"/>
      <c r="BA47" s="1761"/>
      <c r="BB47" s="597" t="str">
        <f t="shared" si="12"/>
        <v/>
      </c>
      <c r="BD47" s="718" t="str">
        <f t="shared" si="13"/>
        <v/>
      </c>
      <c r="BE47" s="718">
        <f t="shared" si="14"/>
        <v>4.4444444444444446</v>
      </c>
    </row>
    <row r="48" spans="1:57" ht="47.55" customHeight="1" thickBot="1">
      <c r="A48" s="1806"/>
      <c r="B48" s="1956"/>
      <c r="C48" s="369" t="s">
        <v>321</v>
      </c>
      <c r="D48" s="370"/>
      <c r="E48" s="371"/>
      <c r="F48" s="1949"/>
      <c r="G48" s="1950"/>
      <c r="H48" s="1951"/>
      <c r="I48" s="1952"/>
      <c r="J48" s="1951"/>
      <c r="K48" s="1952"/>
      <c r="L48" s="372"/>
      <c r="M48" s="391" t="str">
        <f t="shared" si="6"/>
        <v/>
      </c>
      <c r="N48" s="391" t="str">
        <f t="shared" si="7"/>
        <v/>
      </c>
      <c r="O48" s="391" t="str">
        <f t="shared" si="8"/>
        <v/>
      </c>
      <c r="P48" s="1957"/>
      <c r="Q48" s="1958"/>
      <c r="R48" s="1958"/>
      <c r="S48" s="1959"/>
      <c r="T48" s="373">
        <v>1.7</v>
      </c>
      <c r="U48" s="1957"/>
      <c r="V48" s="1958"/>
      <c r="W48" s="1958"/>
      <c r="X48" s="1959"/>
      <c r="Y48" s="365" t="str">
        <f t="shared" si="9"/>
        <v/>
      </c>
      <c r="Z48" s="1962"/>
      <c r="AA48" s="478"/>
      <c r="AB48" s="1496"/>
      <c r="AC48" s="228"/>
      <c r="AD48" s="615"/>
      <c r="AE48" s="1400"/>
      <c r="AF48" s="1400"/>
      <c r="AG48" s="1400"/>
      <c r="AH48" s="1400"/>
      <c r="AI48" s="595">
        <v>40</v>
      </c>
      <c r="AJ48" s="1778"/>
      <c r="AK48" s="1564"/>
      <c r="AL48" s="1564"/>
      <c r="AM48" s="1564"/>
      <c r="AN48" s="1590" t="str">
        <f>IF(BD48="","",IF(OR(AD48="",AD48=0),(SQRT((BD48^2)+(BE48^2)+(0)^2)),(SQRT((BD48^2)+(BE48^2)+(AD48)^2))  )               )</f>
        <v/>
      </c>
      <c r="AO48" s="1776"/>
      <c r="AP48" s="1496"/>
      <c r="AQ48" s="217"/>
      <c r="AR48" s="1779"/>
      <c r="AS48" s="1780"/>
      <c r="AT48" s="1780"/>
      <c r="AU48" s="1781"/>
      <c r="AV48" s="591" t="str">
        <f>IF(OR(AN48="",Y48=""),"",AN48*Y48)</f>
        <v/>
      </c>
      <c r="AW48" s="213"/>
      <c r="AX48" s="1779"/>
      <c r="AY48" s="1780"/>
      <c r="AZ48" s="1780"/>
      <c r="BA48" s="1781"/>
      <c r="BB48" s="591" t="str">
        <f t="shared" si="12"/>
        <v/>
      </c>
      <c r="BD48" s="718" t="str">
        <f>IF(OR(AC48="",J48=""),"",SQRT((AC48)^2*(J48)^2)/(J48-100))</f>
        <v/>
      </c>
      <c r="BE48" s="718">
        <f t="shared" si="14"/>
        <v>4.4444444444444446</v>
      </c>
    </row>
    <row r="49" spans="1:56" ht="36.450000000000003" customHeight="1" thickBot="1">
      <c r="A49" s="1878" t="s">
        <v>776</v>
      </c>
      <c r="B49" s="1879"/>
      <c r="C49" s="1879"/>
      <c r="D49" s="1879"/>
      <c r="E49" s="1879"/>
      <c r="F49" s="1879"/>
      <c r="G49" s="1879"/>
      <c r="H49" s="1879"/>
      <c r="I49" s="1879"/>
      <c r="J49" s="1879"/>
      <c r="K49" s="1879"/>
      <c r="L49" s="1879"/>
      <c r="M49" s="1879"/>
      <c r="N49" s="1879"/>
      <c r="O49" s="1879"/>
      <c r="P49" s="1879"/>
      <c r="Q49" s="1879"/>
      <c r="R49" s="1879"/>
      <c r="S49" s="1879"/>
      <c r="T49" s="1879"/>
      <c r="U49" s="1879"/>
      <c r="V49" s="1879"/>
      <c r="W49" s="1879"/>
      <c r="X49" s="1879"/>
      <c r="Y49" s="1879"/>
      <c r="Z49" s="1879"/>
      <c r="AA49" s="478"/>
      <c r="AB49" s="1566" t="s">
        <v>1537</v>
      </c>
      <c r="AC49" s="1567"/>
      <c r="AD49" s="1567"/>
      <c r="AE49" s="1567"/>
      <c r="AF49" s="1567"/>
      <c r="AG49" s="1567"/>
      <c r="AH49" s="1567"/>
      <c r="AI49" s="1567"/>
      <c r="AJ49" s="1567"/>
      <c r="AK49" s="1567"/>
      <c r="AL49" s="1567"/>
      <c r="AM49" s="1567"/>
      <c r="AN49" s="1567"/>
      <c r="AO49" s="1567"/>
      <c r="AP49" s="1568"/>
    </row>
    <row r="50" spans="1:56" ht="28.95" customHeight="1" thickBot="1">
      <c r="A50" s="1065" t="s">
        <v>430</v>
      </c>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7"/>
      <c r="AA50" s="478"/>
      <c r="AB50" s="1464"/>
      <c r="AC50" s="1465"/>
      <c r="AD50" s="1465"/>
      <c r="AE50" s="1465"/>
      <c r="AF50" s="1465"/>
      <c r="AG50" s="1465"/>
      <c r="AH50" s="1465"/>
      <c r="AI50" s="1465"/>
      <c r="AJ50" s="1465"/>
      <c r="AK50" s="1465"/>
      <c r="AL50" s="1465"/>
      <c r="AM50" s="1465"/>
      <c r="AN50" s="1465"/>
      <c r="AO50" s="1465"/>
      <c r="AP50" s="1467"/>
    </row>
    <row r="51" spans="1:56" ht="25.05" customHeight="1" thickBot="1">
      <c r="A51" s="1804"/>
      <c r="B51" s="791" t="s">
        <v>383</v>
      </c>
      <c r="C51" s="1317" t="s">
        <v>406</v>
      </c>
      <c r="D51" s="1318"/>
      <c r="E51" s="1318"/>
      <c r="F51" s="1318"/>
      <c r="G51" s="1318"/>
      <c r="H51" s="1318"/>
      <c r="I51" s="1318"/>
      <c r="J51" s="1318"/>
      <c r="K51" s="1318"/>
      <c r="L51" s="1318"/>
      <c r="M51" s="1318"/>
      <c r="N51" s="1318"/>
      <c r="O51" s="1319"/>
      <c r="P51" s="1826" t="s">
        <v>405</v>
      </c>
      <c r="Q51" s="1826"/>
      <c r="R51" s="1826"/>
      <c r="S51" s="1826"/>
      <c r="T51" s="1827"/>
      <c r="U51" s="1828" t="s">
        <v>437</v>
      </c>
      <c r="V51" s="1826"/>
      <c r="W51" s="1826"/>
      <c r="X51" s="1826"/>
      <c r="Y51" s="1827"/>
      <c r="Z51" s="1845"/>
      <c r="AA51" s="478"/>
      <c r="AB51" s="568"/>
      <c r="AC51" s="1252" t="s">
        <v>1324</v>
      </c>
      <c r="AD51" s="1252"/>
      <c r="AE51" s="1252"/>
      <c r="AF51" s="1252"/>
      <c r="AG51" s="1252"/>
      <c r="AH51" s="1252"/>
      <c r="AI51" s="1581"/>
      <c r="AJ51" s="1730" t="s">
        <v>1323</v>
      </c>
      <c r="AK51" s="1205"/>
      <c r="AL51" s="1205"/>
      <c r="AM51" s="1205"/>
      <c r="AN51" s="1205"/>
      <c r="AO51" s="1206"/>
      <c r="AP51" s="1494"/>
    </row>
    <row r="52" spans="1:56" ht="26.55" customHeight="1">
      <c r="A52" s="1805"/>
      <c r="B52" s="1810" t="s">
        <v>401</v>
      </c>
      <c r="C52" s="1072" t="s">
        <v>402</v>
      </c>
      <c r="D52" s="1866"/>
      <c r="E52" s="1866"/>
      <c r="F52" s="1866"/>
      <c r="G52" s="1866"/>
      <c r="H52" s="1866"/>
      <c r="I52" s="1866"/>
      <c r="J52" s="1866"/>
      <c r="K52" s="1866"/>
      <c r="L52" s="1866"/>
      <c r="M52" s="1866"/>
      <c r="N52" s="1866"/>
      <c r="O52" s="1867"/>
      <c r="P52" s="1079" t="s">
        <v>40</v>
      </c>
      <c r="Q52" s="1076" t="s">
        <v>39</v>
      </c>
      <c r="R52" s="1076" t="s">
        <v>145</v>
      </c>
      <c r="S52" s="1076" t="s">
        <v>147</v>
      </c>
      <c r="T52" s="713" t="s">
        <v>31</v>
      </c>
      <c r="U52" s="1664" t="s">
        <v>40</v>
      </c>
      <c r="V52" s="1076" t="s">
        <v>39</v>
      </c>
      <c r="W52" s="1076" t="s">
        <v>145</v>
      </c>
      <c r="X52" s="1076" t="s">
        <v>147</v>
      </c>
      <c r="Y52" s="713" t="s">
        <v>31</v>
      </c>
      <c r="Z52" s="1846"/>
      <c r="AA52" s="478"/>
      <c r="AB52" s="569"/>
      <c r="AC52" s="1583" t="s">
        <v>1325</v>
      </c>
      <c r="AD52" s="1584"/>
      <c r="AE52" s="1258" t="s">
        <v>1261</v>
      </c>
      <c r="AF52" s="1258"/>
      <c r="AG52" s="1258"/>
      <c r="AH52" s="1258"/>
      <c r="AI52" s="1582"/>
      <c r="AJ52" s="556" t="s">
        <v>40</v>
      </c>
      <c r="AK52" s="557" t="s">
        <v>39</v>
      </c>
      <c r="AL52" s="557" t="s">
        <v>145</v>
      </c>
      <c r="AM52" s="774" t="s">
        <v>147</v>
      </c>
      <c r="AN52" s="1734" t="s">
        <v>31</v>
      </c>
      <c r="AO52" s="1735"/>
      <c r="AP52" s="1495"/>
      <c r="AR52" s="529" t="s">
        <v>40</v>
      </c>
      <c r="AS52" s="530" t="s">
        <v>39</v>
      </c>
      <c r="AT52" s="530" t="s">
        <v>145</v>
      </c>
      <c r="AU52" s="530" t="s">
        <v>147</v>
      </c>
      <c r="AV52" s="531" t="s">
        <v>31</v>
      </c>
      <c r="AW52" s="217"/>
      <c r="AX52" s="529" t="s">
        <v>40</v>
      </c>
      <c r="AY52" s="530" t="s">
        <v>39</v>
      </c>
      <c r="AZ52" s="530" t="s">
        <v>145</v>
      </c>
      <c r="BA52" s="530" t="s">
        <v>147</v>
      </c>
      <c r="BB52" s="531" t="s">
        <v>31</v>
      </c>
    </row>
    <row r="53" spans="1:56" ht="26.55" customHeight="1" thickBot="1">
      <c r="A53" s="1805"/>
      <c r="B53" s="1810"/>
      <c r="C53" s="1928" t="s">
        <v>1077</v>
      </c>
      <c r="D53" s="1929"/>
      <c r="E53" s="1929"/>
      <c r="F53" s="1929"/>
      <c r="G53" s="1929"/>
      <c r="H53" s="1929"/>
      <c r="I53" s="1929"/>
      <c r="J53" s="1929"/>
      <c r="K53" s="1929"/>
      <c r="L53" s="1929"/>
      <c r="M53" s="1929"/>
      <c r="N53" s="1929"/>
      <c r="O53" s="1930"/>
      <c r="P53" s="1927"/>
      <c r="Q53" s="1925"/>
      <c r="R53" s="1925"/>
      <c r="S53" s="1925"/>
      <c r="T53" s="4" t="s">
        <v>1096</v>
      </c>
      <c r="U53" s="1926"/>
      <c r="V53" s="1925"/>
      <c r="W53" s="1925"/>
      <c r="X53" s="1925"/>
      <c r="Y53" s="4" t="s">
        <v>146</v>
      </c>
      <c r="Z53" s="1846"/>
      <c r="AA53" s="478"/>
      <c r="AB53" s="569"/>
      <c r="AC53" s="1585"/>
      <c r="AD53" s="1586"/>
      <c r="AE53" s="739" t="s">
        <v>40</v>
      </c>
      <c r="AF53" s="739" t="s">
        <v>39</v>
      </c>
      <c r="AG53" s="739" t="s">
        <v>145</v>
      </c>
      <c r="AH53" s="739" t="s">
        <v>147</v>
      </c>
      <c r="AI53" s="775" t="s">
        <v>31</v>
      </c>
      <c r="AJ53" s="567" t="s">
        <v>1260</v>
      </c>
      <c r="AK53" s="723" t="s">
        <v>1260</v>
      </c>
      <c r="AL53" s="723" t="s">
        <v>1260</v>
      </c>
      <c r="AM53" s="749" t="s">
        <v>1260</v>
      </c>
      <c r="AN53" s="1537" t="s">
        <v>1260</v>
      </c>
      <c r="AO53" s="1762"/>
      <c r="AP53" s="1495"/>
      <c r="AR53" s="1557" t="s">
        <v>1285</v>
      </c>
      <c r="AS53" s="1558"/>
      <c r="AT53" s="1558"/>
      <c r="AU53" s="1558"/>
      <c r="AV53" s="1559"/>
      <c r="AW53" s="213"/>
      <c r="AX53" s="1289" t="s">
        <v>1286</v>
      </c>
      <c r="AY53" s="1289"/>
      <c r="AZ53" s="1289"/>
      <c r="BA53" s="1289"/>
      <c r="BB53" s="1289"/>
    </row>
    <row r="54" spans="1:56" ht="27" customHeight="1" thickBot="1">
      <c r="A54" s="1806"/>
      <c r="B54" s="1946"/>
      <c r="C54" s="1943"/>
      <c r="D54" s="1944"/>
      <c r="E54" s="1944"/>
      <c r="F54" s="1944"/>
      <c r="G54" s="1944"/>
      <c r="H54" s="1944"/>
      <c r="I54" s="1944"/>
      <c r="J54" s="1944"/>
      <c r="K54" s="1944"/>
      <c r="L54" s="1944"/>
      <c r="M54" s="1944"/>
      <c r="N54" s="1944"/>
      <c r="O54" s="1945"/>
      <c r="P54" s="1942" t="s">
        <v>418</v>
      </c>
      <c r="Q54" s="1819"/>
      <c r="R54" s="1819"/>
      <c r="S54" s="1819"/>
      <c r="T54" s="375">
        <v>0.68</v>
      </c>
      <c r="U54" s="1818" t="s">
        <v>419</v>
      </c>
      <c r="V54" s="1819"/>
      <c r="W54" s="1819"/>
      <c r="X54" s="1819"/>
      <c r="Y54" s="376" t="str">
        <f>IF(C54="","",(T54*C54*(10^-6)))</f>
        <v/>
      </c>
      <c r="Z54" s="1847"/>
      <c r="AA54" s="478"/>
      <c r="AB54" s="571"/>
      <c r="AC54" s="1763"/>
      <c r="AD54" s="1764"/>
      <c r="AE54" s="1765"/>
      <c r="AF54" s="1766"/>
      <c r="AG54" s="1766"/>
      <c r="AH54" s="1767"/>
      <c r="AI54" s="598">
        <v>40</v>
      </c>
      <c r="AJ54" s="1768"/>
      <c r="AK54" s="1756"/>
      <c r="AL54" s="1756"/>
      <c r="AM54" s="1756"/>
      <c r="AN54" s="1756" t="str">
        <f>IF(AC54="","",(SQRT((AC54^2)+(AI54^2))))</f>
        <v/>
      </c>
      <c r="AO54" s="1757"/>
      <c r="AP54" s="1758"/>
      <c r="AR54" s="1759"/>
      <c r="AS54" s="1760"/>
      <c r="AT54" s="1760"/>
      <c r="AU54" s="1761"/>
      <c r="AV54" s="719" t="str">
        <f t="shared" ref="AV54" si="15">IF(OR(AN54="",Y54=""),"",AN54*Y54)</f>
        <v/>
      </c>
      <c r="AW54" s="213"/>
      <c r="AX54" s="1759"/>
      <c r="AY54" s="1760"/>
      <c r="AZ54" s="1760"/>
      <c r="BA54" s="1761"/>
      <c r="BB54" s="719" t="str">
        <f t="shared" ref="BB54" si="16">IF(AV54="","",AV54^2)</f>
        <v/>
      </c>
    </row>
    <row r="55" spans="1:56" ht="36.450000000000003" customHeight="1" thickBot="1">
      <c r="A55" s="1878" t="s">
        <v>777</v>
      </c>
      <c r="B55" s="1879"/>
      <c r="C55" s="1879"/>
      <c r="D55" s="1879"/>
      <c r="E55" s="1879"/>
      <c r="F55" s="1879"/>
      <c r="G55" s="1879"/>
      <c r="H55" s="1879"/>
      <c r="I55" s="1879"/>
      <c r="J55" s="1879"/>
      <c r="K55" s="1879"/>
      <c r="L55" s="1879"/>
      <c r="M55" s="1879"/>
      <c r="N55" s="1879"/>
      <c r="O55" s="1879"/>
      <c r="P55" s="1879"/>
      <c r="Q55" s="1879"/>
      <c r="R55" s="1879"/>
      <c r="S55" s="1879"/>
      <c r="T55" s="1879"/>
      <c r="U55" s="1879"/>
      <c r="V55" s="1879"/>
      <c r="W55" s="1879"/>
      <c r="X55" s="1879"/>
      <c r="Y55" s="1879"/>
      <c r="Z55" s="1880"/>
      <c r="AA55" s="478"/>
      <c r="AB55" s="1566" t="s">
        <v>1538</v>
      </c>
      <c r="AC55" s="1567"/>
      <c r="AD55" s="1567"/>
      <c r="AE55" s="1567"/>
      <c r="AF55" s="1567"/>
      <c r="AG55" s="1567"/>
      <c r="AH55" s="1567"/>
      <c r="AI55" s="1567"/>
      <c r="AJ55" s="1567"/>
      <c r="AK55" s="1567"/>
      <c r="AL55" s="1567"/>
      <c r="AM55" s="1567"/>
      <c r="AN55" s="1567"/>
      <c r="AO55" s="1567"/>
      <c r="AP55" s="1568"/>
    </row>
    <row r="56" spans="1:56" ht="28.95" customHeight="1" thickBot="1">
      <c r="A56" s="1065" t="s">
        <v>430</v>
      </c>
      <c r="B56" s="1066"/>
      <c r="C56" s="1066"/>
      <c r="D56" s="1066"/>
      <c r="E56" s="1066"/>
      <c r="F56" s="1066"/>
      <c r="G56" s="1066"/>
      <c r="H56" s="1066"/>
      <c r="I56" s="1066"/>
      <c r="J56" s="1066"/>
      <c r="K56" s="1066"/>
      <c r="L56" s="1066"/>
      <c r="M56" s="1066"/>
      <c r="N56" s="1066"/>
      <c r="O56" s="1066"/>
      <c r="P56" s="1066"/>
      <c r="Q56" s="1066"/>
      <c r="R56" s="1066"/>
      <c r="S56" s="1066"/>
      <c r="T56" s="1066"/>
      <c r="U56" s="1066"/>
      <c r="V56" s="1066"/>
      <c r="W56" s="1066"/>
      <c r="X56" s="1066"/>
      <c r="Y56" s="1066"/>
      <c r="Z56" s="1067"/>
      <c r="AA56" s="478"/>
      <c r="AB56" s="1464"/>
      <c r="AC56" s="1465"/>
      <c r="AD56" s="1465"/>
      <c r="AE56" s="1465"/>
      <c r="AF56" s="1465"/>
      <c r="AG56" s="1465"/>
      <c r="AH56" s="1465"/>
      <c r="AI56" s="1465"/>
      <c r="AJ56" s="1465"/>
      <c r="AK56" s="1465"/>
      <c r="AL56" s="1465"/>
      <c r="AM56" s="1465"/>
      <c r="AN56" s="1465"/>
      <c r="AO56" s="1465"/>
      <c r="AP56" s="1467"/>
    </row>
    <row r="57" spans="1:56" ht="25.05" customHeight="1" thickBot="1">
      <c r="A57" s="1804"/>
      <c r="B57" s="791" t="s">
        <v>383</v>
      </c>
      <c r="C57" s="1376" t="s">
        <v>411</v>
      </c>
      <c r="D57" s="1377"/>
      <c r="E57" s="1377"/>
      <c r="F57" s="1377"/>
      <c r="G57" s="1378"/>
      <c r="H57" s="1376" t="s">
        <v>416</v>
      </c>
      <c r="I57" s="1377"/>
      <c r="J57" s="1377"/>
      <c r="K57" s="1377"/>
      <c r="L57" s="1378"/>
      <c r="M57" s="1318" t="s">
        <v>417</v>
      </c>
      <c r="N57" s="1318"/>
      <c r="O57" s="1318"/>
      <c r="P57" s="1828" t="s">
        <v>435</v>
      </c>
      <c r="Q57" s="1826"/>
      <c r="R57" s="1826"/>
      <c r="S57" s="1826"/>
      <c r="T57" s="1827"/>
      <c r="U57" s="1828" t="s">
        <v>436</v>
      </c>
      <c r="V57" s="1826"/>
      <c r="W57" s="1826"/>
      <c r="X57" s="1826"/>
      <c r="Y57" s="1827"/>
      <c r="Z57" s="1845"/>
      <c r="AA57" s="478"/>
      <c r="AB57" s="568"/>
      <c r="AC57" s="1252" t="s">
        <v>1324</v>
      </c>
      <c r="AD57" s="1252"/>
      <c r="AE57" s="1252"/>
      <c r="AF57" s="1252"/>
      <c r="AG57" s="1252"/>
      <c r="AH57" s="1252"/>
      <c r="AI57" s="1581"/>
      <c r="AJ57" s="1730" t="s">
        <v>1323</v>
      </c>
      <c r="AK57" s="1205"/>
      <c r="AL57" s="1205"/>
      <c r="AM57" s="1205"/>
      <c r="AN57" s="1205"/>
      <c r="AO57" s="1206"/>
      <c r="AP57" s="1494"/>
    </row>
    <row r="58" spans="1:56" ht="26.55" customHeight="1">
      <c r="A58" s="1805"/>
      <c r="B58" s="1810" t="s">
        <v>409</v>
      </c>
      <c r="C58" s="1072" t="s">
        <v>410</v>
      </c>
      <c r="D58" s="1866"/>
      <c r="E58" s="1866"/>
      <c r="F58" s="1866"/>
      <c r="G58" s="1867"/>
      <c r="H58" s="1072" t="s">
        <v>413</v>
      </c>
      <c r="I58" s="1866"/>
      <c r="J58" s="1866"/>
      <c r="K58" s="1866"/>
      <c r="L58" s="1867"/>
      <c r="M58" s="1866" t="s">
        <v>1132</v>
      </c>
      <c r="N58" s="1866"/>
      <c r="O58" s="1866"/>
      <c r="P58" s="1664" t="s">
        <v>40</v>
      </c>
      <c r="Q58" s="1076" t="s">
        <v>39</v>
      </c>
      <c r="R58" s="696" t="s">
        <v>145</v>
      </c>
      <c r="S58" s="1076" t="s">
        <v>147</v>
      </c>
      <c r="T58" s="713" t="s">
        <v>31</v>
      </c>
      <c r="U58" s="1664" t="s">
        <v>40</v>
      </c>
      <c r="V58" s="1076" t="s">
        <v>39</v>
      </c>
      <c r="W58" s="1076" t="s">
        <v>145</v>
      </c>
      <c r="X58" s="1076" t="s">
        <v>147</v>
      </c>
      <c r="Y58" s="713" t="s">
        <v>31</v>
      </c>
      <c r="Z58" s="1846"/>
      <c r="AA58" s="478"/>
      <c r="AB58" s="569"/>
      <c r="AC58" s="1452" t="s">
        <v>1326</v>
      </c>
      <c r="AD58" s="1731" t="s">
        <v>1327</v>
      </c>
      <c r="AE58" s="1743" t="s">
        <v>1261</v>
      </c>
      <c r="AF58" s="1743"/>
      <c r="AG58" s="1743"/>
      <c r="AH58" s="1743"/>
      <c r="AI58" s="1744"/>
      <c r="AJ58" s="556" t="s">
        <v>40</v>
      </c>
      <c r="AK58" s="557" t="s">
        <v>39</v>
      </c>
      <c r="AL58" s="557" t="s">
        <v>145</v>
      </c>
      <c r="AM58" s="774" t="s">
        <v>147</v>
      </c>
      <c r="AN58" s="1734" t="s">
        <v>31</v>
      </c>
      <c r="AO58" s="1735"/>
      <c r="AP58" s="1495"/>
      <c r="AR58" s="529" t="s">
        <v>40</v>
      </c>
      <c r="AS58" s="530" t="s">
        <v>39</v>
      </c>
      <c r="AT58" s="530" t="s">
        <v>145</v>
      </c>
      <c r="AU58" s="530" t="s">
        <v>147</v>
      </c>
      <c r="AV58" s="531" t="s">
        <v>31</v>
      </c>
      <c r="AW58" s="217"/>
      <c r="AX58" s="529" t="s">
        <v>40</v>
      </c>
      <c r="AY58" s="530" t="s">
        <v>39</v>
      </c>
      <c r="AZ58" s="530" t="s">
        <v>145</v>
      </c>
      <c r="BA58" s="530" t="s">
        <v>147</v>
      </c>
      <c r="BB58" s="531" t="s">
        <v>31</v>
      </c>
    </row>
    <row r="59" spans="1:56" ht="37.950000000000003" customHeight="1" thickBot="1">
      <c r="A59" s="1805"/>
      <c r="B59" s="1810"/>
      <c r="C59" s="1843" t="s">
        <v>412</v>
      </c>
      <c r="D59" s="1797"/>
      <c r="E59" s="1797"/>
      <c r="F59" s="1797"/>
      <c r="G59" s="1844"/>
      <c r="H59" s="1072"/>
      <c r="I59" s="1866"/>
      <c r="J59" s="1866"/>
      <c r="K59" s="1866"/>
      <c r="L59" s="1867"/>
      <c r="M59" s="1932" t="s">
        <v>1133</v>
      </c>
      <c r="N59" s="1933"/>
      <c r="O59" s="1934"/>
      <c r="P59" s="1324"/>
      <c r="Q59" s="1320"/>
      <c r="R59" s="697" t="s">
        <v>1097</v>
      </c>
      <c r="S59" s="1320"/>
      <c r="T59" s="4" t="s">
        <v>1097</v>
      </c>
      <c r="U59" s="1324"/>
      <c r="V59" s="1320"/>
      <c r="W59" s="1320"/>
      <c r="X59" s="1320"/>
      <c r="Y59" s="4" t="s">
        <v>146</v>
      </c>
      <c r="Z59" s="1846"/>
      <c r="AA59" s="478"/>
      <c r="AB59" s="569"/>
      <c r="AC59" s="1738"/>
      <c r="AD59" s="1732"/>
      <c r="AE59" s="739" t="s">
        <v>40</v>
      </c>
      <c r="AF59" s="739" t="s">
        <v>39</v>
      </c>
      <c r="AG59" s="739" t="s">
        <v>145</v>
      </c>
      <c r="AH59" s="739" t="s">
        <v>147</v>
      </c>
      <c r="AI59" s="601" t="s">
        <v>31</v>
      </c>
      <c r="AJ59" s="594" t="s">
        <v>1260</v>
      </c>
      <c r="AK59" s="739" t="s">
        <v>1260</v>
      </c>
      <c r="AL59" s="739" t="s">
        <v>1260</v>
      </c>
      <c r="AM59" s="775" t="s">
        <v>1260</v>
      </c>
      <c r="AN59" s="1736" t="s">
        <v>1260</v>
      </c>
      <c r="AO59" s="1737"/>
      <c r="AP59" s="1495"/>
      <c r="AR59" s="1557" t="s">
        <v>1285</v>
      </c>
      <c r="AS59" s="1558"/>
      <c r="AT59" s="1558"/>
      <c r="AU59" s="1558"/>
      <c r="AV59" s="1559"/>
      <c r="AW59" s="213"/>
      <c r="AX59" s="1289" t="s">
        <v>1286</v>
      </c>
      <c r="AY59" s="1289"/>
      <c r="AZ59" s="1289"/>
      <c r="BA59" s="1289"/>
      <c r="BB59" s="1289"/>
      <c r="BD59" s="593" t="s">
        <v>1328</v>
      </c>
    </row>
    <row r="60" spans="1:56" ht="54" customHeight="1" thickBot="1">
      <c r="A60" s="1806"/>
      <c r="B60" s="1811"/>
      <c r="C60" s="1815"/>
      <c r="D60" s="1816"/>
      <c r="E60" s="1816"/>
      <c r="F60" s="1816"/>
      <c r="G60" s="1868"/>
      <c r="H60" s="1938"/>
      <c r="I60" s="1939"/>
      <c r="J60" s="1939"/>
      <c r="K60" s="1939"/>
      <c r="L60" s="1940"/>
      <c r="M60" s="1935"/>
      <c r="N60" s="1936"/>
      <c r="O60" s="1937"/>
      <c r="P60" s="1941" t="s">
        <v>420</v>
      </c>
      <c r="Q60" s="1809"/>
      <c r="R60" s="377" t="str">
        <f>IF(H60="","",IF(H60="Saturant Asphalt (زمان هوادهی به مدت یک ساعت و نیم)",3.3,12))</f>
        <v/>
      </c>
      <c r="S60" s="392" t="s">
        <v>420</v>
      </c>
      <c r="T60" s="378" t="str">
        <f>IF(H60="","",IF(H60="Saturant Asphalt (زمان هوادهی به مدت یک ساعت و نیم)",0.65,1.7))</f>
        <v/>
      </c>
      <c r="U60" s="1941" t="s">
        <v>420</v>
      </c>
      <c r="V60" s="1809"/>
      <c r="W60" s="377" t="str">
        <f>IF(OR(C60="",H60=""),"",(IF(M60="",(C60*R60*(10^-3)),(C60*R60*(10^-3)*(1-(M60/100))))))</f>
        <v/>
      </c>
      <c r="X60" s="794" t="s">
        <v>420</v>
      </c>
      <c r="Y60" s="379" t="str">
        <f>IF(OR(C60="",H60=""),"",(IF(M60="",(C60*T60*(10^-3)),(C60*T60*(10^-3)*(1-(M60/100))))))</f>
        <v/>
      </c>
      <c r="Z60" s="1847"/>
      <c r="AA60" s="478"/>
      <c r="AB60" s="571"/>
      <c r="AC60" s="780"/>
      <c r="AD60" s="781"/>
      <c r="AE60" s="1755"/>
      <c r="AF60" s="1755"/>
      <c r="AG60" s="602">
        <v>1000</v>
      </c>
      <c r="AH60" s="602"/>
      <c r="AI60" s="777">
        <v>1000</v>
      </c>
      <c r="AJ60" s="1756"/>
      <c r="AK60" s="1756"/>
      <c r="AL60" s="603" t="str">
        <f>IF(AC60="","",IF(OR(M60="",AD60="",BD60=""),(SQRT((AC60)^2+(AG60)^2)),(SQRT((AC60)^2+(AG60)^2+(BD60)^2))))</f>
        <v/>
      </c>
      <c r="AM60" s="603"/>
      <c r="AN60" s="1756" t="str">
        <f>IF(AC60="","",IF(OR(M60="",AD60="",BD60=""),(SQRT((AC60)^2+(AI60)^2)),(SQRT((AC60)^2+(AI60)^2+(BD60)^2))))</f>
        <v/>
      </c>
      <c r="AO60" s="1757"/>
      <c r="AP60" s="1758"/>
      <c r="AR60" s="1562"/>
      <c r="AS60" s="1562"/>
      <c r="AT60" s="600" t="str">
        <f>IF(OR(AL60="",W60=""),"",AL60*W60)</f>
        <v/>
      </c>
      <c r="AU60" s="600"/>
      <c r="AV60" s="754" t="str">
        <f t="shared" ref="AV60" si="17">IF(OR(AN60="",Y60=""),"",AN60*Y60)</f>
        <v/>
      </c>
      <c r="AW60" s="213"/>
      <c r="AX60" s="1562"/>
      <c r="AY60" s="1562"/>
      <c r="AZ60" s="600" t="str">
        <f>IF(AT60="","",AT60^2)</f>
        <v/>
      </c>
      <c r="BA60" s="600"/>
      <c r="BB60" s="754" t="str">
        <f t="shared" ref="BB60" si="18">IF(AV60="","",AV60^2)</f>
        <v/>
      </c>
      <c r="BD60" s="592" t="str">
        <f>IF(OR(AD60="",M60=""),"",((AD60*(M60/100))/(1-(M60/100))))</f>
        <v/>
      </c>
    </row>
    <row r="61" spans="1:56" ht="36.450000000000003" customHeight="1" thickBot="1">
      <c r="A61" s="1878" t="s">
        <v>778</v>
      </c>
      <c r="B61" s="1879"/>
      <c r="C61" s="1879"/>
      <c r="D61" s="1879"/>
      <c r="E61" s="1879"/>
      <c r="F61" s="1879"/>
      <c r="G61" s="1879"/>
      <c r="H61" s="1879"/>
      <c r="I61" s="1879"/>
      <c r="J61" s="1879"/>
      <c r="K61" s="1879"/>
      <c r="L61" s="1879"/>
      <c r="M61" s="1879"/>
      <c r="N61" s="1879"/>
      <c r="O61" s="1879"/>
      <c r="P61" s="1879"/>
      <c r="Q61" s="1879"/>
      <c r="R61" s="1879"/>
      <c r="S61" s="1879"/>
      <c r="T61" s="1879"/>
      <c r="U61" s="1879"/>
      <c r="V61" s="1879"/>
      <c r="W61" s="1879"/>
      <c r="X61" s="1879"/>
      <c r="Y61" s="1879"/>
      <c r="Z61" s="1880"/>
      <c r="AA61" s="478"/>
      <c r="AB61" s="1566" t="s">
        <v>1539</v>
      </c>
      <c r="AC61" s="1567"/>
      <c r="AD61" s="1567"/>
      <c r="AE61" s="1567"/>
      <c r="AF61" s="1567"/>
      <c r="AG61" s="1567"/>
      <c r="AH61" s="1567"/>
      <c r="AI61" s="1567"/>
      <c r="AJ61" s="1567"/>
      <c r="AK61" s="1567"/>
      <c r="AL61" s="1567"/>
      <c r="AM61" s="1567"/>
      <c r="AN61" s="1567"/>
      <c r="AO61" s="1567"/>
      <c r="AP61" s="1568"/>
    </row>
    <row r="62" spans="1:56" ht="28.95" customHeight="1" thickBot="1">
      <c r="A62" s="1065" t="s">
        <v>430</v>
      </c>
      <c r="B62" s="1066"/>
      <c r="C62" s="1066"/>
      <c r="D62" s="1066"/>
      <c r="E62" s="1066"/>
      <c r="F62" s="1066"/>
      <c r="G62" s="1066"/>
      <c r="H62" s="1066"/>
      <c r="I62" s="1066"/>
      <c r="J62" s="1066"/>
      <c r="K62" s="1066"/>
      <c r="L62" s="1066"/>
      <c r="M62" s="1066"/>
      <c r="N62" s="1066"/>
      <c r="O62" s="1066"/>
      <c r="P62" s="1066"/>
      <c r="Q62" s="1066"/>
      <c r="R62" s="1066"/>
      <c r="S62" s="1066"/>
      <c r="T62" s="1066"/>
      <c r="U62" s="1066"/>
      <c r="V62" s="1066"/>
      <c r="W62" s="1066"/>
      <c r="X62" s="1066"/>
      <c r="Y62" s="1066"/>
      <c r="Z62" s="1067"/>
      <c r="AA62" s="478"/>
      <c r="AB62" s="1464"/>
      <c r="AC62" s="1465"/>
      <c r="AD62" s="1465"/>
      <c r="AE62" s="1465"/>
      <c r="AF62" s="1465"/>
      <c r="AG62" s="1465"/>
      <c r="AH62" s="1465"/>
      <c r="AI62" s="1465"/>
      <c r="AJ62" s="1465"/>
      <c r="AK62" s="1465"/>
      <c r="AL62" s="1465"/>
      <c r="AM62" s="1465"/>
      <c r="AN62" s="1465"/>
      <c r="AO62" s="1465"/>
      <c r="AP62" s="1467"/>
    </row>
    <row r="63" spans="1:56" ht="25.8" thickBot="1">
      <c r="A63" s="1804"/>
      <c r="B63" s="791" t="s">
        <v>383</v>
      </c>
      <c r="C63" s="1317" t="s">
        <v>421</v>
      </c>
      <c r="D63" s="1318"/>
      <c r="E63" s="1318"/>
      <c r="F63" s="1318"/>
      <c r="G63" s="1318"/>
      <c r="H63" s="1318"/>
      <c r="I63" s="1318"/>
      <c r="J63" s="1318"/>
      <c r="K63" s="1318"/>
      <c r="L63" s="1318"/>
      <c r="M63" s="1318"/>
      <c r="N63" s="1318"/>
      <c r="O63" s="1319"/>
      <c r="P63" s="1826" t="s">
        <v>433</v>
      </c>
      <c r="Q63" s="1826"/>
      <c r="R63" s="1826"/>
      <c r="S63" s="1826"/>
      <c r="T63" s="1827"/>
      <c r="U63" s="1828" t="s">
        <v>434</v>
      </c>
      <c r="V63" s="1826"/>
      <c r="W63" s="1826"/>
      <c r="X63" s="1826"/>
      <c r="Y63" s="1827"/>
      <c r="Z63" s="1845"/>
      <c r="AA63" s="478"/>
      <c r="AB63" s="568"/>
      <c r="AC63" s="1252" t="s">
        <v>1324</v>
      </c>
      <c r="AD63" s="1252"/>
      <c r="AE63" s="1252"/>
      <c r="AF63" s="1252"/>
      <c r="AG63" s="1252"/>
      <c r="AH63" s="1252"/>
      <c r="AI63" s="1581"/>
      <c r="AJ63" s="1730" t="s">
        <v>1323</v>
      </c>
      <c r="AK63" s="1205"/>
      <c r="AL63" s="1205"/>
      <c r="AM63" s="1205"/>
      <c r="AN63" s="1205"/>
      <c r="AO63" s="1206"/>
      <c r="AP63" s="1494"/>
    </row>
    <row r="64" spans="1:56" ht="23.4">
      <c r="A64" s="1805"/>
      <c r="B64" s="1810" t="s">
        <v>1130</v>
      </c>
      <c r="C64" s="1072" t="s">
        <v>422</v>
      </c>
      <c r="D64" s="1866"/>
      <c r="E64" s="1866"/>
      <c r="F64" s="1866"/>
      <c r="G64" s="1866"/>
      <c r="H64" s="1866"/>
      <c r="I64" s="1866"/>
      <c r="J64" s="1866"/>
      <c r="K64" s="1866"/>
      <c r="L64" s="1866"/>
      <c r="M64" s="1866"/>
      <c r="N64" s="1866"/>
      <c r="O64" s="1867"/>
      <c r="P64" s="1079" t="s">
        <v>40</v>
      </c>
      <c r="Q64" s="1076" t="s">
        <v>39</v>
      </c>
      <c r="R64" s="1076" t="s">
        <v>145</v>
      </c>
      <c r="S64" s="1076" t="s">
        <v>147</v>
      </c>
      <c r="T64" s="713" t="s">
        <v>31</v>
      </c>
      <c r="U64" s="1664" t="s">
        <v>40</v>
      </c>
      <c r="V64" s="1076" t="s">
        <v>39</v>
      </c>
      <c r="W64" s="1076" t="s">
        <v>145</v>
      </c>
      <c r="X64" s="1076" t="s">
        <v>147</v>
      </c>
      <c r="Y64" s="713" t="s">
        <v>31</v>
      </c>
      <c r="Z64" s="1846"/>
      <c r="AA64" s="478"/>
      <c r="AB64" s="569"/>
      <c r="AC64" s="1583" t="s">
        <v>1329</v>
      </c>
      <c r="AD64" s="1584"/>
      <c r="AE64" s="1258" t="s">
        <v>1261</v>
      </c>
      <c r="AF64" s="1258"/>
      <c r="AG64" s="1258"/>
      <c r="AH64" s="1258"/>
      <c r="AI64" s="1582"/>
      <c r="AJ64" s="556" t="s">
        <v>40</v>
      </c>
      <c r="AK64" s="557" t="s">
        <v>39</v>
      </c>
      <c r="AL64" s="557" t="s">
        <v>145</v>
      </c>
      <c r="AM64" s="774" t="s">
        <v>147</v>
      </c>
      <c r="AN64" s="1734" t="s">
        <v>31</v>
      </c>
      <c r="AO64" s="1735"/>
      <c r="AP64" s="1495"/>
      <c r="AR64" s="529" t="s">
        <v>40</v>
      </c>
      <c r="AS64" s="530" t="s">
        <v>39</v>
      </c>
      <c r="AT64" s="530" t="s">
        <v>145</v>
      </c>
      <c r="AU64" s="530" t="s">
        <v>147</v>
      </c>
      <c r="AV64" s="531" t="s">
        <v>31</v>
      </c>
      <c r="AW64" s="217"/>
      <c r="AX64" s="529" t="s">
        <v>40</v>
      </c>
      <c r="AY64" s="530" t="s">
        <v>39</v>
      </c>
      <c r="AZ64" s="530" t="s">
        <v>145</v>
      </c>
      <c r="BA64" s="530" t="s">
        <v>147</v>
      </c>
      <c r="BB64" s="531" t="s">
        <v>31</v>
      </c>
    </row>
    <row r="65" spans="1:56" ht="28.95" customHeight="1" thickBot="1">
      <c r="A65" s="1805"/>
      <c r="B65" s="1810"/>
      <c r="C65" s="1928" t="s">
        <v>1077</v>
      </c>
      <c r="D65" s="1929"/>
      <c r="E65" s="1929"/>
      <c r="F65" s="1929"/>
      <c r="G65" s="1929"/>
      <c r="H65" s="1929"/>
      <c r="I65" s="1929"/>
      <c r="J65" s="1929"/>
      <c r="K65" s="1929"/>
      <c r="L65" s="1929"/>
      <c r="M65" s="1929"/>
      <c r="N65" s="1929"/>
      <c r="O65" s="1930"/>
      <c r="P65" s="1927"/>
      <c r="Q65" s="1925"/>
      <c r="R65" s="1925"/>
      <c r="S65" s="1925"/>
      <c r="T65" s="4" t="s">
        <v>1098</v>
      </c>
      <c r="U65" s="1926"/>
      <c r="V65" s="1925"/>
      <c r="W65" s="1925"/>
      <c r="X65" s="1925"/>
      <c r="Y65" s="4" t="s">
        <v>146</v>
      </c>
      <c r="Z65" s="1846"/>
      <c r="AA65" s="478"/>
      <c r="AB65" s="569"/>
      <c r="AC65" s="1585"/>
      <c r="AD65" s="1586"/>
      <c r="AE65" s="739" t="s">
        <v>40</v>
      </c>
      <c r="AF65" s="739" t="s">
        <v>39</v>
      </c>
      <c r="AG65" s="739" t="s">
        <v>145</v>
      </c>
      <c r="AH65" s="739" t="s">
        <v>147</v>
      </c>
      <c r="AI65" s="775" t="s">
        <v>31</v>
      </c>
      <c r="AJ65" s="567" t="s">
        <v>1260</v>
      </c>
      <c r="AK65" s="723" t="s">
        <v>1260</v>
      </c>
      <c r="AL65" s="723" t="s">
        <v>1260</v>
      </c>
      <c r="AM65" s="749" t="s">
        <v>1260</v>
      </c>
      <c r="AN65" s="1537" t="s">
        <v>1260</v>
      </c>
      <c r="AO65" s="1762"/>
      <c r="AP65" s="1495"/>
      <c r="AR65" s="1557" t="s">
        <v>1285</v>
      </c>
      <c r="AS65" s="1558"/>
      <c r="AT65" s="1558"/>
      <c r="AU65" s="1558"/>
      <c r="AV65" s="1559"/>
      <c r="AW65" s="213"/>
      <c r="AX65" s="1289" t="s">
        <v>1286</v>
      </c>
      <c r="AY65" s="1289"/>
      <c r="AZ65" s="1289"/>
      <c r="BA65" s="1289"/>
      <c r="BB65" s="1289"/>
    </row>
    <row r="66" spans="1:56" ht="32.549999999999997" customHeight="1" thickBot="1">
      <c r="A66" s="1806"/>
      <c r="B66" s="1811"/>
      <c r="C66" s="1888"/>
      <c r="D66" s="1889"/>
      <c r="E66" s="1889"/>
      <c r="F66" s="1889"/>
      <c r="G66" s="1889"/>
      <c r="H66" s="1889"/>
      <c r="I66" s="1889"/>
      <c r="J66" s="1889"/>
      <c r="K66" s="1889"/>
      <c r="L66" s="1889"/>
      <c r="M66" s="1889"/>
      <c r="N66" s="1889"/>
      <c r="O66" s="1890"/>
      <c r="P66" s="1931" t="s">
        <v>423</v>
      </c>
      <c r="Q66" s="1882"/>
      <c r="R66" s="1882"/>
      <c r="S66" s="1882"/>
      <c r="T66" s="373">
        <v>1.66</v>
      </c>
      <c r="U66" s="1883" t="s">
        <v>423</v>
      </c>
      <c r="V66" s="1882"/>
      <c r="W66" s="1882"/>
      <c r="X66" s="1882"/>
      <c r="Y66" s="374" t="str">
        <f>IF(C66="","",(T66*C66*(10^-3)))</f>
        <v/>
      </c>
      <c r="Z66" s="1847"/>
      <c r="AA66" s="478"/>
      <c r="AB66" s="571"/>
      <c r="AC66" s="1763"/>
      <c r="AD66" s="1764"/>
      <c r="AE66" s="1765"/>
      <c r="AF66" s="1766"/>
      <c r="AG66" s="1766"/>
      <c r="AH66" s="1767"/>
      <c r="AI66" s="598">
        <v>125</v>
      </c>
      <c r="AJ66" s="1768"/>
      <c r="AK66" s="1756"/>
      <c r="AL66" s="1756"/>
      <c r="AM66" s="1756"/>
      <c r="AN66" s="1756" t="str">
        <f>IF(AC66="","",(SQRT((AC66^2)+(AI66^2))))</f>
        <v/>
      </c>
      <c r="AO66" s="1757"/>
      <c r="AP66" s="1758"/>
      <c r="AR66" s="1759"/>
      <c r="AS66" s="1760"/>
      <c r="AT66" s="1760"/>
      <c r="AU66" s="1761"/>
      <c r="AV66" s="719" t="str">
        <f t="shared" ref="AV66" si="19">IF(OR(AN66="",Y66=""),"",AN66*Y66)</f>
        <v/>
      </c>
      <c r="AW66" s="213"/>
      <c r="AX66" s="1759"/>
      <c r="AY66" s="1760"/>
      <c r="AZ66" s="1760"/>
      <c r="BA66" s="1761"/>
      <c r="BB66" s="719" t="str">
        <f t="shared" ref="BB66" si="20">IF(AV66="","",AV66^2)</f>
        <v/>
      </c>
    </row>
    <row r="67" spans="1:56" ht="36.450000000000003" customHeight="1" thickBot="1">
      <c r="A67" s="1878" t="s">
        <v>779</v>
      </c>
      <c r="B67" s="1879"/>
      <c r="C67" s="1879"/>
      <c r="D67" s="1879"/>
      <c r="E67" s="1879"/>
      <c r="F67" s="1879"/>
      <c r="G67" s="1879"/>
      <c r="H67" s="1879"/>
      <c r="I67" s="1879"/>
      <c r="J67" s="1879"/>
      <c r="K67" s="1879"/>
      <c r="L67" s="1879"/>
      <c r="M67" s="1879"/>
      <c r="N67" s="1879"/>
      <c r="O67" s="1879"/>
      <c r="P67" s="1879"/>
      <c r="Q67" s="1879"/>
      <c r="R67" s="1879"/>
      <c r="S67" s="1879"/>
      <c r="T67" s="1879"/>
      <c r="U67" s="1879"/>
      <c r="V67" s="1879"/>
      <c r="W67" s="1879"/>
      <c r="X67" s="1879"/>
      <c r="Y67" s="1879"/>
      <c r="Z67" s="1880"/>
      <c r="AA67" s="478"/>
      <c r="AB67" s="1566" t="s">
        <v>1540</v>
      </c>
      <c r="AC67" s="1567"/>
      <c r="AD67" s="1567"/>
      <c r="AE67" s="1567"/>
      <c r="AF67" s="1567"/>
      <c r="AG67" s="1567"/>
      <c r="AH67" s="1567"/>
      <c r="AI67" s="1567"/>
      <c r="AJ67" s="1567"/>
      <c r="AK67" s="1567"/>
      <c r="AL67" s="1567"/>
      <c r="AM67" s="1567"/>
      <c r="AN67" s="1567"/>
      <c r="AO67" s="1567"/>
      <c r="AP67" s="1568"/>
    </row>
    <row r="68" spans="1:56" ht="28.95" customHeight="1" thickBot="1">
      <c r="A68" s="1065" t="s">
        <v>430</v>
      </c>
      <c r="B68" s="1066"/>
      <c r="C68" s="1066"/>
      <c r="D68" s="1066"/>
      <c r="E68" s="1066"/>
      <c r="F68" s="1066"/>
      <c r="G68" s="1066"/>
      <c r="H68" s="1066"/>
      <c r="I68" s="1066"/>
      <c r="J68" s="1066"/>
      <c r="K68" s="1066"/>
      <c r="L68" s="1066"/>
      <c r="M68" s="1066"/>
      <c r="N68" s="1066"/>
      <c r="O68" s="1066"/>
      <c r="P68" s="1066"/>
      <c r="Q68" s="1066"/>
      <c r="R68" s="1066"/>
      <c r="S68" s="1066"/>
      <c r="T68" s="1066"/>
      <c r="U68" s="1066"/>
      <c r="V68" s="1066"/>
      <c r="W68" s="1066"/>
      <c r="X68" s="1066"/>
      <c r="Y68" s="1066"/>
      <c r="Z68" s="1067"/>
      <c r="AA68" s="478"/>
      <c r="AB68" s="1464"/>
      <c r="AC68" s="1465"/>
      <c r="AD68" s="1465"/>
      <c r="AE68" s="1465"/>
      <c r="AF68" s="1465"/>
      <c r="AG68" s="1465"/>
      <c r="AH68" s="1465"/>
      <c r="AI68" s="1465"/>
      <c r="AJ68" s="1465"/>
      <c r="AK68" s="1465"/>
      <c r="AL68" s="1465"/>
      <c r="AM68" s="1465"/>
      <c r="AN68" s="1465"/>
      <c r="AO68" s="1465"/>
      <c r="AP68" s="1467"/>
    </row>
    <row r="69" spans="1:56" ht="25.8" thickBot="1">
      <c r="A69" s="1804"/>
      <c r="B69" s="791" t="s">
        <v>383</v>
      </c>
      <c r="C69" s="1376" t="s">
        <v>427</v>
      </c>
      <c r="D69" s="1377"/>
      <c r="E69" s="1377"/>
      <c r="F69" s="1377"/>
      <c r="G69" s="1377"/>
      <c r="H69" s="1377"/>
      <c r="I69" s="1378"/>
      <c r="J69" s="1376" t="s">
        <v>417</v>
      </c>
      <c r="K69" s="1377"/>
      <c r="L69" s="1377"/>
      <c r="M69" s="1377"/>
      <c r="N69" s="1377"/>
      <c r="O69" s="1378"/>
      <c r="P69" s="1318" t="s">
        <v>431</v>
      </c>
      <c r="Q69" s="1318"/>
      <c r="R69" s="1318"/>
      <c r="S69" s="1318"/>
      <c r="T69" s="1319"/>
      <c r="U69" s="1317" t="s">
        <v>432</v>
      </c>
      <c r="V69" s="1318"/>
      <c r="W69" s="1318"/>
      <c r="X69" s="1318"/>
      <c r="Y69" s="1319"/>
      <c r="Z69" s="1845"/>
      <c r="AA69" s="478"/>
      <c r="AB69" s="568"/>
      <c r="AC69" s="1252" t="s">
        <v>1324</v>
      </c>
      <c r="AD69" s="1252"/>
      <c r="AE69" s="1252"/>
      <c r="AF69" s="1252"/>
      <c r="AG69" s="1252"/>
      <c r="AH69" s="1252"/>
      <c r="AI69" s="1581"/>
      <c r="AJ69" s="1730" t="s">
        <v>1323</v>
      </c>
      <c r="AK69" s="1205"/>
      <c r="AL69" s="1205"/>
      <c r="AM69" s="1205"/>
      <c r="AN69" s="1205"/>
      <c r="AO69" s="1206"/>
      <c r="AP69" s="1494"/>
    </row>
    <row r="70" spans="1:56" ht="18.45" customHeight="1">
      <c r="A70" s="1805"/>
      <c r="B70" s="1810" t="s">
        <v>424</v>
      </c>
      <c r="C70" s="1393" t="s">
        <v>428</v>
      </c>
      <c r="D70" s="1082"/>
      <c r="E70" s="1082"/>
      <c r="F70" s="1082"/>
      <c r="G70" s="1082"/>
      <c r="H70" s="1082"/>
      <c r="I70" s="1083"/>
      <c r="J70" s="1393" t="s">
        <v>1134</v>
      </c>
      <c r="K70" s="1082"/>
      <c r="L70" s="1082"/>
      <c r="M70" s="1082"/>
      <c r="N70" s="1082"/>
      <c r="O70" s="1083"/>
      <c r="P70" s="1079" t="s">
        <v>40</v>
      </c>
      <c r="Q70" s="1076" t="s">
        <v>39</v>
      </c>
      <c r="R70" s="1076" t="s">
        <v>145</v>
      </c>
      <c r="S70" s="1076" t="s">
        <v>147</v>
      </c>
      <c r="T70" s="713" t="s">
        <v>31</v>
      </c>
      <c r="U70" s="1664" t="s">
        <v>40</v>
      </c>
      <c r="V70" s="1076" t="s">
        <v>39</v>
      </c>
      <c r="W70" s="1076" t="s">
        <v>145</v>
      </c>
      <c r="X70" s="1076" t="s">
        <v>147</v>
      </c>
      <c r="Y70" s="713" t="s">
        <v>31</v>
      </c>
      <c r="Z70" s="1846"/>
      <c r="AA70" s="478"/>
      <c r="AB70" s="569"/>
      <c r="AC70" s="1452" t="s">
        <v>1331</v>
      </c>
      <c r="AD70" s="1731" t="s">
        <v>1330</v>
      </c>
      <c r="AE70" s="1743" t="s">
        <v>1261</v>
      </c>
      <c r="AF70" s="1743"/>
      <c r="AG70" s="1743"/>
      <c r="AH70" s="1743"/>
      <c r="AI70" s="1744"/>
      <c r="AJ70" s="556" t="s">
        <v>40</v>
      </c>
      <c r="AK70" s="557" t="s">
        <v>39</v>
      </c>
      <c r="AL70" s="557" t="s">
        <v>145</v>
      </c>
      <c r="AM70" s="774" t="s">
        <v>147</v>
      </c>
      <c r="AN70" s="1734" t="s">
        <v>31</v>
      </c>
      <c r="AO70" s="1735"/>
      <c r="AP70" s="1495"/>
      <c r="AR70" s="529" t="s">
        <v>40</v>
      </c>
      <c r="AS70" s="530" t="s">
        <v>39</v>
      </c>
      <c r="AT70" s="530" t="s">
        <v>145</v>
      </c>
      <c r="AU70" s="530" t="s">
        <v>147</v>
      </c>
      <c r="AV70" s="531" t="s">
        <v>31</v>
      </c>
      <c r="AW70" s="217"/>
      <c r="AX70" s="529" t="s">
        <v>40</v>
      </c>
      <c r="AY70" s="530" t="s">
        <v>39</v>
      </c>
      <c r="AZ70" s="530" t="s">
        <v>145</v>
      </c>
      <c r="BA70" s="530" t="s">
        <v>147</v>
      </c>
      <c r="BB70" s="531" t="s">
        <v>31</v>
      </c>
    </row>
    <row r="71" spans="1:56" ht="39.450000000000003" customHeight="1" thickBot="1">
      <c r="A71" s="1805"/>
      <c r="B71" s="1810"/>
      <c r="C71" s="1649" t="s">
        <v>1077</v>
      </c>
      <c r="D71" s="1650"/>
      <c r="E71" s="1650"/>
      <c r="F71" s="1650"/>
      <c r="G71" s="1650"/>
      <c r="H71" s="1650"/>
      <c r="I71" s="1682"/>
      <c r="J71" s="1922" t="s">
        <v>1135</v>
      </c>
      <c r="K71" s="1923"/>
      <c r="L71" s="1923"/>
      <c r="M71" s="1923"/>
      <c r="N71" s="1923"/>
      <c r="O71" s="1924"/>
      <c r="P71" s="1919"/>
      <c r="Q71" s="1320"/>
      <c r="R71" s="1320"/>
      <c r="S71" s="1320"/>
      <c r="T71" s="4" t="s">
        <v>429</v>
      </c>
      <c r="U71" s="1324"/>
      <c r="V71" s="1320"/>
      <c r="W71" s="1320"/>
      <c r="X71" s="1320"/>
      <c r="Y71" s="4" t="s">
        <v>146</v>
      </c>
      <c r="Z71" s="1846"/>
      <c r="AA71" s="478"/>
      <c r="AB71" s="569"/>
      <c r="AC71" s="1738"/>
      <c r="AD71" s="1732"/>
      <c r="AE71" s="739" t="s">
        <v>40</v>
      </c>
      <c r="AF71" s="739" t="s">
        <v>39</v>
      </c>
      <c r="AG71" s="739" t="s">
        <v>145</v>
      </c>
      <c r="AH71" s="739" t="s">
        <v>147</v>
      </c>
      <c r="AI71" s="601" t="s">
        <v>31</v>
      </c>
      <c r="AJ71" s="594" t="s">
        <v>1260</v>
      </c>
      <c r="AK71" s="739" t="s">
        <v>1260</v>
      </c>
      <c r="AL71" s="739" t="s">
        <v>1260</v>
      </c>
      <c r="AM71" s="775" t="s">
        <v>1260</v>
      </c>
      <c r="AN71" s="1736" t="s">
        <v>1260</v>
      </c>
      <c r="AO71" s="1737"/>
      <c r="AP71" s="1495"/>
      <c r="AR71" s="1557" t="s">
        <v>1285</v>
      </c>
      <c r="AS71" s="1558"/>
      <c r="AT71" s="1558"/>
      <c r="AU71" s="1558"/>
      <c r="AV71" s="1559"/>
      <c r="AW71" s="213"/>
      <c r="AX71" s="1289" t="s">
        <v>1286</v>
      </c>
      <c r="AY71" s="1289"/>
      <c r="AZ71" s="1289"/>
      <c r="BA71" s="1289"/>
      <c r="BB71" s="1289"/>
      <c r="BD71" s="593" t="s">
        <v>1328</v>
      </c>
    </row>
    <row r="72" spans="1:56" ht="21" thickBot="1">
      <c r="A72" s="1806"/>
      <c r="B72" s="1811"/>
      <c r="C72" s="1812"/>
      <c r="D72" s="1813"/>
      <c r="E72" s="1813"/>
      <c r="F72" s="1813"/>
      <c r="G72" s="1813"/>
      <c r="H72" s="1813"/>
      <c r="I72" s="1814"/>
      <c r="J72" s="1815"/>
      <c r="K72" s="1816"/>
      <c r="L72" s="1816"/>
      <c r="M72" s="1816"/>
      <c r="N72" s="1816"/>
      <c r="O72" s="1868"/>
      <c r="P72" s="1877" t="s">
        <v>425</v>
      </c>
      <c r="Q72" s="1920"/>
      <c r="R72" s="1920"/>
      <c r="S72" s="1920"/>
      <c r="T72" s="378">
        <v>0.14299999999999999</v>
      </c>
      <c r="U72" s="1921" t="s">
        <v>426</v>
      </c>
      <c r="V72" s="1920"/>
      <c r="W72" s="1920"/>
      <c r="X72" s="1920"/>
      <c r="Y72" s="379" t="str">
        <f>IF(C72="","",IF(J72="",(T72*C72*(10^-3)),(T72*C72*(10^-3))*(1-(J72/100))))</f>
        <v/>
      </c>
      <c r="Z72" s="1847"/>
      <c r="AA72" s="478"/>
      <c r="AB72" s="571"/>
      <c r="AC72" s="780"/>
      <c r="AD72" s="781"/>
      <c r="AE72" s="1765"/>
      <c r="AF72" s="1766"/>
      <c r="AG72" s="1766"/>
      <c r="AH72" s="1767"/>
      <c r="AI72" s="777">
        <v>125</v>
      </c>
      <c r="AJ72" s="1769"/>
      <c r="AK72" s="1770"/>
      <c r="AL72" s="1770"/>
      <c r="AM72" s="1771"/>
      <c r="AN72" s="1756" t="str">
        <f>IF(AC72="","",IF(OR(J72="",AD72="",BD72=""),(SQRT((AC72)^2+(AI72)^2)),(SQRT((AC72)^2+(AI72)^2+(BD72)^2))))</f>
        <v/>
      </c>
      <c r="AO72" s="1757"/>
      <c r="AP72" s="1758"/>
      <c r="AR72" s="1772"/>
      <c r="AS72" s="1773"/>
      <c r="AT72" s="1773"/>
      <c r="AU72" s="1774"/>
      <c r="AV72" s="754" t="str">
        <f t="shared" ref="AV72" si="21">IF(OR(AN72="",Y72=""),"",AN72*Y72)</f>
        <v/>
      </c>
      <c r="AW72" s="213"/>
      <c r="AX72" s="1772"/>
      <c r="AY72" s="1773"/>
      <c r="AZ72" s="1773"/>
      <c r="BA72" s="1774"/>
      <c r="BB72" s="754" t="str">
        <f t="shared" ref="BB72" si="22">IF(AV72="","",AV72^2)</f>
        <v/>
      </c>
      <c r="BD72" s="592" t="str">
        <f>IF(OR(AD72="",J72=""),"",((AD72*(J72/100))/(1-(J72/100))))</f>
        <v/>
      </c>
    </row>
    <row r="73" spans="1:56" ht="28.95" customHeight="1" thickBot="1">
      <c r="A73" s="1372"/>
      <c r="B73" s="1374"/>
      <c r="C73" s="1374"/>
      <c r="D73" s="1374"/>
      <c r="E73" s="1374"/>
      <c r="F73" s="1374"/>
      <c r="G73" s="1374"/>
      <c r="H73" s="1374"/>
      <c r="I73" s="1374"/>
      <c r="J73" s="1374"/>
      <c r="K73" s="1374"/>
      <c r="L73" s="1374"/>
      <c r="M73" s="1374"/>
      <c r="N73" s="1374"/>
      <c r="O73" s="1374"/>
      <c r="P73" s="1374"/>
      <c r="Q73" s="1374"/>
      <c r="R73" s="1374"/>
      <c r="S73" s="1374"/>
      <c r="T73" s="1374"/>
      <c r="U73" s="1374"/>
      <c r="V73" s="1374"/>
      <c r="W73" s="1374"/>
      <c r="X73" s="1374"/>
      <c r="Y73" s="1374"/>
      <c r="Z73" s="1375"/>
      <c r="AA73" s="478"/>
      <c r="AB73" s="1464"/>
      <c r="AC73" s="1465"/>
      <c r="AD73" s="1465"/>
      <c r="AE73" s="1465"/>
      <c r="AF73" s="1465"/>
      <c r="AG73" s="1465"/>
      <c r="AH73" s="1465"/>
      <c r="AI73" s="1465"/>
      <c r="AJ73" s="1465"/>
      <c r="AK73" s="1465"/>
      <c r="AL73" s="1465"/>
      <c r="AM73" s="1465"/>
      <c r="AN73" s="1465"/>
      <c r="AO73" s="1465"/>
      <c r="AP73" s="1467"/>
    </row>
    <row r="74" spans="1:56" ht="50.55" hidden="1" customHeight="1">
      <c r="AA74" s="458"/>
      <c r="AB74" s="217"/>
      <c r="AC74" s="217"/>
      <c r="AD74" s="217"/>
      <c r="AE74" s="217"/>
      <c r="AF74" s="217"/>
      <c r="AG74" s="217"/>
      <c r="AH74" s="217"/>
      <c r="AI74" s="217"/>
      <c r="AJ74" s="217"/>
      <c r="AK74" s="217"/>
      <c r="AL74" s="217"/>
      <c r="AM74" s="217"/>
      <c r="AN74" s="217"/>
    </row>
    <row r="75" spans="1:56" ht="41.55" hidden="1" customHeight="1">
      <c r="AA75" s="458"/>
      <c r="AB75" s="217"/>
      <c r="AC75" s="217"/>
      <c r="AD75" s="217"/>
      <c r="AE75" s="217"/>
      <c r="AF75" s="217"/>
      <c r="AG75" s="217"/>
      <c r="AH75" s="217"/>
      <c r="AI75" s="217"/>
      <c r="AJ75" s="217"/>
      <c r="AK75" s="217"/>
      <c r="AL75" s="217"/>
      <c r="AM75" s="217"/>
      <c r="AN75" s="217"/>
    </row>
    <row r="76" spans="1:56" ht="41.55" hidden="1" customHeight="1">
      <c r="AA76" s="458"/>
      <c r="AB76" s="217"/>
      <c r="AC76" s="217"/>
      <c r="AD76" s="217"/>
      <c r="AE76" s="217"/>
      <c r="AF76" s="217"/>
      <c r="AG76" s="217"/>
      <c r="AH76" s="217"/>
      <c r="AI76" s="217"/>
      <c r="AJ76" s="217"/>
      <c r="AK76" s="217"/>
      <c r="AL76" s="217"/>
      <c r="AM76" s="217"/>
      <c r="AN76" s="217"/>
    </row>
    <row r="77" spans="1:56" ht="41.55" hidden="1" customHeight="1">
      <c r="AA77" s="458"/>
      <c r="AB77" s="217"/>
      <c r="AC77" s="217"/>
      <c r="AD77" s="217"/>
      <c r="AE77" s="217"/>
      <c r="AF77" s="217"/>
      <c r="AG77" s="217"/>
      <c r="AH77" s="217"/>
      <c r="AI77" s="217"/>
      <c r="AJ77" s="217"/>
      <c r="AK77" s="217"/>
      <c r="AL77" s="217"/>
      <c r="AM77" s="217"/>
      <c r="AN77" s="217"/>
    </row>
    <row r="78" spans="1:56" ht="60.45" customHeight="1" thickBot="1">
      <c r="A78" s="1795"/>
      <c r="B78" s="1795"/>
      <c r="C78" s="1795"/>
      <c r="D78" s="1795"/>
      <c r="E78" s="1795"/>
      <c r="F78" s="1795"/>
      <c r="G78" s="1795"/>
      <c r="H78" s="1795"/>
      <c r="I78" s="1795"/>
      <c r="J78" s="1795"/>
      <c r="K78" s="1795"/>
      <c r="L78" s="1795"/>
      <c r="M78" s="1795"/>
      <c r="N78" s="1795"/>
      <c r="O78" s="1795"/>
      <c r="P78" s="1795"/>
      <c r="Q78" s="1795"/>
      <c r="R78" s="1795"/>
      <c r="S78" s="1795"/>
      <c r="T78" s="1795"/>
      <c r="U78" s="1795"/>
      <c r="V78" s="1795"/>
      <c r="W78" s="1795"/>
      <c r="X78" s="1795"/>
      <c r="Y78" s="1795"/>
      <c r="Z78" s="1795"/>
      <c r="AA78" s="458"/>
      <c r="AB78" s="478"/>
      <c r="AC78" s="478"/>
      <c r="AD78" s="478"/>
      <c r="AE78" s="478"/>
      <c r="AF78" s="478"/>
      <c r="AG78" s="478"/>
      <c r="AH78" s="478"/>
      <c r="AI78" s="478"/>
      <c r="AJ78" s="478"/>
      <c r="AK78" s="478"/>
      <c r="AL78" s="478"/>
      <c r="AM78" s="478"/>
      <c r="AN78" s="478"/>
      <c r="AO78" s="458"/>
      <c r="AP78" s="458"/>
    </row>
    <row r="79" spans="1:56" ht="36.450000000000003" customHeight="1" thickBot="1">
      <c r="A79" s="1820" t="s">
        <v>780</v>
      </c>
      <c r="B79" s="1821"/>
      <c r="C79" s="1821"/>
      <c r="D79" s="1821"/>
      <c r="E79" s="1821"/>
      <c r="F79" s="1821"/>
      <c r="G79" s="1821"/>
      <c r="H79" s="1821"/>
      <c r="I79" s="1821"/>
      <c r="J79" s="1821"/>
      <c r="K79" s="1821"/>
      <c r="L79" s="1821"/>
      <c r="M79" s="1821"/>
      <c r="N79" s="1821"/>
      <c r="O79" s="1821"/>
      <c r="P79" s="1821"/>
      <c r="Q79" s="1821"/>
      <c r="R79" s="1821"/>
      <c r="S79" s="1821"/>
      <c r="T79" s="1821"/>
      <c r="U79" s="1821"/>
      <c r="V79" s="1821"/>
      <c r="W79" s="1821"/>
      <c r="X79" s="1821"/>
      <c r="Y79" s="1821"/>
      <c r="Z79" s="1822"/>
      <c r="AA79" s="458"/>
      <c r="AB79" s="1566" t="s">
        <v>1541</v>
      </c>
      <c r="AC79" s="1567"/>
      <c r="AD79" s="1567"/>
      <c r="AE79" s="1567"/>
      <c r="AF79" s="1567"/>
      <c r="AG79" s="1567"/>
      <c r="AH79" s="1567"/>
      <c r="AI79" s="1567"/>
      <c r="AJ79" s="1567"/>
      <c r="AK79" s="1567"/>
      <c r="AL79" s="1567"/>
      <c r="AM79" s="1567"/>
      <c r="AN79" s="1567"/>
      <c r="AO79" s="1567"/>
      <c r="AP79" s="1568"/>
    </row>
    <row r="80" spans="1:56" ht="28.95" customHeight="1" thickBot="1">
      <c r="A80" s="1065" t="s">
        <v>390</v>
      </c>
      <c r="B80" s="1066"/>
      <c r="C80" s="1066"/>
      <c r="D80" s="1066"/>
      <c r="E80" s="1066"/>
      <c r="F80" s="1066"/>
      <c r="G80" s="1066"/>
      <c r="H80" s="1066"/>
      <c r="I80" s="1066"/>
      <c r="J80" s="1066"/>
      <c r="K80" s="1066"/>
      <c r="L80" s="1066"/>
      <c r="M80" s="1066"/>
      <c r="N80" s="1066"/>
      <c r="O80" s="1066"/>
      <c r="P80" s="1066"/>
      <c r="Q80" s="1066"/>
      <c r="R80" s="1066"/>
      <c r="S80" s="1066"/>
      <c r="T80" s="1066"/>
      <c r="U80" s="1066"/>
      <c r="V80" s="1066"/>
      <c r="W80" s="1066"/>
      <c r="X80" s="1066"/>
      <c r="Y80" s="1066"/>
      <c r="Z80" s="1067"/>
      <c r="AA80" s="458"/>
      <c r="AB80" s="1464"/>
      <c r="AC80" s="1465"/>
      <c r="AD80" s="1465"/>
      <c r="AE80" s="1465"/>
      <c r="AF80" s="1465"/>
      <c r="AG80" s="1465"/>
      <c r="AH80" s="1465"/>
      <c r="AI80" s="1465"/>
      <c r="AJ80" s="1465"/>
      <c r="AK80" s="1465"/>
      <c r="AL80" s="1465"/>
      <c r="AM80" s="1465"/>
      <c r="AN80" s="1465"/>
      <c r="AO80" s="1465"/>
      <c r="AP80" s="1467"/>
    </row>
    <row r="81" spans="1:56" ht="25.8" thickBot="1">
      <c r="A81" s="1804"/>
      <c r="B81" s="791" t="s">
        <v>383</v>
      </c>
      <c r="C81" s="1376" t="s">
        <v>462</v>
      </c>
      <c r="D81" s="1377"/>
      <c r="E81" s="1377"/>
      <c r="F81" s="1377"/>
      <c r="G81" s="1377"/>
      <c r="H81" s="1377"/>
      <c r="I81" s="1377"/>
      <c r="J81" s="1377"/>
      <c r="K81" s="1377"/>
      <c r="L81" s="1377"/>
      <c r="M81" s="1377"/>
      <c r="N81" s="1377"/>
      <c r="O81" s="1378"/>
      <c r="P81" s="1318" t="s">
        <v>453</v>
      </c>
      <c r="Q81" s="1318"/>
      <c r="R81" s="1318"/>
      <c r="S81" s="1318"/>
      <c r="T81" s="1319"/>
      <c r="U81" s="1317" t="s">
        <v>452</v>
      </c>
      <c r="V81" s="1318"/>
      <c r="W81" s="1318"/>
      <c r="X81" s="1318"/>
      <c r="Y81" s="1319"/>
      <c r="Z81" s="1845"/>
      <c r="AA81" s="458"/>
      <c r="AB81" s="568"/>
      <c r="AC81" s="1252" t="s">
        <v>1324</v>
      </c>
      <c r="AD81" s="1252"/>
      <c r="AE81" s="1252"/>
      <c r="AF81" s="1252"/>
      <c r="AG81" s="1252"/>
      <c r="AH81" s="1252"/>
      <c r="AI81" s="1581"/>
      <c r="AJ81" s="1730" t="s">
        <v>1323</v>
      </c>
      <c r="AK81" s="1205"/>
      <c r="AL81" s="1205"/>
      <c r="AM81" s="1205"/>
      <c r="AN81" s="1205"/>
      <c r="AO81" s="1206"/>
      <c r="AP81" s="1494"/>
    </row>
    <row r="82" spans="1:56" ht="18.45" customHeight="1">
      <c r="A82" s="1805"/>
      <c r="B82" s="1810" t="s">
        <v>442</v>
      </c>
      <c r="C82" s="1393" t="s">
        <v>443</v>
      </c>
      <c r="D82" s="1082"/>
      <c r="E82" s="1082"/>
      <c r="F82" s="1082"/>
      <c r="G82" s="1082"/>
      <c r="H82" s="1082"/>
      <c r="I82" s="1082"/>
      <c r="J82" s="1082"/>
      <c r="K82" s="1082"/>
      <c r="L82" s="1082"/>
      <c r="M82" s="1082"/>
      <c r="N82" s="1082"/>
      <c r="O82" s="1083"/>
      <c r="P82" s="1079" t="s">
        <v>40</v>
      </c>
      <c r="Q82" s="1076" t="s">
        <v>39</v>
      </c>
      <c r="R82" s="1076" t="s">
        <v>145</v>
      </c>
      <c r="S82" s="1076" t="s">
        <v>147</v>
      </c>
      <c r="T82" s="713" t="s">
        <v>31</v>
      </c>
      <c r="U82" s="1664" t="s">
        <v>40</v>
      </c>
      <c r="V82" s="1076" t="s">
        <v>39</v>
      </c>
      <c r="W82" s="1076" t="s">
        <v>145</v>
      </c>
      <c r="X82" s="1076" t="s">
        <v>147</v>
      </c>
      <c r="Y82" s="713" t="s">
        <v>31</v>
      </c>
      <c r="Z82" s="1846"/>
      <c r="AA82" s="458"/>
      <c r="AB82" s="569"/>
      <c r="AC82" s="1583" t="s">
        <v>1332</v>
      </c>
      <c r="AD82" s="1584"/>
      <c r="AE82" s="1258" t="s">
        <v>1261</v>
      </c>
      <c r="AF82" s="1258"/>
      <c r="AG82" s="1258"/>
      <c r="AH82" s="1258"/>
      <c r="AI82" s="1582"/>
      <c r="AJ82" s="556" t="s">
        <v>40</v>
      </c>
      <c r="AK82" s="557" t="s">
        <v>39</v>
      </c>
      <c r="AL82" s="557" t="s">
        <v>145</v>
      </c>
      <c r="AM82" s="774" t="s">
        <v>147</v>
      </c>
      <c r="AN82" s="1734" t="s">
        <v>31</v>
      </c>
      <c r="AO82" s="1735"/>
      <c r="AP82" s="1495"/>
      <c r="AR82" s="529" t="s">
        <v>40</v>
      </c>
      <c r="AS82" s="530" t="s">
        <v>39</v>
      </c>
      <c r="AT82" s="530" t="s">
        <v>145</v>
      </c>
      <c r="AU82" s="530" t="s">
        <v>147</v>
      </c>
      <c r="AV82" s="531" t="s">
        <v>31</v>
      </c>
      <c r="AW82" s="217"/>
      <c r="AX82" s="529" t="s">
        <v>40</v>
      </c>
      <c r="AY82" s="530" t="s">
        <v>39</v>
      </c>
      <c r="AZ82" s="530" t="s">
        <v>145</v>
      </c>
      <c r="BA82" s="530" t="s">
        <v>147</v>
      </c>
      <c r="BB82" s="531" t="s">
        <v>31</v>
      </c>
    </row>
    <row r="83" spans="1:56" ht="13.95" customHeight="1" thickBot="1">
      <c r="A83" s="1805"/>
      <c r="B83" s="1810"/>
      <c r="C83" s="1649" t="s">
        <v>444</v>
      </c>
      <c r="D83" s="1650"/>
      <c r="E83" s="1650"/>
      <c r="F83" s="1650"/>
      <c r="G83" s="1650"/>
      <c r="H83" s="1650"/>
      <c r="I83" s="1650"/>
      <c r="J83" s="1650"/>
      <c r="K83" s="1650"/>
      <c r="L83" s="1650"/>
      <c r="M83" s="1650"/>
      <c r="N83" s="1650"/>
      <c r="O83" s="1682"/>
      <c r="P83" s="1919"/>
      <c r="Q83" s="1320"/>
      <c r="R83" s="1320"/>
      <c r="S83" s="1320"/>
      <c r="T83" s="4" t="s">
        <v>1099</v>
      </c>
      <c r="U83" s="1324"/>
      <c r="V83" s="1320"/>
      <c r="W83" s="1320"/>
      <c r="X83" s="1320"/>
      <c r="Y83" s="4" t="s">
        <v>146</v>
      </c>
      <c r="Z83" s="1846"/>
      <c r="AA83" s="458"/>
      <c r="AB83" s="569"/>
      <c r="AC83" s="1585"/>
      <c r="AD83" s="1586"/>
      <c r="AE83" s="739" t="s">
        <v>40</v>
      </c>
      <c r="AF83" s="739" t="s">
        <v>39</v>
      </c>
      <c r="AG83" s="739" t="s">
        <v>145</v>
      </c>
      <c r="AH83" s="739" t="s">
        <v>147</v>
      </c>
      <c r="AI83" s="775" t="s">
        <v>31</v>
      </c>
      <c r="AJ83" s="567" t="s">
        <v>1260</v>
      </c>
      <c r="AK83" s="723" t="s">
        <v>1260</v>
      </c>
      <c r="AL83" s="723" t="s">
        <v>1260</v>
      </c>
      <c r="AM83" s="749" t="s">
        <v>1260</v>
      </c>
      <c r="AN83" s="1537" t="s">
        <v>1260</v>
      </c>
      <c r="AO83" s="1762"/>
      <c r="AP83" s="1495"/>
      <c r="AR83" s="1557" t="s">
        <v>1285</v>
      </c>
      <c r="AS83" s="1558"/>
      <c r="AT83" s="1558"/>
      <c r="AU83" s="1558"/>
      <c r="AV83" s="1559"/>
      <c r="AW83" s="213"/>
      <c r="AX83" s="1289" t="s">
        <v>1286</v>
      </c>
      <c r="AY83" s="1289"/>
      <c r="AZ83" s="1289"/>
      <c r="BA83" s="1289"/>
      <c r="BB83" s="1289"/>
    </row>
    <row r="84" spans="1:56" ht="34.950000000000003" customHeight="1" thickBot="1">
      <c r="A84" s="1806"/>
      <c r="B84" s="1811"/>
      <c r="C84" s="1812"/>
      <c r="D84" s="1813"/>
      <c r="E84" s="1813"/>
      <c r="F84" s="1813"/>
      <c r="G84" s="1813"/>
      <c r="H84" s="1813"/>
      <c r="I84" s="1813"/>
      <c r="J84" s="1813"/>
      <c r="K84" s="1813"/>
      <c r="L84" s="1813"/>
      <c r="M84" s="1813"/>
      <c r="N84" s="1813"/>
      <c r="O84" s="1814"/>
      <c r="P84" s="1877" t="s">
        <v>445</v>
      </c>
      <c r="Q84" s="1920"/>
      <c r="R84" s="1920"/>
      <c r="S84" s="1920"/>
      <c r="T84" s="380">
        <v>1.36</v>
      </c>
      <c r="U84" s="1921" t="s">
        <v>445</v>
      </c>
      <c r="V84" s="1920"/>
      <c r="W84" s="1920"/>
      <c r="X84" s="1920"/>
      <c r="Y84" s="381" t="str">
        <f>IF(C84="","",(T84*C84*(10^-3)))</f>
        <v/>
      </c>
      <c r="Z84" s="1847"/>
      <c r="AA84" s="458"/>
      <c r="AB84" s="571"/>
      <c r="AC84" s="1763"/>
      <c r="AD84" s="1764"/>
      <c r="AE84" s="1765"/>
      <c r="AF84" s="1766"/>
      <c r="AG84" s="1766"/>
      <c r="AH84" s="1767"/>
      <c r="AI84" s="598">
        <v>40</v>
      </c>
      <c r="AJ84" s="1768"/>
      <c r="AK84" s="1756"/>
      <c r="AL84" s="1756"/>
      <c r="AM84" s="1756"/>
      <c r="AN84" s="1756" t="str">
        <f>IF(AC84="","",(SQRT((AC84^2)+(AI84^2))))</f>
        <v/>
      </c>
      <c r="AO84" s="1757"/>
      <c r="AP84" s="1758"/>
      <c r="AR84" s="1759"/>
      <c r="AS84" s="1760"/>
      <c r="AT84" s="1760"/>
      <c r="AU84" s="1761"/>
      <c r="AV84" s="719" t="str">
        <f t="shared" ref="AV84" si="23">IF(OR(AN84="",Y84=""),"",AN84*Y84)</f>
        <v/>
      </c>
      <c r="AW84" s="213"/>
      <c r="AX84" s="1759"/>
      <c r="AY84" s="1760"/>
      <c r="AZ84" s="1760"/>
      <c r="BA84" s="1761"/>
      <c r="BB84" s="719" t="str">
        <f t="shared" ref="BB84" si="24">IF(AV84="","",AV84^2)</f>
        <v/>
      </c>
    </row>
    <row r="85" spans="1:56" ht="36.450000000000003" customHeight="1" thickBot="1">
      <c r="A85" s="1878" t="s">
        <v>781</v>
      </c>
      <c r="B85" s="1879"/>
      <c r="C85" s="1879"/>
      <c r="D85" s="1879"/>
      <c r="E85" s="1879"/>
      <c r="F85" s="1879"/>
      <c r="G85" s="1879"/>
      <c r="H85" s="1879"/>
      <c r="I85" s="1879"/>
      <c r="J85" s="1879"/>
      <c r="K85" s="1879"/>
      <c r="L85" s="1879"/>
      <c r="M85" s="1879"/>
      <c r="N85" s="1879"/>
      <c r="O85" s="1879"/>
      <c r="P85" s="1879"/>
      <c r="Q85" s="1879"/>
      <c r="R85" s="1879"/>
      <c r="S85" s="1879"/>
      <c r="T85" s="1879"/>
      <c r="U85" s="1879"/>
      <c r="V85" s="1879"/>
      <c r="W85" s="1879"/>
      <c r="X85" s="1879"/>
      <c r="Y85" s="1879"/>
      <c r="Z85" s="1880"/>
      <c r="AA85" s="458"/>
      <c r="AB85" s="1566" t="s">
        <v>1542</v>
      </c>
      <c r="AC85" s="1567"/>
      <c r="AD85" s="1567"/>
      <c r="AE85" s="1567"/>
      <c r="AF85" s="1567"/>
      <c r="AG85" s="1567"/>
      <c r="AH85" s="1567"/>
      <c r="AI85" s="1567"/>
      <c r="AJ85" s="1567"/>
      <c r="AK85" s="1567"/>
      <c r="AL85" s="1567"/>
      <c r="AM85" s="1567"/>
      <c r="AN85" s="1567"/>
      <c r="AO85" s="1567"/>
      <c r="AP85" s="1568"/>
    </row>
    <row r="86" spans="1:56" ht="28.95" customHeight="1" thickBot="1">
      <c r="A86" s="1065" t="s">
        <v>390</v>
      </c>
      <c r="B86" s="1066"/>
      <c r="C86" s="1066"/>
      <c r="D86" s="1066"/>
      <c r="E86" s="1066"/>
      <c r="F86" s="1066"/>
      <c r="G86" s="1066"/>
      <c r="H86" s="1066"/>
      <c r="I86" s="1066"/>
      <c r="J86" s="1066"/>
      <c r="K86" s="1066"/>
      <c r="L86" s="1066"/>
      <c r="M86" s="1066"/>
      <c r="N86" s="1066"/>
      <c r="O86" s="1066"/>
      <c r="P86" s="1066"/>
      <c r="Q86" s="1066"/>
      <c r="R86" s="1066"/>
      <c r="S86" s="1066"/>
      <c r="T86" s="1066"/>
      <c r="U86" s="1066"/>
      <c r="V86" s="1066"/>
      <c r="W86" s="1066"/>
      <c r="X86" s="1066"/>
      <c r="Y86" s="1066"/>
      <c r="Z86" s="1067"/>
      <c r="AA86" s="458"/>
      <c r="AB86" s="1464"/>
      <c r="AC86" s="1465"/>
      <c r="AD86" s="1465"/>
      <c r="AE86" s="1465"/>
      <c r="AF86" s="1465"/>
      <c r="AG86" s="1465"/>
      <c r="AH86" s="1465"/>
      <c r="AI86" s="1465"/>
      <c r="AJ86" s="1465"/>
      <c r="AK86" s="1465"/>
      <c r="AL86" s="1465"/>
      <c r="AM86" s="1465"/>
      <c r="AN86" s="1465"/>
      <c r="AO86" s="1465"/>
      <c r="AP86" s="1467"/>
    </row>
    <row r="87" spans="1:56" ht="25.8" thickBot="1">
      <c r="A87" s="1804"/>
      <c r="B87" s="791" t="s">
        <v>383</v>
      </c>
      <c r="C87" s="1376" t="s">
        <v>463</v>
      </c>
      <c r="D87" s="1377"/>
      <c r="E87" s="1377"/>
      <c r="F87" s="1377"/>
      <c r="G87" s="1377"/>
      <c r="H87" s="1377"/>
      <c r="I87" s="1377"/>
      <c r="J87" s="1377"/>
      <c r="K87" s="1377"/>
      <c r="L87" s="1377"/>
      <c r="M87" s="1377"/>
      <c r="N87" s="1377"/>
      <c r="O87" s="1378"/>
      <c r="P87" s="1318" t="s">
        <v>450</v>
      </c>
      <c r="Q87" s="1318"/>
      <c r="R87" s="1318"/>
      <c r="S87" s="1318"/>
      <c r="T87" s="1319"/>
      <c r="U87" s="1317" t="s">
        <v>451</v>
      </c>
      <c r="V87" s="1318"/>
      <c r="W87" s="1318"/>
      <c r="X87" s="1318"/>
      <c r="Y87" s="1319"/>
      <c r="Z87" s="1845"/>
      <c r="AA87" s="458"/>
      <c r="AB87" s="568"/>
      <c r="AC87" s="1252" t="s">
        <v>1324</v>
      </c>
      <c r="AD87" s="1252"/>
      <c r="AE87" s="1252"/>
      <c r="AF87" s="1252"/>
      <c r="AG87" s="1252"/>
      <c r="AH87" s="1252"/>
      <c r="AI87" s="1581"/>
      <c r="AJ87" s="1730" t="s">
        <v>1323</v>
      </c>
      <c r="AK87" s="1205"/>
      <c r="AL87" s="1205"/>
      <c r="AM87" s="1205"/>
      <c r="AN87" s="1205"/>
      <c r="AO87" s="1206"/>
      <c r="AP87" s="1494"/>
    </row>
    <row r="88" spans="1:56" ht="19.5" customHeight="1">
      <c r="A88" s="1805"/>
      <c r="B88" s="1810" t="s">
        <v>446</v>
      </c>
      <c r="C88" s="1393" t="s">
        <v>447</v>
      </c>
      <c r="D88" s="1082"/>
      <c r="E88" s="1082"/>
      <c r="F88" s="1082"/>
      <c r="G88" s="1082"/>
      <c r="H88" s="1082"/>
      <c r="I88" s="1082"/>
      <c r="J88" s="1082"/>
      <c r="K88" s="1082"/>
      <c r="L88" s="1082"/>
      <c r="M88" s="1082"/>
      <c r="N88" s="1082"/>
      <c r="O88" s="1083"/>
      <c r="P88" s="1079" t="s">
        <v>40</v>
      </c>
      <c r="Q88" s="1076" t="s">
        <v>39</v>
      </c>
      <c r="R88" s="1076" t="s">
        <v>145</v>
      </c>
      <c r="S88" s="1076" t="s">
        <v>147</v>
      </c>
      <c r="T88" s="713" t="s">
        <v>31</v>
      </c>
      <c r="U88" s="1664" t="s">
        <v>40</v>
      </c>
      <c r="V88" s="1076" t="s">
        <v>39</v>
      </c>
      <c r="W88" s="1076" t="s">
        <v>145</v>
      </c>
      <c r="X88" s="1076" t="s">
        <v>147</v>
      </c>
      <c r="Y88" s="713" t="s">
        <v>31</v>
      </c>
      <c r="Z88" s="1846"/>
      <c r="AA88" s="458"/>
      <c r="AB88" s="569"/>
      <c r="AC88" s="1583" t="s">
        <v>1333</v>
      </c>
      <c r="AD88" s="1584"/>
      <c r="AE88" s="1258" t="s">
        <v>1261</v>
      </c>
      <c r="AF88" s="1258"/>
      <c r="AG88" s="1258"/>
      <c r="AH88" s="1258"/>
      <c r="AI88" s="1582"/>
      <c r="AJ88" s="556" t="s">
        <v>40</v>
      </c>
      <c r="AK88" s="557" t="s">
        <v>39</v>
      </c>
      <c r="AL88" s="557" t="s">
        <v>145</v>
      </c>
      <c r="AM88" s="774" t="s">
        <v>147</v>
      </c>
      <c r="AN88" s="1734" t="s">
        <v>31</v>
      </c>
      <c r="AO88" s="1735"/>
      <c r="AP88" s="1495"/>
      <c r="AR88" s="529" t="s">
        <v>40</v>
      </c>
      <c r="AS88" s="530" t="s">
        <v>39</v>
      </c>
      <c r="AT88" s="530" t="s">
        <v>145</v>
      </c>
      <c r="AU88" s="530" t="s">
        <v>147</v>
      </c>
      <c r="AV88" s="531" t="s">
        <v>31</v>
      </c>
      <c r="AW88" s="217"/>
      <c r="AX88" s="529" t="s">
        <v>40</v>
      </c>
      <c r="AY88" s="530" t="s">
        <v>39</v>
      </c>
      <c r="AZ88" s="530" t="s">
        <v>145</v>
      </c>
      <c r="BA88" s="530" t="s">
        <v>147</v>
      </c>
      <c r="BB88" s="531" t="s">
        <v>31</v>
      </c>
    </row>
    <row r="89" spans="1:56" ht="21" customHeight="1" thickBot="1">
      <c r="A89" s="1805"/>
      <c r="B89" s="1810"/>
      <c r="C89" s="1649" t="s">
        <v>444</v>
      </c>
      <c r="D89" s="1650"/>
      <c r="E89" s="1650"/>
      <c r="F89" s="1650"/>
      <c r="G89" s="1650"/>
      <c r="H89" s="1650"/>
      <c r="I89" s="1650"/>
      <c r="J89" s="1650"/>
      <c r="K89" s="1650"/>
      <c r="L89" s="1650"/>
      <c r="M89" s="1650"/>
      <c r="N89" s="1650"/>
      <c r="O89" s="1682"/>
      <c r="P89" s="1919"/>
      <c r="Q89" s="1320"/>
      <c r="R89" s="1320"/>
      <c r="S89" s="1320"/>
      <c r="T89" s="4" t="s">
        <v>1100</v>
      </c>
      <c r="U89" s="1324"/>
      <c r="V89" s="1320"/>
      <c r="W89" s="1320"/>
      <c r="X89" s="1320"/>
      <c r="Y89" s="4" t="s">
        <v>146</v>
      </c>
      <c r="Z89" s="1846"/>
      <c r="AA89" s="458"/>
      <c r="AB89" s="569"/>
      <c r="AC89" s="1585"/>
      <c r="AD89" s="1586"/>
      <c r="AE89" s="739" t="s">
        <v>40</v>
      </c>
      <c r="AF89" s="739" t="s">
        <v>39</v>
      </c>
      <c r="AG89" s="739" t="s">
        <v>145</v>
      </c>
      <c r="AH89" s="739" t="s">
        <v>147</v>
      </c>
      <c r="AI89" s="775" t="s">
        <v>31</v>
      </c>
      <c r="AJ89" s="567" t="s">
        <v>1260</v>
      </c>
      <c r="AK89" s="723" t="s">
        <v>1260</v>
      </c>
      <c r="AL89" s="723" t="s">
        <v>1260</v>
      </c>
      <c r="AM89" s="749" t="s">
        <v>1260</v>
      </c>
      <c r="AN89" s="1537" t="s">
        <v>1260</v>
      </c>
      <c r="AO89" s="1762"/>
      <c r="AP89" s="1495"/>
      <c r="AR89" s="1557" t="s">
        <v>1285</v>
      </c>
      <c r="AS89" s="1558"/>
      <c r="AT89" s="1558"/>
      <c r="AU89" s="1558"/>
      <c r="AV89" s="1559"/>
      <c r="AW89" s="213"/>
      <c r="AX89" s="1289" t="s">
        <v>1286</v>
      </c>
      <c r="AY89" s="1289"/>
      <c r="AZ89" s="1289"/>
      <c r="BA89" s="1289"/>
      <c r="BB89" s="1289"/>
    </row>
    <row r="90" spans="1:56" ht="34.950000000000003" customHeight="1" thickBot="1">
      <c r="A90" s="1806"/>
      <c r="B90" s="1811"/>
      <c r="C90" s="1812"/>
      <c r="D90" s="1813"/>
      <c r="E90" s="1813"/>
      <c r="F90" s="1813"/>
      <c r="G90" s="1813"/>
      <c r="H90" s="1813"/>
      <c r="I90" s="1813"/>
      <c r="J90" s="1813"/>
      <c r="K90" s="1813"/>
      <c r="L90" s="1813"/>
      <c r="M90" s="1813"/>
      <c r="N90" s="1813"/>
      <c r="O90" s="1814"/>
      <c r="P90" s="1877" t="s">
        <v>449</v>
      </c>
      <c r="Q90" s="1920"/>
      <c r="R90" s="1920"/>
      <c r="S90" s="1920"/>
      <c r="T90" s="378">
        <v>32.47</v>
      </c>
      <c r="U90" s="1921" t="s">
        <v>448</v>
      </c>
      <c r="V90" s="1920"/>
      <c r="W90" s="1920"/>
      <c r="X90" s="1920"/>
      <c r="Y90" s="379" t="str">
        <f>IF(C90="","",(T90*C90*(10^-3)))</f>
        <v/>
      </c>
      <c r="Z90" s="1847"/>
      <c r="AA90" s="458"/>
      <c r="AB90" s="571"/>
      <c r="AC90" s="1763"/>
      <c r="AD90" s="1764"/>
      <c r="AE90" s="1765"/>
      <c r="AF90" s="1766"/>
      <c r="AG90" s="1766"/>
      <c r="AH90" s="1767"/>
      <c r="AI90" s="598">
        <v>40</v>
      </c>
      <c r="AJ90" s="1768"/>
      <c r="AK90" s="1756"/>
      <c r="AL90" s="1756"/>
      <c r="AM90" s="1756"/>
      <c r="AN90" s="1756" t="str">
        <f>IF(AC90="","",(SQRT((AC90^2)+(AI90^2))))</f>
        <v/>
      </c>
      <c r="AO90" s="1757"/>
      <c r="AP90" s="1758"/>
      <c r="AR90" s="1759"/>
      <c r="AS90" s="1760"/>
      <c r="AT90" s="1760"/>
      <c r="AU90" s="1761"/>
      <c r="AV90" s="719" t="str">
        <f t="shared" ref="AV90" si="25">IF(OR(AN90="",Y90=""),"",AN90*Y90)</f>
        <v/>
      </c>
      <c r="AW90" s="213"/>
      <c r="AX90" s="1759"/>
      <c r="AY90" s="1760"/>
      <c r="AZ90" s="1760"/>
      <c r="BA90" s="1761"/>
      <c r="BB90" s="719" t="str">
        <f t="shared" ref="BB90" si="26">IF(AV90="","",AV90^2)</f>
        <v/>
      </c>
    </row>
    <row r="91" spans="1:56" ht="36.450000000000003" customHeight="1" thickBot="1">
      <c r="A91" s="1878" t="s">
        <v>512</v>
      </c>
      <c r="B91" s="1879"/>
      <c r="C91" s="1879"/>
      <c r="D91" s="1879"/>
      <c r="E91" s="1879"/>
      <c r="F91" s="1879"/>
      <c r="G91" s="1879"/>
      <c r="H91" s="1879"/>
      <c r="I91" s="1879"/>
      <c r="J91" s="1879"/>
      <c r="K91" s="1879"/>
      <c r="L91" s="1879"/>
      <c r="M91" s="1879"/>
      <c r="N91" s="1879"/>
      <c r="O91" s="1879"/>
      <c r="P91" s="1879"/>
      <c r="Q91" s="1879"/>
      <c r="R91" s="1879"/>
      <c r="S91" s="1879"/>
      <c r="T91" s="1879"/>
      <c r="U91" s="1879"/>
      <c r="V91" s="1879"/>
      <c r="W91" s="1879"/>
      <c r="X91" s="1879"/>
      <c r="Y91" s="1879"/>
      <c r="Z91" s="1880"/>
      <c r="AA91" s="458"/>
      <c r="AB91" s="1566" t="s">
        <v>1543</v>
      </c>
      <c r="AC91" s="1567"/>
      <c r="AD91" s="1567"/>
      <c r="AE91" s="1567"/>
      <c r="AF91" s="1567"/>
      <c r="AG91" s="1567"/>
      <c r="AH91" s="1567"/>
      <c r="AI91" s="1567"/>
      <c r="AJ91" s="1567"/>
      <c r="AK91" s="1567"/>
      <c r="AL91" s="1567"/>
      <c r="AM91" s="1567"/>
      <c r="AN91" s="1567"/>
      <c r="AO91" s="1567"/>
      <c r="AP91" s="1568"/>
    </row>
    <row r="92" spans="1:56" ht="28.95" customHeight="1" thickBot="1">
      <c r="A92" s="1065" t="s">
        <v>390</v>
      </c>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7"/>
      <c r="AA92" s="458"/>
      <c r="AB92" s="1464"/>
      <c r="AC92" s="1465"/>
      <c r="AD92" s="1465"/>
      <c r="AE92" s="1465"/>
      <c r="AF92" s="1465"/>
      <c r="AG92" s="1465"/>
      <c r="AH92" s="1465"/>
      <c r="AI92" s="1465"/>
      <c r="AJ92" s="1465"/>
      <c r="AK92" s="1465"/>
      <c r="AL92" s="1465"/>
      <c r="AM92" s="1465"/>
      <c r="AN92" s="1465"/>
      <c r="AO92" s="1465"/>
      <c r="AP92" s="1467"/>
    </row>
    <row r="93" spans="1:56" ht="25.8" thickBot="1">
      <c r="A93" s="1804"/>
      <c r="B93" s="791" t="s">
        <v>383</v>
      </c>
      <c r="C93" s="1376" t="s">
        <v>464</v>
      </c>
      <c r="D93" s="1377"/>
      <c r="E93" s="1377"/>
      <c r="F93" s="1377"/>
      <c r="G93" s="1377"/>
      <c r="H93" s="1377"/>
      <c r="I93" s="1378"/>
      <c r="J93" s="1376" t="s">
        <v>417</v>
      </c>
      <c r="K93" s="1377"/>
      <c r="L93" s="1377"/>
      <c r="M93" s="1377"/>
      <c r="N93" s="1377"/>
      <c r="O93" s="1378"/>
      <c r="P93" s="1376" t="s">
        <v>455</v>
      </c>
      <c r="Q93" s="1377"/>
      <c r="R93" s="1377"/>
      <c r="S93" s="1377"/>
      <c r="T93" s="1378"/>
      <c r="U93" s="1318" t="s">
        <v>456</v>
      </c>
      <c r="V93" s="1318"/>
      <c r="W93" s="1318"/>
      <c r="X93" s="1318"/>
      <c r="Y93" s="1319"/>
      <c r="Z93" s="1845"/>
      <c r="AA93" s="458"/>
      <c r="AB93" s="568"/>
      <c r="AC93" s="1252" t="s">
        <v>1324</v>
      </c>
      <c r="AD93" s="1252"/>
      <c r="AE93" s="1252"/>
      <c r="AF93" s="1252"/>
      <c r="AG93" s="1252"/>
      <c r="AH93" s="1252"/>
      <c r="AI93" s="1581"/>
      <c r="AJ93" s="1730" t="s">
        <v>1323</v>
      </c>
      <c r="AK93" s="1205"/>
      <c r="AL93" s="1205"/>
      <c r="AM93" s="1205"/>
      <c r="AN93" s="1205"/>
      <c r="AO93" s="1206"/>
      <c r="AP93" s="1494"/>
    </row>
    <row r="94" spans="1:56" ht="23.4">
      <c r="A94" s="1805"/>
      <c r="B94" s="1810" t="s">
        <v>454</v>
      </c>
      <c r="C94" s="1393" t="s">
        <v>459</v>
      </c>
      <c r="D94" s="1082"/>
      <c r="E94" s="1082"/>
      <c r="F94" s="1082"/>
      <c r="G94" s="1082"/>
      <c r="H94" s="1082"/>
      <c r="I94" s="1083"/>
      <c r="J94" s="1393" t="s">
        <v>467</v>
      </c>
      <c r="K94" s="1082"/>
      <c r="L94" s="1082"/>
      <c r="M94" s="1082"/>
      <c r="N94" s="1082"/>
      <c r="O94" s="1083"/>
      <c r="P94" s="1664" t="s">
        <v>40</v>
      </c>
      <c r="Q94" s="1076" t="s">
        <v>39</v>
      </c>
      <c r="R94" s="696" t="s">
        <v>145</v>
      </c>
      <c r="S94" s="1076" t="s">
        <v>147</v>
      </c>
      <c r="T94" s="713" t="s">
        <v>31</v>
      </c>
      <c r="U94" s="1079" t="s">
        <v>40</v>
      </c>
      <c r="V94" s="1076" t="s">
        <v>39</v>
      </c>
      <c r="W94" s="674" t="s">
        <v>145</v>
      </c>
      <c r="X94" s="1076" t="s">
        <v>147</v>
      </c>
      <c r="Y94" s="713" t="s">
        <v>31</v>
      </c>
      <c r="Z94" s="1846"/>
      <c r="AA94" s="458"/>
      <c r="AB94" s="569"/>
      <c r="AC94" s="1452" t="s">
        <v>1334</v>
      </c>
      <c r="AD94" s="1731" t="s">
        <v>1336</v>
      </c>
      <c r="AE94" s="1743" t="s">
        <v>1261</v>
      </c>
      <c r="AF94" s="1743"/>
      <c r="AG94" s="1743"/>
      <c r="AH94" s="1743"/>
      <c r="AI94" s="1744"/>
      <c r="AJ94" s="556" t="s">
        <v>40</v>
      </c>
      <c r="AK94" s="557" t="s">
        <v>39</v>
      </c>
      <c r="AL94" s="557" t="s">
        <v>145</v>
      </c>
      <c r="AM94" s="774" t="s">
        <v>147</v>
      </c>
      <c r="AN94" s="1734" t="s">
        <v>31</v>
      </c>
      <c r="AO94" s="1735"/>
      <c r="AP94" s="1495"/>
      <c r="AR94" s="529" t="s">
        <v>40</v>
      </c>
      <c r="AS94" s="530" t="s">
        <v>39</v>
      </c>
      <c r="AT94" s="530" t="s">
        <v>145</v>
      </c>
      <c r="AU94" s="530" t="s">
        <v>147</v>
      </c>
      <c r="AV94" s="531" t="s">
        <v>31</v>
      </c>
      <c r="AW94" s="217"/>
      <c r="AX94" s="529" t="s">
        <v>40</v>
      </c>
      <c r="AY94" s="530" t="s">
        <v>39</v>
      </c>
      <c r="AZ94" s="530" t="s">
        <v>145</v>
      </c>
      <c r="BA94" s="530" t="s">
        <v>147</v>
      </c>
      <c r="BB94" s="531" t="s">
        <v>31</v>
      </c>
    </row>
    <row r="95" spans="1:56" ht="18.600000000000001" thickBot="1">
      <c r="A95" s="1805"/>
      <c r="B95" s="1810"/>
      <c r="C95" s="1649" t="s">
        <v>444</v>
      </c>
      <c r="D95" s="1650"/>
      <c r="E95" s="1650"/>
      <c r="F95" s="1650"/>
      <c r="G95" s="1650"/>
      <c r="H95" s="1650"/>
      <c r="I95" s="1682"/>
      <c r="J95" s="1843" t="s">
        <v>356</v>
      </c>
      <c r="K95" s="1797"/>
      <c r="L95" s="1797"/>
      <c r="M95" s="1797"/>
      <c r="N95" s="1797"/>
      <c r="O95" s="1844"/>
      <c r="P95" s="1324"/>
      <c r="Q95" s="1320"/>
      <c r="R95" s="1" t="s">
        <v>458</v>
      </c>
      <c r="S95" s="1320"/>
      <c r="T95" s="4" t="s">
        <v>458</v>
      </c>
      <c r="U95" s="1919"/>
      <c r="V95" s="1320"/>
      <c r="W95" s="1" t="s">
        <v>146</v>
      </c>
      <c r="X95" s="1320"/>
      <c r="Y95" s="4" t="s">
        <v>146</v>
      </c>
      <c r="Z95" s="1846"/>
      <c r="AA95" s="458"/>
      <c r="AB95" s="569"/>
      <c r="AC95" s="1738"/>
      <c r="AD95" s="1732"/>
      <c r="AE95" s="739" t="s">
        <v>40</v>
      </c>
      <c r="AF95" s="739" t="s">
        <v>39</v>
      </c>
      <c r="AG95" s="739" t="s">
        <v>145</v>
      </c>
      <c r="AH95" s="739" t="s">
        <v>147</v>
      </c>
      <c r="AI95" s="601" t="s">
        <v>31</v>
      </c>
      <c r="AJ95" s="594" t="s">
        <v>1260</v>
      </c>
      <c r="AK95" s="739" t="s">
        <v>1260</v>
      </c>
      <c r="AL95" s="739" t="s">
        <v>1260</v>
      </c>
      <c r="AM95" s="775" t="s">
        <v>1260</v>
      </c>
      <c r="AN95" s="1736" t="s">
        <v>1260</v>
      </c>
      <c r="AO95" s="1737"/>
      <c r="AP95" s="1495"/>
      <c r="AR95" s="1557" t="s">
        <v>1285</v>
      </c>
      <c r="AS95" s="1558"/>
      <c r="AT95" s="1558"/>
      <c r="AU95" s="1558"/>
      <c r="AV95" s="1559"/>
      <c r="AW95" s="213"/>
      <c r="AX95" s="1289" t="s">
        <v>1286</v>
      </c>
      <c r="AY95" s="1289"/>
      <c r="AZ95" s="1289"/>
      <c r="BA95" s="1289"/>
      <c r="BB95" s="1289"/>
      <c r="BD95" s="593" t="s">
        <v>1328</v>
      </c>
    </row>
    <row r="96" spans="1:56" ht="84" customHeight="1" thickBot="1">
      <c r="A96" s="1806"/>
      <c r="B96" s="1811"/>
      <c r="C96" s="1812"/>
      <c r="D96" s="1813"/>
      <c r="E96" s="1813"/>
      <c r="F96" s="1813"/>
      <c r="G96" s="1813"/>
      <c r="H96" s="1813"/>
      <c r="I96" s="1814"/>
      <c r="J96" s="1815"/>
      <c r="K96" s="1816"/>
      <c r="L96" s="1816"/>
      <c r="M96" s="1816"/>
      <c r="N96" s="1816"/>
      <c r="O96" s="1817"/>
      <c r="P96" s="1807" t="s">
        <v>457</v>
      </c>
      <c r="Q96" s="1808"/>
      <c r="R96" s="393">
        <v>17.5</v>
      </c>
      <c r="S96" s="788" t="s">
        <v>457</v>
      </c>
      <c r="T96" s="395">
        <v>8.5</v>
      </c>
      <c r="U96" s="1809" t="s">
        <v>457</v>
      </c>
      <c r="V96" s="1808"/>
      <c r="W96" s="393" t="str">
        <f>IF(C96="","",IF(J96="",(R96*C96*(10^-3)),(R96*C96*(10^-3))*(1-(J96/100))))</f>
        <v/>
      </c>
      <c r="X96" s="788" t="s">
        <v>457</v>
      </c>
      <c r="Y96" s="394" t="str">
        <f>IF(C96="","",IF(J96="",(T96*C96*(10^-3)),(T96*C96*(10^-3))*(1-(J96/100))))</f>
        <v/>
      </c>
      <c r="Z96" s="1847"/>
      <c r="AA96" s="458"/>
      <c r="AB96" s="571"/>
      <c r="AC96" s="780"/>
      <c r="AD96" s="781"/>
      <c r="AE96" s="1755"/>
      <c r="AF96" s="1755"/>
      <c r="AG96" s="602">
        <v>1000</v>
      </c>
      <c r="AH96" s="602"/>
      <c r="AI96" s="777">
        <v>1000</v>
      </c>
      <c r="AJ96" s="1756"/>
      <c r="AK96" s="1756"/>
      <c r="AL96" s="603" t="str">
        <f>IF(AC96="","",IF(OR(J96="",AD96="",BD96=""),(SQRT((AC96)^2+(AG96)^2)),(SQRT((AC96)^2+(AG96)^2+(BD96)^2))))</f>
        <v/>
      </c>
      <c r="AM96" s="603"/>
      <c r="AN96" s="1756" t="str">
        <f>IF(AC96="","",IF(OR(J96="",AD96="",BD96=""),(SQRT((AC96)^2+(AI96)^2)),(SQRT((AC96)^2+(AI96)^2+(BD96)^2))))</f>
        <v/>
      </c>
      <c r="AO96" s="1757"/>
      <c r="AP96" s="1758"/>
      <c r="AR96" s="1562"/>
      <c r="AS96" s="1562"/>
      <c r="AT96" s="600" t="str">
        <f>IF(OR(AL96="",W96=""),"",AL96*W96)</f>
        <v/>
      </c>
      <c r="AU96" s="600"/>
      <c r="AV96" s="754" t="str">
        <f t="shared" ref="AV96" si="27">IF(OR(AN96="",Y96=""),"",AN96*Y96)</f>
        <v/>
      </c>
      <c r="AW96" s="213"/>
      <c r="AX96" s="1562"/>
      <c r="AY96" s="1562"/>
      <c r="AZ96" s="600" t="str">
        <f>IF(AT96="","",AT96^2)</f>
        <v/>
      </c>
      <c r="BA96" s="600"/>
      <c r="BB96" s="754" t="str">
        <f t="shared" ref="BB96" si="28">IF(AV96="","",AV96^2)</f>
        <v/>
      </c>
      <c r="BD96" s="592" t="str">
        <f>IF(OR(AD96="",J96=""),"",((AD96*(J96/100))/(1-(J96/100))))</f>
        <v/>
      </c>
    </row>
    <row r="97" spans="1:56" ht="36.450000000000003" customHeight="1" thickBot="1">
      <c r="A97" s="1878" t="s">
        <v>782</v>
      </c>
      <c r="B97" s="1879"/>
      <c r="C97" s="1879"/>
      <c r="D97" s="1879"/>
      <c r="E97" s="1879"/>
      <c r="F97" s="1879"/>
      <c r="G97" s="1879"/>
      <c r="H97" s="1879"/>
      <c r="I97" s="1879"/>
      <c r="J97" s="1879"/>
      <c r="K97" s="1879"/>
      <c r="L97" s="1879"/>
      <c r="M97" s="1879"/>
      <c r="N97" s="1879"/>
      <c r="O97" s="1879"/>
      <c r="P97" s="1821"/>
      <c r="Q97" s="1821"/>
      <c r="R97" s="1821"/>
      <c r="S97" s="1821"/>
      <c r="T97" s="1821"/>
      <c r="U97" s="1821"/>
      <c r="V97" s="1821"/>
      <c r="W97" s="1821"/>
      <c r="X97" s="1821"/>
      <c r="Y97" s="1821"/>
      <c r="Z97" s="1880"/>
      <c r="AA97" s="458"/>
      <c r="AB97" s="1566" t="s">
        <v>1544</v>
      </c>
      <c r="AC97" s="1567"/>
      <c r="AD97" s="1567"/>
      <c r="AE97" s="1567"/>
      <c r="AF97" s="1567"/>
      <c r="AG97" s="1567"/>
      <c r="AH97" s="1567"/>
      <c r="AI97" s="1567"/>
      <c r="AJ97" s="1567"/>
      <c r="AK97" s="1567"/>
      <c r="AL97" s="1567"/>
      <c r="AM97" s="1567"/>
      <c r="AN97" s="1567"/>
      <c r="AO97" s="1567"/>
      <c r="AP97" s="1568"/>
    </row>
    <row r="98" spans="1:56" ht="28.95" customHeight="1" thickBot="1">
      <c r="A98" s="1065" t="s">
        <v>390</v>
      </c>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7"/>
      <c r="AA98" s="458"/>
      <c r="AB98" s="1464"/>
      <c r="AC98" s="1465"/>
      <c r="AD98" s="1465"/>
      <c r="AE98" s="1465"/>
      <c r="AF98" s="1465"/>
      <c r="AG98" s="1465"/>
      <c r="AH98" s="1465"/>
      <c r="AI98" s="1465"/>
      <c r="AJ98" s="1465"/>
      <c r="AK98" s="1465"/>
      <c r="AL98" s="1465"/>
      <c r="AM98" s="1465"/>
      <c r="AN98" s="1465"/>
      <c r="AO98" s="1465"/>
      <c r="AP98" s="1467"/>
    </row>
    <row r="99" spans="1:56" ht="25.8" thickBot="1">
      <c r="A99" s="1804"/>
      <c r="B99" s="791" t="s">
        <v>383</v>
      </c>
      <c r="C99" s="1376" t="s">
        <v>466</v>
      </c>
      <c r="D99" s="1377"/>
      <c r="E99" s="1377"/>
      <c r="F99" s="1377"/>
      <c r="G99" s="1377"/>
      <c r="H99" s="1377"/>
      <c r="I99" s="1378"/>
      <c r="J99" s="1376" t="s">
        <v>417</v>
      </c>
      <c r="K99" s="1377"/>
      <c r="L99" s="1377"/>
      <c r="M99" s="1377"/>
      <c r="N99" s="1377"/>
      <c r="O99" s="1377"/>
      <c r="P99" s="1376" t="s">
        <v>455</v>
      </c>
      <c r="Q99" s="1377"/>
      <c r="R99" s="1377"/>
      <c r="S99" s="1377"/>
      <c r="T99" s="1378"/>
      <c r="U99" s="1376" t="s">
        <v>456</v>
      </c>
      <c r="V99" s="1377"/>
      <c r="W99" s="1377"/>
      <c r="X99" s="1377"/>
      <c r="Y99" s="1378"/>
      <c r="Z99" s="1848"/>
      <c r="AA99" s="458"/>
      <c r="AB99" s="568"/>
      <c r="AC99" s="1252" t="s">
        <v>1324</v>
      </c>
      <c r="AD99" s="1252"/>
      <c r="AE99" s="1252"/>
      <c r="AF99" s="1252"/>
      <c r="AG99" s="1252"/>
      <c r="AH99" s="1252"/>
      <c r="AI99" s="1581"/>
      <c r="AJ99" s="1730" t="s">
        <v>1323</v>
      </c>
      <c r="AK99" s="1205"/>
      <c r="AL99" s="1205"/>
      <c r="AM99" s="1205"/>
      <c r="AN99" s="1205"/>
      <c r="AO99" s="1206"/>
      <c r="AP99" s="1494"/>
    </row>
    <row r="100" spans="1:56" ht="22.95" customHeight="1">
      <c r="A100" s="1805"/>
      <c r="B100" s="1810" t="s">
        <v>460</v>
      </c>
      <c r="C100" s="1393" t="s">
        <v>465</v>
      </c>
      <c r="D100" s="1082"/>
      <c r="E100" s="1082"/>
      <c r="F100" s="1082"/>
      <c r="G100" s="1082"/>
      <c r="H100" s="1082"/>
      <c r="I100" s="1083"/>
      <c r="J100" s="1393" t="s">
        <v>467</v>
      </c>
      <c r="K100" s="1082"/>
      <c r="L100" s="1082"/>
      <c r="M100" s="1082"/>
      <c r="N100" s="1082"/>
      <c r="O100" s="1082"/>
      <c r="P100" s="1664" t="s">
        <v>40</v>
      </c>
      <c r="Q100" s="1076" t="s">
        <v>39</v>
      </c>
      <c r="R100" s="696" t="s">
        <v>145</v>
      </c>
      <c r="S100" s="1076" t="s">
        <v>147</v>
      </c>
      <c r="T100" s="713" t="s">
        <v>31</v>
      </c>
      <c r="U100" s="1664" t="s">
        <v>40</v>
      </c>
      <c r="V100" s="1076" t="s">
        <v>39</v>
      </c>
      <c r="W100" s="674" t="s">
        <v>145</v>
      </c>
      <c r="X100" s="1076" t="s">
        <v>147</v>
      </c>
      <c r="Y100" s="713" t="s">
        <v>31</v>
      </c>
      <c r="Z100" s="1849"/>
      <c r="AA100" s="458"/>
      <c r="AB100" s="569"/>
      <c r="AC100" s="1452" t="s">
        <v>1335</v>
      </c>
      <c r="AD100" s="1731" t="s">
        <v>1336</v>
      </c>
      <c r="AE100" s="1743" t="s">
        <v>1261</v>
      </c>
      <c r="AF100" s="1743"/>
      <c r="AG100" s="1743"/>
      <c r="AH100" s="1743"/>
      <c r="AI100" s="1744"/>
      <c r="AJ100" s="556" t="s">
        <v>40</v>
      </c>
      <c r="AK100" s="557" t="s">
        <v>39</v>
      </c>
      <c r="AL100" s="557" t="s">
        <v>145</v>
      </c>
      <c r="AM100" s="774" t="s">
        <v>147</v>
      </c>
      <c r="AN100" s="1734" t="s">
        <v>31</v>
      </c>
      <c r="AO100" s="1735"/>
      <c r="AP100" s="1495"/>
      <c r="AR100" s="529" t="s">
        <v>40</v>
      </c>
      <c r="AS100" s="530" t="s">
        <v>39</v>
      </c>
      <c r="AT100" s="530" t="s">
        <v>145</v>
      </c>
      <c r="AU100" s="530" t="s">
        <v>147</v>
      </c>
      <c r="AV100" s="531" t="s">
        <v>31</v>
      </c>
      <c r="AW100" s="217"/>
      <c r="AX100" s="529" t="s">
        <v>40</v>
      </c>
      <c r="AY100" s="530" t="s">
        <v>39</v>
      </c>
      <c r="AZ100" s="530" t="s">
        <v>145</v>
      </c>
      <c r="BA100" s="530" t="s">
        <v>147</v>
      </c>
      <c r="BB100" s="531" t="s">
        <v>31</v>
      </c>
    </row>
    <row r="101" spans="1:56" ht="18.600000000000001" thickBot="1">
      <c r="A101" s="1805"/>
      <c r="B101" s="1810"/>
      <c r="C101" s="1649" t="s">
        <v>444</v>
      </c>
      <c r="D101" s="1650"/>
      <c r="E101" s="1650"/>
      <c r="F101" s="1650"/>
      <c r="G101" s="1650"/>
      <c r="H101" s="1650"/>
      <c r="I101" s="1682"/>
      <c r="J101" s="1843" t="s">
        <v>356</v>
      </c>
      <c r="K101" s="1797"/>
      <c r="L101" s="1797"/>
      <c r="M101" s="1797"/>
      <c r="N101" s="1797"/>
      <c r="O101" s="1797"/>
      <c r="P101" s="1324"/>
      <c r="Q101" s="1320"/>
      <c r="R101" s="1" t="s">
        <v>1101</v>
      </c>
      <c r="S101" s="1320"/>
      <c r="T101" s="4" t="s">
        <v>1101</v>
      </c>
      <c r="U101" s="1324"/>
      <c r="V101" s="1320"/>
      <c r="W101" s="1" t="s">
        <v>146</v>
      </c>
      <c r="X101" s="1320"/>
      <c r="Y101" s="4" t="s">
        <v>146</v>
      </c>
      <c r="Z101" s="1849"/>
      <c r="AA101" s="458"/>
      <c r="AB101" s="569"/>
      <c r="AC101" s="1738"/>
      <c r="AD101" s="1732"/>
      <c r="AE101" s="739" t="s">
        <v>40</v>
      </c>
      <c r="AF101" s="739" t="s">
        <v>39</v>
      </c>
      <c r="AG101" s="739" t="s">
        <v>145</v>
      </c>
      <c r="AH101" s="739" t="s">
        <v>147</v>
      </c>
      <c r="AI101" s="601" t="s">
        <v>31</v>
      </c>
      <c r="AJ101" s="594" t="s">
        <v>1260</v>
      </c>
      <c r="AK101" s="739" t="s">
        <v>1260</v>
      </c>
      <c r="AL101" s="739" t="s">
        <v>1260</v>
      </c>
      <c r="AM101" s="775" t="s">
        <v>1260</v>
      </c>
      <c r="AN101" s="1736" t="s">
        <v>1260</v>
      </c>
      <c r="AO101" s="1737"/>
      <c r="AP101" s="1495"/>
      <c r="AR101" s="1557" t="s">
        <v>1285</v>
      </c>
      <c r="AS101" s="1558"/>
      <c r="AT101" s="1558"/>
      <c r="AU101" s="1558"/>
      <c r="AV101" s="1559"/>
      <c r="AW101" s="213"/>
      <c r="AX101" s="1289" t="s">
        <v>1286</v>
      </c>
      <c r="AY101" s="1289"/>
      <c r="AZ101" s="1289"/>
      <c r="BA101" s="1289"/>
      <c r="BB101" s="1289"/>
      <c r="BD101" s="593" t="s">
        <v>1328</v>
      </c>
    </row>
    <row r="102" spans="1:56" ht="82.2" thickBot="1">
      <c r="A102" s="1806"/>
      <c r="B102" s="1811"/>
      <c r="C102" s="1812"/>
      <c r="D102" s="1813"/>
      <c r="E102" s="1813"/>
      <c r="F102" s="1813"/>
      <c r="G102" s="1813"/>
      <c r="H102" s="1813"/>
      <c r="I102" s="1814"/>
      <c r="J102" s="1815"/>
      <c r="K102" s="1816"/>
      <c r="L102" s="1816"/>
      <c r="M102" s="1816"/>
      <c r="N102" s="1816"/>
      <c r="O102" s="1817"/>
      <c r="P102" s="1818" t="s">
        <v>461</v>
      </c>
      <c r="Q102" s="1819"/>
      <c r="R102" s="396">
        <v>1.5</v>
      </c>
      <c r="S102" s="789" t="s">
        <v>461</v>
      </c>
      <c r="T102" s="375">
        <v>0.35</v>
      </c>
      <c r="U102" s="1818" t="s">
        <v>461</v>
      </c>
      <c r="V102" s="1819"/>
      <c r="W102" s="396" t="str">
        <f>IF(C102="","",IF(J102="",(R102*C102*(10^-3)),(R102*C102*(10^-3))*(1-(J102/100))))</f>
        <v/>
      </c>
      <c r="X102" s="789" t="s">
        <v>461</v>
      </c>
      <c r="Y102" s="376" t="str">
        <f>IF(C102="","",IF(J102="",(T102*C102*(10^-3)),(T102*C102*(10^-3))*(1-(J102/100))))</f>
        <v/>
      </c>
      <c r="Z102" s="1850"/>
      <c r="AA102" s="458"/>
      <c r="AB102" s="571"/>
      <c r="AC102" s="780"/>
      <c r="AD102" s="781"/>
      <c r="AE102" s="1755"/>
      <c r="AF102" s="1755"/>
      <c r="AG102" s="602">
        <v>1000</v>
      </c>
      <c r="AH102" s="602"/>
      <c r="AI102" s="777">
        <v>1000</v>
      </c>
      <c r="AJ102" s="1756"/>
      <c r="AK102" s="1756"/>
      <c r="AL102" s="603" t="str">
        <f>IF(AC102="","",IF(OR(J102="",AD102="",BD102=""),(SQRT((AC102)^2+(AG102)^2)),(SQRT((AC102)^2+(AG102)^2+(BD102)^2))))</f>
        <v/>
      </c>
      <c r="AM102" s="603"/>
      <c r="AN102" s="1756" t="str">
        <f>IF(AC102="","",IF(OR(J102="",AD102="",BD102=""),(SQRT((AC102)^2+(AI102)^2)),(SQRT((AC102)^2+(AI102)^2+(BD102)^2))))</f>
        <v/>
      </c>
      <c r="AO102" s="1757"/>
      <c r="AP102" s="1758"/>
      <c r="AR102" s="1562"/>
      <c r="AS102" s="1562"/>
      <c r="AT102" s="600" t="str">
        <f>IF(OR(AL102="",W102=""),"",AL102*W102)</f>
        <v/>
      </c>
      <c r="AU102" s="600"/>
      <c r="AV102" s="754" t="str">
        <f t="shared" ref="AV102" si="29">IF(OR(AN102="",Y102=""),"",AN102*Y102)</f>
        <v/>
      </c>
      <c r="AW102" s="213"/>
      <c r="AX102" s="1562"/>
      <c r="AY102" s="1562"/>
      <c r="AZ102" s="600" t="str">
        <f>IF(AT102="","",AT102^2)</f>
        <v/>
      </c>
      <c r="BA102" s="600"/>
      <c r="BB102" s="754" t="str">
        <f t="shared" ref="BB102" si="30">IF(AV102="","",AV102^2)</f>
        <v/>
      </c>
      <c r="BD102" s="592" t="str">
        <f>IF(OR(AD102="",J102=""),"",((AD102*(J102/100))/(1-(J102/100))))</f>
        <v/>
      </c>
    </row>
    <row r="103" spans="1:56" ht="36.450000000000003" customHeight="1" thickBot="1">
      <c r="A103" s="1878" t="s">
        <v>783</v>
      </c>
      <c r="B103" s="1879"/>
      <c r="C103" s="1879"/>
      <c r="D103" s="1879"/>
      <c r="E103" s="1879"/>
      <c r="F103" s="1879"/>
      <c r="G103" s="1879"/>
      <c r="H103" s="1879"/>
      <c r="I103" s="1879"/>
      <c r="J103" s="1879"/>
      <c r="K103" s="1879"/>
      <c r="L103" s="1879"/>
      <c r="M103" s="1879"/>
      <c r="N103" s="1879"/>
      <c r="O103" s="1879"/>
      <c r="P103" s="1821"/>
      <c r="Q103" s="1821"/>
      <c r="R103" s="1821"/>
      <c r="S103" s="1821"/>
      <c r="T103" s="1821"/>
      <c r="U103" s="1821"/>
      <c r="V103" s="1821"/>
      <c r="W103" s="1821"/>
      <c r="X103" s="1821"/>
      <c r="Y103" s="1821"/>
      <c r="Z103" s="1880"/>
      <c r="AA103" s="458"/>
      <c r="AB103" s="1566" t="s">
        <v>1545</v>
      </c>
      <c r="AC103" s="1567"/>
      <c r="AD103" s="1567"/>
      <c r="AE103" s="1567"/>
      <c r="AF103" s="1567"/>
      <c r="AG103" s="1567"/>
      <c r="AH103" s="1567"/>
      <c r="AI103" s="1567"/>
      <c r="AJ103" s="1567"/>
      <c r="AK103" s="1567"/>
      <c r="AL103" s="1567"/>
      <c r="AM103" s="1567"/>
      <c r="AN103" s="1567"/>
      <c r="AO103" s="1567"/>
      <c r="AP103" s="1568"/>
    </row>
    <row r="104" spans="1:56" ht="28.95" customHeight="1" thickBot="1">
      <c r="A104" s="1065" t="s">
        <v>390</v>
      </c>
      <c r="B104" s="1066"/>
      <c r="C104" s="1066"/>
      <c r="D104" s="1066"/>
      <c r="E104" s="1066"/>
      <c r="F104" s="1066"/>
      <c r="G104" s="1066"/>
      <c r="H104" s="1066"/>
      <c r="I104" s="1066"/>
      <c r="J104" s="1066"/>
      <c r="K104" s="1066"/>
      <c r="L104" s="1066"/>
      <c r="M104" s="1066"/>
      <c r="N104" s="1066"/>
      <c r="O104" s="1066"/>
      <c r="P104" s="1066"/>
      <c r="Q104" s="1066"/>
      <c r="R104" s="1066"/>
      <c r="S104" s="1066"/>
      <c r="T104" s="1066"/>
      <c r="U104" s="1066"/>
      <c r="V104" s="1066"/>
      <c r="W104" s="1066"/>
      <c r="X104" s="1066"/>
      <c r="Y104" s="1066"/>
      <c r="Z104" s="1067"/>
      <c r="AA104" s="458"/>
      <c r="AB104" s="1464"/>
      <c r="AC104" s="1465"/>
      <c r="AD104" s="1465"/>
      <c r="AE104" s="1465"/>
      <c r="AF104" s="1465"/>
      <c r="AG104" s="1465"/>
      <c r="AH104" s="1465"/>
      <c r="AI104" s="1465"/>
      <c r="AJ104" s="1465"/>
      <c r="AK104" s="1465"/>
      <c r="AL104" s="1465"/>
      <c r="AM104" s="1465"/>
      <c r="AN104" s="1465"/>
      <c r="AO104" s="1465"/>
      <c r="AP104" s="1467"/>
    </row>
    <row r="105" spans="1:56" ht="25.8" thickBot="1">
      <c r="A105" s="1804"/>
      <c r="B105" s="791" t="s">
        <v>383</v>
      </c>
      <c r="C105" s="1376" t="s">
        <v>470</v>
      </c>
      <c r="D105" s="1377"/>
      <c r="E105" s="1377"/>
      <c r="F105" s="1377"/>
      <c r="G105" s="1378"/>
      <c r="H105" s="1376" t="s">
        <v>416</v>
      </c>
      <c r="I105" s="1377"/>
      <c r="J105" s="1377"/>
      <c r="K105" s="1377"/>
      <c r="L105" s="1378"/>
      <c r="M105" s="1318" t="s">
        <v>417</v>
      </c>
      <c r="N105" s="1318"/>
      <c r="O105" s="1318"/>
      <c r="P105" s="1828" t="s">
        <v>471</v>
      </c>
      <c r="Q105" s="1826"/>
      <c r="R105" s="1826"/>
      <c r="S105" s="1826"/>
      <c r="T105" s="1827"/>
      <c r="U105" s="1828" t="s">
        <v>472</v>
      </c>
      <c r="V105" s="1826"/>
      <c r="W105" s="1826"/>
      <c r="X105" s="1826"/>
      <c r="Y105" s="1827"/>
      <c r="Z105" s="1845"/>
      <c r="AA105" s="458"/>
      <c r="AB105" s="568"/>
      <c r="AC105" s="1252" t="s">
        <v>1324</v>
      </c>
      <c r="AD105" s="1252"/>
      <c r="AE105" s="1252"/>
      <c r="AF105" s="1252"/>
      <c r="AG105" s="1252"/>
      <c r="AH105" s="1252"/>
      <c r="AI105" s="1581"/>
      <c r="AJ105" s="1730" t="s">
        <v>1323</v>
      </c>
      <c r="AK105" s="1205"/>
      <c r="AL105" s="1205"/>
      <c r="AM105" s="1205"/>
      <c r="AN105" s="1205"/>
      <c r="AO105" s="1206"/>
      <c r="AP105" s="1494"/>
    </row>
    <row r="106" spans="1:56" ht="23.4">
      <c r="A106" s="1805"/>
      <c r="B106" s="1863" t="s">
        <v>807</v>
      </c>
      <c r="C106" s="1072" t="s">
        <v>468</v>
      </c>
      <c r="D106" s="1866"/>
      <c r="E106" s="1866"/>
      <c r="F106" s="1866"/>
      <c r="G106" s="1867"/>
      <c r="H106" s="1072" t="s">
        <v>413</v>
      </c>
      <c r="I106" s="1866"/>
      <c r="J106" s="1866"/>
      <c r="K106" s="1866"/>
      <c r="L106" s="1867"/>
      <c r="M106" s="1866" t="s">
        <v>467</v>
      </c>
      <c r="N106" s="1866"/>
      <c r="O106" s="1866"/>
      <c r="P106" s="1664" t="s">
        <v>40</v>
      </c>
      <c r="Q106" s="1076" t="s">
        <v>39</v>
      </c>
      <c r="R106" s="1076" t="s">
        <v>145</v>
      </c>
      <c r="S106" s="1076" t="s">
        <v>147</v>
      </c>
      <c r="T106" s="713" t="s">
        <v>31</v>
      </c>
      <c r="U106" s="1664" t="s">
        <v>40</v>
      </c>
      <c r="V106" s="1076" t="s">
        <v>39</v>
      </c>
      <c r="W106" s="1076" t="s">
        <v>145</v>
      </c>
      <c r="X106" s="1076" t="s">
        <v>147</v>
      </c>
      <c r="Y106" s="713" t="s">
        <v>31</v>
      </c>
      <c r="Z106" s="1846"/>
      <c r="AA106" s="458"/>
      <c r="AB106" s="569"/>
      <c r="AC106" s="1452" t="s">
        <v>1337</v>
      </c>
      <c r="AD106" s="1731" t="s">
        <v>1336</v>
      </c>
      <c r="AE106" s="1743" t="s">
        <v>1261</v>
      </c>
      <c r="AF106" s="1743"/>
      <c r="AG106" s="1743"/>
      <c r="AH106" s="1743"/>
      <c r="AI106" s="1744"/>
      <c r="AJ106" s="556" t="s">
        <v>40</v>
      </c>
      <c r="AK106" s="557" t="s">
        <v>39</v>
      </c>
      <c r="AL106" s="557" t="s">
        <v>145</v>
      </c>
      <c r="AM106" s="774" t="s">
        <v>147</v>
      </c>
      <c r="AN106" s="1734" t="s">
        <v>31</v>
      </c>
      <c r="AO106" s="1735"/>
      <c r="AP106" s="1495"/>
      <c r="AR106" s="529" t="s">
        <v>40</v>
      </c>
      <c r="AS106" s="530" t="s">
        <v>39</v>
      </c>
      <c r="AT106" s="530" t="s">
        <v>145</v>
      </c>
      <c r="AU106" s="530" t="s">
        <v>147</v>
      </c>
      <c r="AV106" s="531" t="s">
        <v>31</v>
      </c>
      <c r="AW106" s="217"/>
      <c r="AX106" s="529" t="s">
        <v>40</v>
      </c>
      <c r="AY106" s="530" t="s">
        <v>39</v>
      </c>
      <c r="AZ106" s="530" t="s">
        <v>145</v>
      </c>
      <c r="BA106" s="530" t="s">
        <v>147</v>
      </c>
      <c r="BB106" s="531" t="s">
        <v>31</v>
      </c>
    </row>
    <row r="107" spans="1:56" ht="18.600000000000001" thickBot="1">
      <c r="A107" s="1805"/>
      <c r="B107" s="1864"/>
      <c r="C107" s="1843" t="s">
        <v>412</v>
      </c>
      <c r="D107" s="1797"/>
      <c r="E107" s="1797"/>
      <c r="F107" s="1797"/>
      <c r="G107" s="1844"/>
      <c r="H107" s="1072"/>
      <c r="I107" s="1866"/>
      <c r="J107" s="1866"/>
      <c r="K107" s="1866"/>
      <c r="L107" s="1867"/>
      <c r="M107" s="1797" t="s">
        <v>356</v>
      </c>
      <c r="N107" s="1797"/>
      <c r="O107" s="1797"/>
      <c r="P107" s="1324"/>
      <c r="Q107" s="1320"/>
      <c r="R107" s="1077"/>
      <c r="S107" s="1320"/>
      <c r="T107" s="4" t="s">
        <v>1102</v>
      </c>
      <c r="U107" s="1324"/>
      <c r="V107" s="1320"/>
      <c r="W107" s="1320"/>
      <c r="X107" s="1320"/>
      <c r="Y107" s="4" t="s">
        <v>146</v>
      </c>
      <c r="Z107" s="1846"/>
      <c r="AA107" s="458"/>
      <c r="AB107" s="569"/>
      <c r="AC107" s="1738"/>
      <c r="AD107" s="1732"/>
      <c r="AE107" s="739" t="s">
        <v>40</v>
      </c>
      <c r="AF107" s="739" t="s">
        <v>39</v>
      </c>
      <c r="AG107" s="739" t="s">
        <v>145</v>
      </c>
      <c r="AH107" s="739" t="s">
        <v>147</v>
      </c>
      <c r="AI107" s="601" t="s">
        <v>31</v>
      </c>
      <c r="AJ107" s="594" t="s">
        <v>1260</v>
      </c>
      <c r="AK107" s="739" t="s">
        <v>1260</v>
      </c>
      <c r="AL107" s="739" t="s">
        <v>1260</v>
      </c>
      <c r="AM107" s="775" t="s">
        <v>1260</v>
      </c>
      <c r="AN107" s="1736" t="s">
        <v>1260</v>
      </c>
      <c r="AO107" s="1737"/>
      <c r="AP107" s="1495"/>
      <c r="AR107" s="1557" t="s">
        <v>1285</v>
      </c>
      <c r="AS107" s="1558"/>
      <c r="AT107" s="1558"/>
      <c r="AU107" s="1558"/>
      <c r="AV107" s="1559"/>
      <c r="AW107" s="213"/>
      <c r="AX107" s="1289" t="s">
        <v>1286</v>
      </c>
      <c r="AY107" s="1289"/>
      <c r="AZ107" s="1289"/>
      <c r="BA107" s="1289"/>
      <c r="BB107" s="1289"/>
      <c r="BD107" s="593" t="s">
        <v>1328</v>
      </c>
    </row>
    <row r="108" spans="1:56" ht="34.950000000000003" customHeight="1" thickBot="1">
      <c r="A108" s="1806"/>
      <c r="B108" s="1865"/>
      <c r="C108" s="1815"/>
      <c r="D108" s="1816"/>
      <c r="E108" s="1816"/>
      <c r="F108" s="1816"/>
      <c r="G108" s="1868"/>
      <c r="H108" s="1869"/>
      <c r="I108" s="1870"/>
      <c r="J108" s="1870"/>
      <c r="K108" s="1870"/>
      <c r="L108" s="1871"/>
      <c r="M108" s="1872"/>
      <c r="N108" s="1873"/>
      <c r="O108" s="1874"/>
      <c r="P108" s="1875" t="s">
        <v>469</v>
      </c>
      <c r="Q108" s="1876"/>
      <c r="R108" s="1876"/>
      <c r="S108" s="1877"/>
      <c r="T108" s="378" t="str">
        <f>IF(H108="","",IF(H108="Batch Process",2,IF(H108="Continuous Process (Using vacuum pump)",0.21,IF(H108="Continuous Process (Using steam jet)",3.34,5.37))))</f>
        <v/>
      </c>
      <c r="U108" s="1875" t="s">
        <v>469</v>
      </c>
      <c r="V108" s="1876"/>
      <c r="W108" s="1876"/>
      <c r="X108" s="1877"/>
      <c r="Y108" s="379" t="str">
        <f>IF(OR(C108="",H108=""),"",IF(OR(M108="",M108=0),(C108*T108*(10^-3)),IF(OR(H108="Batch Process",H108="Continuous Process (Using vacuum pump)",H108="Continuous Process (Using steam jet)"),(C108*T108*(10^-3)*(1-(M108/100))),IF(H108="Expandable Polystyrene",(C108*3.75*(10^-3)),""))))</f>
        <v/>
      </c>
      <c r="Z108" s="1847"/>
      <c r="AA108" s="458"/>
      <c r="AB108" s="571"/>
      <c r="AC108" s="780"/>
      <c r="AD108" s="781"/>
      <c r="AE108" s="1755"/>
      <c r="AF108" s="1755"/>
      <c r="AG108" s="602">
        <v>125</v>
      </c>
      <c r="AH108" s="602"/>
      <c r="AI108" s="777">
        <v>125</v>
      </c>
      <c r="AJ108" s="1756"/>
      <c r="AK108" s="1756"/>
      <c r="AL108" s="603">
        <f>IF(OR(M108="",AD108="",BD108=""),(SQRT((AC108)^2+(AG108)^2)),(SQRT((AC108)^2+(AG108)^2+(BD108)^2)))</f>
        <v>125</v>
      </c>
      <c r="AM108" s="603"/>
      <c r="AN108" s="1756">
        <f>IF(OR(M108="",AD108="",BD108=""),(SQRT((AC108)^2+(AI108)^2)),(SQRT((AC108)^2+(AI108)^2+(BD108)^2)))</f>
        <v>125</v>
      </c>
      <c r="AO108" s="1757"/>
      <c r="AP108" s="1758"/>
      <c r="AR108" s="1562"/>
      <c r="AS108" s="1562"/>
      <c r="AT108" s="600" t="str">
        <f>IF(OR(AL108="",W108=""),"",AL108*W108)</f>
        <v/>
      </c>
      <c r="AU108" s="600"/>
      <c r="AV108" s="754" t="str">
        <f t="shared" ref="AV108" si="31">IF(OR(AN108="",Y108=""),"",AN108*Y108)</f>
        <v/>
      </c>
      <c r="AW108" s="213"/>
      <c r="AX108" s="1562"/>
      <c r="AY108" s="1562"/>
      <c r="AZ108" s="600" t="str">
        <f>IF(AT108="","",AT108^2)</f>
        <v/>
      </c>
      <c r="BA108" s="600"/>
      <c r="BB108" s="754" t="str">
        <f t="shared" ref="BB108" si="32">IF(AV108="","",AV108^2)</f>
        <v/>
      </c>
      <c r="BD108" s="592" t="str">
        <f>IF(OR(AD108="",M108=""),"",((AD108*(M108/100))/(1-(M108/100))))</f>
        <v/>
      </c>
    </row>
    <row r="109" spans="1:56" ht="36.450000000000003" customHeight="1" thickBot="1">
      <c r="A109" s="1878" t="s">
        <v>784</v>
      </c>
      <c r="B109" s="1879"/>
      <c r="C109" s="1879"/>
      <c r="D109" s="1879"/>
      <c r="E109" s="1879"/>
      <c r="F109" s="1879"/>
      <c r="G109" s="1879"/>
      <c r="H109" s="1879"/>
      <c r="I109" s="1879"/>
      <c r="J109" s="1879"/>
      <c r="K109" s="1879"/>
      <c r="L109" s="1879"/>
      <c r="M109" s="1879"/>
      <c r="N109" s="1879"/>
      <c r="O109" s="1879"/>
      <c r="P109" s="1879"/>
      <c r="Q109" s="1879"/>
      <c r="R109" s="1879"/>
      <c r="S109" s="1879"/>
      <c r="T109" s="1879"/>
      <c r="U109" s="1879"/>
      <c r="V109" s="1879"/>
      <c r="W109" s="1879"/>
      <c r="X109" s="1879"/>
      <c r="Y109" s="1879"/>
      <c r="Z109" s="1880"/>
      <c r="AA109" s="458"/>
      <c r="AB109" s="1566" t="s">
        <v>1546</v>
      </c>
      <c r="AC109" s="1567"/>
      <c r="AD109" s="1567"/>
      <c r="AE109" s="1567"/>
      <c r="AF109" s="1567"/>
      <c r="AG109" s="1567"/>
      <c r="AH109" s="1567"/>
      <c r="AI109" s="1567"/>
      <c r="AJ109" s="1567"/>
      <c r="AK109" s="1567"/>
      <c r="AL109" s="1567"/>
      <c r="AM109" s="1567"/>
      <c r="AN109" s="1567"/>
      <c r="AO109" s="1567"/>
      <c r="AP109" s="1568"/>
    </row>
    <row r="110" spans="1:56" ht="28.95" customHeight="1" thickBot="1">
      <c r="A110" s="1065" t="s">
        <v>390</v>
      </c>
      <c r="B110" s="1066"/>
      <c r="C110" s="1066"/>
      <c r="D110" s="1066"/>
      <c r="E110" s="1066"/>
      <c r="F110" s="1066"/>
      <c r="G110" s="1066"/>
      <c r="H110" s="1066"/>
      <c r="I110" s="1066"/>
      <c r="J110" s="1066"/>
      <c r="K110" s="1066"/>
      <c r="L110" s="1066"/>
      <c r="M110" s="1066"/>
      <c r="N110" s="1066"/>
      <c r="O110" s="1066"/>
      <c r="P110" s="1066"/>
      <c r="Q110" s="1066"/>
      <c r="R110" s="1066"/>
      <c r="S110" s="1066"/>
      <c r="T110" s="1066"/>
      <c r="U110" s="1066"/>
      <c r="V110" s="1066"/>
      <c r="W110" s="1066"/>
      <c r="X110" s="1066"/>
      <c r="Y110" s="1066"/>
      <c r="Z110" s="1067"/>
      <c r="AA110" s="458"/>
      <c r="AB110" s="1741"/>
      <c r="AC110" s="1465"/>
      <c r="AD110" s="1465"/>
      <c r="AE110" s="1465"/>
      <c r="AF110" s="1465"/>
      <c r="AG110" s="1465"/>
      <c r="AH110" s="1465"/>
      <c r="AI110" s="1465"/>
      <c r="AJ110" s="1465"/>
      <c r="AK110" s="1465"/>
      <c r="AL110" s="1465"/>
      <c r="AM110" s="1465"/>
      <c r="AN110" s="1465"/>
      <c r="AO110" s="1465"/>
      <c r="AP110" s="1742"/>
    </row>
    <row r="111" spans="1:56" ht="25.8" thickBot="1">
      <c r="A111" s="1804"/>
      <c r="B111" s="791" t="s">
        <v>383</v>
      </c>
      <c r="C111" s="1317" t="s">
        <v>486</v>
      </c>
      <c r="D111" s="1318"/>
      <c r="E111" s="1318"/>
      <c r="F111" s="1318"/>
      <c r="G111" s="1319"/>
      <c r="H111" s="1317" t="s">
        <v>416</v>
      </c>
      <c r="I111" s="1318"/>
      <c r="J111" s="1318"/>
      <c r="K111" s="1318"/>
      <c r="L111" s="1319"/>
      <c r="M111" s="1318" t="s">
        <v>417</v>
      </c>
      <c r="N111" s="1318"/>
      <c r="O111" s="1318"/>
      <c r="P111" s="1828" t="s">
        <v>489</v>
      </c>
      <c r="Q111" s="1826"/>
      <c r="R111" s="1826"/>
      <c r="S111" s="1826"/>
      <c r="T111" s="1826"/>
      <c r="U111" s="1828" t="s">
        <v>490</v>
      </c>
      <c r="V111" s="1826"/>
      <c r="W111" s="1826"/>
      <c r="X111" s="1826"/>
      <c r="Y111" s="1827"/>
      <c r="Z111" s="1845"/>
      <c r="AA111" s="458"/>
      <c r="AB111" s="1494"/>
      <c r="AC111" s="1232" t="s">
        <v>1324</v>
      </c>
      <c r="AD111" s="1233"/>
      <c r="AE111" s="1233"/>
      <c r="AF111" s="1233"/>
      <c r="AG111" s="1233"/>
      <c r="AH111" s="1233"/>
      <c r="AI111" s="1234"/>
      <c r="AJ111" s="1205" t="s">
        <v>1323</v>
      </c>
      <c r="AK111" s="1205"/>
      <c r="AL111" s="1205"/>
      <c r="AM111" s="1205"/>
      <c r="AN111" s="1205"/>
      <c r="AO111" s="1205"/>
      <c r="AP111" s="1494"/>
    </row>
    <row r="112" spans="1:56" ht="18.45" customHeight="1">
      <c r="A112" s="1805"/>
      <c r="B112" s="1851" t="s">
        <v>491</v>
      </c>
      <c r="C112" s="1072" t="s">
        <v>480</v>
      </c>
      <c r="D112" s="1866"/>
      <c r="E112" s="1866"/>
      <c r="F112" s="1866"/>
      <c r="G112" s="1867"/>
      <c r="H112" s="1072" t="s">
        <v>482</v>
      </c>
      <c r="I112" s="1866"/>
      <c r="J112" s="1866"/>
      <c r="K112" s="1866"/>
      <c r="L112" s="1867"/>
      <c r="M112" s="1866" t="s">
        <v>488</v>
      </c>
      <c r="N112" s="1866"/>
      <c r="O112" s="1866"/>
      <c r="P112" s="821" t="s">
        <v>40</v>
      </c>
      <c r="Q112" s="696" t="s">
        <v>39</v>
      </c>
      <c r="R112" s="696" t="s">
        <v>145</v>
      </c>
      <c r="S112" s="696" t="s">
        <v>147</v>
      </c>
      <c r="T112" s="9" t="s">
        <v>31</v>
      </c>
      <c r="U112" s="1664" t="s">
        <v>40</v>
      </c>
      <c r="V112" s="1076" t="s">
        <v>39</v>
      </c>
      <c r="W112" s="1076" t="s">
        <v>145</v>
      </c>
      <c r="X112" s="1076" t="s">
        <v>147</v>
      </c>
      <c r="Y112" s="713" t="s">
        <v>31</v>
      </c>
      <c r="Z112" s="1846"/>
      <c r="AA112" s="458"/>
      <c r="AB112" s="1495"/>
      <c r="AC112" s="1452" t="s">
        <v>1338</v>
      </c>
      <c r="AD112" s="1731" t="s">
        <v>1339</v>
      </c>
      <c r="AE112" s="1743" t="s">
        <v>1261</v>
      </c>
      <c r="AF112" s="1743"/>
      <c r="AG112" s="1743"/>
      <c r="AH112" s="1743"/>
      <c r="AI112" s="1744"/>
      <c r="AJ112" s="748" t="s">
        <v>40</v>
      </c>
      <c r="AK112" s="557" t="s">
        <v>39</v>
      </c>
      <c r="AL112" s="557" t="s">
        <v>145</v>
      </c>
      <c r="AM112" s="774" t="s">
        <v>147</v>
      </c>
      <c r="AN112" s="1734" t="s">
        <v>31</v>
      </c>
      <c r="AO112" s="1745"/>
      <c r="AP112" s="1495"/>
      <c r="AR112" s="529" t="s">
        <v>40</v>
      </c>
      <c r="AS112" s="530" t="s">
        <v>39</v>
      </c>
      <c r="AT112" s="530" t="s">
        <v>145</v>
      </c>
      <c r="AU112" s="530" t="s">
        <v>147</v>
      </c>
      <c r="AV112" s="531" t="s">
        <v>31</v>
      </c>
      <c r="AW112" s="217"/>
      <c r="AX112" s="529" t="s">
        <v>40</v>
      </c>
      <c r="AY112" s="530" t="s">
        <v>39</v>
      </c>
      <c r="AZ112" s="530" t="s">
        <v>145</v>
      </c>
      <c r="BA112" s="530" t="s">
        <v>147</v>
      </c>
      <c r="BB112" s="531" t="s">
        <v>31</v>
      </c>
    </row>
    <row r="113" spans="1:56" ht="21" customHeight="1" thickBot="1">
      <c r="A113" s="1805"/>
      <c r="B113" s="1852"/>
      <c r="C113" s="1843" t="s">
        <v>412</v>
      </c>
      <c r="D113" s="1797"/>
      <c r="E113" s="1797"/>
      <c r="F113" s="1797"/>
      <c r="G113" s="1844"/>
      <c r="H113" s="1072"/>
      <c r="I113" s="1866"/>
      <c r="J113" s="1866"/>
      <c r="K113" s="1866"/>
      <c r="L113" s="1867"/>
      <c r="M113" s="1797" t="s">
        <v>356</v>
      </c>
      <c r="N113" s="1797"/>
      <c r="O113" s="1797"/>
      <c r="P113" s="3" t="s">
        <v>479</v>
      </c>
      <c r="Q113" s="1" t="s">
        <v>479</v>
      </c>
      <c r="R113" s="1" t="s">
        <v>479</v>
      </c>
      <c r="S113" s="1" t="s">
        <v>479</v>
      </c>
      <c r="T113" s="10" t="s">
        <v>479</v>
      </c>
      <c r="U113" s="1324"/>
      <c r="V113" s="1320"/>
      <c r="W113" s="1320"/>
      <c r="X113" s="1320"/>
      <c r="Y113" s="4" t="s">
        <v>146</v>
      </c>
      <c r="Z113" s="1846"/>
      <c r="AA113" s="458"/>
      <c r="AB113" s="1495"/>
      <c r="AC113" s="1738"/>
      <c r="AD113" s="1732"/>
      <c r="AE113" s="739" t="s">
        <v>40</v>
      </c>
      <c r="AF113" s="739" t="s">
        <v>39</v>
      </c>
      <c r="AG113" s="739" t="s">
        <v>145</v>
      </c>
      <c r="AH113" s="739" t="s">
        <v>147</v>
      </c>
      <c r="AI113" s="601" t="s">
        <v>31</v>
      </c>
      <c r="AJ113" s="552" t="s">
        <v>1260</v>
      </c>
      <c r="AK113" s="739" t="s">
        <v>1260</v>
      </c>
      <c r="AL113" s="739" t="s">
        <v>1260</v>
      </c>
      <c r="AM113" s="775" t="s">
        <v>1260</v>
      </c>
      <c r="AN113" s="1736" t="s">
        <v>1260</v>
      </c>
      <c r="AO113" s="1746"/>
      <c r="AP113" s="1495"/>
      <c r="AR113" s="1553" t="s">
        <v>1285</v>
      </c>
      <c r="AS113" s="1554"/>
      <c r="AT113" s="1558"/>
      <c r="AU113" s="1558"/>
      <c r="AV113" s="1559"/>
      <c r="AW113" s="213"/>
      <c r="AX113" s="1289" t="s">
        <v>1286</v>
      </c>
      <c r="AY113" s="1289"/>
      <c r="AZ113" s="1289"/>
      <c r="BA113" s="1289"/>
      <c r="BB113" s="1289"/>
      <c r="BD113" s="593" t="s">
        <v>1328</v>
      </c>
    </row>
    <row r="114" spans="1:56" ht="34.950000000000003" customHeight="1" thickBot="1">
      <c r="A114" s="1805"/>
      <c r="B114" s="1852"/>
      <c r="C114" s="1885"/>
      <c r="D114" s="1886"/>
      <c r="E114" s="1886"/>
      <c r="F114" s="1886"/>
      <c r="G114" s="1887"/>
      <c r="H114" s="1861" t="s">
        <v>483</v>
      </c>
      <c r="I114" s="1862"/>
      <c r="J114" s="1862"/>
      <c r="K114" s="1862"/>
      <c r="L114" s="382"/>
      <c r="M114" s="1860"/>
      <c r="N114" s="1816"/>
      <c r="O114" s="1817"/>
      <c r="P114" s="1883" t="s">
        <v>481</v>
      </c>
      <c r="Q114" s="383">
        <v>6.9</v>
      </c>
      <c r="R114" s="1881" t="s">
        <v>481</v>
      </c>
      <c r="S114" s="383">
        <v>2.8799999999999999E-2</v>
      </c>
      <c r="T114" s="814">
        <v>3.6</v>
      </c>
      <c r="U114" s="1883" t="s">
        <v>481</v>
      </c>
      <c r="V114" s="383" t="str">
        <f>IF(OR(C114="",L114=""),"",IF(M114="",IF(L114="خير","",(C114*Q114*(10^-3))),IF(L114="خير","",(C114*Q114*(10^-3)*(1-(M114/100))))  )                 )</f>
        <v/>
      </c>
      <c r="W114" s="1881" t="s">
        <v>481</v>
      </c>
      <c r="X114" s="383" t="str">
        <f>IF(OR(C114="",L114=""),"",IF(M114="",IF(L114="خير","",(C114*S114*(10^-3))),IF(L114="خير","",(C114*S114*(10^-3)*(1-(M114/100))))  )                 )</f>
        <v/>
      </c>
      <c r="Y114" s="368" t="str">
        <f>IF(OR(C114="",L114=""),"",IF(M114="",IF(L114="خير","",(C114*T114*(10^-3))),IF(L114="خير","",(C114*T114*(10^-3)*(1-(M114/100))))  )                 )</f>
        <v/>
      </c>
      <c r="Z114" s="1846"/>
      <c r="AA114" s="458"/>
      <c r="AB114" s="1722"/>
      <c r="AC114" s="744"/>
      <c r="AD114" s="745"/>
      <c r="AE114" s="1747"/>
      <c r="AF114" s="572">
        <v>1000</v>
      </c>
      <c r="AG114" s="1747"/>
      <c r="AH114" s="572">
        <v>1000</v>
      </c>
      <c r="AI114" s="610">
        <v>1000</v>
      </c>
      <c r="AJ114" s="1750"/>
      <c r="AK114" s="605" t="str">
        <f>IF(AC114="","",IF(OR(M114="",AD114="",BD114=""),(SQRT((AC114)^2+(AF114)^2)),(SQRT((AC114)^2+(AF114)^2+(BD114)^2)))   )</f>
        <v/>
      </c>
      <c r="AL114" s="1753"/>
      <c r="AM114" s="605" t="str">
        <f>IF(AC114="","",IF(OR(M114="",AD114="",BD114=""),(SQRT((AC114)^2+(AH114)^2)),(SQRT((AC114)^2+(AH114)^2+(BD114)^2))))</f>
        <v/>
      </c>
      <c r="AN114" s="1560" t="str">
        <f>IF(AC114="","",IF(OR(M114="",AD114="",BD114=""),(SQRT((AC114)^2+(AI114)^2)),(SQRT((AC114)^2+(AI114)^2+(BD114)^2))))</f>
        <v/>
      </c>
      <c r="AO114" s="1561"/>
      <c r="AP114" s="1495"/>
      <c r="AR114" s="1593"/>
      <c r="AS114" s="754" t="str">
        <f t="shared" ref="AS114" si="33">IF(OR(AK114="",V114=""),"",AK114*V114)</f>
        <v/>
      </c>
      <c r="AT114" s="1740"/>
      <c r="AU114" s="754" t="str">
        <f t="shared" ref="AU114" si="34">IF(OR(AM114="",X114=""),"",AM114*X114)</f>
        <v/>
      </c>
      <c r="AV114" s="754" t="str">
        <f t="shared" ref="AV114" si="35">IF(OR(AN114="",Y114=""),"",AN114*Y114)</f>
        <v/>
      </c>
      <c r="AW114" s="213"/>
      <c r="AX114" s="1740"/>
      <c r="AY114" s="754" t="str">
        <f t="shared" ref="AY114" si="36">IF(AS114="","",AS114^2)</f>
        <v/>
      </c>
      <c r="AZ114" s="1740"/>
      <c r="BA114" s="754" t="str">
        <f t="shared" ref="BA114" si="37">IF(AU114="","",AU114^2)</f>
        <v/>
      </c>
      <c r="BB114" s="754" t="str">
        <f t="shared" ref="BB114" si="38">IF(AV114="","",AV114^2)</f>
        <v/>
      </c>
      <c r="BD114" s="592" t="str">
        <f>IF(OR(AD114="",M114=""),"",((AD114*(M114/100))/(1-(M114/100))))</f>
        <v/>
      </c>
    </row>
    <row r="115" spans="1:56" ht="34.950000000000003" customHeight="1" thickBot="1">
      <c r="A115" s="1805"/>
      <c r="B115" s="1852"/>
      <c r="C115" s="1888"/>
      <c r="D115" s="1889"/>
      <c r="E115" s="1889"/>
      <c r="F115" s="1889"/>
      <c r="G115" s="1890"/>
      <c r="H115" s="1861" t="s">
        <v>484</v>
      </c>
      <c r="I115" s="1862"/>
      <c r="J115" s="1862"/>
      <c r="K115" s="1862"/>
      <c r="L115" s="382"/>
      <c r="M115" s="1860"/>
      <c r="N115" s="1816"/>
      <c r="O115" s="1817"/>
      <c r="P115" s="1884"/>
      <c r="Q115" s="383">
        <v>1</v>
      </c>
      <c r="R115" s="1881"/>
      <c r="S115" s="383" t="s">
        <v>487</v>
      </c>
      <c r="T115" s="814">
        <v>0.52</v>
      </c>
      <c r="U115" s="1884"/>
      <c r="V115" s="383" t="str">
        <f>IF(OR(C114="",L115=""),"",IF(M115="",IF(L115="خير","",(C114*Q115*(10^-3))),IF(L115="خير","",(C114*Q115*(10^-3)*(1-(M115/100))))  )                 )</f>
        <v/>
      </c>
      <c r="W115" s="1881"/>
      <c r="X115" s="383" t="s">
        <v>487</v>
      </c>
      <c r="Y115" s="368" t="str">
        <f>IF(OR(C114="",L115=""),"",IF(M115="",IF(L115="خير","",(C114*T115*(10^-3))),IF(L115="خير","",(C114*T115*(10^-3)*(1-(M115/100))))  )                 )</f>
        <v/>
      </c>
      <c r="Z115" s="1846"/>
      <c r="AA115" s="458"/>
      <c r="AB115" s="1722"/>
      <c r="AC115" s="740"/>
      <c r="AD115" s="741"/>
      <c r="AE115" s="1748"/>
      <c r="AF115" s="728">
        <v>1000</v>
      </c>
      <c r="AG115" s="1748"/>
      <c r="AH115" s="728"/>
      <c r="AI115" s="729">
        <v>1000</v>
      </c>
      <c r="AJ115" s="1751"/>
      <c r="AK115" s="600" t="str">
        <f>IF(AC115="","",IF(OR(M115="",AD115="",BD115=""),(SQRT((AC115)^2+(AF115)^2)),(SQRT((AC115)^2+(AF115)^2+(BD115)^2)))  )</f>
        <v/>
      </c>
      <c r="AL115" s="1739"/>
      <c r="AM115" s="600"/>
      <c r="AN115" s="1562" t="str">
        <f>IF(AC115="","",IF(OR(M115="",AD115="",BD115=""),(SQRT((AC115)^2+(AI115)^2)),(SQRT((AC115)^2+(AI115)^2+(BD115)^2))))</f>
        <v/>
      </c>
      <c r="AO115" s="1563"/>
      <c r="AP115" s="1495"/>
      <c r="AR115" s="1739"/>
      <c r="AS115" s="754" t="str">
        <f t="shared" ref="AS115" si="39">IF(OR(AK115="",V115=""),"",AK115*V115)</f>
        <v/>
      </c>
      <c r="AT115" s="1739"/>
      <c r="AU115" s="754" t="str">
        <f t="shared" ref="AU115" si="40">IF(OR(AM115="",X115=""),"",AM115*X115)</f>
        <v/>
      </c>
      <c r="AV115" s="754" t="str">
        <f t="shared" ref="AV115" si="41">IF(OR(AN115="",Y115=""),"",AN115*Y115)</f>
        <v/>
      </c>
      <c r="AW115" s="213"/>
      <c r="AX115" s="1739"/>
      <c r="AY115" s="754" t="str">
        <f t="shared" ref="AY115" si="42">IF(AS115="","",AS115^2)</f>
        <v/>
      </c>
      <c r="AZ115" s="1739"/>
      <c r="BA115" s="754"/>
      <c r="BB115" s="754" t="str">
        <f t="shared" ref="BB115" si="43">IF(AV115="","",AV115^2)</f>
        <v/>
      </c>
      <c r="BD115" s="592" t="str">
        <f>IF(OR(AD115="",M115=""),"",((AD115*(M115/100))/(1-(M115/100))))</f>
        <v/>
      </c>
    </row>
    <row r="116" spans="1:56" ht="34.950000000000003" customHeight="1" thickBot="1">
      <c r="A116" s="1806"/>
      <c r="B116" s="1852"/>
      <c r="C116" s="1888"/>
      <c r="D116" s="1889"/>
      <c r="E116" s="1889"/>
      <c r="F116" s="1889"/>
      <c r="G116" s="1890"/>
      <c r="H116" s="954" t="s">
        <v>485</v>
      </c>
      <c r="I116" s="955"/>
      <c r="J116" s="955"/>
      <c r="K116" s="955"/>
      <c r="L116" s="384"/>
      <c r="M116" s="1872"/>
      <c r="N116" s="1873"/>
      <c r="O116" s="1918"/>
      <c r="P116" s="1884"/>
      <c r="Q116" s="385" t="s">
        <v>487</v>
      </c>
      <c r="R116" s="1882"/>
      <c r="S116" s="385" t="s">
        <v>487</v>
      </c>
      <c r="T116" s="823">
        <v>0.6</v>
      </c>
      <c r="U116" s="1884"/>
      <c r="V116" s="385" t="s">
        <v>487</v>
      </c>
      <c r="W116" s="1882"/>
      <c r="X116" s="385" t="s">
        <v>487</v>
      </c>
      <c r="Y116" s="373" t="str">
        <f>IF(OR(C114="",L116=""),"",IF(M116="",IF(L116="خير","",(C114*T116*(10^-3))),IF(L116="خير","",(C114*T116*(10^-3)*(1-(M116/100))))  )                 )</f>
        <v/>
      </c>
      <c r="Z116" s="1847"/>
      <c r="AA116" s="458"/>
      <c r="AB116" s="1723"/>
      <c r="AC116" s="742"/>
      <c r="AD116" s="743"/>
      <c r="AE116" s="1749"/>
      <c r="AF116" s="573"/>
      <c r="AG116" s="1749"/>
      <c r="AH116" s="573"/>
      <c r="AI116" s="611">
        <v>1000</v>
      </c>
      <c r="AJ116" s="1752"/>
      <c r="AK116" s="607"/>
      <c r="AL116" s="1754"/>
      <c r="AM116" s="607"/>
      <c r="AN116" s="1564" t="str">
        <f>IF(AC116="","", IF(OR(M116="",AD116="",BD116=""),(SQRT((AC116)^2+(AI116)^2)),(SQRT((AC116)^2+(AI116)^2+(BD116)^2))))</f>
        <v/>
      </c>
      <c r="AO116" s="1565"/>
      <c r="AP116" s="1496"/>
      <c r="AR116" s="1590"/>
      <c r="AS116" s="754" t="str">
        <f t="shared" ref="AS116" si="44">IF(OR(AK116="",V116=""),"",AK116*V116)</f>
        <v/>
      </c>
      <c r="AT116" s="1590"/>
      <c r="AU116" s="754" t="str">
        <f t="shared" ref="AU116" si="45">IF(OR(AM116="",X116=""),"",AM116*X116)</f>
        <v/>
      </c>
      <c r="AV116" s="754" t="str">
        <f t="shared" ref="AV116" si="46">IF(OR(AN116="",Y116=""),"",AN116*Y116)</f>
        <v/>
      </c>
      <c r="AW116" s="213"/>
      <c r="AX116" s="1590"/>
      <c r="AY116" s="754"/>
      <c r="AZ116" s="1590"/>
      <c r="BA116" s="754"/>
      <c r="BB116" s="754" t="str">
        <f t="shared" ref="BB116" si="47">IF(AV116="","",AV116^2)</f>
        <v/>
      </c>
      <c r="BD116" s="592" t="str">
        <f>IF(OR(AD116="",M116=""),"",((AD116*(M116/100))/(1-(M116/100))))</f>
        <v/>
      </c>
    </row>
    <row r="117" spans="1:56" ht="36.450000000000003" customHeight="1" thickBot="1">
      <c r="A117" s="1878" t="s">
        <v>785</v>
      </c>
      <c r="B117" s="1879"/>
      <c r="C117" s="1879"/>
      <c r="D117" s="1879"/>
      <c r="E117" s="1879"/>
      <c r="F117" s="1879"/>
      <c r="G117" s="1879"/>
      <c r="H117" s="1879"/>
      <c r="I117" s="1879"/>
      <c r="J117" s="1879"/>
      <c r="K117" s="1879"/>
      <c r="L117" s="1879"/>
      <c r="M117" s="1879"/>
      <c r="N117" s="1879"/>
      <c r="O117" s="1879"/>
      <c r="P117" s="1879"/>
      <c r="Q117" s="1879"/>
      <c r="R117" s="1879"/>
      <c r="S117" s="1879"/>
      <c r="T117" s="1879"/>
      <c r="U117" s="1879"/>
      <c r="V117" s="1879"/>
      <c r="W117" s="1879"/>
      <c r="X117" s="1879"/>
      <c r="Y117" s="1879"/>
      <c r="Z117" s="1880"/>
      <c r="AA117" s="458"/>
      <c r="AB117" s="1566" t="s">
        <v>1547</v>
      </c>
      <c r="AC117" s="1567"/>
      <c r="AD117" s="1567"/>
      <c r="AE117" s="1567"/>
      <c r="AF117" s="1567"/>
      <c r="AG117" s="1567"/>
      <c r="AH117" s="1567"/>
      <c r="AI117" s="1567"/>
      <c r="AJ117" s="1567"/>
      <c r="AK117" s="1567"/>
      <c r="AL117" s="1567"/>
      <c r="AM117" s="1567"/>
      <c r="AN117" s="1567"/>
      <c r="AO117" s="1567"/>
      <c r="AP117" s="1568"/>
    </row>
    <row r="118" spans="1:56" ht="28.95" customHeight="1" thickBot="1">
      <c r="A118" s="1065" t="s">
        <v>390</v>
      </c>
      <c r="B118" s="1066"/>
      <c r="C118" s="1066"/>
      <c r="D118" s="1066"/>
      <c r="E118" s="1066"/>
      <c r="F118" s="1066"/>
      <c r="G118" s="1066"/>
      <c r="H118" s="1066"/>
      <c r="I118" s="1066"/>
      <c r="J118" s="1066"/>
      <c r="K118" s="1066"/>
      <c r="L118" s="1066"/>
      <c r="M118" s="1066"/>
      <c r="N118" s="1066"/>
      <c r="O118" s="1066"/>
      <c r="P118" s="1066"/>
      <c r="Q118" s="1066"/>
      <c r="R118" s="1066"/>
      <c r="S118" s="1066"/>
      <c r="T118" s="1066"/>
      <c r="U118" s="1066"/>
      <c r="V118" s="1066"/>
      <c r="W118" s="1066"/>
      <c r="X118" s="1066"/>
      <c r="Y118" s="1066"/>
      <c r="Z118" s="1067"/>
      <c r="AA118" s="458"/>
      <c r="AB118" s="1464"/>
      <c r="AC118" s="1465"/>
      <c r="AD118" s="1465"/>
      <c r="AE118" s="1465"/>
      <c r="AF118" s="1465"/>
      <c r="AG118" s="1465"/>
      <c r="AH118" s="1465"/>
      <c r="AI118" s="1465"/>
      <c r="AJ118" s="1465"/>
      <c r="AK118" s="1465"/>
      <c r="AL118" s="1465"/>
      <c r="AM118" s="1465"/>
      <c r="AN118" s="1465"/>
      <c r="AO118" s="1465"/>
      <c r="AP118" s="1467"/>
    </row>
    <row r="119" spans="1:56" ht="25.8" thickBot="1">
      <c r="A119" s="1804"/>
      <c r="B119" s="790" t="s">
        <v>383</v>
      </c>
      <c r="C119" s="1828" t="s">
        <v>507</v>
      </c>
      <c r="D119" s="1826"/>
      <c r="E119" s="1826"/>
      <c r="F119" s="1826"/>
      <c r="G119" s="1826"/>
      <c r="H119" s="1826"/>
      <c r="I119" s="1827"/>
      <c r="J119" s="1317" t="s">
        <v>417</v>
      </c>
      <c r="K119" s="1318"/>
      <c r="L119" s="1318"/>
      <c r="M119" s="1318"/>
      <c r="N119" s="1318"/>
      <c r="O119" s="1319"/>
      <c r="P119" s="1828" t="s">
        <v>489</v>
      </c>
      <c r="Q119" s="1826"/>
      <c r="R119" s="1826"/>
      <c r="S119" s="1826"/>
      <c r="T119" s="1827"/>
      <c r="U119" s="1317" t="s">
        <v>490</v>
      </c>
      <c r="V119" s="1318"/>
      <c r="W119" s="1318"/>
      <c r="X119" s="1318"/>
      <c r="Y119" s="1319"/>
      <c r="Z119" s="1845"/>
      <c r="AA119" s="458"/>
      <c r="AB119" s="1494"/>
      <c r="AC119" s="1252" t="s">
        <v>1324</v>
      </c>
      <c r="AD119" s="1252"/>
      <c r="AE119" s="1252"/>
      <c r="AF119" s="1252"/>
      <c r="AG119" s="1252"/>
      <c r="AH119" s="1252"/>
      <c r="AI119" s="1581"/>
      <c r="AJ119" s="1730" t="s">
        <v>1323</v>
      </c>
      <c r="AK119" s="1205"/>
      <c r="AL119" s="1205"/>
      <c r="AM119" s="1205"/>
      <c r="AN119" s="1205"/>
      <c r="AO119" s="1205"/>
      <c r="AP119" s="1494"/>
    </row>
    <row r="120" spans="1:56" ht="18.45" customHeight="1">
      <c r="A120" s="1805"/>
      <c r="B120" s="1912" t="s">
        <v>492</v>
      </c>
      <c r="C120" s="1393" t="s">
        <v>493</v>
      </c>
      <c r="D120" s="1082"/>
      <c r="E120" s="1082"/>
      <c r="F120" s="1082" t="s">
        <v>496</v>
      </c>
      <c r="G120" s="1391"/>
      <c r="H120" s="1082" t="s">
        <v>497</v>
      </c>
      <c r="I120" s="1083"/>
      <c r="J120" s="1082" t="s">
        <v>498</v>
      </c>
      <c r="K120" s="1082"/>
      <c r="L120" s="1082"/>
      <c r="M120" s="1082"/>
      <c r="N120" s="1082"/>
      <c r="O120" s="1083"/>
      <c r="P120" s="821" t="s">
        <v>40</v>
      </c>
      <c r="Q120" s="674" t="s">
        <v>39</v>
      </c>
      <c r="R120" s="674" t="s">
        <v>145</v>
      </c>
      <c r="S120" s="674" t="s">
        <v>147</v>
      </c>
      <c r="T120" s="771" t="s">
        <v>31</v>
      </c>
      <c r="U120" s="821" t="s">
        <v>40</v>
      </c>
      <c r="V120" s="1079" t="s">
        <v>39</v>
      </c>
      <c r="W120" s="1076" t="s">
        <v>145</v>
      </c>
      <c r="X120" s="1076" t="s">
        <v>147</v>
      </c>
      <c r="Y120" s="1704" t="s">
        <v>31</v>
      </c>
      <c r="Z120" s="1846"/>
      <c r="AA120" s="458"/>
      <c r="AB120" s="1495"/>
      <c r="AC120" s="1452" t="s">
        <v>1340</v>
      </c>
      <c r="AD120" s="1731" t="s">
        <v>1341</v>
      </c>
      <c r="AE120" s="1733" t="s">
        <v>1261</v>
      </c>
      <c r="AF120" s="1345"/>
      <c r="AG120" s="1345"/>
      <c r="AH120" s="1345"/>
      <c r="AI120" s="1346"/>
      <c r="AJ120" s="556" t="s">
        <v>40</v>
      </c>
      <c r="AK120" s="557" t="s">
        <v>39</v>
      </c>
      <c r="AL120" s="557" t="s">
        <v>145</v>
      </c>
      <c r="AM120" s="774" t="s">
        <v>147</v>
      </c>
      <c r="AN120" s="1734" t="s">
        <v>31</v>
      </c>
      <c r="AO120" s="1735"/>
      <c r="AP120" s="1495"/>
      <c r="AR120" s="529" t="s">
        <v>40</v>
      </c>
      <c r="AS120" s="530" t="s">
        <v>39</v>
      </c>
      <c r="AT120" s="530" t="s">
        <v>145</v>
      </c>
      <c r="AU120" s="530" t="s">
        <v>147</v>
      </c>
      <c r="AV120" s="531" t="s">
        <v>31</v>
      </c>
      <c r="AW120" s="217"/>
      <c r="AX120" s="529" t="s">
        <v>40</v>
      </c>
      <c r="AY120" s="530" t="s">
        <v>39</v>
      </c>
      <c r="AZ120" s="530" t="s">
        <v>145</v>
      </c>
      <c r="BA120" s="530" t="s">
        <v>147</v>
      </c>
      <c r="BB120" s="531" t="s">
        <v>31</v>
      </c>
    </row>
    <row r="121" spans="1:56" ht="29.55" customHeight="1" thickBot="1">
      <c r="A121" s="1805"/>
      <c r="B121" s="1913"/>
      <c r="C121" s="1394"/>
      <c r="D121" s="1084"/>
      <c r="E121" s="1084"/>
      <c r="F121" s="1650" t="s">
        <v>444</v>
      </c>
      <c r="G121" s="1650"/>
      <c r="H121" s="1080" t="s">
        <v>356</v>
      </c>
      <c r="I121" s="1837"/>
      <c r="J121" s="1084"/>
      <c r="K121" s="1084"/>
      <c r="L121" s="1084"/>
      <c r="M121" s="1084"/>
      <c r="N121" s="1084"/>
      <c r="O121" s="1085"/>
      <c r="P121" s="822" t="s">
        <v>1103</v>
      </c>
      <c r="Q121" s="675"/>
      <c r="R121" s="675"/>
      <c r="S121" s="675"/>
      <c r="T121" s="772"/>
      <c r="U121" s="822" t="s">
        <v>146</v>
      </c>
      <c r="V121" s="1081"/>
      <c r="W121" s="1077"/>
      <c r="X121" s="1077"/>
      <c r="Y121" s="1705"/>
      <c r="Z121" s="1846"/>
      <c r="AA121" s="458"/>
      <c r="AB121" s="1495"/>
      <c r="AC121" s="1738"/>
      <c r="AD121" s="1732"/>
      <c r="AE121" s="739" t="s">
        <v>40</v>
      </c>
      <c r="AF121" s="739" t="s">
        <v>39</v>
      </c>
      <c r="AG121" s="739" t="s">
        <v>145</v>
      </c>
      <c r="AH121" s="739" t="s">
        <v>147</v>
      </c>
      <c r="AI121" s="601" t="s">
        <v>31</v>
      </c>
      <c r="AJ121" s="594" t="s">
        <v>1260</v>
      </c>
      <c r="AK121" s="739" t="s">
        <v>1260</v>
      </c>
      <c r="AL121" s="739" t="s">
        <v>1260</v>
      </c>
      <c r="AM121" s="775" t="s">
        <v>1260</v>
      </c>
      <c r="AN121" s="1736" t="s">
        <v>1260</v>
      </c>
      <c r="AO121" s="1737"/>
      <c r="AP121" s="1495"/>
      <c r="AR121" s="1553" t="s">
        <v>1285</v>
      </c>
      <c r="AS121" s="1554"/>
      <c r="AT121" s="1554"/>
      <c r="AU121" s="1554"/>
      <c r="AV121" s="1555"/>
      <c r="AW121" s="213"/>
      <c r="AX121" s="1724" t="s">
        <v>1286</v>
      </c>
      <c r="AY121" s="1724"/>
      <c r="AZ121" s="1724"/>
      <c r="BA121" s="1724"/>
      <c r="BB121" s="1724"/>
    </row>
    <row r="122" spans="1:56" ht="34.950000000000003" customHeight="1">
      <c r="A122" s="1805"/>
      <c r="B122" s="1913"/>
      <c r="C122" s="1856"/>
      <c r="D122" s="1857"/>
      <c r="E122" s="1859"/>
      <c r="F122" s="1907"/>
      <c r="G122" s="1908"/>
      <c r="H122" s="1907"/>
      <c r="I122" s="1909"/>
      <c r="J122" s="1856"/>
      <c r="K122" s="1857"/>
      <c r="L122" s="1857"/>
      <c r="M122" s="1857"/>
      <c r="N122" s="1857"/>
      <c r="O122" s="1858"/>
      <c r="P122" s="386" t="str">
        <f>IF(OR(C122="",J122=""),"", (IF(C122="اسید نیتریک غليظ (بيشتر از 70 درصد)",5, (IF(J122="بدون کنترل آلودگی و يا موارد ديگر",28.5,   (IF(J122="احيا کاتالیستی اکسیدهای نیتروژن در tail gas تولیدی (تركيب با سوخت گاز طبيعي)",0.2, (IF(J122= "احيا کاتالیستی اکسیدهای نیتروژن در tail gas تولیدی (تركيب با سوخت هيدروژن)",0.4,  (IF(J122= "احيا کاتالیستی اکسیدهای نیتروژن در tail gas تولیدی (تركيب با سوخت گاز طبيعي و هيدروژن)",0.45, (IF(J122= "افزایش بازده جذب در برج جذب در فرایند جذب تک مرحله ای",0.95, (IF(J122= "افزایش بازده جذب در برج جذب در فرایند جذب دو مرحله ای",1.05,1.1))    ))   ))   ))   ))      ))   )))</f>
        <v/>
      </c>
      <c r="Q122" s="1915" t="s">
        <v>504</v>
      </c>
      <c r="R122" s="1916"/>
      <c r="S122" s="1916"/>
      <c r="T122" s="1917"/>
      <c r="U122" s="386" t="str">
        <f>IF(OR(F122="",H122="",P122=""),"",(F122*(H122/100)*P122*(10^-3)))</f>
        <v/>
      </c>
      <c r="V122" s="1853" t="s">
        <v>505</v>
      </c>
      <c r="W122" s="1854"/>
      <c r="X122" s="1854"/>
      <c r="Y122" s="1855"/>
      <c r="Z122" s="1846"/>
      <c r="AA122" s="458"/>
      <c r="AB122" s="1722"/>
      <c r="AC122" s="744"/>
      <c r="AD122" s="745"/>
      <c r="AE122" s="604">
        <v>1000</v>
      </c>
      <c r="AF122" s="1725"/>
      <c r="AG122" s="1328"/>
      <c r="AH122" s="1328"/>
      <c r="AI122" s="1726"/>
      <c r="AJ122" s="608" t="str">
        <f>IF(OR(AD122="",AC122=""),"",(SQRT((AD122)^2+(AE122)^2+(AC122)^2)))</f>
        <v/>
      </c>
      <c r="AK122" s="1727"/>
      <c r="AL122" s="1728"/>
      <c r="AM122" s="1728"/>
      <c r="AN122" s="1728"/>
      <c r="AO122" s="1729"/>
      <c r="AP122" s="1495"/>
      <c r="AR122" s="600" t="str">
        <f>IF(OR(AJ122="",U122=""),"",AJ122*U122)</f>
        <v/>
      </c>
      <c r="AS122" s="1562"/>
      <c r="AT122" s="1562"/>
      <c r="AU122" s="1562"/>
      <c r="AV122" s="1562"/>
      <c r="AW122" s="213"/>
      <c r="AX122" s="600" t="str">
        <f>IF(AR122="","",AR122^2)</f>
        <v/>
      </c>
      <c r="AY122" s="1562"/>
      <c r="AZ122" s="1562"/>
      <c r="BA122" s="1562"/>
      <c r="BB122" s="1562"/>
    </row>
    <row r="123" spans="1:56" ht="34.950000000000003" customHeight="1" thickBot="1">
      <c r="A123" s="1806"/>
      <c r="B123" s="1913"/>
      <c r="C123" s="1904"/>
      <c r="D123" s="1905"/>
      <c r="E123" s="1906"/>
      <c r="F123" s="1910"/>
      <c r="G123" s="1914"/>
      <c r="H123" s="1910"/>
      <c r="I123" s="1911"/>
      <c r="J123" s="1856"/>
      <c r="K123" s="1857"/>
      <c r="L123" s="1857"/>
      <c r="M123" s="1857"/>
      <c r="N123" s="1857"/>
      <c r="O123" s="1858"/>
      <c r="P123" s="387" t="str">
        <f>IF(OR(C123="",J123=""),"", (IF(C123="اسید نیتریک غليظ (بيشتر از 70 درصد)",5, (IF(J123="بدون کنترل آلودگی و يا موارد ديگر",28.5,   (IF(J123="احيا کاتالیستی اکسیدهای نیتروژن در tail gas تولیدی (تركيب با سوخت گاز طبيعي)",0.2, (IF(J123= "احيا کاتالیستی اکسیدهای نیتروژن در tail gas تولیدی (تركيب با سوخت هيدروژن)",0.4,  (IF(J123= "احيا کاتالیستی اکسیدهای نیتروژن در tail gas تولیدی (تركيب با سوخت گاز طبيعي و هيدروژن)",0.45, (IF(J123= "افزایش بازده جذب در برج جذب در فرایند جذب تک مرحله ای",0.95, (IF(J123= "افزایش بازده جذب در برج جذب در فرایند جذب دو مرحله ای",1.05,1.1))    ))   ))   ))   ))      ))   )))</f>
        <v/>
      </c>
      <c r="Q123" s="1915"/>
      <c r="R123" s="1916"/>
      <c r="S123" s="1916"/>
      <c r="T123" s="1917"/>
      <c r="U123" s="388" t="str">
        <f>IF(OR(F123="",H123="",P123=""),"",(F123*(H123/100)*P123*(10^-3)))</f>
        <v/>
      </c>
      <c r="V123" s="1853"/>
      <c r="W123" s="1854"/>
      <c r="X123" s="1854"/>
      <c r="Y123" s="1855"/>
      <c r="Z123" s="1847"/>
      <c r="AA123" s="458"/>
      <c r="AB123" s="1723"/>
      <c r="AC123" s="742"/>
      <c r="AD123" s="743"/>
      <c r="AE123" s="606">
        <v>1000</v>
      </c>
      <c r="AF123" s="1717"/>
      <c r="AG123" s="1368"/>
      <c r="AH123" s="1368"/>
      <c r="AI123" s="1718"/>
      <c r="AJ123" s="609" t="str">
        <f>IF(OR(AD123="",AC123=""),"",(SQRT((AD123)^2+(AE123)^2+(AC123)^2)))</f>
        <v/>
      </c>
      <c r="AK123" s="1719"/>
      <c r="AL123" s="1720"/>
      <c r="AM123" s="1720"/>
      <c r="AN123" s="1720"/>
      <c r="AO123" s="1721"/>
      <c r="AP123" s="1496"/>
      <c r="AR123" s="600" t="str">
        <f>IF(OR(AJ123="",U123=""),"",AJ123*U123)</f>
        <v/>
      </c>
      <c r="AS123" s="1562"/>
      <c r="AT123" s="1562"/>
      <c r="AU123" s="1562"/>
      <c r="AV123" s="1562"/>
      <c r="AW123" s="213"/>
      <c r="AX123" s="600" t="str">
        <f>IF(AR123="","",AR123^2)</f>
        <v/>
      </c>
      <c r="AY123" s="1562"/>
      <c r="AZ123" s="1562"/>
      <c r="BA123" s="1562"/>
      <c r="BB123" s="1562"/>
    </row>
    <row r="124" spans="1:56" ht="28.95" customHeight="1" thickBot="1">
      <c r="A124" s="1065"/>
      <c r="B124" s="1066"/>
      <c r="C124" s="1066"/>
      <c r="D124" s="1066"/>
      <c r="E124" s="1066"/>
      <c r="F124" s="1066"/>
      <c r="G124" s="1066"/>
      <c r="H124" s="1066"/>
      <c r="I124" s="1066"/>
      <c r="J124" s="1066"/>
      <c r="K124" s="1066"/>
      <c r="L124" s="1066"/>
      <c r="M124" s="1066"/>
      <c r="N124" s="1066"/>
      <c r="O124" s="1066"/>
      <c r="P124" s="1066"/>
      <c r="Q124" s="1066"/>
      <c r="R124" s="1066"/>
      <c r="S124" s="1066"/>
      <c r="T124" s="1066"/>
      <c r="U124" s="1066"/>
      <c r="V124" s="1066"/>
      <c r="W124" s="1066"/>
      <c r="X124" s="1066"/>
      <c r="Y124" s="1066"/>
      <c r="Z124" s="1067"/>
      <c r="AA124" s="458"/>
      <c r="AB124" s="1464"/>
      <c r="AC124" s="1466"/>
      <c r="AD124" s="1466"/>
      <c r="AE124" s="1466"/>
      <c r="AF124" s="1466"/>
      <c r="AG124" s="1466"/>
      <c r="AH124" s="1466"/>
      <c r="AI124" s="1466"/>
      <c r="AJ124" s="1466"/>
      <c r="AK124" s="1466"/>
      <c r="AL124" s="1466"/>
      <c r="AM124" s="1466"/>
      <c r="AN124" s="1466"/>
      <c r="AO124" s="1466"/>
      <c r="AP124" s="1467"/>
    </row>
    <row r="125" spans="1:56" ht="50.55" customHeight="1" thickBot="1">
      <c r="A125" s="458"/>
      <c r="B125" s="458"/>
      <c r="C125" s="458"/>
      <c r="D125" s="458"/>
      <c r="E125" s="458"/>
      <c r="F125" s="458"/>
      <c r="G125" s="458"/>
      <c r="H125" s="458"/>
      <c r="I125" s="458"/>
      <c r="J125" s="458"/>
      <c r="K125" s="458"/>
      <c r="L125" s="458"/>
      <c r="M125" s="458"/>
      <c r="N125" s="458"/>
      <c r="O125" s="458"/>
      <c r="P125" s="458"/>
      <c r="Q125" s="458"/>
      <c r="R125" s="458"/>
      <c r="S125" s="458"/>
      <c r="T125" s="458"/>
      <c r="U125" s="458"/>
      <c r="V125" s="458"/>
      <c r="W125" s="458"/>
      <c r="X125" s="458"/>
      <c r="Y125" s="458"/>
      <c r="Z125" s="458"/>
      <c r="AA125" s="458"/>
      <c r="AB125" s="458"/>
      <c r="AC125" s="458"/>
      <c r="AD125" s="458"/>
      <c r="AE125" s="458"/>
      <c r="AF125" s="458"/>
      <c r="AG125" s="458"/>
      <c r="AH125" s="458"/>
      <c r="AI125" s="458"/>
      <c r="AJ125" s="458"/>
      <c r="AK125" s="458"/>
      <c r="AL125" s="458"/>
      <c r="AM125" s="458"/>
      <c r="AN125" s="458"/>
      <c r="AO125" s="458"/>
      <c r="AP125" s="458"/>
    </row>
    <row r="126" spans="1:56" ht="23.4">
      <c r="A126" s="1015" t="s">
        <v>848</v>
      </c>
      <c r="B126" s="1284"/>
      <c r="C126" s="1284"/>
      <c r="D126" s="1284"/>
      <c r="E126" s="1284"/>
      <c r="F126" s="1284"/>
      <c r="G126" s="1284"/>
      <c r="H126" s="1284"/>
      <c r="I126" s="1284"/>
      <c r="J126" s="1284"/>
      <c r="K126" s="1284"/>
      <c r="L126" s="1284"/>
      <c r="M126" s="1285"/>
      <c r="N126" s="1438" t="s">
        <v>752</v>
      </c>
      <c r="O126" s="1439"/>
      <c r="P126" s="1439"/>
      <c r="Q126" s="1439"/>
      <c r="R126" s="1439"/>
      <c r="S126" s="1439"/>
      <c r="T126" s="1439"/>
      <c r="U126" s="1439"/>
      <c r="V126" s="1439"/>
      <c r="W126" s="1439"/>
      <c r="X126" s="1439"/>
      <c r="Y126" s="1439"/>
      <c r="Z126" s="1440"/>
      <c r="AA126" s="458"/>
      <c r="AB126" s="1688" t="s">
        <v>1312</v>
      </c>
      <c r="AC126" s="1689"/>
      <c r="AD126" s="1689"/>
      <c r="AE126" s="1689"/>
      <c r="AF126" s="1689"/>
      <c r="AG126" s="1689"/>
      <c r="AH126" s="1689"/>
      <c r="AI126" s="1689"/>
      <c r="AJ126" s="1689"/>
      <c r="AK126" s="1689"/>
      <c r="AL126" s="1689"/>
      <c r="AM126" s="1689"/>
      <c r="AN126" s="1689"/>
      <c r="AO126" s="1690"/>
    </row>
    <row r="127" spans="1:56" ht="102.45" customHeight="1" thickBot="1">
      <c r="A127" s="1955" t="s">
        <v>1137</v>
      </c>
      <c r="B127" s="1216"/>
      <c r="C127" s="1216"/>
      <c r="D127" s="1216"/>
      <c r="E127" s="1216"/>
      <c r="F127" s="1216"/>
      <c r="G127" s="1216"/>
      <c r="H127" s="1216"/>
      <c r="I127" s="1216"/>
      <c r="J127" s="1216"/>
      <c r="K127" s="1216"/>
      <c r="L127" s="1216"/>
      <c r="M127" s="1217"/>
      <c r="N127" s="1484"/>
      <c r="O127" s="1485"/>
      <c r="P127" s="1485"/>
      <c r="Q127" s="1485"/>
      <c r="R127" s="1485"/>
      <c r="S127" s="1485"/>
      <c r="T127" s="1485"/>
      <c r="U127" s="1485"/>
      <c r="V127" s="1485"/>
      <c r="W127" s="1485"/>
      <c r="X127" s="1485"/>
      <c r="Y127" s="1485"/>
      <c r="Z127" s="1486"/>
      <c r="AA127" s="458"/>
      <c r="AB127" s="1691" t="s">
        <v>1274</v>
      </c>
      <c r="AC127" s="1037"/>
      <c r="AD127" s="1037"/>
      <c r="AE127" s="1037"/>
      <c r="AF127" s="1037"/>
      <c r="AG127" s="1037"/>
      <c r="AH127" s="1037"/>
      <c r="AI127" s="1037"/>
      <c r="AJ127" s="1037"/>
      <c r="AK127" s="1037"/>
      <c r="AL127" s="1037"/>
      <c r="AM127" s="1037"/>
      <c r="AN127" s="1037"/>
      <c r="AO127" s="1692"/>
    </row>
    <row r="128" spans="1:56" ht="34.5" customHeight="1" thickBot="1">
      <c r="A128" s="1015" t="s">
        <v>795</v>
      </c>
      <c r="B128" s="1284"/>
      <c r="C128" s="1284"/>
      <c r="D128" s="1284"/>
      <c r="E128" s="1284"/>
      <c r="F128" s="1284"/>
      <c r="G128" s="1284"/>
      <c r="H128" s="1284"/>
      <c r="I128" s="1284"/>
      <c r="J128" s="1284"/>
      <c r="K128" s="1284"/>
      <c r="L128" s="1284"/>
      <c r="M128" s="1285"/>
      <c r="N128" s="1438" t="s">
        <v>752</v>
      </c>
      <c r="O128" s="1439"/>
      <c r="P128" s="1439"/>
      <c r="Q128" s="1439"/>
      <c r="R128" s="1439"/>
      <c r="S128" s="1439"/>
      <c r="T128" s="1439"/>
      <c r="U128" s="1439"/>
      <c r="V128" s="1439"/>
      <c r="W128" s="1439"/>
      <c r="X128" s="1439"/>
      <c r="Y128" s="1439"/>
      <c r="Z128" s="1440"/>
      <c r="AA128" s="458"/>
      <c r="AB128" s="1693"/>
      <c r="AC128" s="1694"/>
      <c r="AD128" s="1694"/>
      <c r="AE128" s="1694"/>
      <c r="AF128" s="1694"/>
      <c r="AG128" s="1694"/>
      <c r="AH128" s="1694"/>
      <c r="AI128" s="1694"/>
      <c r="AJ128" s="1694"/>
      <c r="AK128" s="1694"/>
      <c r="AL128" s="1694"/>
      <c r="AM128" s="1694"/>
      <c r="AN128" s="1694"/>
      <c r="AO128" s="1695"/>
    </row>
    <row r="129" spans="1:41" ht="23.4">
      <c r="A129" s="1021" t="s">
        <v>1104</v>
      </c>
      <c r="B129" s="1022"/>
      <c r="C129" s="1022"/>
      <c r="D129" s="1022"/>
      <c r="E129" s="1022"/>
      <c r="F129" s="1022"/>
      <c r="G129" s="1022"/>
      <c r="H129" s="1022"/>
      <c r="I129" s="1022"/>
      <c r="J129" s="1022"/>
      <c r="K129" s="1022"/>
      <c r="L129" s="1022"/>
      <c r="M129" s="1023"/>
      <c r="N129" s="1481"/>
      <c r="O129" s="1482"/>
      <c r="P129" s="1482"/>
      <c r="Q129" s="1482"/>
      <c r="R129" s="1482"/>
      <c r="S129" s="1482"/>
      <c r="T129" s="1482"/>
      <c r="U129" s="1482"/>
      <c r="V129" s="1482"/>
      <c r="W129" s="1482"/>
      <c r="X129" s="1482"/>
      <c r="Y129" s="1482"/>
      <c r="Z129" s="1483"/>
      <c r="AA129" s="458"/>
      <c r="AB129" s="1688" t="s">
        <v>1342</v>
      </c>
      <c r="AC129" s="1689"/>
      <c r="AD129" s="1689"/>
      <c r="AE129" s="1689"/>
      <c r="AF129" s="1689"/>
      <c r="AG129" s="1689"/>
      <c r="AH129" s="1689"/>
      <c r="AI129" s="1689"/>
      <c r="AJ129" s="1689"/>
      <c r="AK129" s="1689"/>
      <c r="AL129" s="1689"/>
      <c r="AM129" s="1689"/>
      <c r="AN129" s="1689"/>
      <c r="AO129" s="1690"/>
    </row>
    <row r="130" spans="1:41" ht="68.55" customHeight="1" thickBot="1">
      <c r="A130" s="1024" t="s">
        <v>1105</v>
      </c>
      <c r="B130" s="1025"/>
      <c r="C130" s="1025"/>
      <c r="D130" s="1025"/>
      <c r="E130" s="1025"/>
      <c r="F130" s="1025"/>
      <c r="G130" s="1025"/>
      <c r="H130" s="1025"/>
      <c r="I130" s="1025"/>
      <c r="J130" s="1025"/>
      <c r="K130" s="1025"/>
      <c r="L130" s="1025"/>
      <c r="M130" s="1026"/>
      <c r="N130" s="1484"/>
      <c r="O130" s="1485"/>
      <c r="P130" s="1485"/>
      <c r="Q130" s="1485"/>
      <c r="R130" s="1485"/>
      <c r="S130" s="1485"/>
      <c r="T130" s="1485"/>
      <c r="U130" s="1485"/>
      <c r="V130" s="1485"/>
      <c r="W130" s="1485"/>
      <c r="X130" s="1485"/>
      <c r="Y130" s="1485"/>
      <c r="Z130" s="1486"/>
      <c r="AA130" s="458"/>
      <c r="AB130" s="1691" t="s">
        <v>1588</v>
      </c>
      <c r="AC130" s="1037"/>
      <c r="AD130" s="1037"/>
      <c r="AE130" s="1037"/>
      <c r="AF130" s="1037"/>
      <c r="AG130" s="1037"/>
      <c r="AH130" s="1037"/>
      <c r="AI130" s="1037"/>
      <c r="AJ130" s="1037"/>
      <c r="AK130" s="1037"/>
      <c r="AL130" s="1037"/>
      <c r="AM130" s="1037"/>
      <c r="AN130" s="1037"/>
      <c r="AO130" s="1692"/>
    </row>
    <row r="131" spans="1:41" ht="28.5" customHeight="1" thickBot="1">
      <c r="A131" s="1229" t="s">
        <v>797</v>
      </c>
      <c r="B131" s="1659"/>
      <c r="C131" s="1659"/>
      <c r="D131" s="1659"/>
      <c r="E131" s="1659"/>
      <c r="F131" s="1659"/>
      <c r="G131" s="1659"/>
      <c r="H131" s="1659"/>
      <c r="I131" s="1659"/>
      <c r="J131" s="1659"/>
      <c r="K131" s="1659"/>
      <c r="L131" s="1659"/>
      <c r="M131" s="1660"/>
      <c r="N131" s="1438" t="s">
        <v>752</v>
      </c>
      <c r="O131" s="1439"/>
      <c r="P131" s="1439"/>
      <c r="Q131" s="1439"/>
      <c r="R131" s="1439"/>
      <c r="S131" s="1439"/>
      <c r="T131" s="1439"/>
      <c r="U131" s="1439"/>
      <c r="V131" s="1439"/>
      <c r="W131" s="1439"/>
      <c r="X131" s="1439"/>
      <c r="Y131" s="1439"/>
      <c r="Z131" s="1440"/>
      <c r="AA131" s="458"/>
      <c r="AB131" s="1693"/>
      <c r="AC131" s="1694"/>
      <c r="AD131" s="1694"/>
      <c r="AE131" s="1694"/>
      <c r="AF131" s="1694"/>
      <c r="AG131" s="1694"/>
      <c r="AH131" s="1694"/>
      <c r="AI131" s="1694"/>
      <c r="AJ131" s="1694"/>
      <c r="AK131" s="1694"/>
      <c r="AL131" s="1694"/>
      <c r="AM131" s="1694"/>
      <c r="AN131" s="1694"/>
      <c r="AO131" s="1695"/>
    </row>
    <row r="132" spans="1:41" ht="32.549999999999997" customHeight="1">
      <c r="A132" s="1021" t="s">
        <v>1106</v>
      </c>
      <c r="B132" s="1022"/>
      <c r="C132" s="1022"/>
      <c r="D132" s="1022"/>
      <c r="E132" s="1022"/>
      <c r="F132" s="1022"/>
      <c r="G132" s="1022"/>
      <c r="H132" s="1022"/>
      <c r="I132" s="1022"/>
      <c r="J132" s="1022"/>
      <c r="K132" s="1022"/>
      <c r="L132" s="1022"/>
      <c r="M132" s="1023"/>
      <c r="N132" s="1481"/>
      <c r="O132" s="1482"/>
      <c r="P132" s="1482"/>
      <c r="Q132" s="1482"/>
      <c r="R132" s="1482"/>
      <c r="S132" s="1482"/>
      <c r="T132" s="1482"/>
      <c r="U132" s="1482"/>
      <c r="V132" s="1482"/>
      <c r="W132" s="1482"/>
      <c r="X132" s="1482"/>
      <c r="Y132" s="1482"/>
      <c r="Z132" s="1483"/>
      <c r="AA132" s="458"/>
      <c r="AB132" s="458"/>
      <c r="AC132" s="458"/>
      <c r="AD132" s="458"/>
      <c r="AE132" s="458"/>
      <c r="AF132" s="458"/>
      <c r="AG132" s="458"/>
      <c r="AH132" s="458"/>
      <c r="AI132" s="458"/>
      <c r="AJ132" s="458"/>
      <c r="AK132" s="458"/>
      <c r="AL132" s="458"/>
      <c r="AM132" s="458"/>
      <c r="AN132" s="458"/>
      <c r="AO132" s="458"/>
    </row>
    <row r="133" spans="1:41" ht="70.05" customHeight="1" thickBot="1">
      <c r="A133" s="1024" t="s">
        <v>1107</v>
      </c>
      <c r="B133" s="1025"/>
      <c r="C133" s="1025"/>
      <c r="D133" s="1025"/>
      <c r="E133" s="1025"/>
      <c r="F133" s="1025"/>
      <c r="G133" s="1025"/>
      <c r="H133" s="1025"/>
      <c r="I133" s="1025"/>
      <c r="J133" s="1025"/>
      <c r="K133" s="1025"/>
      <c r="L133" s="1025"/>
      <c r="M133" s="1026"/>
      <c r="N133" s="1484"/>
      <c r="O133" s="1485"/>
      <c r="P133" s="1485"/>
      <c r="Q133" s="1485"/>
      <c r="R133" s="1485"/>
      <c r="S133" s="1485"/>
      <c r="T133" s="1485"/>
      <c r="U133" s="1485"/>
      <c r="V133" s="1485"/>
      <c r="W133" s="1485"/>
      <c r="X133" s="1485"/>
      <c r="Y133" s="1485"/>
      <c r="Z133" s="1486"/>
      <c r="AA133" s="458"/>
      <c r="AB133" s="458"/>
      <c r="AC133" s="458"/>
      <c r="AD133" s="458"/>
      <c r="AE133" s="458"/>
      <c r="AF133" s="458"/>
      <c r="AG133" s="458"/>
      <c r="AH133" s="458"/>
      <c r="AI133" s="458"/>
      <c r="AJ133" s="458"/>
      <c r="AK133" s="458"/>
      <c r="AL133" s="458"/>
      <c r="AM133" s="458"/>
      <c r="AN133" s="458"/>
      <c r="AO133" s="458"/>
    </row>
    <row r="134" spans="1:41" ht="24.45" customHeight="1">
      <c r="A134" s="1015" t="s">
        <v>798</v>
      </c>
      <c r="B134" s="1284"/>
      <c r="C134" s="1284"/>
      <c r="D134" s="1284"/>
      <c r="E134" s="1284"/>
      <c r="F134" s="1284"/>
      <c r="G134" s="1284"/>
      <c r="H134" s="1284"/>
      <c r="I134" s="1284"/>
      <c r="J134" s="1284"/>
      <c r="K134" s="1284"/>
      <c r="L134" s="1284"/>
      <c r="M134" s="1285"/>
      <c r="N134" s="1438" t="s">
        <v>752</v>
      </c>
      <c r="O134" s="1439"/>
      <c r="P134" s="1439"/>
      <c r="Q134" s="1439"/>
      <c r="R134" s="1439"/>
      <c r="S134" s="1439"/>
      <c r="T134" s="1439"/>
      <c r="U134" s="1439"/>
      <c r="V134" s="1439"/>
      <c r="W134" s="1439"/>
      <c r="X134" s="1439"/>
      <c r="Y134" s="1439"/>
      <c r="Z134" s="1440"/>
      <c r="AA134" s="458"/>
      <c r="AB134" s="458"/>
      <c r="AC134" s="458"/>
      <c r="AD134" s="458"/>
      <c r="AE134" s="458"/>
      <c r="AF134" s="458"/>
      <c r="AG134" s="458"/>
      <c r="AH134" s="458"/>
      <c r="AI134" s="458"/>
      <c r="AJ134" s="458"/>
      <c r="AK134" s="458"/>
      <c r="AL134" s="458"/>
      <c r="AM134" s="458"/>
      <c r="AN134" s="458"/>
      <c r="AO134" s="458"/>
    </row>
    <row r="135" spans="1:41" ht="25.95" customHeight="1">
      <c r="A135" s="1021" t="s">
        <v>1108</v>
      </c>
      <c r="B135" s="1022"/>
      <c r="C135" s="1022"/>
      <c r="D135" s="1022"/>
      <c r="E135" s="1022"/>
      <c r="F135" s="1022"/>
      <c r="G135" s="1022"/>
      <c r="H135" s="1022"/>
      <c r="I135" s="1022"/>
      <c r="J135" s="1022"/>
      <c r="K135" s="1022"/>
      <c r="L135" s="1022"/>
      <c r="M135" s="1023"/>
      <c r="N135" s="1481"/>
      <c r="O135" s="1482"/>
      <c r="P135" s="1482"/>
      <c r="Q135" s="1482"/>
      <c r="R135" s="1482"/>
      <c r="S135" s="1482"/>
      <c r="T135" s="1482"/>
      <c r="U135" s="1482"/>
      <c r="V135" s="1482"/>
      <c r="W135" s="1482"/>
      <c r="X135" s="1482"/>
      <c r="Y135" s="1482"/>
      <c r="Z135" s="1483"/>
      <c r="AA135" s="458"/>
      <c r="AB135" s="458"/>
      <c r="AC135" s="458"/>
      <c r="AD135" s="458"/>
      <c r="AE135" s="458"/>
      <c r="AF135" s="458"/>
      <c r="AG135" s="458"/>
      <c r="AH135" s="458"/>
      <c r="AI135" s="458"/>
      <c r="AJ135" s="458"/>
      <c r="AK135" s="458"/>
      <c r="AL135" s="458"/>
      <c r="AM135" s="458"/>
      <c r="AN135" s="458"/>
      <c r="AO135" s="458"/>
    </row>
    <row r="136" spans="1:41" ht="25.05" customHeight="1">
      <c r="A136" s="1021" t="s">
        <v>1138</v>
      </c>
      <c r="B136" s="1022"/>
      <c r="C136" s="1022"/>
      <c r="D136" s="1022"/>
      <c r="E136" s="1022"/>
      <c r="F136" s="1022"/>
      <c r="G136" s="1022"/>
      <c r="H136" s="1022"/>
      <c r="I136" s="1022"/>
      <c r="J136" s="1022"/>
      <c r="K136" s="1022"/>
      <c r="L136" s="1022"/>
      <c r="M136" s="1023"/>
      <c r="N136" s="1481"/>
      <c r="O136" s="1482"/>
      <c r="P136" s="1482"/>
      <c r="Q136" s="1482"/>
      <c r="R136" s="1482"/>
      <c r="S136" s="1482"/>
      <c r="T136" s="1482"/>
      <c r="U136" s="1482"/>
      <c r="V136" s="1482"/>
      <c r="W136" s="1482"/>
      <c r="X136" s="1482"/>
      <c r="Y136" s="1482"/>
      <c r="Z136" s="1483"/>
      <c r="AA136" s="458"/>
      <c r="AB136" s="458"/>
      <c r="AC136" s="458"/>
      <c r="AD136" s="458"/>
      <c r="AE136" s="458"/>
      <c r="AF136" s="458"/>
      <c r="AG136" s="458"/>
      <c r="AH136" s="458"/>
      <c r="AI136" s="458"/>
      <c r="AJ136" s="458"/>
      <c r="AK136" s="458"/>
      <c r="AL136" s="458"/>
      <c r="AM136" s="458"/>
      <c r="AN136" s="458"/>
      <c r="AO136" s="458"/>
    </row>
    <row r="137" spans="1:41" ht="78" customHeight="1" thickBot="1">
      <c r="A137" s="1024" t="s">
        <v>1109</v>
      </c>
      <c r="B137" s="1025"/>
      <c r="C137" s="1025"/>
      <c r="D137" s="1025"/>
      <c r="E137" s="1025"/>
      <c r="F137" s="1025"/>
      <c r="G137" s="1025"/>
      <c r="H137" s="1025"/>
      <c r="I137" s="1025"/>
      <c r="J137" s="1025"/>
      <c r="K137" s="1025"/>
      <c r="L137" s="1025"/>
      <c r="M137" s="1026"/>
      <c r="N137" s="1484"/>
      <c r="O137" s="1485"/>
      <c r="P137" s="1485"/>
      <c r="Q137" s="1485"/>
      <c r="R137" s="1485"/>
      <c r="S137" s="1485"/>
      <c r="T137" s="1485"/>
      <c r="U137" s="1485"/>
      <c r="V137" s="1485"/>
      <c r="W137" s="1485"/>
      <c r="X137" s="1485"/>
      <c r="Y137" s="1485"/>
      <c r="Z137" s="1486"/>
      <c r="AA137" s="458"/>
      <c r="AB137" s="458"/>
      <c r="AC137" s="458"/>
      <c r="AD137" s="458"/>
      <c r="AE137" s="458"/>
      <c r="AF137" s="458"/>
      <c r="AG137" s="458"/>
      <c r="AH137" s="458"/>
      <c r="AI137" s="458"/>
      <c r="AJ137" s="458"/>
      <c r="AK137" s="458"/>
      <c r="AL137" s="458"/>
      <c r="AM137" s="458"/>
      <c r="AN137" s="458"/>
      <c r="AO137" s="458"/>
    </row>
    <row r="138" spans="1:41" ht="31.05" customHeight="1">
      <c r="A138" s="1229" t="s">
        <v>799</v>
      </c>
      <c r="B138" s="1659"/>
      <c r="C138" s="1659"/>
      <c r="D138" s="1659"/>
      <c r="E138" s="1659"/>
      <c r="F138" s="1659"/>
      <c r="G138" s="1659"/>
      <c r="H138" s="1659"/>
      <c r="I138" s="1659"/>
      <c r="J138" s="1659"/>
      <c r="K138" s="1659"/>
      <c r="L138" s="1659"/>
      <c r="M138" s="1660"/>
      <c r="N138" s="1438" t="s">
        <v>752</v>
      </c>
      <c r="O138" s="1439"/>
      <c r="P138" s="1439"/>
      <c r="Q138" s="1439"/>
      <c r="R138" s="1439"/>
      <c r="S138" s="1439"/>
      <c r="T138" s="1439"/>
      <c r="U138" s="1439"/>
      <c r="V138" s="1439"/>
      <c r="W138" s="1439"/>
      <c r="X138" s="1439"/>
      <c r="Y138" s="1439"/>
      <c r="Z138" s="1440"/>
      <c r="AA138" s="458"/>
      <c r="AB138" s="458"/>
      <c r="AC138" s="458"/>
      <c r="AD138" s="458"/>
      <c r="AE138" s="458"/>
      <c r="AF138" s="458"/>
      <c r="AG138" s="458"/>
      <c r="AH138" s="458"/>
      <c r="AI138" s="458"/>
      <c r="AJ138" s="458"/>
      <c r="AK138" s="458"/>
      <c r="AL138" s="458"/>
      <c r="AM138" s="458"/>
      <c r="AN138" s="458"/>
      <c r="AO138" s="458"/>
    </row>
    <row r="139" spans="1:41" ht="29.55" customHeight="1">
      <c r="A139" s="1021" t="s">
        <v>1110</v>
      </c>
      <c r="B139" s="1022"/>
      <c r="C139" s="1022"/>
      <c r="D139" s="1022"/>
      <c r="E139" s="1022"/>
      <c r="F139" s="1022"/>
      <c r="G139" s="1022"/>
      <c r="H139" s="1022"/>
      <c r="I139" s="1022"/>
      <c r="J139" s="1022"/>
      <c r="K139" s="1022"/>
      <c r="L139" s="1022"/>
      <c r="M139" s="1023"/>
      <c r="N139" s="1481" t="s">
        <v>796</v>
      </c>
      <c r="O139" s="1482"/>
      <c r="P139" s="1482"/>
      <c r="Q139" s="1482"/>
      <c r="R139" s="1482"/>
      <c r="S139" s="1482"/>
      <c r="T139" s="1482"/>
      <c r="U139" s="1482"/>
      <c r="V139" s="1482"/>
      <c r="W139" s="1482"/>
      <c r="X139" s="1482"/>
      <c r="Y139" s="1482"/>
      <c r="Z139" s="1483"/>
      <c r="AA139" s="458"/>
      <c r="AB139" s="458"/>
      <c r="AC139" s="458"/>
      <c r="AD139" s="458"/>
      <c r="AE139" s="458"/>
      <c r="AF139" s="458"/>
      <c r="AG139" s="458"/>
      <c r="AH139" s="458"/>
      <c r="AI139" s="458"/>
      <c r="AJ139" s="458"/>
      <c r="AK139" s="458"/>
      <c r="AL139" s="458"/>
      <c r="AM139" s="458"/>
      <c r="AN139" s="458"/>
      <c r="AO139" s="458"/>
    </row>
    <row r="140" spans="1:41" ht="79.95" customHeight="1" thickBot="1">
      <c r="A140" s="1024" t="s">
        <v>1111</v>
      </c>
      <c r="B140" s="1025"/>
      <c r="C140" s="1025"/>
      <c r="D140" s="1025"/>
      <c r="E140" s="1025"/>
      <c r="F140" s="1025"/>
      <c r="G140" s="1025"/>
      <c r="H140" s="1025"/>
      <c r="I140" s="1025"/>
      <c r="J140" s="1025"/>
      <c r="K140" s="1025"/>
      <c r="L140" s="1025"/>
      <c r="M140" s="1026"/>
      <c r="N140" s="1484"/>
      <c r="O140" s="1485"/>
      <c r="P140" s="1485"/>
      <c r="Q140" s="1485"/>
      <c r="R140" s="1485"/>
      <c r="S140" s="1485"/>
      <c r="T140" s="1485"/>
      <c r="U140" s="1485"/>
      <c r="V140" s="1485"/>
      <c r="W140" s="1485"/>
      <c r="X140" s="1485"/>
      <c r="Y140" s="1485"/>
      <c r="Z140" s="1486"/>
      <c r="AA140" s="458"/>
      <c r="AB140" s="458"/>
      <c r="AC140" s="458"/>
      <c r="AD140" s="458"/>
      <c r="AE140" s="458"/>
      <c r="AF140" s="458"/>
      <c r="AG140" s="458"/>
      <c r="AH140" s="458"/>
      <c r="AI140" s="458"/>
      <c r="AJ140" s="458"/>
      <c r="AK140" s="458"/>
      <c r="AL140" s="458"/>
      <c r="AM140" s="458"/>
      <c r="AN140" s="458"/>
      <c r="AO140" s="458"/>
    </row>
    <row r="141" spans="1:41" ht="23.4">
      <c r="A141" s="1015" t="s">
        <v>800</v>
      </c>
      <c r="B141" s="1284"/>
      <c r="C141" s="1284"/>
      <c r="D141" s="1284"/>
      <c r="E141" s="1284"/>
      <c r="F141" s="1284"/>
      <c r="G141" s="1284"/>
      <c r="H141" s="1284"/>
      <c r="I141" s="1284"/>
      <c r="J141" s="1284"/>
      <c r="K141" s="1284"/>
      <c r="L141" s="1284"/>
      <c r="M141" s="1285"/>
      <c r="N141" s="1438" t="s">
        <v>752</v>
      </c>
      <c r="O141" s="1439"/>
      <c r="P141" s="1439"/>
      <c r="Q141" s="1439"/>
      <c r="R141" s="1439"/>
      <c r="S141" s="1439"/>
      <c r="T141" s="1439"/>
      <c r="U141" s="1439"/>
      <c r="V141" s="1439"/>
      <c r="W141" s="1439"/>
      <c r="X141" s="1439"/>
      <c r="Y141" s="1439"/>
      <c r="Z141" s="1440"/>
      <c r="AA141" s="458"/>
      <c r="AB141" s="458"/>
      <c r="AC141" s="458"/>
      <c r="AD141" s="458"/>
      <c r="AE141" s="458"/>
      <c r="AF141" s="458"/>
      <c r="AG141" s="458"/>
      <c r="AH141" s="458"/>
      <c r="AI141" s="458"/>
      <c r="AJ141" s="458"/>
      <c r="AK141" s="458"/>
      <c r="AL141" s="458"/>
      <c r="AM141" s="458"/>
      <c r="AN141" s="458"/>
      <c r="AO141" s="458"/>
    </row>
    <row r="142" spans="1:41" ht="18.600000000000001">
      <c r="A142" s="1021" t="s">
        <v>1112</v>
      </c>
      <c r="B142" s="1022"/>
      <c r="C142" s="1022"/>
      <c r="D142" s="1022"/>
      <c r="E142" s="1022"/>
      <c r="F142" s="1022"/>
      <c r="G142" s="1022"/>
      <c r="H142" s="1022"/>
      <c r="I142" s="1022"/>
      <c r="J142" s="1022"/>
      <c r="K142" s="1022"/>
      <c r="L142" s="1022"/>
      <c r="M142" s="1023"/>
      <c r="N142" s="1481"/>
      <c r="O142" s="1482"/>
      <c r="P142" s="1482"/>
      <c r="Q142" s="1482"/>
      <c r="R142" s="1482"/>
      <c r="S142" s="1482"/>
      <c r="T142" s="1482"/>
      <c r="U142" s="1482"/>
      <c r="V142" s="1482"/>
      <c r="W142" s="1482"/>
      <c r="X142" s="1482"/>
      <c r="Y142" s="1482"/>
      <c r="Z142" s="1483"/>
      <c r="AA142" s="458"/>
      <c r="AB142" s="458"/>
      <c r="AC142" s="458"/>
      <c r="AD142" s="458"/>
      <c r="AE142" s="458"/>
      <c r="AF142" s="458"/>
      <c r="AG142" s="458"/>
      <c r="AH142" s="458"/>
      <c r="AI142" s="458"/>
      <c r="AJ142" s="458"/>
      <c r="AK142" s="458"/>
      <c r="AL142" s="458"/>
      <c r="AM142" s="458"/>
      <c r="AN142" s="458"/>
      <c r="AO142" s="458"/>
    </row>
    <row r="143" spans="1:41" ht="72" customHeight="1" thickBot="1">
      <c r="A143" s="1024" t="s">
        <v>1113</v>
      </c>
      <c r="B143" s="1025"/>
      <c r="C143" s="1025"/>
      <c r="D143" s="1025"/>
      <c r="E143" s="1025"/>
      <c r="F143" s="1025"/>
      <c r="G143" s="1025"/>
      <c r="H143" s="1025"/>
      <c r="I143" s="1025"/>
      <c r="J143" s="1025"/>
      <c r="K143" s="1025"/>
      <c r="L143" s="1025"/>
      <c r="M143" s="1026"/>
      <c r="N143" s="1484"/>
      <c r="O143" s="1485"/>
      <c r="P143" s="1485"/>
      <c r="Q143" s="1485"/>
      <c r="R143" s="1485"/>
      <c r="S143" s="1485"/>
      <c r="T143" s="1485"/>
      <c r="U143" s="1485"/>
      <c r="V143" s="1485"/>
      <c r="W143" s="1485"/>
      <c r="X143" s="1485"/>
      <c r="Y143" s="1485"/>
      <c r="Z143" s="1486"/>
      <c r="AA143" s="458"/>
      <c r="AB143" s="458"/>
      <c r="AC143" s="458"/>
      <c r="AD143" s="458"/>
      <c r="AE143" s="458"/>
      <c r="AF143" s="458"/>
      <c r="AG143" s="458"/>
      <c r="AH143" s="458"/>
      <c r="AI143" s="458"/>
      <c r="AJ143" s="458"/>
      <c r="AK143" s="458"/>
      <c r="AL143" s="458"/>
      <c r="AM143" s="458"/>
      <c r="AN143" s="458"/>
      <c r="AO143" s="458"/>
    </row>
    <row r="144" spans="1:41" ht="34.950000000000003" customHeight="1">
      <c r="A144" s="1229" t="s">
        <v>801</v>
      </c>
      <c r="B144" s="1659"/>
      <c r="C144" s="1659"/>
      <c r="D144" s="1659"/>
      <c r="E144" s="1659"/>
      <c r="F144" s="1659"/>
      <c r="G144" s="1659"/>
      <c r="H144" s="1659"/>
      <c r="I144" s="1659"/>
      <c r="J144" s="1659"/>
      <c r="K144" s="1659"/>
      <c r="L144" s="1659"/>
      <c r="M144" s="1660"/>
      <c r="N144" s="1438" t="s">
        <v>752</v>
      </c>
      <c r="O144" s="1439"/>
      <c r="P144" s="1439"/>
      <c r="Q144" s="1439"/>
      <c r="R144" s="1439"/>
      <c r="S144" s="1439"/>
      <c r="T144" s="1439"/>
      <c r="U144" s="1439"/>
      <c r="V144" s="1439"/>
      <c r="W144" s="1439"/>
      <c r="X144" s="1439"/>
      <c r="Y144" s="1439"/>
      <c r="Z144" s="1440"/>
      <c r="AA144" s="458"/>
      <c r="AB144" s="458"/>
      <c r="AC144" s="458"/>
      <c r="AD144" s="458"/>
      <c r="AE144" s="458"/>
      <c r="AF144" s="458"/>
      <c r="AG144" s="458"/>
      <c r="AH144" s="458"/>
      <c r="AI144" s="458"/>
      <c r="AJ144" s="458"/>
      <c r="AK144" s="458"/>
      <c r="AL144" s="458"/>
      <c r="AM144" s="458"/>
      <c r="AN144" s="458"/>
      <c r="AO144" s="458"/>
    </row>
    <row r="145" spans="1:41" ht="34.049999999999997" customHeight="1">
      <c r="A145" s="1021" t="s">
        <v>1114</v>
      </c>
      <c r="B145" s="1022"/>
      <c r="C145" s="1022"/>
      <c r="D145" s="1022"/>
      <c r="E145" s="1022"/>
      <c r="F145" s="1022"/>
      <c r="G145" s="1022"/>
      <c r="H145" s="1022"/>
      <c r="I145" s="1022"/>
      <c r="J145" s="1022"/>
      <c r="K145" s="1022"/>
      <c r="L145" s="1022"/>
      <c r="M145" s="1023"/>
      <c r="N145" s="1481" t="s">
        <v>796</v>
      </c>
      <c r="O145" s="1482"/>
      <c r="P145" s="1482"/>
      <c r="Q145" s="1482"/>
      <c r="R145" s="1482"/>
      <c r="S145" s="1482"/>
      <c r="T145" s="1482"/>
      <c r="U145" s="1482"/>
      <c r="V145" s="1482"/>
      <c r="W145" s="1482"/>
      <c r="X145" s="1482"/>
      <c r="Y145" s="1482"/>
      <c r="Z145" s="1483"/>
      <c r="AA145" s="458"/>
      <c r="AB145" s="458"/>
      <c r="AC145" s="458"/>
      <c r="AD145" s="458"/>
      <c r="AE145" s="458"/>
      <c r="AF145" s="458"/>
      <c r="AG145" s="458"/>
      <c r="AH145" s="458"/>
      <c r="AI145" s="458"/>
      <c r="AJ145" s="458"/>
      <c r="AK145" s="458"/>
      <c r="AL145" s="458"/>
      <c r="AM145" s="458"/>
      <c r="AN145" s="458"/>
      <c r="AO145" s="458"/>
    </row>
    <row r="146" spans="1:41" ht="78.45" customHeight="1" thickBot="1">
      <c r="A146" s="1024" t="s">
        <v>1115</v>
      </c>
      <c r="B146" s="1025"/>
      <c r="C146" s="1025"/>
      <c r="D146" s="1025"/>
      <c r="E146" s="1025"/>
      <c r="F146" s="1025"/>
      <c r="G146" s="1025"/>
      <c r="H146" s="1025"/>
      <c r="I146" s="1025"/>
      <c r="J146" s="1025"/>
      <c r="K146" s="1025"/>
      <c r="L146" s="1025"/>
      <c r="M146" s="1026"/>
      <c r="N146" s="1484"/>
      <c r="O146" s="1485"/>
      <c r="P146" s="1485"/>
      <c r="Q146" s="1485"/>
      <c r="R146" s="1485"/>
      <c r="S146" s="1485"/>
      <c r="T146" s="1485"/>
      <c r="U146" s="1485"/>
      <c r="V146" s="1485"/>
      <c r="W146" s="1485"/>
      <c r="X146" s="1485"/>
      <c r="Y146" s="1485"/>
      <c r="Z146" s="1486"/>
      <c r="AA146" s="458"/>
      <c r="AB146" s="458"/>
      <c r="AC146" s="458"/>
      <c r="AD146" s="458"/>
      <c r="AE146" s="458"/>
      <c r="AF146" s="458"/>
      <c r="AG146" s="458"/>
      <c r="AH146" s="458"/>
      <c r="AI146" s="458"/>
      <c r="AJ146" s="458"/>
      <c r="AK146" s="458"/>
      <c r="AL146" s="458"/>
      <c r="AM146" s="458"/>
      <c r="AN146" s="458"/>
      <c r="AO146" s="458"/>
    </row>
    <row r="147" spans="1:41" ht="31.95" customHeight="1">
      <c r="A147" s="1015" t="s">
        <v>802</v>
      </c>
      <c r="B147" s="1284"/>
      <c r="C147" s="1284"/>
      <c r="D147" s="1284"/>
      <c r="E147" s="1284"/>
      <c r="F147" s="1284"/>
      <c r="G147" s="1284"/>
      <c r="H147" s="1284"/>
      <c r="I147" s="1284"/>
      <c r="J147" s="1284"/>
      <c r="K147" s="1284"/>
      <c r="L147" s="1284"/>
      <c r="M147" s="1285"/>
      <c r="N147" s="1438" t="s">
        <v>752</v>
      </c>
      <c r="O147" s="1439"/>
      <c r="P147" s="1439"/>
      <c r="Q147" s="1439"/>
      <c r="R147" s="1439"/>
      <c r="S147" s="1439"/>
      <c r="T147" s="1439"/>
      <c r="U147" s="1439"/>
      <c r="V147" s="1439"/>
      <c r="W147" s="1439"/>
      <c r="X147" s="1439"/>
      <c r="Y147" s="1439"/>
      <c r="Z147" s="1440"/>
      <c r="AA147" s="458"/>
      <c r="AB147" s="458"/>
      <c r="AC147" s="458"/>
      <c r="AD147" s="458"/>
      <c r="AE147" s="458"/>
      <c r="AF147" s="458"/>
      <c r="AG147" s="458"/>
      <c r="AH147" s="458"/>
      <c r="AI147" s="458"/>
      <c r="AJ147" s="458"/>
      <c r="AK147" s="458"/>
      <c r="AL147" s="458"/>
      <c r="AM147" s="458"/>
      <c r="AN147" s="458"/>
      <c r="AO147" s="458"/>
    </row>
    <row r="148" spans="1:41" ht="18.600000000000001">
      <c r="A148" s="1021" t="s">
        <v>1116</v>
      </c>
      <c r="B148" s="1022"/>
      <c r="C148" s="1022"/>
      <c r="D148" s="1022"/>
      <c r="E148" s="1022"/>
      <c r="F148" s="1022"/>
      <c r="G148" s="1022"/>
      <c r="H148" s="1022"/>
      <c r="I148" s="1022"/>
      <c r="J148" s="1022"/>
      <c r="K148" s="1022"/>
      <c r="L148" s="1022"/>
      <c r="M148" s="1023"/>
      <c r="N148" s="1481"/>
      <c r="O148" s="1482"/>
      <c r="P148" s="1482"/>
      <c r="Q148" s="1482"/>
      <c r="R148" s="1482"/>
      <c r="S148" s="1482"/>
      <c r="T148" s="1482"/>
      <c r="U148" s="1482"/>
      <c r="V148" s="1482"/>
      <c r="W148" s="1482"/>
      <c r="X148" s="1482"/>
      <c r="Y148" s="1482"/>
      <c r="Z148" s="1483"/>
      <c r="AA148" s="458"/>
      <c r="AB148" s="458"/>
      <c r="AC148" s="458"/>
      <c r="AD148" s="458"/>
      <c r="AE148" s="458"/>
      <c r="AF148" s="458"/>
      <c r="AG148" s="458"/>
      <c r="AH148" s="458"/>
      <c r="AI148" s="458"/>
      <c r="AJ148" s="458"/>
      <c r="AK148" s="458"/>
      <c r="AL148" s="458"/>
      <c r="AM148" s="458"/>
      <c r="AN148" s="458"/>
      <c r="AO148" s="458"/>
    </row>
    <row r="149" spans="1:41" ht="73.5" customHeight="1" thickBot="1">
      <c r="A149" s="1024" t="s">
        <v>1117</v>
      </c>
      <c r="B149" s="1025"/>
      <c r="C149" s="1025"/>
      <c r="D149" s="1025"/>
      <c r="E149" s="1025"/>
      <c r="F149" s="1025"/>
      <c r="G149" s="1025"/>
      <c r="H149" s="1025"/>
      <c r="I149" s="1025"/>
      <c r="J149" s="1025"/>
      <c r="K149" s="1025"/>
      <c r="L149" s="1025"/>
      <c r="M149" s="1026"/>
      <c r="N149" s="1484"/>
      <c r="O149" s="1485"/>
      <c r="P149" s="1485"/>
      <c r="Q149" s="1485"/>
      <c r="R149" s="1485"/>
      <c r="S149" s="1485"/>
      <c r="T149" s="1485"/>
      <c r="U149" s="1485"/>
      <c r="V149" s="1485"/>
      <c r="W149" s="1485"/>
      <c r="X149" s="1485"/>
      <c r="Y149" s="1485"/>
      <c r="Z149" s="1486"/>
      <c r="AA149" s="458"/>
      <c r="AB149" s="458"/>
      <c r="AC149" s="458"/>
      <c r="AD149" s="458"/>
      <c r="AE149" s="458"/>
      <c r="AF149" s="458"/>
      <c r="AG149" s="458"/>
      <c r="AH149" s="458"/>
      <c r="AI149" s="458"/>
      <c r="AJ149" s="458"/>
      <c r="AK149" s="458"/>
      <c r="AL149" s="458"/>
      <c r="AM149" s="458"/>
      <c r="AN149" s="458"/>
      <c r="AO149" s="458"/>
    </row>
    <row r="150" spans="1:41" ht="30" customHeight="1">
      <c r="A150" s="1229" t="s">
        <v>803</v>
      </c>
      <c r="B150" s="1659"/>
      <c r="C150" s="1659"/>
      <c r="D150" s="1659"/>
      <c r="E150" s="1659"/>
      <c r="F150" s="1659"/>
      <c r="G150" s="1659"/>
      <c r="H150" s="1659"/>
      <c r="I150" s="1659"/>
      <c r="J150" s="1659"/>
      <c r="K150" s="1659"/>
      <c r="L150" s="1659"/>
      <c r="M150" s="1660"/>
      <c r="N150" s="1438" t="s">
        <v>752</v>
      </c>
      <c r="O150" s="1439"/>
      <c r="P150" s="1439"/>
      <c r="Q150" s="1439"/>
      <c r="R150" s="1439"/>
      <c r="S150" s="1439"/>
      <c r="T150" s="1439"/>
      <c r="U150" s="1439"/>
      <c r="V150" s="1439"/>
      <c r="W150" s="1439"/>
      <c r="X150" s="1439"/>
      <c r="Y150" s="1439"/>
      <c r="Z150" s="1440"/>
      <c r="AA150" s="458"/>
      <c r="AB150" s="458"/>
      <c r="AC150" s="458"/>
      <c r="AD150" s="458"/>
      <c r="AE150" s="458"/>
      <c r="AF150" s="458"/>
      <c r="AG150" s="458"/>
      <c r="AH150" s="458"/>
      <c r="AI150" s="458"/>
      <c r="AJ150" s="458"/>
      <c r="AK150" s="458"/>
      <c r="AL150" s="458"/>
      <c r="AM150" s="458"/>
      <c r="AN150" s="458"/>
      <c r="AO150" s="458"/>
    </row>
    <row r="151" spans="1:41" ht="29.55" customHeight="1">
      <c r="A151" s="1021" t="s">
        <v>1118</v>
      </c>
      <c r="B151" s="1022"/>
      <c r="C151" s="1022"/>
      <c r="D151" s="1022"/>
      <c r="E151" s="1022"/>
      <c r="F151" s="1022"/>
      <c r="G151" s="1022"/>
      <c r="H151" s="1022"/>
      <c r="I151" s="1022"/>
      <c r="J151" s="1022"/>
      <c r="K151" s="1022"/>
      <c r="L151" s="1022"/>
      <c r="M151" s="1023"/>
      <c r="N151" s="1481" t="s">
        <v>796</v>
      </c>
      <c r="O151" s="1482"/>
      <c r="P151" s="1482"/>
      <c r="Q151" s="1482"/>
      <c r="R151" s="1482"/>
      <c r="S151" s="1482"/>
      <c r="T151" s="1482"/>
      <c r="U151" s="1482"/>
      <c r="V151" s="1482"/>
      <c r="W151" s="1482"/>
      <c r="X151" s="1482"/>
      <c r="Y151" s="1482"/>
      <c r="Z151" s="1483"/>
      <c r="AA151" s="458"/>
      <c r="AB151" s="458"/>
      <c r="AC151" s="458"/>
      <c r="AD151" s="458"/>
      <c r="AE151" s="458"/>
      <c r="AF151" s="458"/>
      <c r="AG151" s="458"/>
      <c r="AH151" s="458"/>
      <c r="AI151" s="458"/>
      <c r="AJ151" s="458"/>
      <c r="AK151" s="458"/>
      <c r="AL151" s="458"/>
      <c r="AM151" s="458"/>
      <c r="AN151" s="458"/>
      <c r="AO151" s="458"/>
    </row>
    <row r="152" spans="1:41" ht="72" customHeight="1" thickBot="1">
      <c r="A152" s="1024" t="s">
        <v>1119</v>
      </c>
      <c r="B152" s="1025"/>
      <c r="C152" s="1025"/>
      <c r="D152" s="1025"/>
      <c r="E152" s="1025"/>
      <c r="F152" s="1025"/>
      <c r="G152" s="1025"/>
      <c r="H152" s="1025"/>
      <c r="I152" s="1025"/>
      <c r="J152" s="1025"/>
      <c r="K152" s="1025"/>
      <c r="L152" s="1025"/>
      <c r="M152" s="1026"/>
      <c r="N152" s="1484"/>
      <c r="O152" s="1485"/>
      <c r="P152" s="1485"/>
      <c r="Q152" s="1485"/>
      <c r="R152" s="1485"/>
      <c r="S152" s="1485"/>
      <c r="T152" s="1485"/>
      <c r="U152" s="1485"/>
      <c r="V152" s="1485"/>
      <c r="W152" s="1485"/>
      <c r="X152" s="1485"/>
      <c r="Y152" s="1485"/>
      <c r="Z152" s="1486"/>
      <c r="AA152" s="458"/>
      <c r="AB152" s="458"/>
      <c r="AC152" s="458"/>
      <c r="AD152" s="458"/>
      <c r="AE152" s="458"/>
      <c r="AF152" s="458"/>
      <c r="AG152" s="458"/>
      <c r="AH152" s="458"/>
      <c r="AI152" s="458"/>
      <c r="AJ152" s="458"/>
      <c r="AK152" s="458"/>
      <c r="AL152" s="458"/>
      <c r="AM152" s="458"/>
      <c r="AN152" s="458"/>
      <c r="AO152" s="458"/>
    </row>
    <row r="153" spans="1:41" ht="33" customHeight="1">
      <c r="A153" s="1229" t="s">
        <v>804</v>
      </c>
      <c r="B153" s="1659"/>
      <c r="C153" s="1659"/>
      <c r="D153" s="1659"/>
      <c r="E153" s="1659"/>
      <c r="F153" s="1659"/>
      <c r="G153" s="1659"/>
      <c r="H153" s="1659"/>
      <c r="I153" s="1659"/>
      <c r="J153" s="1659"/>
      <c r="K153" s="1659"/>
      <c r="L153" s="1659"/>
      <c r="M153" s="1660"/>
      <c r="N153" s="1438" t="s">
        <v>752</v>
      </c>
      <c r="O153" s="1439"/>
      <c r="P153" s="1439"/>
      <c r="Q153" s="1439"/>
      <c r="R153" s="1439"/>
      <c r="S153" s="1439"/>
      <c r="T153" s="1439"/>
      <c r="U153" s="1439"/>
      <c r="V153" s="1439"/>
      <c r="W153" s="1439"/>
      <c r="X153" s="1439"/>
      <c r="Y153" s="1439"/>
      <c r="Z153" s="1440"/>
      <c r="AA153" s="458"/>
      <c r="AB153" s="458"/>
      <c r="AC153" s="458"/>
      <c r="AD153" s="458"/>
      <c r="AE153" s="458"/>
      <c r="AF153" s="458"/>
      <c r="AG153" s="458"/>
      <c r="AH153" s="458"/>
      <c r="AI153" s="458"/>
      <c r="AJ153" s="458"/>
      <c r="AK153" s="458"/>
      <c r="AL153" s="458"/>
      <c r="AM153" s="458"/>
      <c r="AN153" s="458"/>
      <c r="AO153" s="458"/>
    </row>
    <row r="154" spans="1:41" ht="36.450000000000003" customHeight="1">
      <c r="A154" s="1021" t="s">
        <v>1120</v>
      </c>
      <c r="B154" s="1022"/>
      <c r="C154" s="1022"/>
      <c r="D154" s="1022"/>
      <c r="E154" s="1022"/>
      <c r="F154" s="1022"/>
      <c r="G154" s="1022"/>
      <c r="H154" s="1022"/>
      <c r="I154" s="1022"/>
      <c r="J154" s="1022"/>
      <c r="K154" s="1022"/>
      <c r="L154" s="1022"/>
      <c r="M154" s="1023"/>
      <c r="N154" s="1481" t="s">
        <v>796</v>
      </c>
      <c r="O154" s="1482"/>
      <c r="P154" s="1482"/>
      <c r="Q154" s="1482"/>
      <c r="R154" s="1482"/>
      <c r="S154" s="1482"/>
      <c r="T154" s="1482"/>
      <c r="U154" s="1482"/>
      <c r="V154" s="1482"/>
      <c r="W154" s="1482"/>
      <c r="X154" s="1482"/>
      <c r="Y154" s="1482"/>
      <c r="Z154" s="1483"/>
      <c r="AA154" s="458"/>
      <c r="AB154" s="458"/>
      <c r="AC154" s="458"/>
      <c r="AD154" s="458"/>
      <c r="AE154" s="458"/>
      <c r="AF154" s="458"/>
      <c r="AG154" s="458"/>
      <c r="AH154" s="458"/>
      <c r="AI154" s="458"/>
      <c r="AJ154" s="458"/>
      <c r="AK154" s="458"/>
      <c r="AL154" s="458"/>
      <c r="AM154" s="458"/>
      <c r="AN154" s="458"/>
      <c r="AO154" s="458"/>
    </row>
    <row r="155" spans="1:41" ht="74.55" customHeight="1" thickBot="1">
      <c r="A155" s="1024" t="s">
        <v>1121</v>
      </c>
      <c r="B155" s="1025"/>
      <c r="C155" s="1025"/>
      <c r="D155" s="1025"/>
      <c r="E155" s="1025"/>
      <c r="F155" s="1025"/>
      <c r="G155" s="1025"/>
      <c r="H155" s="1025"/>
      <c r="I155" s="1025"/>
      <c r="J155" s="1025"/>
      <c r="K155" s="1025"/>
      <c r="L155" s="1025"/>
      <c r="M155" s="1026"/>
      <c r="N155" s="1484"/>
      <c r="O155" s="1485"/>
      <c r="P155" s="1485"/>
      <c r="Q155" s="1485"/>
      <c r="R155" s="1485"/>
      <c r="S155" s="1485"/>
      <c r="T155" s="1485"/>
      <c r="U155" s="1485"/>
      <c r="V155" s="1485"/>
      <c r="W155" s="1485"/>
      <c r="X155" s="1485"/>
      <c r="Y155" s="1485"/>
      <c r="Z155" s="1486"/>
      <c r="AA155" s="458"/>
      <c r="AB155" s="458"/>
      <c r="AC155" s="458"/>
      <c r="AD155" s="458"/>
      <c r="AE155" s="458"/>
      <c r="AF155" s="458"/>
      <c r="AG155" s="458"/>
      <c r="AH155" s="458"/>
      <c r="AI155" s="458"/>
      <c r="AJ155" s="458"/>
      <c r="AK155" s="458"/>
      <c r="AL155" s="458"/>
      <c r="AM155" s="458"/>
      <c r="AN155" s="458"/>
      <c r="AO155" s="458"/>
    </row>
    <row r="156" spans="1:41" ht="33" customHeight="1">
      <c r="A156" s="1229" t="s">
        <v>805</v>
      </c>
      <c r="B156" s="1659"/>
      <c r="C156" s="1659"/>
      <c r="D156" s="1659"/>
      <c r="E156" s="1659"/>
      <c r="F156" s="1659"/>
      <c r="G156" s="1659"/>
      <c r="H156" s="1659"/>
      <c r="I156" s="1659"/>
      <c r="J156" s="1659"/>
      <c r="K156" s="1659"/>
      <c r="L156" s="1659"/>
      <c r="M156" s="1660"/>
      <c r="N156" s="1438" t="s">
        <v>752</v>
      </c>
      <c r="O156" s="1439"/>
      <c r="P156" s="1439"/>
      <c r="Q156" s="1439"/>
      <c r="R156" s="1439"/>
      <c r="S156" s="1439"/>
      <c r="T156" s="1439"/>
      <c r="U156" s="1439"/>
      <c r="V156" s="1439"/>
      <c r="W156" s="1439"/>
      <c r="X156" s="1439"/>
      <c r="Y156" s="1439"/>
      <c r="Z156" s="1440"/>
      <c r="AA156" s="458"/>
      <c r="AB156" s="458"/>
      <c r="AC156" s="458"/>
      <c r="AD156" s="458"/>
      <c r="AE156" s="458"/>
      <c r="AF156" s="458"/>
      <c r="AG156" s="458"/>
      <c r="AH156" s="458"/>
      <c r="AI156" s="458"/>
      <c r="AJ156" s="458"/>
      <c r="AK156" s="458"/>
      <c r="AL156" s="458"/>
      <c r="AM156" s="458"/>
      <c r="AN156" s="458"/>
      <c r="AO156" s="458"/>
    </row>
    <row r="157" spans="1:41" ht="27.45" customHeight="1">
      <c r="A157" s="1021" t="s">
        <v>1122</v>
      </c>
      <c r="B157" s="1022"/>
      <c r="C157" s="1022"/>
      <c r="D157" s="1022"/>
      <c r="E157" s="1022"/>
      <c r="F157" s="1022"/>
      <c r="G157" s="1022"/>
      <c r="H157" s="1022"/>
      <c r="I157" s="1022"/>
      <c r="J157" s="1022"/>
      <c r="K157" s="1022"/>
      <c r="L157" s="1022"/>
      <c r="M157" s="1023"/>
      <c r="N157" s="1481" t="s">
        <v>796</v>
      </c>
      <c r="O157" s="1482"/>
      <c r="P157" s="1482"/>
      <c r="Q157" s="1482"/>
      <c r="R157" s="1482"/>
      <c r="S157" s="1482"/>
      <c r="T157" s="1482"/>
      <c r="U157" s="1482"/>
      <c r="V157" s="1482"/>
      <c r="W157" s="1482"/>
      <c r="X157" s="1482"/>
      <c r="Y157" s="1482"/>
      <c r="Z157" s="1483"/>
      <c r="AA157" s="458"/>
      <c r="AB157" s="458"/>
      <c r="AC157" s="458"/>
      <c r="AD157" s="458"/>
      <c r="AE157" s="458"/>
      <c r="AF157" s="458"/>
      <c r="AG157" s="458"/>
      <c r="AH157" s="458"/>
      <c r="AI157" s="458"/>
      <c r="AJ157" s="458"/>
      <c r="AK157" s="458"/>
      <c r="AL157" s="458"/>
      <c r="AM157" s="458"/>
      <c r="AN157" s="458"/>
      <c r="AO157" s="458"/>
    </row>
    <row r="158" spans="1:41" ht="77.55" customHeight="1" thickBot="1">
      <c r="A158" s="1024" t="s">
        <v>1123</v>
      </c>
      <c r="B158" s="1025"/>
      <c r="C158" s="1025"/>
      <c r="D158" s="1025"/>
      <c r="E158" s="1025"/>
      <c r="F158" s="1025"/>
      <c r="G158" s="1025"/>
      <c r="H158" s="1025"/>
      <c r="I158" s="1025"/>
      <c r="J158" s="1025"/>
      <c r="K158" s="1025"/>
      <c r="L158" s="1025"/>
      <c r="M158" s="1026"/>
      <c r="N158" s="1484"/>
      <c r="O158" s="1485"/>
      <c r="P158" s="1485"/>
      <c r="Q158" s="1485"/>
      <c r="R158" s="1485"/>
      <c r="S158" s="1485"/>
      <c r="T158" s="1485"/>
      <c r="U158" s="1485"/>
      <c r="V158" s="1485"/>
      <c r="W158" s="1485"/>
      <c r="X158" s="1485"/>
      <c r="Y158" s="1485"/>
      <c r="Z158" s="1486"/>
      <c r="AA158" s="458"/>
      <c r="AB158" s="458"/>
      <c r="AC158" s="458"/>
      <c r="AD158" s="458"/>
      <c r="AE158" s="458"/>
      <c r="AF158" s="458"/>
      <c r="AG158" s="458"/>
      <c r="AH158" s="458"/>
      <c r="AI158" s="458"/>
      <c r="AJ158" s="458"/>
      <c r="AK158" s="458"/>
      <c r="AL158" s="458"/>
      <c r="AM158" s="458"/>
      <c r="AN158" s="458"/>
      <c r="AO158" s="458"/>
    </row>
    <row r="159" spans="1:41" ht="39.450000000000003" customHeight="1">
      <c r="A159" s="1229" t="s">
        <v>806</v>
      </c>
      <c r="B159" s="1659"/>
      <c r="C159" s="1659"/>
      <c r="D159" s="1659"/>
      <c r="E159" s="1659"/>
      <c r="F159" s="1659"/>
      <c r="G159" s="1659"/>
      <c r="H159" s="1659"/>
      <c r="I159" s="1659"/>
      <c r="J159" s="1659"/>
      <c r="K159" s="1659"/>
      <c r="L159" s="1659"/>
      <c r="M159" s="1660"/>
      <c r="N159" s="1438" t="s">
        <v>752</v>
      </c>
      <c r="O159" s="1439"/>
      <c r="P159" s="1439"/>
      <c r="Q159" s="1439"/>
      <c r="R159" s="1439"/>
      <c r="S159" s="1439"/>
      <c r="T159" s="1439"/>
      <c r="U159" s="1439"/>
      <c r="V159" s="1439"/>
      <c r="W159" s="1439"/>
      <c r="X159" s="1439"/>
      <c r="Y159" s="1439"/>
      <c r="Z159" s="1440"/>
      <c r="AA159" s="458"/>
      <c r="AB159" s="458"/>
      <c r="AC159" s="458"/>
      <c r="AD159" s="458"/>
      <c r="AE159" s="458"/>
      <c r="AF159" s="458"/>
      <c r="AG159" s="458"/>
      <c r="AH159" s="458"/>
      <c r="AI159" s="458"/>
      <c r="AJ159" s="458"/>
      <c r="AK159" s="458"/>
      <c r="AL159" s="458"/>
      <c r="AM159" s="458"/>
      <c r="AN159" s="458"/>
      <c r="AO159" s="458"/>
    </row>
    <row r="160" spans="1:41" ht="38.549999999999997" customHeight="1">
      <c r="A160" s="1021" t="s">
        <v>1106</v>
      </c>
      <c r="B160" s="1022"/>
      <c r="C160" s="1022"/>
      <c r="D160" s="1022"/>
      <c r="E160" s="1022"/>
      <c r="F160" s="1022"/>
      <c r="G160" s="1022"/>
      <c r="H160" s="1022"/>
      <c r="I160" s="1022"/>
      <c r="J160" s="1022"/>
      <c r="K160" s="1022"/>
      <c r="L160" s="1022"/>
      <c r="M160" s="1023"/>
      <c r="N160" s="1481" t="s">
        <v>796</v>
      </c>
      <c r="O160" s="1482"/>
      <c r="P160" s="1482"/>
      <c r="Q160" s="1482"/>
      <c r="R160" s="1482"/>
      <c r="S160" s="1482"/>
      <c r="T160" s="1482"/>
      <c r="U160" s="1482"/>
      <c r="V160" s="1482"/>
      <c r="W160" s="1482"/>
      <c r="X160" s="1482"/>
      <c r="Y160" s="1482"/>
      <c r="Z160" s="1483"/>
      <c r="AA160" s="458"/>
      <c r="AB160" s="458"/>
      <c r="AC160" s="458"/>
      <c r="AD160" s="458"/>
      <c r="AE160" s="458"/>
      <c r="AF160" s="458"/>
      <c r="AG160" s="458"/>
      <c r="AH160" s="458"/>
      <c r="AI160" s="458"/>
      <c r="AJ160" s="458"/>
      <c r="AK160" s="458"/>
      <c r="AL160" s="458"/>
      <c r="AM160" s="458"/>
      <c r="AN160" s="458"/>
      <c r="AO160" s="458"/>
    </row>
    <row r="161" spans="1:41" ht="77.55" customHeight="1" thickBot="1">
      <c r="A161" s="1024" t="s">
        <v>1124</v>
      </c>
      <c r="B161" s="1025"/>
      <c r="C161" s="1025"/>
      <c r="D161" s="1025"/>
      <c r="E161" s="1025"/>
      <c r="F161" s="1025"/>
      <c r="G161" s="1025"/>
      <c r="H161" s="1025"/>
      <c r="I161" s="1025"/>
      <c r="J161" s="1025"/>
      <c r="K161" s="1025"/>
      <c r="L161" s="1025"/>
      <c r="M161" s="1026"/>
      <c r="N161" s="1484"/>
      <c r="O161" s="1485"/>
      <c r="P161" s="1485"/>
      <c r="Q161" s="1485"/>
      <c r="R161" s="1485"/>
      <c r="S161" s="1485"/>
      <c r="T161" s="1485"/>
      <c r="U161" s="1485"/>
      <c r="V161" s="1485"/>
      <c r="W161" s="1485"/>
      <c r="X161" s="1485"/>
      <c r="Y161" s="1485"/>
      <c r="Z161" s="1486"/>
      <c r="AA161" s="458"/>
      <c r="AB161" s="458"/>
      <c r="AC161" s="458"/>
      <c r="AD161" s="458"/>
      <c r="AE161" s="458"/>
      <c r="AF161" s="458"/>
      <c r="AG161" s="458"/>
      <c r="AH161" s="458"/>
      <c r="AI161" s="458"/>
      <c r="AJ161" s="458"/>
      <c r="AK161" s="458"/>
      <c r="AL161" s="458"/>
      <c r="AM161" s="458"/>
      <c r="AN161" s="458"/>
      <c r="AO161" s="458"/>
    </row>
    <row r="162" spans="1:41" ht="35.549999999999997" customHeight="1">
      <c r="A162" s="1229" t="s">
        <v>808</v>
      </c>
      <c r="B162" s="1659"/>
      <c r="C162" s="1659"/>
      <c r="D162" s="1659"/>
      <c r="E162" s="1659"/>
      <c r="F162" s="1659"/>
      <c r="G162" s="1659"/>
      <c r="H162" s="1659"/>
      <c r="I162" s="1659"/>
      <c r="J162" s="1659"/>
      <c r="K162" s="1659"/>
      <c r="L162" s="1659"/>
      <c r="M162" s="1660"/>
      <c r="N162" s="1438" t="s">
        <v>752</v>
      </c>
      <c r="O162" s="1439"/>
      <c r="P162" s="1439"/>
      <c r="Q162" s="1439"/>
      <c r="R162" s="1439"/>
      <c r="S162" s="1439"/>
      <c r="T162" s="1439"/>
      <c r="U162" s="1439"/>
      <c r="V162" s="1439"/>
      <c r="W162" s="1439"/>
      <c r="X162" s="1439"/>
      <c r="Y162" s="1439"/>
      <c r="Z162" s="1440"/>
      <c r="AA162" s="458"/>
      <c r="AB162" s="458"/>
      <c r="AC162" s="458"/>
      <c r="AD162" s="458"/>
      <c r="AE162" s="458"/>
      <c r="AF162" s="458"/>
      <c r="AG162" s="458"/>
      <c r="AH162" s="458"/>
      <c r="AI162" s="458"/>
      <c r="AJ162" s="458"/>
      <c r="AK162" s="458"/>
      <c r="AL162" s="458"/>
      <c r="AM162" s="458"/>
      <c r="AN162" s="458"/>
      <c r="AO162" s="458"/>
    </row>
    <row r="163" spans="1:41" ht="35.549999999999997" customHeight="1">
      <c r="A163" s="1021" t="s">
        <v>1125</v>
      </c>
      <c r="B163" s="1022"/>
      <c r="C163" s="1022"/>
      <c r="D163" s="1022"/>
      <c r="E163" s="1022"/>
      <c r="F163" s="1022"/>
      <c r="G163" s="1022"/>
      <c r="H163" s="1022"/>
      <c r="I163" s="1022"/>
      <c r="J163" s="1022"/>
      <c r="K163" s="1022"/>
      <c r="L163" s="1022"/>
      <c r="M163" s="1023"/>
      <c r="N163" s="1481" t="s">
        <v>796</v>
      </c>
      <c r="O163" s="1482"/>
      <c r="P163" s="1482"/>
      <c r="Q163" s="1482"/>
      <c r="R163" s="1482"/>
      <c r="S163" s="1482"/>
      <c r="T163" s="1482"/>
      <c r="U163" s="1482"/>
      <c r="V163" s="1482"/>
      <c r="W163" s="1482"/>
      <c r="X163" s="1482"/>
      <c r="Y163" s="1482"/>
      <c r="Z163" s="1483"/>
      <c r="AA163" s="458"/>
      <c r="AB163" s="458"/>
      <c r="AC163" s="458"/>
      <c r="AD163" s="458"/>
      <c r="AE163" s="458"/>
      <c r="AF163" s="458"/>
      <c r="AG163" s="458"/>
      <c r="AH163" s="458"/>
      <c r="AI163" s="458"/>
      <c r="AJ163" s="458"/>
      <c r="AK163" s="458"/>
      <c r="AL163" s="458"/>
      <c r="AM163" s="458"/>
      <c r="AN163" s="458"/>
      <c r="AO163" s="458"/>
    </row>
    <row r="164" spans="1:41" ht="73.05" customHeight="1" thickBot="1">
      <c r="A164" s="1024" t="s">
        <v>1126</v>
      </c>
      <c r="B164" s="1025"/>
      <c r="C164" s="1025"/>
      <c r="D164" s="1025"/>
      <c r="E164" s="1025"/>
      <c r="F164" s="1025"/>
      <c r="G164" s="1025"/>
      <c r="H164" s="1025"/>
      <c r="I164" s="1025"/>
      <c r="J164" s="1025"/>
      <c r="K164" s="1025"/>
      <c r="L164" s="1025"/>
      <c r="M164" s="1026"/>
      <c r="N164" s="1484"/>
      <c r="O164" s="1485"/>
      <c r="P164" s="1485"/>
      <c r="Q164" s="1485"/>
      <c r="R164" s="1485"/>
      <c r="S164" s="1485"/>
      <c r="T164" s="1485"/>
      <c r="U164" s="1485"/>
      <c r="V164" s="1485"/>
      <c r="W164" s="1485"/>
      <c r="X164" s="1485"/>
      <c r="Y164" s="1485"/>
      <c r="Z164" s="1486"/>
      <c r="AA164" s="458"/>
      <c r="AB164" s="458"/>
      <c r="AC164" s="458"/>
      <c r="AD164" s="458"/>
      <c r="AE164" s="458"/>
      <c r="AF164" s="458"/>
      <c r="AG164" s="458"/>
      <c r="AH164" s="458"/>
      <c r="AI164" s="458"/>
      <c r="AJ164" s="458"/>
      <c r="AK164" s="458"/>
      <c r="AL164" s="458"/>
      <c r="AM164" s="458"/>
      <c r="AN164" s="458"/>
      <c r="AO164" s="458"/>
    </row>
    <row r="165" spans="1:41" ht="34.950000000000003" customHeight="1">
      <c r="A165" s="1015" t="s">
        <v>809</v>
      </c>
      <c r="B165" s="1284"/>
      <c r="C165" s="1284"/>
      <c r="D165" s="1284"/>
      <c r="E165" s="1284"/>
      <c r="F165" s="1284"/>
      <c r="G165" s="1284"/>
      <c r="H165" s="1284"/>
      <c r="I165" s="1284"/>
      <c r="J165" s="1284"/>
      <c r="K165" s="1284"/>
      <c r="L165" s="1284"/>
      <c r="M165" s="1285"/>
      <c r="N165" s="1438" t="s">
        <v>752</v>
      </c>
      <c r="O165" s="1439"/>
      <c r="P165" s="1439"/>
      <c r="Q165" s="1439"/>
      <c r="R165" s="1439"/>
      <c r="S165" s="1439"/>
      <c r="T165" s="1439"/>
      <c r="U165" s="1439"/>
      <c r="V165" s="1439"/>
      <c r="W165" s="1439"/>
      <c r="X165" s="1439"/>
      <c r="Y165" s="1439"/>
      <c r="Z165" s="1440"/>
      <c r="AA165" s="458"/>
      <c r="AB165" s="458"/>
      <c r="AC165" s="458"/>
      <c r="AD165" s="458"/>
      <c r="AE165" s="458"/>
      <c r="AF165" s="458"/>
      <c r="AG165" s="458"/>
      <c r="AH165" s="458"/>
      <c r="AI165" s="458"/>
      <c r="AJ165" s="458"/>
      <c r="AK165" s="458"/>
      <c r="AL165" s="458"/>
      <c r="AM165" s="458"/>
      <c r="AN165" s="458"/>
      <c r="AO165" s="458"/>
    </row>
    <row r="166" spans="1:41" ht="49.5" customHeight="1">
      <c r="A166" s="1021" t="s">
        <v>1127</v>
      </c>
      <c r="B166" s="1022"/>
      <c r="C166" s="1022"/>
      <c r="D166" s="1022"/>
      <c r="E166" s="1022"/>
      <c r="F166" s="1022"/>
      <c r="G166" s="1022"/>
      <c r="H166" s="1022"/>
      <c r="I166" s="1022"/>
      <c r="J166" s="1022"/>
      <c r="K166" s="1022"/>
      <c r="L166" s="1022"/>
      <c r="M166" s="1023"/>
      <c r="N166" s="1481" t="s">
        <v>796</v>
      </c>
      <c r="O166" s="1482"/>
      <c r="P166" s="1482"/>
      <c r="Q166" s="1482"/>
      <c r="R166" s="1482"/>
      <c r="S166" s="1482"/>
      <c r="T166" s="1482"/>
      <c r="U166" s="1482"/>
      <c r="V166" s="1482"/>
      <c r="W166" s="1482"/>
      <c r="X166" s="1482"/>
      <c r="Y166" s="1482"/>
      <c r="Z166" s="1483"/>
      <c r="AA166" s="458"/>
      <c r="AB166" s="458"/>
      <c r="AC166" s="458"/>
      <c r="AD166" s="458"/>
      <c r="AE166" s="458"/>
      <c r="AF166" s="458"/>
      <c r="AG166" s="458"/>
      <c r="AH166" s="458"/>
      <c r="AI166" s="458"/>
      <c r="AJ166" s="458"/>
      <c r="AK166" s="458"/>
      <c r="AL166" s="458"/>
      <c r="AM166" s="458"/>
      <c r="AN166" s="458"/>
      <c r="AO166" s="458"/>
    </row>
    <row r="167" spans="1:41" ht="77.55" customHeight="1" thickBot="1">
      <c r="A167" s="1024" t="s">
        <v>1128</v>
      </c>
      <c r="B167" s="1025"/>
      <c r="C167" s="1025"/>
      <c r="D167" s="1025"/>
      <c r="E167" s="1025"/>
      <c r="F167" s="1025"/>
      <c r="G167" s="1025"/>
      <c r="H167" s="1025"/>
      <c r="I167" s="1025"/>
      <c r="J167" s="1025"/>
      <c r="K167" s="1025"/>
      <c r="L167" s="1025"/>
      <c r="M167" s="1026"/>
      <c r="N167" s="1484"/>
      <c r="O167" s="1485"/>
      <c r="P167" s="1485"/>
      <c r="Q167" s="1485"/>
      <c r="R167" s="1485"/>
      <c r="S167" s="1485"/>
      <c r="T167" s="1485"/>
      <c r="U167" s="1485"/>
      <c r="V167" s="1485"/>
      <c r="W167" s="1485"/>
      <c r="X167" s="1485"/>
      <c r="Y167" s="1485"/>
      <c r="Z167" s="1486"/>
      <c r="AA167" s="458"/>
      <c r="AB167" s="458"/>
      <c r="AC167" s="458"/>
      <c r="AD167" s="458"/>
      <c r="AE167" s="458"/>
      <c r="AF167" s="458"/>
      <c r="AG167" s="458"/>
      <c r="AH167" s="458"/>
      <c r="AI167" s="458"/>
      <c r="AJ167" s="458"/>
      <c r="AK167" s="458"/>
      <c r="AL167" s="458"/>
      <c r="AM167" s="458"/>
      <c r="AN167" s="458"/>
      <c r="AO167" s="458"/>
    </row>
    <row r="168" spans="1:41" ht="40.049999999999997" customHeight="1">
      <c r="A168" s="1015" t="s">
        <v>810</v>
      </c>
      <c r="B168" s="1284"/>
      <c r="C168" s="1284"/>
      <c r="D168" s="1284"/>
      <c r="E168" s="1284"/>
      <c r="F168" s="1284"/>
      <c r="G168" s="1284"/>
      <c r="H168" s="1284"/>
      <c r="I168" s="1284"/>
      <c r="J168" s="1284"/>
      <c r="K168" s="1284"/>
      <c r="L168" s="1284"/>
      <c r="M168" s="1285"/>
      <c r="N168" s="1438" t="s">
        <v>752</v>
      </c>
      <c r="O168" s="1439"/>
      <c r="P168" s="1439"/>
      <c r="Q168" s="1439"/>
      <c r="R168" s="1439"/>
      <c r="S168" s="1439"/>
      <c r="T168" s="1439"/>
      <c r="U168" s="1439"/>
      <c r="V168" s="1439"/>
      <c r="W168" s="1439"/>
      <c r="X168" s="1439"/>
      <c r="Y168" s="1439"/>
      <c r="Z168" s="1440"/>
      <c r="AA168" s="458"/>
      <c r="AB168" s="458"/>
      <c r="AC168" s="458"/>
      <c r="AD168" s="458"/>
      <c r="AE168" s="458"/>
      <c r="AF168" s="458"/>
      <c r="AG168" s="458"/>
      <c r="AH168" s="458"/>
      <c r="AI168" s="458"/>
      <c r="AJ168" s="458"/>
      <c r="AK168" s="458"/>
      <c r="AL168" s="458"/>
      <c r="AM168" s="458"/>
      <c r="AN168" s="458"/>
      <c r="AO168" s="458"/>
    </row>
    <row r="169" spans="1:41" ht="52.05" customHeight="1">
      <c r="A169" s="1021" t="s">
        <v>1139</v>
      </c>
      <c r="B169" s="1022"/>
      <c r="C169" s="1022"/>
      <c r="D169" s="1022"/>
      <c r="E169" s="1022"/>
      <c r="F169" s="1022"/>
      <c r="G169" s="1022"/>
      <c r="H169" s="1022"/>
      <c r="I169" s="1022"/>
      <c r="J169" s="1022"/>
      <c r="K169" s="1022"/>
      <c r="L169" s="1022"/>
      <c r="M169" s="1023"/>
      <c r="N169" s="1481" t="s">
        <v>796</v>
      </c>
      <c r="O169" s="1482"/>
      <c r="P169" s="1482"/>
      <c r="Q169" s="1482"/>
      <c r="R169" s="1482"/>
      <c r="S169" s="1482"/>
      <c r="T169" s="1482"/>
      <c r="U169" s="1482"/>
      <c r="V169" s="1482"/>
      <c r="W169" s="1482"/>
      <c r="X169" s="1482"/>
      <c r="Y169" s="1482"/>
      <c r="Z169" s="1483"/>
      <c r="AA169" s="458"/>
      <c r="AB169" s="458"/>
      <c r="AC169" s="458"/>
      <c r="AD169" s="458"/>
      <c r="AE169" s="458"/>
      <c r="AF169" s="458"/>
      <c r="AG169" s="458"/>
      <c r="AH169" s="458"/>
      <c r="AI169" s="458"/>
      <c r="AJ169" s="458"/>
      <c r="AK169" s="458"/>
      <c r="AL169" s="458"/>
      <c r="AM169" s="458"/>
      <c r="AN169" s="458"/>
      <c r="AO169" s="458"/>
    </row>
    <row r="170" spans="1:41" ht="78.45" customHeight="1" thickBot="1">
      <c r="A170" s="1024" t="s">
        <v>1129</v>
      </c>
      <c r="B170" s="1025"/>
      <c r="C170" s="1025"/>
      <c r="D170" s="1025"/>
      <c r="E170" s="1025"/>
      <c r="F170" s="1025"/>
      <c r="G170" s="1025"/>
      <c r="H170" s="1025"/>
      <c r="I170" s="1025"/>
      <c r="J170" s="1025"/>
      <c r="K170" s="1025"/>
      <c r="L170" s="1025"/>
      <c r="M170" s="1026"/>
      <c r="N170" s="1484"/>
      <c r="O170" s="1485"/>
      <c r="P170" s="1485"/>
      <c r="Q170" s="1485"/>
      <c r="R170" s="1485"/>
      <c r="S170" s="1485"/>
      <c r="T170" s="1485"/>
      <c r="U170" s="1485"/>
      <c r="V170" s="1485"/>
      <c r="W170" s="1485"/>
      <c r="X170" s="1485"/>
      <c r="Y170" s="1485"/>
      <c r="Z170" s="1486"/>
      <c r="AA170" s="458"/>
      <c r="AB170" s="458"/>
      <c r="AC170" s="458"/>
      <c r="AD170" s="458"/>
      <c r="AE170" s="458"/>
      <c r="AF170" s="458"/>
      <c r="AG170" s="458"/>
      <c r="AH170" s="458"/>
      <c r="AI170" s="458"/>
      <c r="AJ170" s="458"/>
      <c r="AK170" s="458"/>
      <c r="AL170" s="458"/>
      <c r="AM170" s="458"/>
      <c r="AN170" s="458"/>
      <c r="AO170" s="458"/>
    </row>
  </sheetData>
  <sheetProtection password="9F15" sheet="1" objects="1" scenarios="1"/>
  <mergeCells count="757">
    <mergeCell ref="AC29:AD29"/>
    <mergeCell ref="AC37:AD37"/>
    <mergeCell ref="AB38:AP38"/>
    <mergeCell ref="AN37:AO37"/>
    <mergeCell ref="AC34:AI34"/>
    <mergeCell ref="AC35:AD36"/>
    <mergeCell ref="AE35:AI35"/>
    <mergeCell ref="AP34:AP37"/>
    <mergeCell ref="AB33:AP33"/>
    <mergeCell ref="AJ34:AO34"/>
    <mergeCell ref="AN35:AO35"/>
    <mergeCell ref="AN36:AO36"/>
    <mergeCell ref="AR36:AV36"/>
    <mergeCell ref="AX36:BB36"/>
    <mergeCell ref="AR24:AV24"/>
    <mergeCell ref="AX24:BB24"/>
    <mergeCell ref="AP22:AP25"/>
    <mergeCell ref="AR25:AU25"/>
    <mergeCell ref="AX25:BA25"/>
    <mergeCell ref="AB32:AP32"/>
    <mergeCell ref="AB26:AP26"/>
    <mergeCell ref="AG25:AJ25"/>
    <mergeCell ref="AG23:AJ24"/>
    <mergeCell ref="AK25:AN25"/>
    <mergeCell ref="AB22:AB25"/>
    <mergeCell ref="AE29:AF29"/>
    <mergeCell ref="AG29:AI29"/>
    <mergeCell ref="AC30:AD30"/>
    <mergeCell ref="AE30:AF30"/>
    <mergeCell ref="AG30:AI30"/>
    <mergeCell ref="AC27:AD27"/>
    <mergeCell ref="AE27:AF27"/>
    <mergeCell ref="AG27:AI27"/>
    <mergeCell ref="AC28:AD28"/>
    <mergeCell ref="AE28:AF28"/>
    <mergeCell ref="AG28:AI28"/>
    <mergeCell ref="AC10:AD10"/>
    <mergeCell ref="AF10:AJ10"/>
    <mergeCell ref="AB21:AP21"/>
    <mergeCell ref="AC22:AJ22"/>
    <mergeCell ref="AK22:AO22"/>
    <mergeCell ref="AC23:AD24"/>
    <mergeCell ref="AE23:AF24"/>
    <mergeCell ref="AC25:AD25"/>
    <mergeCell ref="AE25:AF25"/>
    <mergeCell ref="AB20:AP20"/>
    <mergeCell ref="AB2:AP2"/>
    <mergeCell ref="AC6:AD6"/>
    <mergeCell ref="AF6:AJ6"/>
    <mergeCell ref="AC7:AD7"/>
    <mergeCell ref="AF7:AJ7"/>
    <mergeCell ref="AC8:AD8"/>
    <mergeCell ref="AF8:AJ8"/>
    <mergeCell ref="AC9:AD9"/>
    <mergeCell ref="AF9:AJ9"/>
    <mergeCell ref="Z40:Z48"/>
    <mergeCell ref="Z51:Z54"/>
    <mergeCell ref="Z57:Z60"/>
    <mergeCell ref="Z63:Z66"/>
    <mergeCell ref="Z69:Z72"/>
    <mergeCell ref="A69:A72"/>
    <mergeCell ref="A63:A66"/>
    <mergeCell ref="A57:A60"/>
    <mergeCell ref="C40:C42"/>
    <mergeCell ref="H45:I45"/>
    <mergeCell ref="J45:K45"/>
    <mergeCell ref="P41:P42"/>
    <mergeCell ref="Q41:Q42"/>
    <mergeCell ref="U43:X48"/>
    <mergeCell ref="U41:U42"/>
    <mergeCell ref="V41:V42"/>
    <mergeCell ref="L41:L42"/>
    <mergeCell ref="F43:G43"/>
    <mergeCell ref="H43:I43"/>
    <mergeCell ref="J43:K43"/>
    <mergeCell ref="S52:S53"/>
    <mergeCell ref="U52:U53"/>
    <mergeCell ref="W52:W53"/>
    <mergeCell ref="X52:X53"/>
    <mergeCell ref="A126:M126"/>
    <mergeCell ref="A127:M127"/>
    <mergeCell ref="E24:G24"/>
    <mergeCell ref="P34:T34"/>
    <mergeCell ref="U34:Y34"/>
    <mergeCell ref="B35:B37"/>
    <mergeCell ref="C35:O35"/>
    <mergeCell ref="C36:O36"/>
    <mergeCell ref="C37:O37"/>
    <mergeCell ref="C34:O34"/>
    <mergeCell ref="B41:B48"/>
    <mergeCell ref="P40:T40"/>
    <mergeCell ref="U40:Y40"/>
    <mergeCell ref="R41:R42"/>
    <mergeCell ref="S41:S42"/>
    <mergeCell ref="P43:S48"/>
    <mergeCell ref="F41:G41"/>
    <mergeCell ref="F42:G42"/>
    <mergeCell ref="H41:I41"/>
    <mergeCell ref="H42:I42"/>
    <mergeCell ref="F44:G44"/>
    <mergeCell ref="H44:I44"/>
    <mergeCell ref="J44:K44"/>
    <mergeCell ref="F45:G45"/>
    <mergeCell ref="F48:G48"/>
    <mergeCell ref="H48:I48"/>
    <mergeCell ref="J48:K48"/>
    <mergeCell ref="F46:G46"/>
    <mergeCell ref="H46:I46"/>
    <mergeCell ref="J46:K46"/>
    <mergeCell ref="F47:G47"/>
    <mergeCell ref="H47:I47"/>
    <mergeCell ref="J47:K47"/>
    <mergeCell ref="A40:A48"/>
    <mergeCell ref="P57:T57"/>
    <mergeCell ref="U57:Y57"/>
    <mergeCell ref="C57:G57"/>
    <mergeCell ref="H57:L57"/>
    <mergeCell ref="M57:O57"/>
    <mergeCell ref="C51:O51"/>
    <mergeCell ref="D40:O40"/>
    <mergeCell ref="P54:S54"/>
    <mergeCell ref="U54:X54"/>
    <mergeCell ref="C54:O54"/>
    <mergeCell ref="C52:O52"/>
    <mergeCell ref="C53:O53"/>
    <mergeCell ref="P51:T51"/>
    <mergeCell ref="U51:Y51"/>
    <mergeCell ref="B52:B54"/>
    <mergeCell ref="P52:P53"/>
    <mergeCell ref="Q52:Q53"/>
    <mergeCell ref="V52:V53"/>
    <mergeCell ref="R52:R53"/>
    <mergeCell ref="W41:W42"/>
    <mergeCell ref="X41:X42"/>
    <mergeCell ref="J41:K41"/>
    <mergeCell ref="J42:K42"/>
    <mergeCell ref="C63:O63"/>
    <mergeCell ref="P63:T63"/>
    <mergeCell ref="U63:Y63"/>
    <mergeCell ref="M58:O58"/>
    <mergeCell ref="M59:O59"/>
    <mergeCell ref="M60:O60"/>
    <mergeCell ref="B58:B60"/>
    <mergeCell ref="P58:P59"/>
    <mergeCell ref="Q58:Q59"/>
    <mergeCell ref="C58:G58"/>
    <mergeCell ref="C59:G59"/>
    <mergeCell ref="H58:L59"/>
    <mergeCell ref="H60:L60"/>
    <mergeCell ref="C60:G60"/>
    <mergeCell ref="S58:S59"/>
    <mergeCell ref="U58:U59"/>
    <mergeCell ref="V58:V59"/>
    <mergeCell ref="W58:W59"/>
    <mergeCell ref="X58:X59"/>
    <mergeCell ref="A61:Z61"/>
    <mergeCell ref="P60:Q60"/>
    <mergeCell ref="U60:V60"/>
    <mergeCell ref="B70:B72"/>
    <mergeCell ref="P70:P71"/>
    <mergeCell ref="Q70:Q71"/>
    <mergeCell ref="R70:R71"/>
    <mergeCell ref="P72:S72"/>
    <mergeCell ref="U66:X66"/>
    <mergeCell ref="P69:T69"/>
    <mergeCell ref="U69:Y69"/>
    <mergeCell ref="S64:S65"/>
    <mergeCell ref="U64:U65"/>
    <mergeCell ref="V64:V65"/>
    <mergeCell ref="W64:W65"/>
    <mergeCell ref="X64:X65"/>
    <mergeCell ref="B64:B66"/>
    <mergeCell ref="C64:O64"/>
    <mergeCell ref="P64:P65"/>
    <mergeCell ref="Q64:Q65"/>
    <mergeCell ref="R64:R65"/>
    <mergeCell ref="C65:O65"/>
    <mergeCell ref="C66:O66"/>
    <mergeCell ref="P66:S66"/>
    <mergeCell ref="A67:Z67"/>
    <mergeCell ref="U72:X72"/>
    <mergeCell ref="C69:I69"/>
    <mergeCell ref="C70:I70"/>
    <mergeCell ref="C71:I71"/>
    <mergeCell ref="C72:I72"/>
    <mergeCell ref="J70:O70"/>
    <mergeCell ref="J71:O71"/>
    <mergeCell ref="J69:O69"/>
    <mergeCell ref="J72:O72"/>
    <mergeCell ref="S70:S71"/>
    <mergeCell ref="U70:U71"/>
    <mergeCell ref="V70:V71"/>
    <mergeCell ref="W70:W71"/>
    <mergeCell ref="X70:X71"/>
    <mergeCell ref="B82:B84"/>
    <mergeCell ref="P82:P83"/>
    <mergeCell ref="Q82:Q83"/>
    <mergeCell ref="X88:X89"/>
    <mergeCell ref="P90:S90"/>
    <mergeCell ref="U90:X90"/>
    <mergeCell ref="C89:O89"/>
    <mergeCell ref="C88:O88"/>
    <mergeCell ref="P81:T81"/>
    <mergeCell ref="U81:Y81"/>
    <mergeCell ref="C81:O81"/>
    <mergeCell ref="P87:T87"/>
    <mergeCell ref="U87:Y87"/>
    <mergeCell ref="X82:X83"/>
    <mergeCell ref="P84:S84"/>
    <mergeCell ref="U84:X84"/>
    <mergeCell ref="C82:O82"/>
    <mergeCell ref="C83:O83"/>
    <mergeCell ref="C84:O84"/>
    <mergeCell ref="R82:R83"/>
    <mergeCell ref="S82:S83"/>
    <mergeCell ref="U82:U83"/>
    <mergeCell ref="V82:V83"/>
    <mergeCell ref="W82:W83"/>
    <mergeCell ref="C90:O90"/>
    <mergeCell ref="R88:R89"/>
    <mergeCell ref="S88:S89"/>
    <mergeCell ref="U88:U89"/>
    <mergeCell ref="V88:V89"/>
    <mergeCell ref="W88:W89"/>
    <mergeCell ref="B88:B90"/>
    <mergeCell ref="P88:P89"/>
    <mergeCell ref="Q88:Q89"/>
    <mergeCell ref="B94:B96"/>
    <mergeCell ref="C94:I94"/>
    <mergeCell ref="J94:O94"/>
    <mergeCell ref="P94:P95"/>
    <mergeCell ref="Q94:Q95"/>
    <mergeCell ref="S94:S95"/>
    <mergeCell ref="U94:U95"/>
    <mergeCell ref="V94:V95"/>
    <mergeCell ref="C93:I93"/>
    <mergeCell ref="J93:O93"/>
    <mergeCell ref="P93:T93"/>
    <mergeCell ref="U93:Y93"/>
    <mergeCell ref="C101:I101"/>
    <mergeCell ref="J101:O101"/>
    <mergeCell ref="U99:Y99"/>
    <mergeCell ref="X94:X95"/>
    <mergeCell ref="C95:I95"/>
    <mergeCell ref="J95:O95"/>
    <mergeCell ref="C96:I96"/>
    <mergeCell ref="J96:O96"/>
    <mergeCell ref="P99:T99"/>
    <mergeCell ref="B120:B123"/>
    <mergeCell ref="F123:G123"/>
    <mergeCell ref="Q122:T123"/>
    <mergeCell ref="P119:T119"/>
    <mergeCell ref="U119:Y119"/>
    <mergeCell ref="M116:O116"/>
    <mergeCell ref="V112:V113"/>
    <mergeCell ref="A10:C10"/>
    <mergeCell ref="R106:R107"/>
    <mergeCell ref="V106:V107"/>
    <mergeCell ref="W106:W107"/>
    <mergeCell ref="X106:X107"/>
    <mergeCell ref="Q106:Q107"/>
    <mergeCell ref="U102:V102"/>
    <mergeCell ref="C87:O87"/>
    <mergeCell ref="C105:G105"/>
    <mergeCell ref="H105:L105"/>
    <mergeCell ref="M105:O105"/>
    <mergeCell ref="P105:T105"/>
    <mergeCell ref="U105:Y105"/>
    <mergeCell ref="S100:S101"/>
    <mergeCell ref="U100:U101"/>
    <mergeCell ref="V100:V101"/>
    <mergeCell ref="X100:X101"/>
    <mergeCell ref="C123:E123"/>
    <mergeCell ref="F122:G122"/>
    <mergeCell ref="H122:I122"/>
    <mergeCell ref="H123:I123"/>
    <mergeCell ref="V120:V121"/>
    <mergeCell ref="W120:W121"/>
    <mergeCell ref="X120:X121"/>
    <mergeCell ref="C120:E121"/>
    <mergeCell ref="F120:G120"/>
    <mergeCell ref="F121:G121"/>
    <mergeCell ref="H120:I120"/>
    <mergeCell ref="H121:I121"/>
    <mergeCell ref="J120:O121"/>
    <mergeCell ref="F10:G10"/>
    <mergeCell ref="A11:C11"/>
    <mergeCell ref="F11:G11"/>
    <mergeCell ref="A12:C12"/>
    <mergeCell ref="F12:G12"/>
    <mergeCell ref="F3:I3"/>
    <mergeCell ref="A3:E3"/>
    <mergeCell ref="A4:I4"/>
    <mergeCell ref="A8:C8"/>
    <mergeCell ref="F8:G8"/>
    <mergeCell ref="A5:C5"/>
    <mergeCell ref="A6:C6"/>
    <mergeCell ref="A7:C7"/>
    <mergeCell ref="A9:C9"/>
    <mergeCell ref="F9:G9"/>
    <mergeCell ref="H7:I7"/>
    <mergeCell ref="E7:G7"/>
    <mergeCell ref="F5:G5"/>
    <mergeCell ref="F6:G6"/>
    <mergeCell ref="A119:A123"/>
    <mergeCell ref="A38:Z38"/>
    <mergeCell ref="A49:Z49"/>
    <mergeCell ref="A55:Z55"/>
    <mergeCell ref="A79:Z79"/>
    <mergeCell ref="A85:Z85"/>
    <mergeCell ref="A91:Z91"/>
    <mergeCell ref="A97:Z97"/>
    <mergeCell ref="A103:Z103"/>
    <mergeCell ref="A109:Z109"/>
    <mergeCell ref="A117:Z117"/>
    <mergeCell ref="H116:K116"/>
    <mergeCell ref="R114:R116"/>
    <mergeCell ref="P114:P116"/>
    <mergeCell ref="U114:U116"/>
    <mergeCell ref="W114:W116"/>
    <mergeCell ref="C114:G116"/>
    <mergeCell ref="M115:O115"/>
    <mergeCell ref="H115:K115"/>
    <mergeCell ref="C112:G112"/>
    <mergeCell ref="H112:L113"/>
    <mergeCell ref="M112:O112"/>
    <mergeCell ref="C111:G111"/>
    <mergeCell ref="H111:L111"/>
    <mergeCell ref="H114:K114"/>
    <mergeCell ref="U112:U113"/>
    <mergeCell ref="Z81:Z84"/>
    <mergeCell ref="A81:A84"/>
    <mergeCell ref="A87:A90"/>
    <mergeCell ref="A93:A96"/>
    <mergeCell ref="A99:A102"/>
    <mergeCell ref="M111:O111"/>
    <mergeCell ref="P111:T111"/>
    <mergeCell ref="U111:Y111"/>
    <mergeCell ref="B106:B108"/>
    <mergeCell ref="C106:G106"/>
    <mergeCell ref="H106:L107"/>
    <mergeCell ref="M106:O106"/>
    <mergeCell ref="P106:P107"/>
    <mergeCell ref="C107:G107"/>
    <mergeCell ref="M107:O107"/>
    <mergeCell ref="C108:G108"/>
    <mergeCell ref="H108:L108"/>
    <mergeCell ref="M108:O108"/>
    <mergeCell ref="P108:S108"/>
    <mergeCell ref="S106:S107"/>
    <mergeCell ref="U106:U107"/>
    <mergeCell ref="U108:X108"/>
    <mergeCell ref="A124:Z124"/>
    <mergeCell ref="Z111:Z116"/>
    <mergeCell ref="Z119:Z123"/>
    <mergeCell ref="A111:A116"/>
    <mergeCell ref="A105:A108"/>
    <mergeCell ref="Z99:Z102"/>
    <mergeCell ref="Z105:Z108"/>
    <mergeCell ref="Z93:Z96"/>
    <mergeCell ref="Z87:Z90"/>
    <mergeCell ref="B112:B116"/>
    <mergeCell ref="V122:Y123"/>
    <mergeCell ref="Y120:Y121"/>
    <mergeCell ref="J119:O119"/>
    <mergeCell ref="C119:I119"/>
    <mergeCell ref="J123:O123"/>
    <mergeCell ref="J122:O122"/>
    <mergeCell ref="C122:E122"/>
    <mergeCell ref="W112:W113"/>
    <mergeCell ref="X112:X113"/>
    <mergeCell ref="C113:G113"/>
    <mergeCell ref="A118:Z118"/>
    <mergeCell ref="A110:Z110"/>
    <mergeCell ref="M113:O113"/>
    <mergeCell ref="M114:O114"/>
    <mergeCell ref="A20:Z20"/>
    <mergeCell ref="A21:Z21"/>
    <mergeCell ref="A26:Z26"/>
    <mergeCell ref="Z22:Z25"/>
    <mergeCell ref="Z34:Z37"/>
    <mergeCell ref="P22:T22"/>
    <mergeCell ref="U22:Y22"/>
    <mergeCell ref="C22:D22"/>
    <mergeCell ref="E22:O22"/>
    <mergeCell ref="B23:B25"/>
    <mergeCell ref="P23:T24"/>
    <mergeCell ref="C25:D25"/>
    <mergeCell ref="E25:G25"/>
    <mergeCell ref="U25:X25"/>
    <mergeCell ref="P25:T25"/>
    <mergeCell ref="A34:A37"/>
    <mergeCell ref="A32:Z32"/>
    <mergeCell ref="A33:Z33"/>
    <mergeCell ref="A22:A25"/>
    <mergeCell ref="C23:D23"/>
    <mergeCell ref="C24:D24"/>
    <mergeCell ref="E23:G23"/>
    <mergeCell ref="A132:M132"/>
    <mergeCell ref="A133:M133"/>
    <mergeCell ref="A134:M134"/>
    <mergeCell ref="A136:M136"/>
    <mergeCell ref="A131:M131"/>
    <mergeCell ref="A128:M128"/>
    <mergeCell ref="A129:M129"/>
    <mergeCell ref="A130:M130"/>
    <mergeCell ref="A135:M135"/>
    <mergeCell ref="A104:Z104"/>
    <mergeCell ref="A98:Z98"/>
    <mergeCell ref="A92:Z92"/>
    <mergeCell ref="A86:Z86"/>
    <mergeCell ref="A80:Z80"/>
    <mergeCell ref="A51:A54"/>
    <mergeCell ref="A39:Z39"/>
    <mergeCell ref="A62:Z62"/>
    <mergeCell ref="A68:Z68"/>
    <mergeCell ref="A73:Z73"/>
    <mergeCell ref="A56:Z56"/>
    <mergeCell ref="A50:Z50"/>
    <mergeCell ref="P96:Q96"/>
    <mergeCell ref="U96:V96"/>
    <mergeCell ref="B100:B102"/>
    <mergeCell ref="C100:I100"/>
    <mergeCell ref="J100:O100"/>
    <mergeCell ref="P100:P101"/>
    <mergeCell ref="Q100:Q101"/>
    <mergeCell ref="C102:I102"/>
    <mergeCell ref="J102:O102"/>
    <mergeCell ref="P102:Q102"/>
    <mergeCell ref="C99:I99"/>
    <mergeCell ref="J99:O99"/>
    <mergeCell ref="A145:M145"/>
    <mergeCell ref="A146:M146"/>
    <mergeCell ref="A147:M147"/>
    <mergeCell ref="A148:M148"/>
    <mergeCell ref="A149:M149"/>
    <mergeCell ref="A150:M150"/>
    <mergeCell ref="A137:M137"/>
    <mergeCell ref="A138:M138"/>
    <mergeCell ref="A139:M139"/>
    <mergeCell ref="A140:M140"/>
    <mergeCell ref="A141:M141"/>
    <mergeCell ref="N138:Z138"/>
    <mergeCell ref="A169:M169"/>
    <mergeCell ref="A170:M170"/>
    <mergeCell ref="A160:M160"/>
    <mergeCell ref="A161:M161"/>
    <mergeCell ref="A162:M162"/>
    <mergeCell ref="A163:M163"/>
    <mergeCell ref="A164:M164"/>
    <mergeCell ref="A165:M165"/>
    <mergeCell ref="A166:M166"/>
    <mergeCell ref="A167:M167"/>
    <mergeCell ref="A168:M168"/>
    <mergeCell ref="A151:M151"/>
    <mergeCell ref="A152:M152"/>
    <mergeCell ref="A153:M153"/>
    <mergeCell ref="A154:M154"/>
    <mergeCell ref="A155:M155"/>
    <mergeCell ref="A156:M156"/>
    <mergeCell ref="A157:M157"/>
    <mergeCell ref="A158:M158"/>
    <mergeCell ref="A159:M159"/>
    <mergeCell ref="A142:M142"/>
    <mergeCell ref="A143:M143"/>
    <mergeCell ref="A144:M144"/>
    <mergeCell ref="N141:Z141"/>
    <mergeCell ref="N144:Z144"/>
    <mergeCell ref="N147:Z147"/>
    <mergeCell ref="N150:Z150"/>
    <mergeCell ref="N153:Z153"/>
    <mergeCell ref="N156:Z156"/>
    <mergeCell ref="N159:Z159"/>
    <mergeCell ref="N162:Z162"/>
    <mergeCell ref="N165:Z165"/>
    <mergeCell ref="N145:Z146"/>
    <mergeCell ref="N142:Z143"/>
    <mergeCell ref="N168:Z168"/>
    <mergeCell ref="N169:Z170"/>
    <mergeCell ref="N166:Z167"/>
    <mergeCell ref="N163:Z164"/>
    <mergeCell ref="N160:Z161"/>
    <mergeCell ref="N157:Z158"/>
    <mergeCell ref="N154:Z155"/>
    <mergeCell ref="N151:Z152"/>
    <mergeCell ref="N148:Z149"/>
    <mergeCell ref="N139:Z140"/>
    <mergeCell ref="A2:Z2"/>
    <mergeCell ref="S3:Z14"/>
    <mergeCell ref="A18:Z19"/>
    <mergeCell ref="A13:M14"/>
    <mergeCell ref="J4:R12"/>
    <mergeCell ref="A31:Z31"/>
    <mergeCell ref="A78:Z78"/>
    <mergeCell ref="H23:J23"/>
    <mergeCell ref="H24:J24"/>
    <mergeCell ref="H25:J25"/>
    <mergeCell ref="K23:M23"/>
    <mergeCell ref="K24:M24"/>
    <mergeCell ref="K25:M25"/>
    <mergeCell ref="N23:O24"/>
    <mergeCell ref="N25:O25"/>
    <mergeCell ref="N134:Z134"/>
    <mergeCell ref="N135:Z137"/>
    <mergeCell ref="N131:Z131"/>
    <mergeCell ref="N128:Z128"/>
    <mergeCell ref="N126:Z126"/>
    <mergeCell ref="N127:Z127"/>
    <mergeCell ref="N129:Z130"/>
    <mergeCell ref="N132:Z133"/>
    <mergeCell ref="AR44:AU44"/>
    <mergeCell ref="AX44:BA44"/>
    <mergeCell ref="AB39:AP39"/>
    <mergeCell ref="AC40:AI40"/>
    <mergeCell ref="AJ40:AO40"/>
    <mergeCell ref="AE41:AI41"/>
    <mergeCell ref="AN41:AO41"/>
    <mergeCell ref="AN42:AO42"/>
    <mergeCell ref="AN43:AO43"/>
    <mergeCell ref="AE43:AH43"/>
    <mergeCell ref="AJ43:AM43"/>
    <mergeCell ref="AC41:AC42"/>
    <mergeCell ref="AD41:AD42"/>
    <mergeCell ref="AR47:AU47"/>
    <mergeCell ref="AX47:BA47"/>
    <mergeCell ref="AE48:AH48"/>
    <mergeCell ref="AJ48:AM48"/>
    <mergeCell ref="AN48:AO48"/>
    <mergeCell ref="AR48:AU48"/>
    <mergeCell ref="AX48:BA48"/>
    <mergeCell ref="AP40:AP48"/>
    <mergeCell ref="AE45:AH45"/>
    <mergeCell ref="AJ45:AM45"/>
    <mergeCell ref="AN45:AO45"/>
    <mergeCell ref="AR45:AU45"/>
    <mergeCell ref="AX45:BA45"/>
    <mergeCell ref="AE46:AH46"/>
    <mergeCell ref="AJ46:AM46"/>
    <mergeCell ref="AN46:AO46"/>
    <mergeCell ref="AR46:AU46"/>
    <mergeCell ref="AX46:BA46"/>
    <mergeCell ref="AR42:AV42"/>
    <mergeCell ref="AX42:BB42"/>
    <mergeCell ref="AR43:AU43"/>
    <mergeCell ref="AX43:BA43"/>
    <mergeCell ref="AE44:AH44"/>
    <mergeCell ref="AJ44:AM44"/>
    <mergeCell ref="AB49:AP49"/>
    <mergeCell ref="AB40:AB48"/>
    <mergeCell ref="AB50:AP50"/>
    <mergeCell ref="AC51:AI51"/>
    <mergeCell ref="AJ51:AO51"/>
    <mergeCell ref="AP51:AP54"/>
    <mergeCell ref="AC52:AD53"/>
    <mergeCell ref="AE52:AI52"/>
    <mergeCell ref="AN52:AO52"/>
    <mergeCell ref="AN53:AO53"/>
    <mergeCell ref="AC54:AD54"/>
    <mergeCell ref="AN54:AO54"/>
    <mergeCell ref="AE54:AH54"/>
    <mergeCell ref="AJ54:AM54"/>
    <mergeCell ref="AE47:AH47"/>
    <mergeCell ref="AJ47:AM47"/>
    <mergeCell ref="AN47:AO47"/>
    <mergeCell ref="AN44:AO44"/>
    <mergeCell ref="AR53:AV53"/>
    <mergeCell ref="AX53:BB53"/>
    <mergeCell ref="AR54:AU54"/>
    <mergeCell ref="AX54:BA54"/>
    <mergeCell ref="AB55:AP55"/>
    <mergeCell ref="AB56:AP56"/>
    <mergeCell ref="AC57:AI57"/>
    <mergeCell ref="AJ57:AO57"/>
    <mergeCell ref="AP57:AP60"/>
    <mergeCell ref="AE58:AI58"/>
    <mergeCell ref="AN58:AO58"/>
    <mergeCell ref="AN59:AO59"/>
    <mergeCell ref="AN60:AO60"/>
    <mergeCell ref="AC58:AC59"/>
    <mergeCell ref="AD58:AD59"/>
    <mergeCell ref="AR59:AV59"/>
    <mergeCell ref="AX59:BB59"/>
    <mergeCell ref="AR60:AS60"/>
    <mergeCell ref="AX60:AY60"/>
    <mergeCell ref="AJ60:AK60"/>
    <mergeCell ref="AE60:AF60"/>
    <mergeCell ref="AB61:AP61"/>
    <mergeCell ref="AB62:AP62"/>
    <mergeCell ref="AC63:AI63"/>
    <mergeCell ref="AJ63:AO63"/>
    <mergeCell ref="AP63:AP66"/>
    <mergeCell ref="AC64:AD65"/>
    <mergeCell ref="AE64:AI64"/>
    <mergeCell ref="AN64:AO64"/>
    <mergeCell ref="AN65:AO65"/>
    <mergeCell ref="AC66:AD66"/>
    <mergeCell ref="AE66:AH66"/>
    <mergeCell ref="AJ66:AM66"/>
    <mergeCell ref="AN66:AO66"/>
    <mergeCell ref="AR65:AV65"/>
    <mergeCell ref="AX65:BB65"/>
    <mergeCell ref="AR66:AU66"/>
    <mergeCell ref="AX66:BA66"/>
    <mergeCell ref="AB67:AP67"/>
    <mergeCell ref="AB68:AP68"/>
    <mergeCell ref="AC69:AI69"/>
    <mergeCell ref="AJ69:AO69"/>
    <mergeCell ref="AP69:AP72"/>
    <mergeCell ref="AE70:AI70"/>
    <mergeCell ref="AN70:AO70"/>
    <mergeCell ref="AN71:AO71"/>
    <mergeCell ref="AR71:AV71"/>
    <mergeCell ref="AX71:BB71"/>
    <mergeCell ref="AE72:AH72"/>
    <mergeCell ref="AJ72:AM72"/>
    <mergeCell ref="AN72:AO72"/>
    <mergeCell ref="AR72:AU72"/>
    <mergeCell ref="AX72:BA72"/>
    <mergeCell ref="AC70:AC71"/>
    <mergeCell ref="AD70:AD71"/>
    <mergeCell ref="AB73:AP73"/>
    <mergeCell ref="AB79:AP79"/>
    <mergeCell ref="AB80:AP80"/>
    <mergeCell ref="AC81:AI81"/>
    <mergeCell ref="AJ81:AO81"/>
    <mergeCell ref="AP81:AP84"/>
    <mergeCell ref="AC82:AD83"/>
    <mergeCell ref="AE82:AI82"/>
    <mergeCell ref="AN82:AO82"/>
    <mergeCell ref="AN83:AO83"/>
    <mergeCell ref="AC84:AD84"/>
    <mergeCell ref="AE84:AH84"/>
    <mergeCell ref="AJ84:AM84"/>
    <mergeCell ref="AN84:AO84"/>
    <mergeCell ref="AR83:AV83"/>
    <mergeCell ref="AX83:BB83"/>
    <mergeCell ref="AR84:AU84"/>
    <mergeCell ref="AX84:BA84"/>
    <mergeCell ref="AB85:AP85"/>
    <mergeCell ref="AB86:AP86"/>
    <mergeCell ref="AC87:AI87"/>
    <mergeCell ref="AJ87:AO87"/>
    <mergeCell ref="AP87:AP90"/>
    <mergeCell ref="AC88:AD89"/>
    <mergeCell ref="AE88:AI88"/>
    <mergeCell ref="AN88:AO88"/>
    <mergeCell ref="AN89:AO89"/>
    <mergeCell ref="AR89:AV89"/>
    <mergeCell ref="AX89:BB89"/>
    <mergeCell ref="AC90:AD90"/>
    <mergeCell ref="AE90:AH90"/>
    <mergeCell ref="AJ90:AM90"/>
    <mergeCell ref="AN90:AO90"/>
    <mergeCell ref="AR90:AU90"/>
    <mergeCell ref="AX90:BA90"/>
    <mergeCell ref="AB91:AP91"/>
    <mergeCell ref="AB92:AP92"/>
    <mergeCell ref="AC93:AI93"/>
    <mergeCell ref="AJ93:AO93"/>
    <mergeCell ref="AP93:AP96"/>
    <mergeCell ref="AC94:AC95"/>
    <mergeCell ref="AD94:AD95"/>
    <mergeCell ref="AE94:AI94"/>
    <mergeCell ref="AN94:AO94"/>
    <mergeCell ref="AN95:AO95"/>
    <mergeCell ref="AR95:AV95"/>
    <mergeCell ref="AX95:BB95"/>
    <mergeCell ref="AE96:AF96"/>
    <mergeCell ref="AJ96:AK96"/>
    <mergeCell ref="AN96:AO96"/>
    <mergeCell ref="AR96:AS96"/>
    <mergeCell ref="AX96:AY96"/>
    <mergeCell ref="AB97:AP97"/>
    <mergeCell ref="AB98:AP98"/>
    <mergeCell ref="AC99:AI99"/>
    <mergeCell ref="AJ99:AO99"/>
    <mergeCell ref="AP99:AP102"/>
    <mergeCell ref="AC100:AC101"/>
    <mergeCell ref="AD100:AD101"/>
    <mergeCell ref="AE100:AI100"/>
    <mergeCell ref="AN100:AO100"/>
    <mergeCell ref="AN101:AO101"/>
    <mergeCell ref="AR101:AV101"/>
    <mergeCell ref="AX101:BB101"/>
    <mergeCell ref="AE102:AF102"/>
    <mergeCell ref="AJ102:AK102"/>
    <mergeCell ref="AN102:AO102"/>
    <mergeCell ref="AR102:AS102"/>
    <mergeCell ref="AX102:AY102"/>
    <mergeCell ref="AB103:AP103"/>
    <mergeCell ref="AB104:AP104"/>
    <mergeCell ref="AC105:AI105"/>
    <mergeCell ref="AJ105:AO105"/>
    <mergeCell ref="AP105:AP108"/>
    <mergeCell ref="AC106:AC107"/>
    <mergeCell ref="AD106:AD107"/>
    <mergeCell ref="AE106:AI106"/>
    <mergeCell ref="AN106:AO106"/>
    <mergeCell ref="AN107:AO107"/>
    <mergeCell ref="AR107:AV107"/>
    <mergeCell ref="AX107:BB107"/>
    <mergeCell ref="AE108:AF108"/>
    <mergeCell ref="AJ108:AK108"/>
    <mergeCell ref="AN108:AO108"/>
    <mergeCell ref="AR108:AS108"/>
    <mergeCell ref="AX108:AY108"/>
    <mergeCell ref="AB109:AP109"/>
    <mergeCell ref="AB110:AP110"/>
    <mergeCell ref="AC111:AI111"/>
    <mergeCell ref="AJ111:AO111"/>
    <mergeCell ref="AC112:AC113"/>
    <mergeCell ref="AD112:AD113"/>
    <mergeCell ref="AE112:AI112"/>
    <mergeCell ref="AN112:AO112"/>
    <mergeCell ref="AN113:AO113"/>
    <mergeCell ref="AB111:AB116"/>
    <mergeCell ref="AE114:AE116"/>
    <mergeCell ref="AG114:AG116"/>
    <mergeCell ref="AJ114:AJ116"/>
    <mergeCell ref="AL114:AL116"/>
    <mergeCell ref="AN121:AO121"/>
    <mergeCell ref="AR121:AV121"/>
    <mergeCell ref="AC120:AC121"/>
    <mergeCell ref="AR113:AV113"/>
    <mergeCell ref="AX113:BB113"/>
    <mergeCell ref="AN114:AO114"/>
    <mergeCell ref="AN115:AO115"/>
    <mergeCell ref="AN116:AO116"/>
    <mergeCell ref="AR114:AR116"/>
    <mergeCell ref="AT114:AT116"/>
    <mergeCell ref="AX114:AX116"/>
    <mergeCell ref="AZ114:AZ116"/>
    <mergeCell ref="AP111:AP116"/>
    <mergeCell ref="A1:AP1"/>
    <mergeCell ref="AB126:AO126"/>
    <mergeCell ref="AB127:AO128"/>
    <mergeCell ref="AB129:AO129"/>
    <mergeCell ref="AB130:AO131"/>
    <mergeCell ref="AS122:AV122"/>
    <mergeCell ref="AY122:BB122"/>
    <mergeCell ref="AF123:AI123"/>
    <mergeCell ref="AK123:AO123"/>
    <mergeCell ref="AS123:AV123"/>
    <mergeCell ref="AY123:BB123"/>
    <mergeCell ref="AB119:AB123"/>
    <mergeCell ref="AP119:AP123"/>
    <mergeCell ref="AB124:AP124"/>
    <mergeCell ref="AX121:BB121"/>
    <mergeCell ref="AF122:AI122"/>
    <mergeCell ref="AK122:AO122"/>
    <mergeCell ref="AB117:AP117"/>
    <mergeCell ref="AB118:AP118"/>
    <mergeCell ref="AC119:AI119"/>
    <mergeCell ref="AJ119:AO119"/>
    <mergeCell ref="AD120:AD121"/>
    <mergeCell ref="AE120:AI120"/>
    <mergeCell ref="AN120:AO120"/>
  </mergeCells>
  <dataValidations count="4">
    <dataValidation type="decimal" operator="greaterThanOrEqual" allowBlank="1" showInputMessage="1" showErrorMessage="1" sqref="C90:O90 C37:O37 K25 C54:O54 C60:G60 C72:I72 C66:O66 D43:K48 C25:H25 C84:O84 C102:I102 C108:G108 C114:G116 H123:I123 C96:I96 F122:G123 AC25:AD25 AC37:AD37 AC43:AD48 AC54:AD54 AC60:AD60 AC66:AD66 AC72:AD72 AC84:AD84 AC90:AD90 AC96:AD96 AC102:AD102 AC108:AD108 AC114:AD116 AC122:AD123">
      <formula1>0</formula1>
    </dataValidation>
    <dataValidation type="whole" operator="greaterThanOrEqual" allowBlank="1" showInputMessage="1" showErrorMessage="1" sqref="L43:L48">
      <formula1>0</formula1>
    </dataValidation>
    <dataValidation operator="greaterThanOrEqual" allowBlank="1" showInputMessage="1" showErrorMessage="1" sqref="N25:O25"/>
    <dataValidation type="decimal" allowBlank="1" showInputMessage="1" showErrorMessage="1" sqref="J72:O72 M60:O60 J96:O96 J102:O102 M108:O108 H122:I122 M114:O116">
      <formula1>0</formula1>
      <formula2>100</formula2>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'Emission factors'!$A$90:$B$90</xm:f>
          </x14:formula1>
          <xm:sqref>H60:L60</xm:sqref>
        </x14:dataValidation>
        <x14:dataValidation type="list" allowBlank="1" showInputMessage="1" showErrorMessage="1">
          <x14:formula1>
            <xm:f>'Emission factors'!$A$91:$D$91</xm:f>
          </x14:formula1>
          <xm:sqref>H108:L108</xm:sqref>
        </x14:dataValidation>
        <x14:dataValidation type="list" allowBlank="1" showInputMessage="1" showErrorMessage="1">
          <x14:formula1>
            <xm:f>'Emission factors'!$A$92:$B$92</xm:f>
          </x14:formula1>
          <xm:sqref>L114:L116</xm:sqref>
        </x14:dataValidation>
        <x14:dataValidation type="list" allowBlank="1" showInputMessage="1" showErrorMessage="1">
          <x14:formula1>
            <xm:f>'Emission factors'!$A$95:$B$95</xm:f>
          </x14:formula1>
          <xm:sqref>C122:C123</xm:sqref>
        </x14:dataValidation>
        <x14:dataValidation type="list" allowBlank="1" showInputMessage="1" showErrorMessage="1">
          <x14:formula1>
            <xm:f>'Emission factors'!$A$97:$A$103</xm:f>
          </x14:formula1>
          <xm:sqref>J122:O123</xm:sqref>
        </x14:dataValidation>
        <x14:dataValidation type="list" allowBlank="1" showInputMessage="1" showErrorMessage="1">
          <x14:formula1>
            <xm:f>'Emission factors'!$A$222:$A$224</xm:f>
          </x14:formula1>
          <xm:sqref>F3:I3 AW3:AZ3</xm:sqref>
        </x14:dataValidation>
        <x14:dataValidation type="list" allowBlank="1" showInputMessage="1" showErrorMessage="1">
          <x14:formula1>
            <xm:f>'Emission factors'!$A$234:$A$235</xm:f>
          </x14:formula1>
          <xm:sqref>D5:D7 I5:I6 F5:G6 AU5:AU7 AZ5:AZ6 AW5:AX6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148AB"/>
  </sheetPr>
  <dimension ref="A1:BB87"/>
  <sheetViews>
    <sheetView rightToLeft="1" zoomScale="50" zoomScaleNormal="50" workbookViewId="0">
      <selection sqref="A1:AP1"/>
    </sheetView>
  </sheetViews>
  <sheetFormatPr defaultColWidth="8.69921875" defaultRowHeight="15"/>
  <cols>
    <col min="1" max="1" width="4.19921875" style="98" customWidth="1"/>
    <col min="2" max="2" width="8.69921875" style="98"/>
    <col min="3" max="3" width="4.5" style="98" customWidth="1"/>
    <col min="4" max="4" width="8.69921875" style="98"/>
    <col min="5" max="5" width="6.19921875" style="98" customWidth="1"/>
    <col min="6" max="6" width="10.3984375" style="98" customWidth="1"/>
    <col min="7" max="7" width="16.19921875" style="98" customWidth="1"/>
    <col min="8" max="11" width="9.796875" style="98" customWidth="1"/>
    <col min="12" max="15" width="15.69921875" style="98" customWidth="1"/>
    <col min="16" max="19" width="8.69921875" style="98"/>
    <col min="20" max="20" width="14.5" style="98" customWidth="1"/>
    <col min="21" max="23" width="8.69921875" style="98"/>
    <col min="24" max="24" width="12.3984375" style="98" customWidth="1"/>
    <col min="25" max="25" width="19.09765625" style="98" customWidth="1"/>
    <col min="26" max="26" width="4.19921875" style="98" customWidth="1"/>
    <col min="27" max="27" width="5.69921875" style="98" customWidth="1"/>
    <col min="28" max="28" width="4.69921875" style="98" customWidth="1"/>
    <col min="29" max="30" width="15.8984375" style="98" customWidth="1"/>
    <col min="31" max="33" width="8.69921875" style="98"/>
    <col min="34" max="34" width="10.69921875" style="98" customWidth="1"/>
    <col min="35" max="35" width="24.296875" style="98" customWidth="1"/>
    <col min="36" max="41" width="8.69921875" style="98"/>
    <col min="42" max="42" width="5.69921875" style="98" customWidth="1"/>
    <col min="43" max="43" width="8.69921875" style="98"/>
    <col min="44" max="55" width="0" style="98" hidden="1" customWidth="1"/>
    <col min="56" max="16384" width="8.69921875" style="98"/>
  </cols>
  <sheetData>
    <row r="1" spans="1:54" s="213" customFormat="1" ht="33" thickBot="1">
      <c r="A1" s="1706" t="s">
        <v>1027</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8"/>
    </row>
    <row r="2" spans="1:54" s="213" customFormat="1" ht="51" customHeight="1" thickBot="1">
      <c r="A2" s="1174" t="s">
        <v>849</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699"/>
      <c r="AA2" s="458"/>
      <c r="AB2" s="1966" t="s">
        <v>1354</v>
      </c>
      <c r="AC2" s="1444"/>
      <c r="AD2" s="1444"/>
      <c r="AE2" s="1444"/>
      <c r="AF2" s="1444"/>
      <c r="AG2" s="1444"/>
      <c r="AH2" s="1444"/>
      <c r="AI2" s="1444"/>
      <c r="AJ2" s="1444"/>
      <c r="AK2" s="1444"/>
      <c r="AL2" s="1444"/>
      <c r="AM2" s="1444"/>
      <c r="AN2" s="1444"/>
      <c r="AO2" s="1444"/>
      <c r="AP2" s="1967"/>
    </row>
    <row r="3" spans="1:54" s="213" customFormat="1" ht="57.6" thickBot="1">
      <c r="A3" s="1183" t="s">
        <v>772</v>
      </c>
      <c r="B3" s="1184"/>
      <c r="C3" s="1184"/>
      <c r="D3" s="1184"/>
      <c r="E3" s="1184"/>
      <c r="F3" s="1903"/>
      <c r="G3" s="2009"/>
      <c r="H3" s="2009"/>
      <c r="I3" s="2009"/>
      <c r="J3" s="2009"/>
      <c r="K3" s="2010"/>
      <c r="L3" s="699"/>
      <c r="M3" s="699"/>
      <c r="N3" s="699"/>
      <c r="O3" s="699"/>
      <c r="P3" s="699"/>
      <c r="Q3" s="699"/>
      <c r="R3" s="699"/>
      <c r="S3" s="699"/>
      <c r="T3" s="699"/>
      <c r="U3" s="699"/>
      <c r="V3" s="699"/>
      <c r="W3" s="699"/>
      <c r="X3" s="699"/>
      <c r="Y3" s="699"/>
      <c r="Z3" s="699"/>
      <c r="AA3" s="458"/>
      <c r="AB3" s="582"/>
      <c r="AC3" s="1182" t="s">
        <v>1348</v>
      </c>
      <c r="AD3" s="1182"/>
      <c r="AE3" s="1182"/>
      <c r="AF3" s="1182"/>
      <c r="AG3" s="545" t="s">
        <v>356</v>
      </c>
      <c r="AH3" s="1181"/>
      <c r="AI3" s="1181"/>
      <c r="AJ3" s="1181"/>
      <c r="AK3" s="546" t="s">
        <v>1259</v>
      </c>
      <c r="AL3" s="545" t="s">
        <v>743</v>
      </c>
      <c r="AM3" s="540"/>
      <c r="AN3" s="540"/>
      <c r="AO3" s="540"/>
      <c r="AP3" s="583"/>
    </row>
    <row r="4" spans="1:54" s="213" customFormat="1" ht="42" customHeight="1" thickBot="1">
      <c r="A4" s="1183" t="s">
        <v>741</v>
      </c>
      <c r="B4" s="1184"/>
      <c r="C4" s="1184"/>
      <c r="D4" s="214" t="s">
        <v>40</v>
      </c>
      <c r="E4" s="1184" t="s">
        <v>815</v>
      </c>
      <c r="F4" s="1184"/>
      <c r="G4" s="1184"/>
      <c r="H4" s="1185">
        <v>0</v>
      </c>
      <c r="I4" s="1185"/>
      <c r="J4" s="214" t="s">
        <v>146</v>
      </c>
      <c r="K4" s="796" t="s">
        <v>743</v>
      </c>
      <c r="L4" s="699"/>
      <c r="M4" s="699"/>
      <c r="N4" s="699"/>
      <c r="O4" s="699"/>
      <c r="P4" s="699"/>
      <c r="Q4" s="699"/>
      <c r="R4" s="699"/>
      <c r="S4" s="699"/>
      <c r="T4" s="699"/>
      <c r="U4" s="699"/>
      <c r="V4" s="699"/>
      <c r="W4" s="699"/>
      <c r="X4" s="699"/>
      <c r="Y4" s="699"/>
      <c r="Z4" s="699"/>
      <c r="AA4" s="458"/>
      <c r="AB4" s="582"/>
      <c r="AC4" s="1182" t="s">
        <v>1350</v>
      </c>
      <c r="AD4" s="1182"/>
      <c r="AE4" s="1182"/>
      <c r="AF4" s="1182"/>
      <c r="AG4" s="545" t="s">
        <v>356</v>
      </c>
      <c r="AH4" s="1181"/>
      <c r="AI4" s="1181"/>
      <c r="AJ4" s="1181"/>
      <c r="AK4" s="546" t="s">
        <v>1259</v>
      </c>
      <c r="AL4" s="545" t="s">
        <v>743</v>
      </c>
      <c r="AM4" s="540"/>
      <c r="AN4" s="540"/>
      <c r="AO4" s="540"/>
      <c r="AP4" s="583"/>
    </row>
    <row r="5" spans="1:54" s="213" customFormat="1" ht="42" customHeight="1" thickBot="1">
      <c r="A5" s="1183" t="s">
        <v>741</v>
      </c>
      <c r="B5" s="1184"/>
      <c r="C5" s="1184"/>
      <c r="D5" s="214" t="s">
        <v>39</v>
      </c>
      <c r="E5" s="1184" t="s">
        <v>815</v>
      </c>
      <c r="F5" s="1184"/>
      <c r="G5" s="1184"/>
      <c r="H5" s="1185">
        <v>0</v>
      </c>
      <c r="I5" s="1185"/>
      <c r="J5" s="214" t="s">
        <v>146</v>
      </c>
      <c r="K5" s="796" t="s">
        <v>743</v>
      </c>
      <c r="L5" s="699"/>
      <c r="M5" s="699"/>
      <c r="N5" s="699"/>
      <c r="O5" s="699"/>
      <c r="P5" s="699"/>
      <c r="Q5" s="699"/>
      <c r="R5" s="699"/>
      <c r="S5" s="699"/>
      <c r="T5" s="699"/>
      <c r="U5" s="699"/>
      <c r="V5" s="699"/>
      <c r="W5" s="699"/>
      <c r="X5" s="699"/>
      <c r="Y5" s="699"/>
      <c r="Z5" s="699"/>
      <c r="AA5" s="458"/>
      <c r="AB5" s="585"/>
      <c r="AC5" s="1182" t="s">
        <v>1351</v>
      </c>
      <c r="AD5" s="1182"/>
      <c r="AE5" s="1182"/>
      <c r="AF5" s="1182" t="str">
        <f>IF(F3="","",  IF(F3="پالايش گاز","",IF(F3="پالايش نفت",IF(OR(F10="",F10=0,AND(AZ37="",AZ60="")),"",(  (SQRT( (IF(AZ37="",0,AZ37)+IF(AZ60="",0,AZ60))  )   )   /F10)       ),IF(OR( F10="",F10=0,AND(AZ96="",AZ102=""),AND(F5="",D7=""),AND(F5="خير",D7="خير")),"",  (   (SQRT(IF(D7="بله",IF(AZ96="",0,AZ96),0))+(IF(F5="بله",IF(AZ102="",0,AZ102),0)))/F10   )           ))    )     )</f>
        <v/>
      </c>
      <c r="AG5" s="545" t="s">
        <v>356</v>
      </c>
      <c r="AH5" s="1181"/>
      <c r="AI5" s="1181"/>
      <c r="AJ5" s="1181"/>
      <c r="AK5" s="546" t="s">
        <v>1259</v>
      </c>
      <c r="AL5" s="545" t="s">
        <v>743</v>
      </c>
      <c r="AM5" s="540"/>
      <c r="AN5" s="540"/>
      <c r="AO5" s="540"/>
      <c r="AP5" s="583"/>
    </row>
    <row r="6" spans="1:54" s="213" customFormat="1" ht="42" customHeight="1" thickBot="1">
      <c r="A6" s="1183" t="s">
        <v>741</v>
      </c>
      <c r="B6" s="1184"/>
      <c r="C6" s="1184"/>
      <c r="D6" s="214" t="s">
        <v>145</v>
      </c>
      <c r="E6" s="1184" t="s">
        <v>815</v>
      </c>
      <c r="F6" s="1184"/>
      <c r="G6" s="1184"/>
      <c r="H6" s="1185">
        <v>0</v>
      </c>
      <c r="I6" s="1185"/>
      <c r="J6" s="214" t="s">
        <v>146</v>
      </c>
      <c r="K6" s="796" t="s">
        <v>743</v>
      </c>
      <c r="L6" s="699"/>
      <c r="M6" s="699"/>
      <c r="N6" s="699"/>
      <c r="O6" s="699"/>
      <c r="P6" s="699"/>
      <c r="Q6" s="699"/>
      <c r="R6" s="699"/>
      <c r="S6" s="699"/>
      <c r="T6" s="699"/>
      <c r="U6" s="699"/>
      <c r="V6" s="699"/>
      <c r="W6" s="699"/>
      <c r="X6" s="699"/>
      <c r="Y6" s="699"/>
      <c r="Z6" s="699"/>
      <c r="AA6" s="458"/>
      <c r="AB6" s="585"/>
      <c r="AC6" s="1182" t="s">
        <v>1352</v>
      </c>
      <c r="AD6" s="1182"/>
      <c r="AE6" s="1182"/>
      <c r="AF6" s="1182" t="str">
        <f>IF(F3="","",IF(F3="پالايش گاز","",IF(F3="پالايش نفت",    IF(OR(F11="",F11=0,BA37=""),"",(SQRT(BA37)/F11) ),IF(I5="بله",IF(OR(F11="",F11=0,BA114=""),"",SQRT(BA114)/F11    ),"")    )))</f>
        <v/>
      </c>
      <c r="AG6" s="545" t="s">
        <v>356</v>
      </c>
      <c r="AH6" s="1181"/>
      <c r="AI6" s="1181"/>
      <c r="AJ6" s="1181"/>
      <c r="AK6" s="546" t="s">
        <v>1259</v>
      </c>
      <c r="AL6" s="545" t="s">
        <v>743</v>
      </c>
      <c r="AM6" s="540"/>
      <c r="AN6" s="540"/>
      <c r="AO6" s="540"/>
      <c r="AP6" s="583"/>
    </row>
    <row r="7" spans="1:54" s="213" customFormat="1" ht="42" customHeight="1" thickBot="1">
      <c r="A7" s="1183" t="s">
        <v>741</v>
      </c>
      <c r="B7" s="1184"/>
      <c r="C7" s="1184"/>
      <c r="D7" s="214" t="s">
        <v>147</v>
      </c>
      <c r="E7" s="1184" t="s">
        <v>815</v>
      </c>
      <c r="F7" s="1184"/>
      <c r="G7" s="1184"/>
      <c r="H7" s="1185">
        <v>0</v>
      </c>
      <c r="I7" s="1185"/>
      <c r="J7" s="214" t="s">
        <v>146</v>
      </c>
      <c r="K7" s="796" t="s">
        <v>743</v>
      </c>
      <c r="L7" s="699"/>
      <c r="M7" s="699"/>
      <c r="N7" s="699"/>
      <c r="O7" s="699"/>
      <c r="P7" s="699"/>
      <c r="Q7" s="699"/>
      <c r="R7" s="699"/>
      <c r="S7" s="699"/>
      <c r="T7" s="699"/>
      <c r="U7" s="699"/>
      <c r="V7" s="699"/>
      <c r="W7" s="699"/>
      <c r="X7" s="699"/>
      <c r="Y7" s="699"/>
      <c r="Z7" s="699"/>
      <c r="AA7" s="458"/>
      <c r="AB7" s="585"/>
      <c r="AC7" s="1182" t="s">
        <v>1353</v>
      </c>
      <c r="AD7" s="1182"/>
      <c r="AE7" s="1182"/>
      <c r="AF7" s="1182" t="str">
        <f>IF(F3="","",  IF(F3="پالايش گاز",IF(OR(F12="",F12=0,BB25=""),"",(SQRT(BB25)/F12)),IF(F3="پالايش نفت",IF(OR(F12="",F12=0,AND(BB37="",BB43="",BB44="",BB45="",BB46="",BB47="",BB48="",BB54="",BB60="",BB66="",BB72="")),"",( (SQRT((IF(BB37="",0,BB37))+(SUM(BB43:BB48))+(IF(BB54="",0,BB54))+(IF(BB60="",0,BB60))+(IF(BB66="",0,BB66))+(IF(BB72="",0,BB72))))/F12)       ),IF(OR( F12="",F12=0,AND(BB84="",BB90="",BB96="",BB102="",BB108="",BB114="",BB115="",BB116="")),"",  (  (SQRT((IF(D5="بله",(IF(BB84="",0,BB84)),0))+(IF(D6="بله",(IF(BB90="",0,BB90)),0))+(IF(D7="بله",(IF(BB96="",0,BB96)),0))+(IF(F5="بله",(IF(BB102="",0,BB102)),0))+(IF(I5="بله",(SUM(BB114:BB116)),0))+(IF(I6="بله",(IF(BB108="",0,BB108)),0)))/F12)         )           ))    )     )</f>
        <v/>
      </c>
      <c r="AG7" s="545" t="s">
        <v>356</v>
      </c>
      <c r="AH7" s="1181" t="str">
        <f>IF(G3="","",(IF(G3="صنایع بالادستي نفت و گاز",IF(OR(H8="",H8=0,AND(BB19="",BB20="",BB21="",BB22="",BB23="",BB24="",BB25="",BB26="",BB27="",BB28="")),"",SQRT(SUM(BB19:BB28))/H8),IF(G3="صنایع پالايشگاهي و پخش فرآورده‌هاي نفتي ",IF(OR(H8="",H8=0,AND(BB40="",BB41="",BB42="",BB43="",BB44="",BB45="",BB46="",BB47="",BB48="",BB49="")),"",SQRT(SUM(BB40:BB49))/H8),IF( OR(H8="",H8=0,AND(BB61="",BB62="",BB63="",BB64="",BB65="",BB66="",BB67="",BB68="",BB69="",BB70="",BB71=""   )),"",SQRT(SUM(BB61:BB71))/H8)    ))))</f>
        <v/>
      </c>
      <c r="AI7" s="1181"/>
      <c r="AJ7" s="1181"/>
      <c r="AK7" s="546" t="s">
        <v>1259</v>
      </c>
      <c r="AL7" s="545" t="s">
        <v>743</v>
      </c>
      <c r="AM7" s="540"/>
      <c r="AN7" s="540"/>
      <c r="AO7" s="540"/>
      <c r="AP7" s="583"/>
    </row>
    <row r="8" spans="1:54" s="213" customFormat="1" ht="42" customHeight="1" thickBot="1">
      <c r="A8" s="1183" t="s">
        <v>741</v>
      </c>
      <c r="B8" s="1184"/>
      <c r="C8" s="1184"/>
      <c r="D8" s="214" t="s">
        <v>31</v>
      </c>
      <c r="E8" s="1184" t="s">
        <v>815</v>
      </c>
      <c r="F8" s="1184"/>
      <c r="G8" s="1184"/>
      <c r="H8" s="1185" t="str">
        <f>IF(G3="","",(IF(G3="صنایع بالادستي نفت و گاز",SUM(Y19:Y28),IF(G3="صنایع پالايشگاهي و پخش فرآورده‌هاي نفتي ",SUM(Y40:Y49),SUM(Y61:Y71)))))</f>
        <v/>
      </c>
      <c r="I8" s="1185"/>
      <c r="J8" s="214" t="s">
        <v>146</v>
      </c>
      <c r="K8" s="796" t="s">
        <v>743</v>
      </c>
      <c r="L8" s="699"/>
      <c r="M8" s="699"/>
      <c r="N8" s="699"/>
      <c r="O8" s="699"/>
      <c r="P8" s="699"/>
      <c r="Q8" s="699"/>
      <c r="R8" s="699"/>
      <c r="S8" s="699"/>
      <c r="T8" s="699"/>
      <c r="U8" s="699"/>
      <c r="V8" s="699"/>
      <c r="W8" s="699"/>
      <c r="X8" s="699"/>
      <c r="Y8" s="699"/>
      <c r="Z8" s="699"/>
      <c r="AA8" s="458"/>
      <c r="AB8" s="585"/>
      <c r="AC8" s="540"/>
      <c r="AD8" s="540"/>
      <c r="AE8" s="540"/>
      <c r="AF8" s="540"/>
      <c r="AG8" s="540"/>
      <c r="AH8" s="540"/>
      <c r="AI8" s="540"/>
      <c r="AJ8" s="540"/>
      <c r="AK8" s="540"/>
      <c r="AL8" s="540"/>
      <c r="AM8" s="540"/>
      <c r="AN8" s="540"/>
      <c r="AO8" s="540"/>
      <c r="AP8" s="583"/>
    </row>
    <row r="9" spans="1:54" s="213" customFormat="1" ht="57.6" thickBot="1">
      <c r="A9" s="1793"/>
      <c r="B9" s="1791"/>
      <c r="C9" s="1791"/>
      <c r="D9" s="1791"/>
      <c r="E9" s="1791"/>
      <c r="F9" s="1791"/>
      <c r="G9" s="1791"/>
      <c r="H9" s="1791"/>
      <c r="I9" s="1791"/>
      <c r="J9" s="1791"/>
      <c r="K9" s="1791"/>
      <c r="L9" s="1791"/>
      <c r="M9" s="1791"/>
      <c r="N9" s="1791"/>
      <c r="O9" s="1791"/>
      <c r="P9" s="1791"/>
      <c r="Q9" s="1791"/>
      <c r="R9" s="1791"/>
      <c r="S9" s="1791"/>
      <c r="T9" s="1791"/>
      <c r="U9" s="1791"/>
      <c r="V9" s="1791"/>
      <c r="W9" s="1791"/>
      <c r="X9" s="1791"/>
      <c r="Y9" s="1791"/>
      <c r="Z9" s="785"/>
      <c r="AA9" s="458"/>
      <c r="AB9" s="585"/>
      <c r="AC9" s="540"/>
      <c r="AD9" s="540"/>
      <c r="AE9" s="540"/>
      <c r="AF9" s="540"/>
      <c r="AG9" s="540"/>
      <c r="AH9" s="540"/>
      <c r="AI9" s="540"/>
      <c r="AJ9" s="540"/>
      <c r="AK9" s="540"/>
      <c r="AL9" s="540"/>
      <c r="AM9" s="540"/>
      <c r="AN9" s="540"/>
      <c r="AO9" s="540"/>
      <c r="AP9" s="583"/>
    </row>
    <row r="10" spans="1:54" ht="43.05" hidden="1" customHeight="1">
      <c r="AA10" s="458"/>
      <c r="AB10" s="585"/>
      <c r="AC10" s="540"/>
      <c r="AD10" s="540"/>
      <c r="AE10" s="540"/>
      <c r="AF10" s="540"/>
      <c r="AG10" s="540"/>
      <c r="AH10" s="540"/>
      <c r="AI10" s="540"/>
      <c r="AJ10" s="540"/>
      <c r="AK10" s="540"/>
      <c r="AL10" s="540"/>
      <c r="AM10" s="540"/>
      <c r="AN10" s="540"/>
      <c r="AO10" s="540"/>
      <c r="AP10" s="583"/>
    </row>
    <row r="11" spans="1:54" ht="43.05" hidden="1" customHeight="1">
      <c r="AA11" s="458"/>
      <c r="AB11" s="612"/>
      <c r="AC11" s="613"/>
      <c r="AD11" s="613"/>
      <c r="AE11" s="613"/>
      <c r="AF11" s="613"/>
      <c r="AG11" s="613"/>
      <c r="AH11" s="613"/>
      <c r="AI11" s="613"/>
      <c r="AJ11" s="613"/>
      <c r="AK11" s="613"/>
      <c r="AL11" s="613"/>
      <c r="AM11" s="613"/>
      <c r="AN11" s="613"/>
      <c r="AO11" s="613"/>
      <c r="AP11" s="614"/>
    </row>
    <row r="12" spans="1:54" ht="30.45" customHeight="1">
      <c r="A12" s="1795"/>
      <c r="B12" s="1795"/>
      <c r="C12" s="1795"/>
      <c r="D12" s="1795"/>
      <c r="E12" s="1795"/>
      <c r="F12" s="1795"/>
      <c r="G12" s="1795"/>
      <c r="H12" s="1795"/>
      <c r="I12" s="1795"/>
      <c r="J12" s="1795"/>
      <c r="K12" s="1795"/>
      <c r="L12" s="1795"/>
      <c r="M12" s="1795"/>
      <c r="N12" s="1795"/>
      <c r="O12" s="1795"/>
      <c r="P12" s="1795"/>
      <c r="Q12" s="1795"/>
      <c r="R12" s="1795"/>
      <c r="S12" s="1795"/>
      <c r="T12" s="1795"/>
      <c r="U12" s="1795"/>
      <c r="V12" s="1795"/>
      <c r="W12" s="1795"/>
      <c r="X12" s="1795"/>
      <c r="Y12" s="1795"/>
      <c r="Z12" s="1795"/>
      <c r="AA12" s="458"/>
      <c r="AB12" s="458"/>
      <c r="AC12" s="458"/>
      <c r="AD12" s="458"/>
      <c r="AE12" s="458"/>
      <c r="AF12" s="458"/>
      <c r="AG12" s="458"/>
      <c r="AH12" s="458"/>
      <c r="AI12" s="458"/>
      <c r="AJ12" s="458"/>
      <c r="AK12" s="458"/>
      <c r="AL12" s="458"/>
      <c r="AM12" s="458"/>
      <c r="AN12" s="458"/>
      <c r="AO12" s="458"/>
      <c r="AP12" s="458"/>
    </row>
    <row r="13" spans="1:54" ht="37.5" customHeight="1" thickBot="1">
      <c r="A13" s="1994"/>
      <c r="B13" s="1994"/>
      <c r="C13" s="1994"/>
      <c r="D13" s="1994"/>
      <c r="E13" s="1994"/>
      <c r="F13" s="1994"/>
      <c r="G13" s="1994"/>
      <c r="H13" s="1994"/>
      <c r="I13" s="1994"/>
      <c r="J13" s="1994"/>
      <c r="K13" s="1994"/>
      <c r="L13" s="1994"/>
      <c r="M13" s="1994"/>
      <c r="N13" s="1994"/>
      <c r="O13" s="1994"/>
      <c r="P13" s="1994"/>
      <c r="Q13" s="1994"/>
      <c r="R13" s="1994"/>
      <c r="S13" s="1994"/>
      <c r="T13" s="1994"/>
      <c r="U13" s="1994"/>
      <c r="V13" s="1994"/>
      <c r="W13" s="1994"/>
      <c r="X13" s="1994"/>
      <c r="Y13" s="1994"/>
      <c r="Z13" s="1994"/>
      <c r="AA13" s="458"/>
      <c r="AB13" s="458"/>
      <c r="AC13" s="458"/>
      <c r="AD13" s="458"/>
      <c r="AE13" s="458"/>
      <c r="AF13" s="458"/>
      <c r="AG13" s="458"/>
      <c r="AH13" s="458"/>
      <c r="AI13" s="458"/>
      <c r="AJ13" s="458"/>
      <c r="AK13" s="458"/>
      <c r="AL13" s="458"/>
      <c r="AM13" s="458"/>
      <c r="AN13" s="458"/>
      <c r="AO13" s="458"/>
      <c r="AP13" s="458"/>
    </row>
    <row r="14" spans="1:54" ht="36.450000000000003" customHeight="1" thickBot="1">
      <c r="A14" s="1878" t="s">
        <v>549</v>
      </c>
      <c r="B14" s="1879"/>
      <c r="C14" s="1879"/>
      <c r="D14" s="1879"/>
      <c r="E14" s="1879"/>
      <c r="F14" s="1879"/>
      <c r="G14" s="1879"/>
      <c r="H14" s="1879"/>
      <c r="I14" s="1879"/>
      <c r="J14" s="1879"/>
      <c r="K14" s="1879"/>
      <c r="L14" s="1879"/>
      <c r="M14" s="1879"/>
      <c r="N14" s="1879"/>
      <c r="O14" s="1879"/>
      <c r="P14" s="1879"/>
      <c r="Q14" s="1879"/>
      <c r="R14" s="1879"/>
      <c r="S14" s="1879"/>
      <c r="T14" s="1879"/>
      <c r="U14" s="1879"/>
      <c r="V14" s="1879"/>
      <c r="W14" s="1879"/>
      <c r="X14" s="1879"/>
      <c r="Y14" s="1879"/>
      <c r="Z14" s="1880"/>
      <c r="AA14" s="458"/>
      <c r="AB14" s="1991" t="s">
        <v>1550</v>
      </c>
      <c r="AC14" s="1992"/>
      <c r="AD14" s="1992"/>
      <c r="AE14" s="1992"/>
      <c r="AF14" s="1992"/>
      <c r="AG14" s="1992"/>
      <c r="AH14" s="1992"/>
      <c r="AI14" s="1992"/>
      <c r="AJ14" s="1992"/>
      <c r="AK14" s="1992"/>
      <c r="AL14" s="1992"/>
      <c r="AM14" s="1992"/>
      <c r="AN14" s="1992"/>
      <c r="AO14" s="1992"/>
      <c r="AP14" s="1993"/>
      <c r="AQ14" s="217"/>
      <c r="AR14" s="217"/>
      <c r="AS14" s="217"/>
      <c r="AT14" s="217"/>
      <c r="AU14" s="217"/>
      <c r="AV14" s="217"/>
      <c r="AW14" s="217"/>
      <c r="AX14" s="217"/>
      <c r="AY14" s="217"/>
      <c r="AZ14" s="217"/>
      <c r="BA14" s="217"/>
      <c r="BB14" s="217"/>
    </row>
    <row r="15" spans="1:54" ht="31.5" customHeight="1" thickBot="1">
      <c r="A15" s="1065" t="s">
        <v>430</v>
      </c>
      <c r="B15" s="1066"/>
      <c r="C15" s="1066"/>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7"/>
      <c r="AA15" s="458"/>
      <c r="AB15" s="1464"/>
      <c r="AC15" s="1465"/>
      <c r="AD15" s="1465"/>
      <c r="AE15" s="1465"/>
      <c r="AF15" s="1465"/>
      <c r="AG15" s="1465"/>
      <c r="AH15" s="1465"/>
      <c r="AI15" s="1465"/>
      <c r="AJ15" s="1465"/>
      <c r="AK15" s="1465"/>
      <c r="AL15" s="1465"/>
      <c r="AM15" s="1465"/>
      <c r="AN15" s="1465"/>
      <c r="AO15" s="1465"/>
      <c r="AP15" s="1467"/>
      <c r="AQ15" s="217"/>
      <c r="AR15" s="217"/>
      <c r="AS15" s="217"/>
      <c r="AT15" s="217"/>
      <c r="AU15" s="217"/>
      <c r="AV15" s="217"/>
      <c r="AW15" s="217"/>
      <c r="AX15" s="217"/>
      <c r="AY15" s="217"/>
      <c r="AZ15" s="217"/>
      <c r="BA15" s="217"/>
      <c r="BB15" s="217"/>
    </row>
    <row r="16" spans="1:54" ht="25.8" thickBot="1">
      <c r="A16" s="1804"/>
      <c r="B16" s="2030" t="s">
        <v>546</v>
      </c>
      <c r="C16" s="1317" t="s">
        <v>811</v>
      </c>
      <c r="D16" s="1318"/>
      <c r="E16" s="1318"/>
      <c r="F16" s="1318"/>
      <c r="G16" s="1318"/>
      <c r="H16" s="1318"/>
      <c r="I16" s="1318"/>
      <c r="J16" s="1318"/>
      <c r="K16" s="1318"/>
      <c r="L16" s="1318"/>
      <c r="M16" s="1318"/>
      <c r="N16" s="1318"/>
      <c r="O16" s="1319"/>
      <c r="P16" s="1317" t="s">
        <v>510</v>
      </c>
      <c r="Q16" s="1318"/>
      <c r="R16" s="1318"/>
      <c r="S16" s="1318"/>
      <c r="T16" s="1319"/>
      <c r="U16" s="1317" t="s">
        <v>511</v>
      </c>
      <c r="V16" s="1318"/>
      <c r="W16" s="1318"/>
      <c r="X16" s="1318"/>
      <c r="Y16" s="1318"/>
      <c r="Z16" s="1845"/>
      <c r="AA16" s="478"/>
      <c r="AB16" s="1494"/>
      <c r="AC16" s="1252" t="s">
        <v>1356</v>
      </c>
      <c r="AD16" s="1252"/>
      <c r="AE16" s="1252"/>
      <c r="AF16" s="1252"/>
      <c r="AG16" s="1252"/>
      <c r="AH16" s="1252"/>
      <c r="AI16" s="1581"/>
      <c r="AJ16" s="1730" t="s">
        <v>1357</v>
      </c>
      <c r="AK16" s="1205"/>
      <c r="AL16" s="1205"/>
      <c r="AM16" s="1205"/>
      <c r="AN16" s="1205"/>
      <c r="AO16" s="1205"/>
      <c r="AP16" s="1494"/>
      <c r="AQ16" s="217"/>
      <c r="AR16" s="217"/>
      <c r="AS16" s="217"/>
      <c r="AT16" s="217"/>
      <c r="AU16" s="217"/>
      <c r="AV16" s="217"/>
      <c r="AW16" s="217"/>
      <c r="AX16" s="217"/>
      <c r="AY16" s="217"/>
      <c r="AZ16" s="217"/>
      <c r="BA16" s="217"/>
      <c r="BB16" s="217"/>
    </row>
    <row r="17" spans="1:54" ht="21.45" customHeight="1">
      <c r="A17" s="1805"/>
      <c r="B17" s="2030"/>
      <c r="C17" s="2026" t="s">
        <v>1524</v>
      </c>
      <c r="D17" s="1152"/>
      <c r="E17" s="1152"/>
      <c r="F17" s="1152"/>
      <c r="G17" s="1152"/>
      <c r="H17" s="1699" t="s">
        <v>543</v>
      </c>
      <c r="I17" s="1082"/>
      <c r="J17" s="1082"/>
      <c r="K17" s="1082"/>
      <c r="L17" s="1082"/>
      <c r="M17" s="1082"/>
      <c r="N17" s="1082"/>
      <c r="O17" s="1083"/>
      <c r="P17" s="1664" t="s">
        <v>40</v>
      </c>
      <c r="Q17" s="1076" t="s">
        <v>39</v>
      </c>
      <c r="R17" s="1076" t="s">
        <v>145</v>
      </c>
      <c r="S17" s="1076" t="s">
        <v>147</v>
      </c>
      <c r="T17" s="713" t="s">
        <v>31</v>
      </c>
      <c r="U17" s="1664" t="s">
        <v>40</v>
      </c>
      <c r="V17" s="1076" t="s">
        <v>39</v>
      </c>
      <c r="W17" s="1076" t="s">
        <v>145</v>
      </c>
      <c r="X17" s="1076" t="s">
        <v>147</v>
      </c>
      <c r="Y17" s="9" t="s">
        <v>31</v>
      </c>
      <c r="Z17" s="1846"/>
      <c r="AA17" s="478"/>
      <c r="AB17" s="1495"/>
      <c r="AC17" s="1583" t="s">
        <v>1349</v>
      </c>
      <c r="AD17" s="1584"/>
      <c r="AE17" s="1258" t="s">
        <v>1261</v>
      </c>
      <c r="AF17" s="1258"/>
      <c r="AG17" s="1258"/>
      <c r="AH17" s="1258"/>
      <c r="AI17" s="1582"/>
      <c r="AJ17" s="556" t="s">
        <v>40</v>
      </c>
      <c r="AK17" s="557" t="s">
        <v>39</v>
      </c>
      <c r="AL17" s="557" t="s">
        <v>145</v>
      </c>
      <c r="AM17" s="774" t="s">
        <v>147</v>
      </c>
      <c r="AN17" s="1734" t="s">
        <v>31</v>
      </c>
      <c r="AO17" s="1745"/>
      <c r="AP17" s="1495"/>
      <c r="AQ17" s="217"/>
      <c r="AR17" s="529" t="s">
        <v>40</v>
      </c>
      <c r="AS17" s="530" t="s">
        <v>39</v>
      </c>
      <c r="AT17" s="530" t="s">
        <v>145</v>
      </c>
      <c r="AU17" s="530" t="s">
        <v>147</v>
      </c>
      <c r="AV17" s="531" t="s">
        <v>31</v>
      </c>
      <c r="AW17" s="217"/>
      <c r="AX17" s="529" t="s">
        <v>40</v>
      </c>
      <c r="AY17" s="530" t="s">
        <v>39</v>
      </c>
      <c r="AZ17" s="530" t="s">
        <v>145</v>
      </c>
      <c r="BA17" s="530" t="s">
        <v>147</v>
      </c>
      <c r="BB17" s="531" t="s">
        <v>31</v>
      </c>
    </row>
    <row r="18" spans="1:54" ht="21" thickBot="1">
      <c r="A18" s="1805"/>
      <c r="B18" s="2030"/>
      <c r="C18" s="2025" t="s">
        <v>1140</v>
      </c>
      <c r="D18" s="1415"/>
      <c r="E18" s="1415"/>
      <c r="F18" s="1415"/>
      <c r="G18" s="1415"/>
      <c r="H18" s="1965"/>
      <c r="I18" s="1084"/>
      <c r="J18" s="1084"/>
      <c r="K18" s="1084"/>
      <c r="L18" s="1084"/>
      <c r="M18" s="1084"/>
      <c r="N18" s="1084"/>
      <c r="O18" s="1085"/>
      <c r="P18" s="1665"/>
      <c r="Q18" s="1077"/>
      <c r="R18" s="1077"/>
      <c r="S18" s="1077"/>
      <c r="T18" s="714" t="s">
        <v>544</v>
      </c>
      <c r="U18" s="1665"/>
      <c r="V18" s="1077"/>
      <c r="W18" s="1077"/>
      <c r="X18" s="1077"/>
      <c r="Y18" s="812" t="s">
        <v>146</v>
      </c>
      <c r="Z18" s="1846"/>
      <c r="AA18" s="478"/>
      <c r="AB18" s="1495"/>
      <c r="AC18" s="1585"/>
      <c r="AD18" s="1586"/>
      <c r="AE18" s="739" t="s">
        <v>40</v>
      </c>
      <c r="AF18" s="739" t="s">
        <v>39</v>
      </c>
      <c r="AG18" s="739" t="s">
        <v>145</v>
      </c>
      <c r="AH18" s="739" t="s">
        <v>147</v>
      </c>
      <c r="AI18" s="775" t="s">
        <v>31</v>
      </c>
      <c r="AJ18" s="594" t="s">
        <v>1260</v>
      </c>
      <c r="AK18" s="739" t="s">
        <v>1260</v>
      </c>
      <c r="AL18" s="739" t="s">
        <v>1260</v>
      </c>
      <c r="AM18" s="775" t="s">
        <v>1260</v>
      </c>
      <c r="AN18" s="1736" t="s">
        <v>1260</v>
      </c>
      <c r="AO18" s="1746"/>
      <c r="AP18" s="1495"/>
      <c r="AQ18" s="217"/>
      <c r="AR18" s="1557" t="s">
        <v>1285</v>
      </c>
      <c r="AS18" s="1558"/>
      <c r="AT18" s="1558"/>
      <c r="AU18" s="1558"/>
      <c r="AV18" s="1559"/>
      <c r="AW18" s="213"/>
      <c r="AX18" s="1289" t="s">
        <v>1286</v>
      </c>
      <c r="AY18" s="1289"/>
      <c r="AZ18" s="1289"/>
      <c r="BA18" s="1289"/>
      <c r="BB18" s="1289"/>
    </row>
    <row r="19" spans="1:54" ht="23.55" customHeight="1">
      <c r="A19" s="1805"/>
      <c r="B19" s="397" t="s">
        <v>316</v>
      </c>
      <c r="C19" s="2018"/>
      <c r="D19" s="2019"/>
      <c r="E19" s="2019"/>
      <c r="F19" s="2019"/>
      <c r="G19" s="2019"/>
      <c r="H19" s="1618"/>
      <c r="I19" s="2034"/>
      <c r="J19" s="2034"/>
      <c r="K19" s="2034"/>
      <c r="L19" s="2034"/>
      <c r="M19" s="2034"/>
      <c r="N19" s="2034"/>
      <c r="O19" s="2035"/>
      <c r="P19" s="1957" t="s">
        <v>509</v>
      </c>
      <c r="Q19" s="1958"/>
      <c r="R19" s="1958"/>
      <c r="S19" s="1959"/>
      <c r="T19" s="364" t="str">
        <f>IF(OR(C19="",H19=""),"",VLOOKUP(H19,'Emission factors'!$A$109:$B$112,2,FALSE))</f>
        <v/>
      </c>
      <c r="U19" s="1957" t="s">
        <v>509</v>
      </c>
      <c r="V19" s="1958"/>
      <c r="W19" s="1958"/>
      <c r="X19" s="1959"/>
      <c r="Y19" s="398" t="str">
        <f>IF(T19="","",(C19*T19*(10^-3)))</f>
        <v/>
      </c>
      <c r="Z19" s="1846"/>
      <c r="AA19" s="478"/>
      <c r="AB19" s="1495"/>
      <c r="AC19" s="1587"/>
      <c r="AD19" s="1499"/>
      <c r="AE19" s="1400"/>
      <c r="AF19" s="1400"/>
      <c r="AG19" s="1400"/>
      <c r="AH19" s="1400"/>
      <c r="AI19" s="728">
        <v>125</v>
      </c>
      <c r="AJ19" s="1562"/>
      <c r="AK19" s="1562"/>
      <c r="AL19" s="1562"/>
      <c r="AM19" s="1562"/>
      <c r="AN19" s="1562" t="str">
        <f>IF(AC19="","",(SQRT((AC19^2)+(AI19^2))))</f>
        <v/>
      </c>
      <c r="AO19" s="1592"/>
      <c r="AP19" s="1495"/>
      <c r="AQ19" s="217"/>
      <c r="AR19" s="1759"/>
      <c r="AS19" s="1760"/>
      <c r="AT19" s="1760"/>
      <c r="AU19" s="1761"/>
      <c r="AV19" s="719" t="str">
        <f t="shared" ref="AV19" si="0">IF(OR(AN19="",Y19=""),"",AN19*Y19)</f>
        <v/>
      </c>
      <c r="AW19" s="213"/>
      <c r="AX19" s="1759"/>
      <c r="AY19" s="1760"/>
      <c r="AZ19" s="1760"/>
      <c r="BA19" s="1761"/>
      <c r="BB19" s="719" t="str">
        <f t="shared" ref="BB19" si="1">IF(AV19="","",AV19^2)</f>
        <v/>
      </c>
    </row>
    <row r="20" spans="1:54" ht="23.55" customHeight="1">
      <c r="A20" s="1805"/>
      <c r="B20" s="399" t="s">
        <v>317</v>
      </c>
      <c r="C20" s="2005"/>
      <c r="D20" s="2006"/>
      <c r="E20" s="2006"/>
      <c r="F20" s="2006"/>
      <c r="G20" s="2006"/>
      <c r="H20" s="1597"/>
      <c r="I20" s="2011"/>
      <c r="J20" s="2011"/>
      <c r="K20" s="2011"/>
      <c r="L20" s="2011"/>
      <c r="M20" s="2011"/>
      <c r="N20" s="2011"/>
      <c r="O20" s="2012"/>
      <c r="P20" s="1957"/>
      <c r="Q20" s="1958"/>
      <c r="R20" s="1958"/>
      <c r="S20" s="1959"/>
      <c r="T20" s="368" t="str">
        <f>IF(OR(C20="",H20=""),"",VLOOKUP(H20,'Emission factors'!$A$109:$B$112,2,FALSE))</f>
        <v/>
      </c>
      <c r="U20" s="1957"/>
      <c r="V20" s="1958"/>
      <c r="W20" s="1958"/>
      <c r="X20" s="1959"/>
      <c r="Y20" s="400" t="str">
        <f t="shared" ref="Y20:Y26" si="2">IF(T20="","",(C20*T20*(10^-3)))</f>
        <v/>
      </c>
      <c r="Z20" s="1846"/>
      <c r="AA20" s="478"/>
      <c r="AB20" s="1495"/>
      <c r="AC20" s="1587"/>
      <c r="AD20" s="1499"/>
      <c r="AE20" s="1400"/>
      <c r="AF20" s="1400"/>
      <c r="AG20" s="1400"/>
      <c r="AH20" s="1400"/>
      <c r="AI20" s="728">
        <v>125</v>
      </c>
      <c r="AJ20" s="1562"/>
      <c r="AK20" s="1562"/>
      <c r="AL20" s="1562"/>
      <c r="AM20" s="1562"/>
      <c r="AN20" s="1562" t="str">
        <f t="shared" ref="AN20:AN28" si="3">IF(AC20="","",(SQRT((AC20^2)+(AI20^2))))</f>
        <v/>
      </c>
      <c r="AO20" s="1592"/>
      <c r="AP20" s="1495"/>
      <c r="AQ20" s="217"/>
      <c r="AR20" s="1759"/>
      <c r="AS20" s="1760"/>
      <c r="AT20" s="1760"/>
      <c r="AU20" s="1761"/>
      <c r="AV20" s="719" t="str">
        <f t="shared" ref="AV20:AV28" si="4">IF(OR(AN20="",Y20=""),"",AN20*Y20)</f>
        <v/>
      </c>
      <c r="AW20" s="213"/>
      <c r="AX20" s="1759"/>
      <c r="AY20" s="1760"/>
      <c r="AZ20" s="1760"/>
      <c r="BA20" s="1761"/>
      <c r="BB20" s="719" t="str">
        <f t="shared" ref="BB20:BB28" si="5">IF(AV20="","",AV20^2)</f>
        <v/>
      </c>
    </row>
    <row r="21" spans="1:54" ht="23.55" customHeight="1">
      <c r="A21" s="1805"/>
      <c r="B21" s="399" t="s">
        <v>318</v>
      </c>
      <c r="C21" s="2005"/>
      <c r="D21" s="2006"/>
      <c r="E21" s="2006"/>
      <c r="F21" s="2006"/>
      <c r="G21" s="2006"/>
      <c r="H21" s="1597"/>
      <c r="I21" s="2011"/>
      <c r="J21" s="2011"/>
      <c r="K21" s="2011"/>
      <c r="L21" s="2011"/>
      <c r="M21" s="2011"/>
      <c r="N21" s="2011"/>
      <c r="O21" s="2012"/>
      <c r="P21" s="1957"/>
      <c r="Q21" s="1958"/>
      <c r="R21" s="1958"/>
      <c r="S21" s="1959"/>
      <c r="T21" s="368" t="str">
        <f>IF(OR(C21="",H21=""),"",VLOOKUP(H21,'Emission factors'!$A$109:$B$112,2,FALSE))</f>
        <v/>
      </c>
      <c r="U21" s="1957"/>
      <c r="V21" s="1958"/>
      <c r="W21" s="1958"/>
      <c r="X21" s="1959"/>
      <c r="Y21" s="400" t="str">
        <f t="shared" ref="Y21:Y23" si="6">IF(T21="","",(C21*T21*(10^-3)))</f>
        <v/>
      </c>
      <c r="Z21" s="1846"/>
      <c r="AA21" s="478"/>
      <c r="AB21" s="1495"/>
      <c r="AC21" s="1587"/>
      <c r="AD21" s="1499"/>
      <c r="AE21" s="1400"/>
      <c r="AF21" s="1400"/>
      <c r="AG21" s="1400"/>
      <c r="AH21" s="1400"/>
      <c r="AI21" s="728">
        <v>125</v>
      </c>
      <c r="AJ21" s="1562"/>
      <c r="AK21" s="1562"/>
      <c r="AL21" s="1562"/>
      <c r="AM21" s="1562"/>
      <c r="AN21" s="1562" t="str">
        <f t="shared" si="3"/>
        <v/>
      </c>
      <c r="AO21" s="1592"/>
      <c r="AP21" s="1495"/>
      <c r="AQ21" s="217"/>
      <c r="AR21" s="1759"/>
      <c r="AS21" s="1760"/>
      <c r="AT21" s="1760"/>
      <c r="AU21" s="1761"/>
      <c r="AV21" s="719" t="str">
        <f t="shared" si="4"/>
        <v/>
      </c>
      <c r="AW21" s="213"/>
      <c r="AX21" s="1759"/>
      <c r="AY21" s="1760"/>
      <c r="AZ21" s="1760"/>
      <c r="BA21" s="1761"/>
      <c r="BB21" s="719" t="str">
        <f t="shared" si="5"/>
        <v/>
      </c>
    </row>
    <row r="22" spans="1:54" ht="23.55" customHeight="1">
      <c r="A22" s="1805"/>
      <c r="B22" s="399" t="s">
        <v>319</v>
      </c>
      <c r="C22" s="2005"/>
      <c r="D22" s="2006"/>
      <c r="E22" s="2006"/>
      <c r="F22" s="2006"/>
      <c r="G22" s="2006"/>
      <c r="H22" s="1597"/>
      <c r="I22" s="2011"/>
      <c r="J22" s="2011"/>
      <c r="K22" s="2011"/>
      <c r="L22" s="2011"/>
      <c r="M22" s="2011"/>
      <c r="N22" s="2011"/>
      <c r="O22" s="2012"/>
      <c r="P22" s="1957"/>
      <c r="Q22" s="1958"/>
      <c r="R22" s="1958"/>
      <c r="S22" s="1959"/>
      <c r="T22" s="368" t="str">
        <f>IF(OR(C22="",H22=""),"",VLOOKUP(H22,'Emission factors'!$A$109:$B$112,2,FALSE))</f>
        <v/>
      </c>
      <c r="U22" s="1957"/>
      <c r="V22" s="1958"/>
      <c r="W22" s="1958"/>
      <c r="X22" s="1959"/>
      <c r="Y22" s="400" t="str">
        <f t="shared" si="6"/>
        <v/>
      </c>
      <c r="Z22" s="1846"/>
      <c r="AA22" s="478"/>
      <c r="AB22" s="1495"/>
      <c r="AC22" s="1587"/>
      <c r="AD22" s="1499"/>
      <c r="AE22" s="1400"/>
      <c r="AF22" s="1400"/>
      <c r="AG22" s="1400"/>
      <c r="AH22" s="1400"/>
      <c r="AI22" s="728">
        <v>125</v>
      </c>
      <c r="AJ22" s="1562"/>
      <c r="AK22" s="1562"/>
      <c r="AL22" s="1562"/>
      <c r="AM22" s="1562"/>
      <c r="AN22" s="1562" t="str">
        <f t="shared" si="3"/>
        <v/>
      </c>
      <c r="AO22" s="1592"/>
      <c r="AP22" s="1495"/>
      <c r="AQ22" s="217"/>
      <c r="AR22" s="1759"/>
      <c r="AS22" s="1760"/>
      <c r="AT22" s="1760"/>
      <c r="AU22" s="1761"/>
      <c r="AV22" s="719" t="str">
        <f t="shared" si="4"/>
        <v/>
      </c>
      <c r="AW22" s="213"/>
      <c r="AX22" s="1759"/>
      <c r="AY22" s="1760"/>
      <c r="AZ22" s="1760"/>
      <c r="BA22" s="1761"/>
      <c r="BB22" s="719" t="str">
        <f t="shared" si="5"/>
        <v/>
      </c>
    </row>
    <row r="23" spans="1:54" ht="23.55" customHeight="1">
      <c r="A23" s="1805"/>
      <c r="B23" s="399" t="s">
        <v>320</v>
      </c>
      <c r="C23" s="2005"/>
      <c r="D23" s="2006"/>
      <c r="E23" s="2006"/>
      <c r="F23" s="2006"/>
      <c r="G23" s="2006"/>
      <c r="H23" s="1597"/>
      <c r="I23" s="2011"/>
      <c r="J23" s="2011"/>
      <c r="K23" s="2011"/>
      <c r="L23" s="2011"/>
      <c r="M23" s="2011"/>
      <c r="N23" s="2011"/>
      <c r="O23" s="2012"/>
      <c r="P23" s="1957"/>
      <c r="Q23" s="1958"/>
      <c r="R23" s="1958"/>
      <c r="S23" s="1959"/>
      <c r="T23" s="368" t="str">
        <f>IF(OR(C23="",H23=""),"",VLOOKUP(H23,'Emission factors'!$A$109:$B$112,2,FALSE))</f>
        <v/>
      </c>
      <c r="U23" s="1957"/>
      <c r="V23" s="1958"/>
      <c r="W23" s="1958"/>
      <c r="X23" s="1959"/>
      <c r="Y23" s="400" t="str">
        <f t="shared" si="6"/>
        <v/>
      </c>
      <c r="Z23" s="1846"/>
      <c r="AA23" s="478"/>
      <c r="AB23" s="1495"/>
      <c r="AC23" s="1587"/>
      <c r="AD23" s="1499"/>
      <c r="AE23" s="1400"/>
      <c r="AF23" s="1400"/>
      <c r="AG23" s="1400"/>
      <c r="AH23" s="1400"/>
      <c r="AI23" s="728">
        <v>125</v>
      </c>
      <c r="AJ23" s="1562"/>
      <c r="AK23" s="1562"/>
      <c r="AL23" s="1562"/>
      <c r="AM23" s="1562"/>
      <c r="AN23" s="1562" t="str">
        <f t="shared" si="3"/>
        <v/>
      </c>
      <c r="AO23" s="1592"/>
      <c r="AP23" s="1495"/>
      <c r="AQ23" s="217"/>
      <c r="AR23" s="1759"/>
      <c r="AS23" s="1760"/>
      <c r="AT23" s="1760"/>
      <c r="AU23" s="1761"/>
      <c r="AV23" s="719" t="str">
        <f t="shared" si="4"/>
        <v/>
      </c>
      <c r="AW23" s="213"/>
      <c r="AX23" s="1759"/>
      <c r="AY23" s="1760"/>
      <c r="AZ23" s="1760"/>
      <c r="BA23" s="1761"/>
      <c r="BB23" s="719" t="str">
        <f t="shared" si="5"/>
        <v/>
      </c>
    </row>
    <row r="24" spans="1:54" ht="23.55" customHeight="1">
      <c r="A24" s="1805"/>
      <c r="B24" s="399" t="s">
        <v>321</v>
      </c>
      <c r="C24" s="2005"/>
      <c r="D24" s="2006"/>
      <c r="E24" s="2006"/>
      <c r="F24" s="2006"/>
      <c r="G24" s="2006"/>
      <c r="H24" s="1597"/>
      <c r="I24" s="2011"/>
      <c r="J24" s="2011"/>
      <c r="K24" s="2011"/>
      <c r="L24" s="2011"/>
      <c r="M24" s="2011"/>
      <c r="N24" s="2011"/>
      <c r="O24" s="2012"/>
      <c r="P24" s="1957"/>
      <c r="Q24" s="1958"/>
      <c r="R24" s="1958"/>
      <c r="S24" s="1959"/>
      <c r="T24" s="368" t="str">
        <f>IF(OR(C24="",H24=""),"",VLOOKUP(H24,'Emission factors'!$A$109:$B$112,2,FALSE))</f>
        <v/>
      </c>
      <c r="U24" s="1957"/>
      <c r="V24" s="1958"/>
      <c r="W24" s="1958"/>
      <c r="X24" s="1959"/>
      <c r="Y24" s="400" t="str">
        <f t="shared" si="2"/>
        <v/>
      </c>
      <c r="Z24" s="1846"/>
      <c r="AA24" s="478"/>
      <c r="AB24" s="1495"/>
      <c r="AC24" s="1587"/>
      <c r="AD24" s="1499"/>
      <c r="AE24" s="1400"/>
      <c r="AF24" s="1400"/>
      <c r="AG24" s="1400"/>
      <c r="AH24" s="1400"/>
      <c r="AI24" s="728">
        <v>125</v>
      </c>
      <c r="AJ24" s="1562"/>
      <c r="AK24" s="1562"/>
      <c r="AL24" s="1562"/>
      <c r="AM24" s="1562"/>
      <c r="AN24" s="1562" t="str">
        <f t="shared" si="3"/>
        <v/>
      </c>
      <c r="AO24" s="1592"/>
      <c r="AP24" s="1495"/>
      <c r="AQ24" s="217"/>
      <c r="AR24" s="1759"/>
      <c r="AS24" s="1760"/>
      <c r="AT24" s="1760"/>
      <c r="AU24" s="1761"/>
      <c r="AV24" s="719" t="str">
        <f t="shared" si="4"/>
        <v/>
      </c>
      <c r="AW24" s="213"/>
      <c r="AX24" s="1759"/>
      <c r="AY24" s="1760"/>
      <c r="AZ24" s="1760"/>
      <c r="BA24" s="1761"/>
      <c r="BB24" s="719" t="str">
        <f t="shared" si="5"/>
        <v/>
      </c>
    </row>
    <row r="25" spans="1:54" ht="23.55" customHeight="1">
      <c r="A25" s="1805"/>
      <c r="B25" s="399" t="s">
        <v>322</v>
      </c>
      <c r="C25" s="2005"/>
      <c r="D25" s="2006"/>
      <c r="E25" s="2006"/>
      <c r="F25" s="2006"/>
      <c r="G25" s="2006"/>
      <c r="H25" s="1597"/>
      <c r="I25" s="2011"/>
      <c r="J25" s="2011"/>
      <c r="K25" s="2011"/>
      <c r="L25" s="2011"/>
      <c r="M25" s="2011"/>
      <c r="N25" s="2011"/>
      <c r="O25" s="2012"/>
      <c r="P25" s="1957"/>
      <c r="Q25" s="1958"/>
      <c r="R25" s="1958"/>
      <c r="S25" s="1959"/>
      <c r="T25" s="368" t="str">
        <f>IF(OR(C25="",H25=""),"",VLOOKUP(H25,'Emission factors'!$A$109:$B$112,2,FALSE))</f>
        <v/>
      </c>
      <c r="U25" s="1957"/>
      <c r="V25" s="1958"/>
      <c r="W25" s="1958"/>
      <c r="X25" s="1959"/>
      <c r="Y25" s="400" t="str">
        <f t="shared" si="2"/>
        <v/>
      </c>
      <c r="Z25" s="1846"/>
      <c r="AA25" s="478"/>
      <c r="AB25" s="1495"/>
      <c r="AC25" s="1587"/>
      <c r="AD25" s="1499"/>
      <c r="AE25" s="1400"/>
      <c r="AF25" s="1400"/>
      <c r="AG25" s="1400"/>
      <c r="AH25" s="1400"/>
      <c r="AI25" s="728">
        <v>125</v>
      </c>
      <c r="AJ25" s="1562"/>
      <c r="AK25" s="1562"/>
      <c r="AL25" s="1562"/>
      <c r="AM25" s="1562"/>
      <c r="AN25" s="1562" t="str">
        <f t="shared" si="3"/>
        <v/>
      </c>
      <c r="AO25" s="1592"/>
      <c r="AP25" s="1495"/>
      <c r="AQ25" s="217"/>
      <c r="AR25" s="1759"/>
      <c r="AS25" s="1760"/>
      <c r="AT25" s="1760"/>
      <c r="AU25" s="1761"/>
      <c r="AV25" s="719" t="str">
        <f t="shared" si="4"/>
        <v/>
      </c>
      <c r="AW25" s="213"/>
      <c r="AX25" s="1759"/>
      <c r="AY25" s="1760"/>
      <c r="AZ25" s="1760"/>
      <c r="BA25" s="1761"/>
      <c r="BB25" s="719" t="str">
        <f t="shared" si="5"/>
        <v/>
      </c>
    </row>
    <row r="26" spans="1:54" ht="23.55" customHeight="1">
      <c r="A26" s="1805"/>
      <c r="B26" s="399" t="s">
        <v>545</v>
      </c>
      <c r="C26" s="2005"/>
      <c r="D26" s="2006"/>
      <c r="E26" s="2006"/>
      <c r="F26" s="2006"/>
      <c r="G26" s="2006"/>
      <c r="H26" s="1597"/>
      <c r="I26" s="2011"/>
      <c r="J26" s="2011"/>
      <c r="K26" s="2011"/>
      <c r="L26" s="2011"/>
      <c r="M26" s="2011"/>
      <c r="N26" s="2011"/>
      <c r="O26" s="2012"/>
      <c r="P26" s="1957"/>
      <c r="Q26" s="1958"/>
      <c r="R26" s="1958"/>
      <c r="S26" s="1959"/>
      <c r="T26" s="368" t="str">
        <f>IF(OR(C26="",H26=""),"",VLOOKUP(H26,'Emission factors'!$A$109:$B$112,2,FALSE))</f>
        <v/>
      </c>
      <c r="U26" s="1957"/>
      <c r="V26" s="1958"/>
      <c r="W26" s="1958"/>
      <c r="X26" s="1959"/>
      <c r="Y26" s="400" t="str">
        <f t="shared" si="2"/>
        <v/>
      </c>
      <c r="Z26" s="1846"/>
      <c r="AA26" s="478"/>
      <c r="AB26" s="1495"/>
      <c r="AC26" s="1587"/>
      <c r="AD26" s="1499"/>
      <c r="AE26" s="1400"/>
      <c r="AF26" s="1400"/>
      <c r="AG26" s="1400"/>
      <c r="AH26" s="1400"/>
      <c r="AI26" s="728">
        <v>125</v>
      </c>
      <c r="AJ26" s="1562"/>
      <c r="AK26" s="1562"/>
      <c r="AL26" s="1562"/>
      <c r="AM26" s="1562"/>
      <c r="AN26" s="1562" t="str">
        <f t="shared" si="3"/>
        <v/>
      </c>
      <c r="AO26" s="1592"/>
      <c r="AP26" s="1495"/>
      <c r="AQ26" s="217"/>
      <c r="AR26" s="1759"/>
      <c r="AS26" s="1760"/>
      <c r="AT26" s="1760"/>
      <c r="AU26" s="1761"/>
      <c r="AV26" s="719" t="str">
        <f t="shared" si="4"/>
        <v/>
      </c>
      <c r="AW26" s="213"/>
      <c r="AX26" s="1759"/>
      <c r="AY26" s="1760"/>
      <c r="AZ26" s="1760"/>
      <c r="BA26" s="1761"/>
      <c r="BB26" s="719" t="str">
        <f t="shared" si="5"/>
        <v/>
      </c>
    </row>
    <row r="27" spans="1:54" ht="23.55" customHeight="1">
      <c r="A27" s="1805"/>
      <c r="B27" s="399" t="s">
        <v>547</v>
      </c>
      <c r="C27" s="2005"/>
      <c r="D27" s="2006"/>
      <c r="E27" s="2006"/>
      <c r="F27" s="2006"/>
      <c r="G27" s="2006"/>
      <c r="H27" s="1597"/>
      <c r="I27" s="2011"/>
      <c r="J27" s="2011"/>
      <c r="K27" s="2011"/>
      <c r="L27" s="2011"/>
      <c r="M27" s="2011"/>
      <c r="N27" s="2011"/>
      <c r="O27" s="2012"/>
      <c r="P27" s="1957"/>
      <c r="Q27" s="1958"/>
      <c r="R27" s="1958"/>
      <c r="S27" s="1959"/>
      <c r="T27" s="368" t="str">
        <f>IF(OR(C27="",H27=""),"",VLOOKUP(H27,'Emission factors'!$A$109:$B$112,2,FALSE))</f>
        <v/>
      </c>
      <c r="U27" s="1957"/>
      <c r="V27" s="1958"/>
      <c r="W27" s="1958"/>
      <c r="X27" s="1959"/>
      <c r="Y27" s="400" t="str">
        <f t="shared" ref="Y27:Y28" si="7">IF(T27="","",(C27*T27*(10^-3)))</f>
        <v/>
      </c>
      <c r="Z27" s="1846"/>
      <c r="AA27" s="478"/>
      <c r="AB27" s="1495"/>
      <c r="AC27" s="1587"/>
      <c r="AD27" s="1499"/>
      <c r="AE27" s="1400"/>
      <c r="AF27" s="1400"/>
      <c r="AG27" s="1400"/>
      <c r="AH27" s="1400"/>
      <c r="AI27" s="728">
        <v>125</v>
      </c>
      <c r="AJ27" s="1562"/>
      <c r="AK27" s="1562"/>
      <c r="AL27" s="1562"/>
      <c r="AM27" s="1562"/>
      <c r="AN27" s="1562" t="str">
        <f t="shared" si="3"/>
        <v/>
      </c>
      <c r="AO27" s="1592"/>
      <c r="AP27" s="1495"/>
      <c r="AQ27" s="217"/>
      <c r="AR27" s="1759"/>
      <c r="AS27" s="1760"/>
      <c r="AT27" s="1760"/>
      <c r="AU27" s="1761"/>
      <c r="AV27" s="719" t="str">
        <f t="shared" si="4"/>
        <v/>
      </c>
      <c r="AW27" s="213"/>
      <c r="AX27" s="1759"/>
      <c r="AY27" s="1760"/>
      <c r="AZ27" s="1760"/>
      <c r="BA27" s="1761"/>
      <c r="BB27" s="719" t="str">
        <f t="shared" si="5"/>
        <v/>
      </c>
    </row>
    <row r="28" spans="1:54" ht="23.55" customHeight="1" thickBot="1">
      <c r="A28" s="1806"/>
      <c r="B28" s="401" t="s">
        <v>548</v>
      </c>
      <c r="C28" s="2013"/>
      <c r="D28" s="2014"/>
      <c r="E28" s="2014"/>
      <c r="F28" s="2014"/>
      <c r="G28" s="2014"/>
      <c r="H28" s="2015"/>
      <c r="I28" s="2016"/>
      <c r="J28" s="2016"/>
      <c r="K28" s="2016"/>
      <c r="L28" s="2016"/>
      <c r="M28" s="2016"/>
      <c r="N28" s="2016"/>
      <c r="O28" s="2017"/>
      <c r="P28" s="1957"/>
      <c r="Q28" s="1958"/>
      <c r="R28" s="1958"/>
      <c r="S28" s="1959"/>
      <c r="T28" s="373" t="str">
        <f>IF(OR(C28="",H28=""),"",VLOOKUP(H28,'Emission factors'!$A$109:$B$112,2,FALSE))</f>
        <v/>
      </c>
      <c r="U28" s="1957"/>
      <c r="V28" s="1958"/>
      <c r="W28" s="1958"/>
      <c r="X28" s="1959"/>
      <c r="Y28" s="402" t="str">
        <f t="shared" si="7"/>
        <v/>
      </c>
      <c r="Z28" s="1847"/>
      <c r="AA28" s="478"/>
      <c r="AB28" s="1496"/>
      <c r="AC28" s="1587"/>
      <c r="AD28" s="1499"/>
      <c r="AE28" s="1400"/>
      <c r="AF28" s="1400"/>
      <c r="AG28" s="1400"/>
      <c r="AH28" s="1400"/>
      <c r="AI28" s="728">
        <v>125</v>
      </c>
      <c r="AJ28" s="1562"/>
      <c r="AK28" s="1562"/>
      <c r="AL28" s="1562"/>
      <c r="AM28" s="1562"/>
      <c r="AN28" s="1562" t="str">
        <f t="shared" si="3"/>
        <v/>
      </c>
      <c r="AO28" s="1592"/>
      <c r="AP28" s="1496"/>
      <c r="AQ28" s="217"/>
      <c r="AR28" s="1759"/>
      <c r="AS28" s="1760"/>
      <c r="AT28" s="1760"/>
      <c r="AU28" s="1761"/>
      <c r="AV28" s="719" t="str">
        <f t="shared" si="4"/>
        <v/>
      </c>
      <c r="AW28" s="213"/>
      <c r="AX28" s="1759"/>
      <c r="AY28" s="1760"/>
      <c r="AZ28" s="1760"/>
      <c r="BA28" s="1761"/>
      <c r="BB28" s="719" t="str">
        <f t="shared" si="5"/>
        <v/>
      </c>
    </row>
    <row r="29" spans="1:54" ht="31.5" customHeight="1" thickBot="1">
      <c r="A29" s="2031"/>
      <c r="B29" s="2032"/>
      <c r="C29" s="2032"/>
      <c r="D29" s="2032"/>
      <c r="E29" s="2032"/>
      <c r="F29" s="2032"/>
      <c r="G29" s="2032"/>
      <c r="H29" s="2032"/>
      <c r="I29" s="2032"/>
      <c r="J29" s="2032"/>
      <c r="K29" s="2032"/>
      <c r="L29" s="2032"/>
      <c r="M29" s="2032"/>
      <c r="N29" s="2032"/>
      <c r="O29" s="2032"/>
      <c r="P29" s="2032"/>
      <c r="Q29" s="2032"/>
      <c r="R29" s="2032"/>
      <c r="S29" s="2032"/>
      <c r="T29" s="2032"/>
      <c r="U29" s="2032"/>
      <c r="V29" s="2032"/>
      <c r="W29" s="2032"/>
      <c r="X29" s="2032"/>
      <c r="Y29" s="2032"/>
      <c r="Z29" s="2033"/>
      <c r="AA29" s="458"/>
      <c r="AB29" s="1464"/>
      <c r="AC29" s="1465"/>
      <c r="AD29" s="1465"/>
      <c r="AE29" s="1465"/>
      <c r="AF29" s="1465"/>
      <c r="AG29" s="1465"/>
      <c r="AH29" s="1465"/>
      <c r="AI29" s="1465"/>
      <c r="AJ29" s="1465"/>
      <c r="AK29" s="1465"/>
      <c r="AL29" s="1465"/>
      <c r="AM29" s="1465"/>
      <c r="AN29" s="1465"/>
      <c r="AO29" s="1465"/>
      <c r="AP29" s="1467"/>
    </row>
    <row r="30" spans="1:54" ht="37.5" hidden="1" customHeight="1">
      <c r="AA30" s="458"/>
    </row>
    <row r="31" spans="1:54" ht="43.05" hidden="1" customHeight="1">
      <c r="AA31" s="458"/>
    </row>
    <row r="32" spans="1:54" ht="43.05" hidden="1" customHeight="1">
      <c r="AA32" s="458"/>
    </row>
    <row r="33" spans="1:54" ht="43.05" customHeight="1">
      <c r="A33" s="1795"/>
      <c r="B33" s="1795"/>
      <c r="C33" s="1795"/>
      <c r="D33" s="1795"/>
      <c r="E33" s="1795"/>
      <c r="F33" s="1795"/>
      <c r="G33" s="1795"/>
      <c r="H33" s="1795"/>
      <c r="I33" s="1795"/>
      <c r="J33" s="1795"/>
      <c r="K33" s="1795"/>
      <c r="L33" s="1795"/>
      <c r="M33" s="1795"/>
      <c r="N33" s="1795"/>
      <c r="O33" s="1795"/>
      <c r="P33" s="1795"/>
      <c r="Q33" s="1795"/>
      <c r="R33" s="1795"/>
      <c r="S33" s="1795"/>
      <c r="T33" s="1795"/>
      <c r="U33" s="1795"/>
      <c r="V33" s="1795"/>
      <c r="W33" s="1795"/>
      <c r="X33" s="1795"/>
      <c r="Y33" s="1795"/>
      <c r="Z33" s="1795"/>
      <c r="AA33" s="458"/>
      <c r="AB33" s="458"/>
      <c r="AC33" s="458"/>
      <c r="AD33" s="458"/>
      <c r="AE33" s="458"/>
      <c r="AF33" s="458"/>
      <c r="AG33" s="458"/>
      <c r="AH33" s="458"/>
      <c r="AI33" s="458"/>
      <c r="AJ33" s="458"/>
      <c r="AK33" s="458"/>
      <c r="AL33" s="458"/>
      <c r="AM33" s="458"/>
      <c r="AN33" s="458"/>
      <c r="AO33" s="458"/>
      <c r="AP33" s="458"/>
    </row>
    <row r="34" spans="1:54" ht="37.5" customHeight="1" thickBot="1">
      <c r="A34" s="1994"/>
      <c r="B34" s="1994"/>
      <c r="C34" s="1994"/>
      <c r="D34" s="1994"/>
      <c r="E34" s="1994"/>
      <c r="F34" s="1994"/>
      <c r="G34" s="1994"/>
      <c r="H34" s="1994"/>
      <c r="I34" s="1994"/>
      <c r="J34" s="1994"/>
      <c r="K34" s="1994"/>
      <c r="L34" s="1994"/>
      <c r="M34" s="1994"/>
      <c r="N34" s="1994"/>
      <c r="O34" s="1994"/>
      <c r="P34" s="1994"/>
      <c r="Q34" s="1994"/>
      <c r="R34" s="1994"/>
      <c r="S34" s="1994"/>
      <c r="T34" s="1994"/>
      <c r="U34" s="1994"/>
      <c r="V34" s="1994"/>
      <c r="W34" s="1994"/>
      <c r="X34" s="1994"/>
      <c r="Y34" s="1994"/>
      <c r="Z34" s="1994"/>
      <c r="AA34" s="458"/>
      <c r="AB34" s="458"/>
      <c r="AC34" s="458"/>
      <c r="AD34" s="458"/>
      <c r="AE34" s="458"/>
      <c r="AF34" s="458"/>
      <c r="AG34" s="458"/>
      <c r="AH34" s="458"/>
      <c r="AI34" s="458"/>
      <c r="AJ34" s="458"/>
      <c r="AK34" s="458"/>
      <c r="AL34" s="458"/>
      <c r="AM34" s="458"/>
      <c r="AN34" s="458"/>
      <c r="AO34" s="458"/>
      <c r="AP34" s="458"/>
    </row>
    <row r="35" spans="1:54" ht="36.450000000000003" customHeight="1" thickBot="1">
      <c r="A35" s="1878" t="s">
        <v>1145</v>
      </c>
      <c r="B35" s="1879"/>
      <c r="C35" s="1879"/>
      <c r="D35" s="1879"/>
      <c r="E35" s="1879"/>
      <c r="F35" s="1879"/>
      <c r="G35" s="1879"/>
      <c r="H35" s="1879"/>
      <c r="I35" s="1879"/>
      <c r="J35" s="1879"/>
      <c r="K35" s="1879"/>
      <c r="L35" s="1879"/>
      <c r="M35" s="1879"/>
      <c r="N35" s="1879"/>
      <c r="O35" s="1879"/>
      <c r="P35" s="1879"/>
      <c r="Q35" s="1879"/>
      <c r="R35" s="1879"/>
      <c r="S35" s="1879"/>
      <c r="T35" s="1879"/>
      <c r="U35" s="1879"/>
      <c r="V35" s="1879"/>
      <c r="W35" s="1879"/>
      <c r="X35" s="1879"/>
      <c r="Y35" s="1879"/>
      <c r="Z35" s="1880"/>
      <c r="AA35" s="458"/>
      <c r="AB35" s="1991" t="s">
        <v>1551</v>
      </c>
      <c r="AC35" s="1992"/>
      <c r="AD35" s="1992"/>
      <c r="AE35" s="1992"/>
      <c r="AF35" s="1992"/>
      <c r="AG35" s="1992"/>
      <c r="AH35" s="1992"/>
      <c r="AI35" s="1992"/>
      <c r="AJ35" s="1992"/>
      <c r="AK35" s="1992"/>
      <c r="AL35" s="1992"/>
      <c r="AM35" s="1992"/>
      <c r="AN35" s="1992"/>
      <c r="AO35" s="1992"/>
      <c r="AP35" s="1993"/>
    </row>
    <row r="36" spans="1:54" ht="31.5" customHeight="1" thickBot="1">
      <c r="A36" s="1065" t="s">
        <v>430</v>
      </c>
      <c r="B36" s="1066"/>
      <c r="C36" s="1066"/>
      <c r="D36" s="1066"/>
      <c r="E36" s="1066"/>
      <c r="F36" s="1066"/>
      <c r="G36" s="1066"/>
      <c r="H36" s="1066"/>
      <c r="I36" s="1066"/>
      <c r="J36" s="1066"/>
      <c r="K36" s="1066"/>
      <c r="L36" s="1066"/>
      <c r="M36" s="1066"/>
      <c r="N36" s="1066"/>
      <c r="O36" s="1066"/>
      <c r="P36" s="1066"/>
      <c r="Q36" s="1066"/>
      <c r="R36" s="1066"/>
      <c r="S36" s="1066"/>
      <c r="T36" s="1066"/>
      <c r="U36" s="1066"/>
      <c r="V36" s="1066"/>
      <c r="W36" s="1066"/>
      <c r="X36" s="1066"/>
      <c r="Y36" s="1066"/>
      <c r="Z36" s="1067"/>
      <c r="AA36" s="458"/>
      <c r="AB36" s="1464"/>
      <c r="AC36" s="1465"/>
      <c r="AD36" s="1465"/>
      <c r="AE36" s="1465"/>
      <c r="AF36" s="1465"/>
      <c r="AG36" s="1465"/>
      <c r="AH36" s="1465"/>
      <c r="AI36" s="1465"/>
      <c r="AJ36" s="1465"/>
      <c r="AK36" s="1465"/>
      <c r="AL36" s="1465"/>
      <c r="AM36" s="1465"/>
      <c r="AN36" s="1465"/>
      <c r="AO36" s="1465"/>
      <c r="AP36" s="1467"/>
      <c r="AQ36" s="217"/>
      <c r="AR36" s="217"/>
      <c r="AS36" s="217"/>
      <c r="AT36" s="217"/>
      <c r="AU36" s="217"/>
      <c r="AV36" s="217"/>
      <c r="AW36" s="217"/>
      <c r="AX36" s="217"/>
      <c r="AY36" s="217"/>
      <c r="AZ36" s="217"/>
      <c r="BA36" s="217"/>
      <c r="BB36" s="217"/>
    </row>
    <row r="37" spans="1:54" ht="25.8" thickBot="1">
      <c r="A37" s="1804"/>
      <c r="B37" s="2030" t="s">
        <v>546</v>
      </c>
      <c r="C37" s="1317" t="s">
        <v>811</v>
      </c>
      <c r="D37" s="1318"/>
      <c r="E37" s="1318"/>
      <c r="F37" s="1318"/>
      <c r="G37" s="1318"/>
      <c r="H37" s="1318"/>
      <c r="I37" s="1318"/>
      <c r="J37" s="1318"/>
      <c r="K37" s="1318"/>
      <c r="L37" s="1318"/>
      <c r="M37" s="1318"/>
      <c r="N37" s="1318"/>
      <c r="O37" s="1319"/>
      <c r="P37" s="1317" t="s">
        <v>510</v>
      </c>
      <c r="Q37" s="1318"/>
      <c r="R37" s="1318"/>
      <c r="S37" s="1318"/>
      <c r="T37" s="1319"/>
      <c r="U37" s="1317" t="s">
        <v>511</v>
      </c>
      <c r="V37" s="1318"/>
      <c r="W37" s="1318"/>
      <c r="X37" s="1318"/>
      <c r="Y37" s="1318"/>
      <c r="Z37" s="1846"/>
      <c r="AA37" s="458"/>
      <c r="AB37" s="1494"/>
      <c r="AC37" s="1252" t="s">
        <v>1356</v>
      </c>
      <c r="AD37" s="1252"/>
      <c r="AE37" s="1252"/>
      <c r="AF37" s="1252"/>
      <c r="AG37" s="1252"/>
      <c r="AH37" s="1252"/>
      <c r="AI37" s="1581"/>
      <c r="AJ37" s="1730" t="s">
        <v>1357</v>
      </c>
      <c r="AK37" s="1205"/>
      <c r="AL37" s="1205"/>
      <c r="AM37" s="1205"/>
      <c r="AN37" s="1205"/>
      <c r="AO37" s="1205"/>
      <c r="AP37" s="1494"/>
      <c r="AQ37" s="217"/>
      <c r="AR37" s="217"/>
      <c r="AS37" s="217"/>
      <c r="AT37" s="217"/>
      <c r="AU37" s="217"/>
      <c r="AV37" s="217"/>
      <c r="AW37" s="217"/>
      <c r="AX37" s="217"/>
      <c r="AY37" s="217"/>
      <c r="AZ37" s="217"/>
      <c r="BA37" s="217"/>
      <c r="BB37" s="217"/>
    </row>
    <row r="38" spans="1:54" ht="22.95" customHeight="1">
      <c r="A38" s="1805"/>
      <c r="B38" s="2030"/>
      <c r="C38" s="2026" t="s">
        <v>508</v>
      </c>
      <c r="D38" s="1152"/>
      <c r="E38" s="1152"/>
      <c r="F38" s="1152"/>
      <c r="G38" s="1152"/>
      <c r="H38" s="1699" t="s">
        <v>543</v>
      </c>
      <c r="I38" s="1082"/>
      <c r="J38" s="1082"/>
      <c r="K38" s="1082"/>
      <c r="L38" s="1082"/>
      <c r="M38" s="1082"/>
      <c r="N38" s="1082"/>
      <c r="O38" s="1083"/>
      <c r="P38" s="1664" t="s">
        <v>40</v>
      </c>
      <c r="Q38" s="1076" t="s">
        <v>39</v>
      </c>
      <c r="R38" s="1076" t="s">
        <v>145</v>
      </c>
      <c r="S38" s="1076" t="s">
        <v>147</v>
      </c>
      <c r="T38" s="713" t="s">
        <v>31</v>
      </c>
      <c r="U38" s="1664" t="s">
        <v>40</v>
      </c>
      <c r="V38" s="1076" t="s">
        <v>39</v>
      </c>
      <c r="W38" s="1076" t="s">
        <v>145</v>
      </c>
      <c r="X38" s="1076" t="s">
        <v>147</v>
      </c>
      <c r="Y38" s="9" t="s">
        <v>31</v>
      </c>
      <c r="Z38" s="1846"/>
      <c r="AA38" s="458"/>
      <c r="AB38" s="1495"/>
      <c r="AC38" s="1583" t="s">
        <v>1355</v>
      </c>
      <c r="AD38" s="1584"/>
      <c r="AE38" s="1258" t="s">
        <v>1261</v>
      </c>
      <c r="AF38" s="1258"/>
      <c r="AG38" s="1258"/>
      <c r="AH38" s="1258"/>
      <c r="AI38" s="1582"/>
      <c r="AJ38" s="556" t="s">
        <v>40</v>
      </c>
      <c r="AK38" s="557" t="s">
        <v>39</v>
      </c>
      <c r="AL38" s="557" t="s">
        <v>145</v>
      </c>
      <c r="AM38" s="774" t="s">
        <v>147</v>
      </c>
      <c r="AN38" s="1734" t="s">
        <v>31</v>
      </c>
      <c r="AO38" s="1745"/>
      <c r="AP38" s="1495"/>
      <c r="AQ38" s="217"/>
      <c r="AR38" s="529" t="s">
        <v>40</v>
      </c>
      <c r="AS38" s="530" t="s">
        <v>39</v>
      </c>
      <c r="AT38" s="530" t="s">
        <v>145</v>
      </c>
      <c r="AU38" s="530" t="s">
        <v>147</v>
      </c>
      <c r="AV38" s="531" t="s">
        <v>31</v>
      </c>
      <c r="AW38" s="217"/>
      <c r="AX38" s="529" t="s">
        <v>40</v>
      </c>
      <c r="AY38" s="530" t="s">
        <v>39</v>
      </c>
      <c r="AZ38" s="530" t="s">
        <v>145</v>
      </c>
      <c r="BA38" s="530" t="s">
        <v>147</v>
      </c>
      <c r="BB38" s="531" t="s">
        <v>31</v>
      </c>
    </row>
    <row r="39" spans="1:54" ht="21" thickBot="1">
      <c r="A39" s="1805"/>
      <c r="B39" s="2030"/>
      <c r="C39" s="2025" t="s">
        <v>1140</v>
      </c>
      <c r="D39" s="1415"/>
      <c r="E39" s="1415"/>
      <c r="F39" s="1415"/>
      <c r="G39" s="1415"/>
      <c r="H39" s="1965"/>
      <c r="I39" s="1084"/>
      <c r="J39" s="1084"/>
      <c r="K39" s="1084"/>
      <c r="L39" s="1084"/>
      <c r="M39" s="1084"/>
      <c r="N39" s="1084"/>
      <c r="O39" s="1085"/>
      <c r="P39" s="1665"/>
      <c r="Q39" s="1077"/>
      <c r="R39" s="1077"/>
      <c r="S39" s="1077"/>
      <c r="T39" s="714" t="s">
        <v>544</v>
      </c>
      <c r="U39" s="1665"/>
      <c r="V39" s="1077"/>
      <c r="W39" s="1077"/>
      <c r="X39" s="1077"/>
      <c r="Y39" s="812" t="s">
        <v>146</v>
      </c>
      <c r="Z39" s="1846"/>
      <c r="AA39" s="458"/>
      <c r="AB39" s="1495"/>
      <c r="AC39" s="1585"/>
      <c r="AD39" s="1586"/>
      <c r="AE39" s="739" t="s">
        <v>40</v>
      </c>
      <c r="AF39" s="739" t="s">
        <v>39</v>
      </c>
      <c r="AG39" s="739" t="s">
        <v>145</v>
      </c>
      <c r="AH39" s="739" t="s">
        <v>147</v>
      </c>
      <c r="AI39" s="775" t="s">
        <v>31</v>
      </c>
      <c r="AJ39" s="594" t="s">
        <v>1260</v>
      </c>
      <c r="AK39" s="739" t="s">
        <v>1260</v>
      </c>
      <c r="AL39" s="739" t="s">
        <v>1260</v>
      </c>
      <c r="AM39" s="775" t="s">
        <v>1260</v>
      </c>
      <c r="AN39" s="1736" t="s">
        <v>1260</v>
      </c>
      <c r="AO39" s="1746"/>
      <c r="AP39" s="1495"/>
      <c r="AQ39" s="217"/>
      <c r="AR39" s="1557" t="s">
        <v>1285</v>
      </c>
      <c r="AS39" s="1558"/>
      <c r="AT39" s="1558"/>
      <c r="AU39" s="1558"/>
      <c r="AV39" s="1559"/>
      <c r="AW39" s="213"/>
      <c r="AX39" s="1289" t="s">
        <v>1286</v>
      </c>
      <c r="AY39" s="1289"/>
      <c r="AZ39" s="1289"/>
      <c r="BA39" s="1289"/>
      <c r="BB39" s="1289"/>
    </row>
    <row r="40" spans="1:54" ht="23.55" customHeight="1">
      <c r="A40" s="1805"/>
      <c r="B40" s="397" t="s">
        <v>316</v>
      </c>
      <c r="C40" s="2005"/>
      <c r="D40" s="2006"/>
      <c r="E40" s="2006"/>
      <c r="F40" s="2006"/>
      <c r="G40" s="2006"/>
      <c r="H40" s="1618"/>
      <c r="I40" s="2034"/>
      <c r="J40" s="2034"/>
      <c r="K40" s="2034"/>
      <c r="L40" s="2034"/>
      <c r="M40" s="2034"/>
      <c r="N40" s="2034"/>
      <c r="O40" s="2035"/>
      <c r="P40" s="1957" t="s">
        <v>509</v>
      </c>
      <c r="Q40" s="1958"/>
      <c r="R40" s="1958"/>
      <c r="S40" s="1959"/>
      <c r="T40" s="364" t="str">
        <f>IF(OR(C40="",H40=""),"",VLOOKUP(H40,'Emission factors'!$A$113:$B$117,2,FALSE))</f>
        <v/>
      </c>
      <c r="U40" s="1875" t="s">
        <v>509</v>
      </c>
      <c r="V40" s="1876"/>
      <c r="W40" s="1876"/>
      <c r="X40" s="1877"/>
      <c r="Y40" s="398" t="str">
        <f>IF(T40="","",(C40*T40*(10^-3)))</f>
        <v/>
      </c>
      <c r="Z40" s="1846"/>
      <c r="AA40" s="458"/>
      <c r="AB40" s="1495"/>
      <c r="AC40" s="1587"/>
      <c r="AD40" s="1499"/>
      <c r="AE40" s="1400"/>
      <c r="AF40" s="1400"/>
      <c r="AG40" s="1400"/>
      <c r="AH40" s="1400"/>
      <c r="AI40" s="728">
        <v>40</v>
      </c>
      <c r="AJ40" s="1562"/>
      <c r="AK40" s="1562"/>
      <c r="AL40" s="1562"/>
      <c r="AM40" s="1562"/>
      <c r="AN40" s="1562" t="str">
        <f t="shared" ref="AN40" si="8">IF(AC40="","",(SQRT((AC40^2)+(AI40^2))))</f>
        <v/>
      </c>
      <c r="AO40" s="1592"/>
      <c r="AP40" s="1495"/>
      <c r="AQ40" s="217"/>
      <c r="AR40" s="1759"/>
      <c r="AS40" s="1760"/>
      <c r="AT40" s="1760"/>
      <c r="AU40" s="1761"/>
      <c r="AV40" s="719" t="str">
        <f t="shared" ref="AV40" si="9">IF(OR(AN40="",Y40=""),"",AN40*Y40)</f>
        <v/>
      </c>
      <c r="AW40" s="213"/>
      <c r="AX40" s="1759"/>
      <c r="AY40" s="1760"/>
      <c r="AZ40" s="1760"/>
      <c r="BA40" s="1761"/>
      <c r="BB40" s="719" t="str">
        <f t="shared" ref="BB40" si="10">IF(AV40="","",AV40^2)</f>
        <v/>
      </c>
    </row>
    <row r="41" spans="1:54" ht="23.55" customHeight="1">
      <c r="A41" s="1805"/>
      <c r="B41" s="399" t="s">
        <v>317</v>
      </c>
      <c r="C41" s="2005"/>
      <c r="D41" s="2006"/>
      <c r="E41" s="2006"/>
      <c r="F41" s="2006"/>
      <c r="G41" s="2006"/>
      <c r="H41" s="1597"/>
      <c r="I41" s="2011"/>
      <c r="J41" s="2011"/>
      <c r="K41" s="2011"/>
      <c r="L41" s="2011"/>
      <c r="M41" s="2011"/>
      <c r="N41" s="2011"/>
      <c r="O41" s="2012"/>
      <c r="P41" s="1957"/>
      <c r="Q41" s="1958"/>
      <c r="R41" s="1958"/>
      <c r="S41" s="1959"/>
      <c r="T41" s="368" t="str">
        <f>IF(OR(C41="",H41=""),"",VLOOKUP(H41,'Emission factors'!$A$113:$B$117,2,FALSE))</f>
        <v/>
      </c>
      <c r="U41" s="1957"/>
      <c r="V41" s="1958"/>
      <c r="W41" s="1958"/>
      <c r="X41" s="1959"/>
      <c r="Y41" s="400" t="str">
        <f t="shared" ref="Y41:Y49" si="11">IF(T41="","",(C41*T41*(10^-3)))</f>
        <v/>
      </c>
      <c r="Z41" s="1846"/>
      <c r="AA41" s="458"/>
      <c r="AB41" s="1495"/>
      <c r="AC41" s="1587"/>
      <c r="AD41" s="1499"/>
      <c r="AE41" s="1400"/>
      <c r="AF41" s="1400"/>
      <c r="AG41" s="1400"/>
      <c r="AH41" s="1400"/>
      <c r="AI41" s="728">
        <v>40</v>
      </c>
      <c r="AJ41" s="1562"/>
      <c r="AK41" s="1562"/>
      <c r="AL41" s="1562"/>
      <c r="AM41" s="1562"/>
      <c r="AN41" s="1562" t="str">
        <f t="shared" ref="AN41:AN61" si="12">IF(AC41="","",(SQRT((AC41^2)+(AI41^2))))</f>
        <v/>
      </c>
      <c r="AO41" s="1592"/>
      <c r="AP41" s="1495"/>
      <c r="AQ41" s="217"/>
      <c r="AR41" s="1759"/>
      <c r="AS41" s="1760"/>
      <c r="AT41" s="1760"/>
      <c r="AU41" s="1761"/>
      <c r="AV41" s="719" t="str">
        <f t="shared" ref="AV41:AV61" si="13">IF(OR(AN41="",Y41=""),"",AN41*Y41)</f>
        <v/>
      </c>
      <c r="AW41" s="213"/>
      <c r="AX41" s="1759"/>
      <c r="AY41" s="1760"/>
      <c r="AZ41" s="1760"/>
      <c r="BA41" s="1761"/>
      <c r="BB41" s="719" t="str">
        <f t="shared" ref="BB41:BB61" si="14">IF(AV41="","",AV41^2)</f>
        <v/>
      </c>
    </row>
    <row r="42" spans="1:54" ht="23.55" customHeight="1">
      <c r="A42" s="1805"/>
      <c r="B42" s="399" t="s">
        <v>318</v>
      </c>
      <c r="C42" s="2005"/>
      <c r="D42" s="2006"/>
      <c r="E42" s="2006"/>
      <c r="F42" s="2006"/>
      <c r="G42" s="2006"/>
      <c r="H42" s="1597"/>
      <c r="I42" s="2011"/>
      <c r="J42" s="2011"/>
      <c r="K42" s="2011"/>
      <c r="L42" s="2011"/>
      <c r="M42" s="2011"/>
      <c r="N42" s="2011"/>
      <c r="O42" s="2012"/>
      <c r="P42" s="1957"/>
      <c r="Q42" s="1958"/>
      <c r="R42" s="1958"/>
      <c r="S42" s="1959"/>
      <c r="T42" s="368" t="str">
        <f>IF(OR(C42="",H42=""),"",VLOOKUP(H42,'Emission factors'!$A$113:$B$117,2,FALSE))</f>
        <v/>
      </c>
      <c r="U42" s="1957"/>
      <c r="V42" s="1958"/>
      <c r="W42" s="1958"/>
      <c r="X42" s="1959"/>
      <c r="Y42" s="400" t="str">
        <f t="shared" si="11"/>
        <v/>
      </c>
      <c r="Z42" s="1846"/>
      <c r="AA42" s="458"/>
      <c r="AB42" s="1495"/>
      <c r="AC42" s="1587"/>
      <c r="AD42" s="1499"/>
      <c r="AE42" s="1400"/>
      <c r="AF42" s="1400"/>
      <c r="AG42" s="1400"/>
      <c r="AH42" s="1400"/>
      <c r="AI42" s="728">
        <v>40</v>
      </c>
      <c r="AJ42" s="1562"/>
      <c r="AK42" s="1562"/>
      <c r="AL42" s="1562"/>
      <c r="AM42" s="1562"/>
      <c r="AN42" s="1562" t="str">
        <f t="shared" si="12"/>
        <v/>
      </c>
      <c r="AO42" s="1592"/>
      <c r="AP42" s="1495"/>
      <c r="AQ42" s="217"/>
      <c r="AR42" s="1759"/>
      <c r="AS42" s="1760"/>
      <c r="AT42" s="1760"/>
      <c r="AU42" s="1761"/>
      <c r="AV42" s="719" t="str">
        <f t="shared" si="13"/>
        <v/>
      </c>
      <c r="AW42" s="213"/>
      <c r="AX42" s="1759"/>
      <c r="AY42" s="1760"/>
      <c r="AZ42" s="1760"/>
      <c r="BA42" s="1761"/>
      <c r="BB42" s="719" t="str">
        <f t="shared" si="14"/>
        <v/>
      </c>
    </row>
    <row r="43" spans="1:54" ht="23.55" customHeight="1">
      <c r="A43" s="1805"/>
      <c r="B43" s="399" t="s">
        <v>319</v>
      </c>
      <c r="C43" s="2005"/>
      <c r="D43" s="2006"/>
      <c r="E43" s="2006"/>
      <c r="F43" s="2006"/>
      <c r="G43" s="2006"/>
      <c r="H43" s="1597"/>
      <c r="I43" s="2011"/>
      <c r="J43" s="2011"/>
      <c r="K43" s="2011"/>
      <c r="L43" s="2011"/>
      <c r="M43" s="2011"/>
      <c r="N43" s="2011"/>
      <c r="O43" s="2012"/>
      <c r="P43" s="1957"/>
      <c r="Q43" s="1958"/>
      <c r="R43" s="1958"/>
      <c r="S43" s="1959"/>
      <c r="T43" s="368" t="str">
        <f>IF(OR(C43="",H43=""),"",VLOOKUP(H43,'Emission factors'!$A$113:$B$117,2,FALSE))</f>
        <v/>
      </c>
      <c r="U43" s="1957"/>
      <c r="V43" s="1958"/>
      <c r="W43" s="1958"/>
      <c r="X43" s="1959"/>
      <c r="Y43" s="400" t="str">
        <f t="shared" si="11"/>
        <v/>
      </c>
      <c r="Z43" s="1846"/>
      <c r="AA43" s="458"/>
      <c r="AB43" s="1495"/>
      <c r="AC43" s="1587"/>
      <c r="AD43" s="1499"/>
      <c r="AE43" s="1400"/>
      <c r="AF43" s="1400"/>
      <c r="AG43" s="1400"/>
      <c r="AH43" s="1400"/>
      <c r="AI43" s="728">
        <v>40</v>
      </c>
      <c r="AJ43" s="1562"/>
      <c r="AK43" s="1562"/>
      <c r="AL43" s="1562"/>
      <c r="AM43" s="1562"/>
      <c r="AN43" s="1562" t="str">
        <f t="shared" si="12"/>
        <v/>
      </c>
      <c r="AO43" s="1592"/>
      <c r="AP43" s="1495"/>
      <c r="AQ43" s="217"/>
      <c r="AR43" s="1759"/>
      <c r="AS43" s="1760"/>
      <c r="AT43" s="1760"/>
      <c r="AU43" s="1761"/>
      <c r="AV43" s="719" t="str">
        <f t="shared" si="13"/>
        <v/>
      </c>
      <c r="AW43" s="213"/>
      <c r="AX43" s="1759"/>
      <c r="AY43" s="1760"/>
      <c r="AZ43" s="1760"/>
      <c r="BA43" s="1761"/>
      <c r="BB43" s="719" t="str">
        <f t="shared" si="14"/>
        <v/>
      </c>
    </row>
    <row r="44" spans="1:54" ht="23.55" customHeight="1">
      <c r="A44" s="1805"/>
      <c r="B44" s="399" t="s">
        <v>320</v>
      </c>
      <c r="C44" s="2005"/>
      <c r="D44" s="2006"/>
      <c r="E44" s="2006"/>
      <c r="F44" s="2006"/>
      <c r="G44" s="2006"/>
      <c r="H44" s="1597"/>
      <c r="I44" s="2011"/>
      <c r="J44" s="2011"/>
      <c r="K44" s="2011"/>
      <c r="L44" s="2011"/>
      <c r="M44" s="2011"/>
      <c r="N44" s="2011"/>
      <c r="O44" s="2012"/>
      <c r="P44" s="1957"/>
      <c r="Q44" s="1958"/>
      <c r="R44" s="1958"/>
      <c r="S44" s="1959"/>
      <c r="T44" s="368" t="str">
        <f>IF(OR(C44="",H44=""),"",VLOOKUP(H44,'Emission factors'!$A$113:$B$117,2,FALSE))</f>
        <v/>
      </c>
      <c r="U44" s="1957"/>
      <c r="V44" s="1958"/>
      <c r="W44" s="1958"/>
      <c r="X44" s="1959"/>
      <c r="Y44" s="400" t="str">
        <f t="shared" si="11"/>
        <v/>
      </c>
      <c r="Z44" s="1846"/>
      <c r="AA44" s="458"/>
      <c r="AB44" s="1495"/>
      <c r="AC44" s="1587"/>
      <c r="AD44" s="1499"/>
      <c r="AE44" s="1400"/>
      <c r="AF44" s="1400"/>
      <c r="AG44" s="1400"/>
      <c r="AH44" s="1400"/>
      <c r="AI44" s="728">
        <v>40</v>
      </c>
      <c r="AJ44" s="1562"/>
      <c r="AK44" s="1562"/>
      <c r="AL44" s="1562"/>
      <c r="AM44" s="1562"/>
      <c r="AN44" s="1562" t="str">
        <f t="shared" si="12"/>
        <v/>
      </c>
      <c r="AO44" s="1592"/>
      <c r="AP44" s="1495"/>
      <c r="AQ44" s="217"/>
      <c r="AR44" s="1759"/>
      <c r="AS44" s="1760"/>
      <c r="AT44" s="1760"/>
      <c r="AU44" s="1761"/>
      <c r="AV44" s="719" t="str">
        <f t="shared" si="13"/>
        <v/>
      </c>
      <c r="AW44" s="213"/>
      <c r="AX44" s="1759"/>
      <c r="AY44" s="1760"/>
      <c r="AZ44" s="1760"/>
      <c r="BA44" s="1761"/>
      <c r="BB44" s="719" t="str">
        <f t="shared" si="14"/>
        <v/>
      </c>
    </row>
    <row r="45" spans="1:54" ht="23.55" customHeight="1">
      <c r="A45" s="1805"/>
      <c r="B45" s="399" t="s">
        <v>321</v>
      </c>
      <c r="C45" s="2005"/>
      <c r="D45" s="2006"/>
      <c r="E45" s="2006"/>
      <c r="F45" s="2006"/>
      <c r="G45" s="2006"/>
      <c r="H45" s="1597"/>
      <c r="I45" s="2011"/>
      <c r="J45" s="2011"/>
      <c r="K45" s="2011"/>
      <c r="L45" s="2011"/>
      <c r="M45" s="2011"/>
      <c r="N45" s="2011"/>
      <c r="O45" s="2012"/>
      <c r="P45" s="1957"/>
      <c r="Q45" s="1958"/>
      <c r="R45" s="1958"/>
      <c r="S45" s="1959"/>
      <c r="T45" s="368" t="str">
        <f>IF(OR(C45="",H45=""),"",VLOOKUP(H45,'Emission factors'!$A$113:$B$117,2,FALSE))</f>
        <v/>
      </c>
      <c r="U45" s="1957"/>
      <c r="V45" s="1958"/>
      <c r="W45" s="1958"/>
      <c r="X45" s="1959"/>
      <c r="Y45" s="400" t="str">
        <f t="shared" si="11"/>
        <v/>
      </c>
      <c r="Z45" s="1846"/>
      <c r="AA45" s="458"/>
      <c r="AB45" s="1495"/>
      <c r="AC45" s="1587"/>
      <c r="AD45" s="1499"/>
      <c r="AE45" s="1400"/>
      <c r="AF45" s="1400"/>
      <c r="AG45" s="1400"/>
      <c r="AH45" s="1400"/>
      <c r="AI45" s="728">
        <v>40</v>
      </c>
      <c r="AJ45" s="1562"/>
      <c r="AK45" s="1562"/>
      <c r="AL45" s="1562"/>
      <c r="AM45" s="1562"/>
      <c r="AN45" s="1562" t="str">
        <f t="shared" si="12"/>
        <v/>
      </c>
      <c r="AO45" s="1592"/>
      <c r="AP45" s="1495"/>
      <c r="AQ45" s="217"/>
      <c r="AR45" s="1759"/>
      <c r="AS45" s="1760"/>
      <c r="AT45" s="1760"/>
      <c r="AU45" s="1761"/>
      <c r="AV45" s="719" t="str">
        <f t="shared" si="13"/>
        <v/>
      </c>
      <c r="AW45" s="213"/>
      <c r="AX45" s="1759"/>
      <c r="AY45" s="1760"/>
      <c r="AZ45" s="1760"/>
      <c r="BA45" s="1761"/>
      <c r="BB45" s="719" t="str">
        <f t="shared" si="14"/>
        <v/>
      </c>
    </row>
    <row r="46" spans="1:54" ht="23.55" customHeight="1">
      <c r="A46" s="1805"/>
      <c r="B46" s="399" t="s">
        <v>322</v>
      </c>
      <c r="C46" s="2005"/>
      <c r="D46" s="2006"/>
      <c r="E46" s="2006"/>
      <c r="F46" s="2006"/>
      <c r="G46" s="2006"/>
      <c r="H46" s="1597"/>
      <c r="I46" s="2011"/>
      <c r="J46" s="2011"/>
      <c r="K46" s="2011"/>
      <c r="L46" s="2011"/>
      <c r="M46" s="2011"/>
      <c r="N46" s="2011"/>
      <c r="O46" s="2012"/>
      <c r="P46" s="1957"/>
      <c r="Q46" s="1958"/>
      <c r="R46" s="1958"/>
      <c r="S46" s="1959"/>
      <c r="T46" s="368" t="str">
        <f>IF(OR(C46="",H46=""),"",VLOOKUP(H46,'Emission factors'!$A$113:$B$117,2,FALSE))</f>
        <v/>
      </c>
      <c r="U46" s="1957"/>
      <c r="V46" s="1958"/>
      <c r="W46" s="1958"/>
      <c r="X46" s="1959"/>
      <c r="Y46" s="400" t="str">
        <f t="shared" si="11"/>
        <v/>
      </c>
      <c r="Z46" s="1846"/>
      <c r="AA46" s="458"/>
      <c r="AB46" s="1495"/>
      <c r="AC46" s="1587"/>
      <c r="AD46" s="1499"/>
      <c r="AE46" s="1400"/>
      <c r="AF46" s="1400"/>
      <c r="AG46" s="1400"/>
      <c r="AH46" s="1400"/>
      <c r="AI46" s="728">
        <v>40</v>
      </c>
      <c r="AJ46" s="1562"/>
      <c r="AK46" s="1562"/>
      <c r="AL46" s="1562"/>
      <c r="AM46" s="1562"/>
      <c r="AN46" s="1562" t="str">
        <f t="shared" si="12"/>
        <v/>
      </c>
      <c r="AO46" s="1592"/>
      <c r="AP46" s="1495"/>
      <c r="AQ46" s="217"/>
      <c r="AR46" s="1759"/>
      <c r="AS46" s="1760"/>
      <c r="AT46" s="1760"/>
      <c r="AU46" s="1761"/>
      <c r="AV46" s="719" t="str">
        <f t="shared" si="13"/>
        <v/>
      </c>
      <c r="AW46" s="213"/>
      <c r="AX46" s="1759"/>
      <c r="AY46" s="1760"/>
      <c r="AZ46" s="1760"/>
      <c r="BA46" s="1761"/>
      <c r="BB46" s="719" t="str">
        <f t="shared" si="14"/>
        <v/>
      </c>
    </row>
    <row r="47" spans="1:54" ht="23.55" customHeight="1">
      <c r="A47" s="1805"/>
      <c r="B47" s="399" t="s">
        <v>545</v>
      </c>
      <c r="C47" s="2005"/>
      <c r="D47" s="2006"/>
      <c r="E47" s="2006"/>
      <c r="F47" s="2006"/>
      <c r="G47" s="2006"/>
      <c r="H47" s="1597"/>
      <c r="I47" s="2011"/>
      <c r="J47" s="2011"/>
      <c r="K47" s="2011"/>
      <c r="L47" s="2011"/>
      <c r="M47" s="2011"/>
      <c r="N47" s="2011"/>
      <c r="O47" s="2012"/>
      <c r="P47" s="1957"/>
      <c r="Q47" s="1958"/>
      <c r="R47" s="1958"/>
      <c r="S47" s="1959"/>
      <c r="T47" s="368" t="str">
        <f>IF(OR(C47="",H47=""),"",VLOOKUP(H47,'Emission factors'!$A$113:$B$117,2,FALSE))</f>
        <v/>
      </c>
      <c r="U47" s="1957"/>
      <c r="V47" s="1958"/>
      <c r="W47" s="1958"/>
      <c r="X47" s="1959"/>
      <c r="Y47" s="400" t="str">
        <f t="shared" si="11"/>
        <v/>
      </c>
      <c r="Z47" s="1846"/>
      <c r="AA47" s="458"/>
      <c r="AB47" s="1495"/>
      <c r="AC47" s="1587"/>
      <c r="AD47" s="1499"/>
      <c r="AE47" s="1400"/>
      <c r="AF47" s="1400"/>
      <c r="AG47" s="1400"/>
      <c r="AH47" s="1400"/>
      <c r="AI47" s="728">
        <v>40</v>
      </c>
      <c r="AJ47" s="1562"/>
      <c r="AK47" s="1562"/>
      <c r="AL47" s="1562"/>
      <c r="AM47" s="1562"/>
      <c r="AN47" s="1562" t="str">
        <f t="shared" si="12"/>
        <v/>
      </c>
      <c r="AO47" s="1592"/>
      <c r="AP47" s="1495"/>
      <c r="AQ47" s="217"/>
      <c r="AR47" s="1759"/>
      <c r="AS47" s="1760"/>
      <c r="AT47" s="1760"/>
      <c r="AU47" s="1761"/>
      <c r="AV47" s="719" t="str">
        <f t="shared" si="13"/>
        <v/>
      </c>
      <c r="AW47" s="213"/>
      <c r="AX47" s="1759"/>
      <c r="AY47" s="1760"/>
      <c r="AZ47" s="1760"/>
      <c r="BA47" s="1761"/>
      <c r="BB47" s="719" t="str">
        <f t="shared" si="14"/>
        <v/>
      </c>
    </row>
    <row r="48" spans="1:54" ht="23.55" customHeight="1">
      <c r="A48" s="1805"/>
      <c r="B48" s="399" t="s">
        <v>547</v>
      </c>
      <c r="C48" s="2005"/>
      <c r="D48" s="2006"/>
      <c r="E48" s="2006"/>
      <c r="F48" s="2006"/>
      <c r="G48" s="2006"/>
      <c r="H48" s="1597"/>
      <c r="I48" s="2011"/>
      <c r="J48" s="2011"/>
      <c r="K48" s="2011"/>
      <c r="L48" s="2011"/>
      <c r="M48" s="2011"/>
      <c r="N48" s="2011"/>
      <c r="O48" s="2012"/>
      <c r="P48" s="1957"/>
      <c r="Q48" s="1958"/>
      <c r="R48" s="1958"/>
      <c r="S48" s="1959"/>
      <c r="T48" s="368" t="str">
        <f>IF(OR(C48="",H48=""),"",VLOOKUP(H48,'Emission factors'!$A$113:$B$117,2,FALSE))</f>
        <v/>
      </c>
      <c r="U48" s="1957"/>
      <c r="V48" s="1958"/>
      <c r="W48" s="1958"/>
      <c r="X48" s="1959"/>
      <c r="Y48" s="400" t="str">
        <f t="shared" si="11"/>
        <v/>
      </c>
      <c r="Z48" s="1846"/>
      <c r="AA48" s="458"/>
      <c r="AB48" s="1495"/>
      <c r="AC48" s="1587"/>
      <c r="AD48" s="1499"/>
      <c r="AE48" s="1400"/>
      <c r="AF48" s="1400"/>
      <c r="AG48" s="1400"/>
      <c r="AH48" s="1400"/>
      <c r="AI48" s="728">
        <v>40</v>
      </c>
      <c r="AJ48" s="1562"/>
      <c r="AK48" s="1562"/>
      <c r="AL48" s="1562"/>
      <c r="AM48" s="1562"/>
      <c r="AN48" s="1562" t="str">
        <f t="shared" si="12"/>
        <v/>
      </c>
      <c r="AO48" s="1592"/>
      <c r="AP48" s="1495"/>
      <c r="AQ48" s="217"/>
      <c r="AR48" s="1759"/>
      <c r="AS48" s="1760"/>
      <c r="AT48" s="1760"/>
      <c r="AU48" s="1761"/>
      <c r="AV48" s="719" t="str">
        <f t="shared" si="13"/>
        <v/>
      </c>
      <c r="AW48" s="213"/>
      <c r="AX48" s="1759"/>
      <c r="AY48" s="1760"/>
      <c r="AZ48" s="1760"/>
      <c r="BA48" s="1761"/>
      <c r="BB48" s="719" t="str">
        <f t="shared" si="14"/>
        <v/>
      </c>
    </row>
    <row r="49" spans="1:54" ht="23.55" customHeight="1" thickBot="1">
      <c r="A49" s="1806"/>
      <c r="B49" s="401" t="s">
        <v>548</v>
      </c>
      <c r="C49" s="2013"/>
      <c r="D49" s="2014"/>
      <c r="E49" s="2014"/>
      <c r="F49" s="2014"/>
      <c r="G49" s="2014"/>
      <c r="H49" s="2015"/>
      <c r="I49" s="2016"/>
      <c r="J49" s="2016"/>
      <c r="K49" s="2016"/>
      <c r="L49" s="2016"/>
      <c r="M49" s="2016"/>
      <c r="N49" s="2016"/>
      <c r="O49" s="2017"/>
      <c r="P49" s="1957"/>
      <c r="Q49" s="1958"/>
      <c r="R49" s="1958"/>
      <c r="S49" s="1959"/>
      <c r="T49" s="373" t="str">
        <f>IF(OR(C49="",H49=""),"",VLOOKUP(H49,'Emission factors'!$A$113:$B$117,2,FALSE))</f>
        <v/>
      </c>
      <c r="U49" s="1957"/>
      <c r="V49" s="1958"/>
      <c r="W49" s="1958"/>
      <c r="X49" s="1959"/>
      <c r="Y49" s="402" t="str">
        <f t="shared" si="11"/>
        <v/>
      </c>
      <c r="Z49" s="1847"/>
      <c r="AA49" s="458"/>
      <c r="AB49" s="1496"/>
      <c r="AC49" s="1587"/>
      <c r="AD49" s="1499"/>
      <c r="AE49" s="1400"/>
      <c r="AF49" s="1400"/>
      <c r="AG49" s="1400"/>
      <c r="AH49" s="1400"/>
      <c r="AI49" s="728">
        <v>40</v>
      </c>
      <c r="AJ49" s="1562"/>
      <c r="AK49" s="1562"/>
      <c r="AL49" s="1562"/>
      <c r="AM49" s="1562"/>
      <c r="AN49" s="1562" t="str">
        <f t="shared" si="12"/>
        <v/>
      </c>
      <c r="AO49" s="1592"/>
      <c r="AP49" s="1496"/>
      <c r="AQ49" s="217"/>
      <c r="AR49" s="1759"/>
      <c r="AS49" s="1760"/>
      <c r="AT49" s="1760"/>
      <c r="AU49" s="1761"/>
      <c r="AV49" s="719" t="str">
        <f t="shared" si="13"/>
        <v/>
      </c>
      <c r="AW49" s="213"/>
      <c r="AX49" s="1759"/>
      <c r="AY49" s="1760"/>
      <c r="AZ49" s="1760"/>
      <c r="BA49" s="1761"/>
      <c r="BB49" s="719" t="str">
        <f t="shared" si="14"/>
        <v/>
      </c>
    </row>
    <row r="50" spans="1:54" ht="31.5" customHeight="1" thickBot="1">
      <c r="A50" s="1372"/>
      <c r="B50" s="1374"/>
      <c r="C50" s="1374"/>
      <c r="D50" s="1374"/>
      <c r="E50" s="1374"/>
      <c r="F50" s="1374"/>
      <c r="G50" s="1374"/>
      <c r="H50" s="1374"/>
      <c r="I50" s="1374"/>
      <c r="J50" s="1374"/>
      <c r="K50" s="1374"/>
      <c r="L50" s="1374"/>
      <c r="M50" s="1374"/>
      <c r="N50" s="1374"/>
      <c r="O50" s="1374"/>
      <c r="P50" s="1374"/>
      <c r="Q50" s="1374"/>
      <c r="R50" s="1374"/>
      <c r="S50" s="1374"/>
      <c r="T50" s="1374"/>
      <c r="U50" s="1374"/>
      <c r="V50" s="1374"/>
      <c r="W50" s="1374"/>
      <c r="X50" s="1374"/>
      <c r="Y50" s="1374"/>
      <c r="Z50" s="1375"/>
      <c r="AA50" s="458"/>
      <c r="AB50" s="1464"/>
      <c r="AC50" s="1465"/>
      <c r="AD50" s="1465"/>
      <c r="AE50" s="1465"/>
      <c r="AF50" s="1465"/>
      <c r="AG50" s="1465"/>
      <c r="AH50" s="1465"/>
      <c r="AI50" s="1465"/>
      <c r="AJ50" s="1465"/>
      <c r="AK50" s="1465"/>
      <c r="AL50" s="1465"/>
      <c r="AM50" s="1465"/>
      <c r="AN50" s="1465"/>
      <c r="AO50" s="1465"/>
      <c r="AP50" s="1467"/>
    </row>
    <row r="51" spans="1:54" ht="37.5" hidden="1" customHeight="1">
      <c r="AA51" s="458"/>
    </row>
    <row r="52" spans="1:54" ht="43.05" hidden="1" customHeight="1">
      <c r="AA52" s="458"/>
    </row>
    <row r="53" spans="1:54" ht="43.05" hidden="1" customHeight="1">
      <c r="AA53" s="458"/>
    </row>
    <row r="54" spans="1:54" ht="43.05" customHeight="1">
      <c r="A54" s="1795"/>
      <c r="B54" s="1795"/>
      <c r="C54" s="1795"/>
      <c r="D54" s="1795"/>
      <c r="E54" s="1795"/>
      <c r="F54" s="1795"/>
      <c r="G54" s="1795"/>
      <c r="H54" s="1795"/>
      <c r="I54" s="1795"/>
      <c r="J54" s="1795"/>
      <c r="K54" s="1795"/>
      <c r="L54" s="1795"/>
      <c r="M54" s="1795"/>
      <c r="N54" s="1795"/>
      <c r="O54" s="1795"/>
      <c r="P54" s="1795"/>
      <c r="Q54" s="1795"/>
      <c r="R54" s="1795"/>
      <c r="S54" s="1795"/>
      <c r="T54" s="1795"/>
      <c r="U54" s="1795"/>
      <c r="V54" s="1795"/>
      <c r="W54" s="1795"/>
      <c r="X54" s="1795"/>
      <c r="Y54" s="1795"/>
      <c r="Z54" s="1795"/>
      <c r="AA54" s="458"/>
      <c r="AB54" s="458"/>
      <c r="AC54" s="458"/>
      <c r="AD54" s="458"/>
      <c r="AE54" s="458"/>
      <c r="AF54" s="458"/>
      <c r="AG54" s="458"/>
      <c r="AH54" s="458"/>
      <c r="AI54" s="458"/>
      <c r="AJ54" s="458"/>
      <c r="AK54" s="458"/>
      <c r="AL54" s="458"/>
      <c r="AM54" s="458"/>
      <c r="AN54" s="458"/>
      <c r="AO54" s="458"/>
      <c r="AP54" s="458"/>
    </row>
    <row r="55" spans="1:54" ht="37.5" customHeight="1" thickBot="1">
      <c r="A55" s="1994"/>
      <c r="B55" s="1994"/>
      <c r="C55" s="1994"/>
      <c r="D55" s="1994"/>
      <c r="E55" s="1994"/>
      <c r="F55" s="1994"/>
      <c r="G55" s="1994"/>
      <c r="H55" s="1994"/>
      <c r="I55" s="1994"/>
      <c r="J55" s="1994"/>
      <c r="K55" s="1994"/>
      <c r="L55" s="1994"/>
      <c r="M55" s="1994"/>
      <c r="N55" s="1994"/>
      <c r="O55" s="1994"/>
      <c r="P55" s="1994"/>
      <c r="Q55" s="1994"/>
      <c r="R55" s="1994"/>
      <c r="S55" s="1994"/>
      <c r="T55" s="1994"/>
      <c r="U55" s="1994"/>
      <c r="V55" s="1994"/>
      <c r="W55" s="1994"/>
      <c r="X55" s="1994"/>
      <c r="Y55" s="1994"/>
      <c r="Z55" s="1994"/>
      <c r="AA55" s="458"/>
      <c r="AB55" s="458"/>
      <c r="AC55" s="458"/>
      <c r="AD55" s="458"/>
      <c r="AE55" s="458"/>
      <c r="AF55" s="458"/>
      <c r="AG55" s="458"/>
      <c r="AH55" s="458"/>
      <c r="AI55" s="458"/>
      <c r="AJ55" s="458"/>
      <c r="AK55" s="458"/>
      <c r="AL55" s="458"/>
      <c r="AM55" s="458"/>
      <c r="AN55" s="458"/>
      <c r="AO55" s="458"/>
      <c r="AP55" s="458"/>
    </row>
    <row r="56" spans="1:54" ht="36.450000000000003" customHeight="1" thickBot="1">
      <c r="A56" s="1878" t="s">
        <v>550</v>
      </c>
      <c r="B56" s="1879"/>
      <c r="C56" s="1879"/>
      <c r="D56" s="1879"/>
      <c r="E56" s="1879"/>
      <c r="F56" s="1879"/>
      <c r="G56" s="1879"/>
      <c r="H56" s="1879"/>
      <c r="I56" s="1879"/>
      <c r="J56" s="1879"/>
      <c r="K56" s="1879"/>
      <c r="L56" s="1879"/>
      <c r="M56" s="1879"/>
      <c r="N56" s="1879"/>
      <c r="O56" s="1879"/>
      <c r="P56" s="1879"/>
      <c r="Q56" s="1879"/>
      <c r="R56" s="1879"/>
      <c r="S56" s="1879"/>
      <c r="T56" s="1879"/>
      <c r="U56" s="1879"/>
      <c r="V56" s="1879"/>
      <c r="W56" s="1879"/>
      <c r="X56" s="1879"/>
      <c r="Y56" s="1879"/>
      <c r="Z56" s="1880"/>
      <c r="AA56" s="458"/>
      <c r="AB56" s="1991" t="s">
        <v>1552</v>
      </c>
      <c r="AC56" s="1992"/>
      <c r="AD56" s="1992"/>
      <c r="AE56" s="1992"/>
      <c r="AF56" s="1992"/>
      <c r="AG56" s="1992"/>
      <c r="AH56" s="1992"/>
      <c r="AI56" s="1992"/>
      <c r="AJ56" s="1992"/>
      <c r="AK56" s="1992"/>
      <c r="AL56" s="1992"/>
      <c r="AM56" s="1992"/>
      <c r="AN56" s="1992"/>
      <c r="AO56" s="1992"/>
      <c r="AP56" s="1993"/>
    </row>
    <row r="57" spans="1:54" ht="31.5" customHeight="1" thickBot="1">
      <c r="A57" s="1065" t="s">
        <v>430</v>
      </c>
      <c r="B57" s="1066"/>
      <c r="C57" s="1066"/>
      <c r="D57" s="1066"/>
      <c r="E57" s="1066"/>
      <c r="F57" s="1066"/>
      <c r="G57" s="1066"/>
      <c r="H57" s="1066"/>
      <c r="I57" s="1066"/>
      <c r="J57" s="1066"/>
      <c r="K57" s="1066"/>
      <c r="L57" s="1066"/>
      <c r="M57" s="1066"/>
      <c r="N57" s="1066"/>
      <c r="O57" s="1066"/>
      <c r="P57" s="1066"/>
      <c r="Q57" s="1066"/>
      <c r="R57" s="1066"/>
      <c r="S57" s="1066"/>
      <c r="T57" s="1066"/>
      <c r="U57" s="1066"/>
      <c r="V57" s="1066"/>
      <c r="W57" s="1066"/>
      <c r="X57" s="1066"/>
      <c r="Y57" s="1066"/>
      <c r="Z57" s="1067"/>
      <c r="AA57" s="458"/>
      <c r="AB57" s="1464"/>
      <c r="AC57" s="1465"/>
      <c r="AD57" s="1465"/>
      <c r="AE57" s="1465"/>
      <c r="AF57" s="1465"/>
      <c r="AG57" s="1465"/>
      <c r="AH57" s="1465"/>
      <c r="AI57" s="1465"/>
      <c r="AJ57" s="1465"/>
      <c r="AK57" s="1465"/>
      <c r="AL57" s="1465"/>
      <c r="AM57" s="1465"/>
      <c r="AN57" s="1465"/>
      <c r="AO57" s="1465"/>
      <c r="AP57" s="1467"/>
      <c r="AQ57" s="217"/>
      <c r="AR57" s="217"/>
      <c r="AS57" s="217"/>
      <c r="AT57" s="217"/>
      <c r="AU57" s="217"/>
      <c r="AV57" s="217"/>
      <c r="AW57" s="217"/>
      <c r="AX57" s="217"/>
      <c r="AY57" s="217"/>
      <c r="AZ57" s="217"/>
      <c r="BA57" s="217"/>
      <c r="BB57" s="217"/>
    </row>
    <row r="58" spans="1:54" ht="25.8" thickBot="1">
      <c r="A58" s="1804"/>
      <c r="B58" s="2024" t="s">
        <v>546</v>
      </c>
      <c r="C58" s="1828" t="s">
        <v>811</v>
      </c>
      <c r="D58" s="1826"/>
      <c r="E58" s="1826"/>
      <c r="F58" s="1826"/>
      <c r="G58" s="1826"/>
      <c r="H58" s="1826"/>
      <c r="I58" s="1826"/>
      <c r="J58" s="1826"/>
      <c r="K58" s="1826"/>
      <c r="L58" s="1826"/>
      <c r="M58" s="1826"/>
      <c r="N58" s="1826"/>
      <c r="O58" s="1827"/>
      <c r="P58" s="1828" t="s">
        <v>510</v>
      </c>
      <c r="Q58" s="1826"/>
      <c r="R58" s="1826"/>
      <c r="S58" s="1826"/>
      <c r="T58" s="1827"/>
      <c r="U58" s="1828" t="s">
        <v>511</v>
      </c>
      <c r="V58" s="1826"/>
      <c r="W58" s="1826"/>
      <c r="X58" s="1826"/>
      <c r="Y58" s="1826"/>
      <c r="Z58" s="1845"/>
      <c r="AA58" s="458"/>
      <c r="AB58" s="1494"/>
      <c r="AC58" s="1252" t="s">
        <v>1356</v>
      </c>
      <c r="AD58" s="1252"/>
      <c r="AE58" s="1252"/>
      <c r="AF58" s="1252"/>
      <c r="AG58" s="1252"/>
      <c r="AH58" s="1252"/>
      <c r="AI58" s="1581"/>
      <c r="AJ58" s="1730" t="s">
        <v>1357</v>
      </c>
      <c r="AK58" s="1205"/>
      <c r="AL58" s="1205"/>
      <c r="AM58" s="1205"/>
      <c r="AN58" s="1205"/>
      <c r="AO58" s="1205"/>
      <c r="AP58" s="1494"/>
      <c r="AQ58" s="217"/>
      <c r="AR58" s="217"/>
      <c r="AS58" s="217"/>
      <c r="AT58" s="217"/>
      <c r="AU58" s="217"/>
      <c r="AV58" s="217"/>
      <c r="AW58" s="217"/>
      <c r="AX58" s="217"/>
      <c r="AY58" s="217"/>
      <c r="AZ58" s="217"/>
      <c r="BA58" s="217"/>
      <c r="BB58" s="217"/>
    </row>
    <row r="59" spans="1:54" ht="22.95" customHeight="1">
      <c r="A59" s="1805"/>
      <c r="B59" s="2024"/>
      <c r="C59" s="2026" t="s">
        <v>508</v>
      </c>
      <c r="D59" s="1152"/>
      <c r="E59" s="1152"/>
      <c r="F59" s="1152"/>
      <c r="G59" s="1152"/>
      <c r="H59" s="1152" t="s">
        <v>543</v>
      </c>
      <c r="I59" s="1152"/>
      <c r="J59" s="1152"/>
      <c r="K59" s="1152"/>
      <c r="L59" s="1152"/>
      <c r="M59" s="1152"/>
      <c r="N59" s="1152"/>
      <c r="O59" s="2027"/>
      <c r="P59" s="1664" t="s">
        <v>40</v>
      </c>
      <c r="Q59" s="1076" t="s">
        <v>39</v>
      </c>
      <c r="R59" s="1076" t="s">
        <v>145</v>
      </c>
      <c r="S59" s="1076" t="s">
        <v>147</v>
      </c>
      <c r="T59" s="713" t="s">
        <v>31</v>
      </c>
      <c r="U59" s="1664" t="s">
        <v>40</v>
      </c>
      <c r="V59" s="1076" t="s">
        <v>39</v>
      </c>
      <c r="W59" s="1076" t="s">
        <v>145</v>
      </c>
      <c r="X59" s="1076" t="s">
        <v>147</v>
      </c>
      <c r="Y59" s="9" t="s">
        <v>31</v>
      </c>
      <c r="Z59" s="1846"/>
      <c r="AA59" s="458"/>
      <c r="AB59" s="1495"/>
      <c r="AC59" s="1583" t="s">
        <v>1355</v>
      </c>
      <c r="AD59" s="1584"/>
      <c r="AE59" s="1258" t="s">
        <v>1261</v>
      </c>
      <c r="AF59" s="1258"/>
      <c r="AG59" s="1258"/>
      <c r="AH59" s="1258"/>
      <c r="AI59" s="1582"/>
      <c r="AJ59" s="556" t="s">
        <v>40</v>
      </c>
      <c r="AK59" s="557" t="s">
        <v>39</v>
      </c>
      <c r="AL59" s="557" t="s">
        <v>145</v>
      </c>
      <c r="AM59" s="774" t="s">
        <v>147</v>
      </c>
      <c r="AN59" s="1734" t="s">
        <v>31</v>
      </c>
      <c r="AO59" s="1745"/>
      <c r="AP59" s="1495"/>
      <c r="AQ59" s="217"/>
      <c r="AR59" s="529" t="s">
        <v>40</v>
      </c>
      <c r="AS59" s="530" t="s">
        <v>39</v>
      </c>
      <c r="AT59" s="530" t="s">
        <v>145</v>
      </c>
      <c r="AU59" s="530" t="s">
        <v>147</v>
      </c>
      <c r="AV59" s="531" t="s">
        <v>31</v>
      </c>
      <c r="AW59" s="217"/>
      <c r="AX59" s="529" t="s">
        <v>40</v>
      </c>
      <c r="AY59" s="530" t="s">
        <v>39</v>
      </c>
      <c r="AZ59" s="530" t="s">
        <v>145</v>
      </c>
      <c r="BA59" s="530" t="s">
        <v>147</v>
      </c>
      <c r="BB59" s="531" t="s">
        <v>31</v>
      </c>
    </row>
    <row r="60" spans="1:54" ht="21" thickBot="1">
      <c r="A60" s="1805"/>
      <c r="B60" s="2024"/>
      <c r="C60" s="2025" t="s">
        <v>1140</v>
      </c>
      <c r="D60" s="1415"/>
      <c r="E60" s="1415"/>
      <c r="F60" s="1415"/>
      <c r="G60" s="1415"/>
      <c r="H60" s="2028"/>
      <c r="I60" s="2028"/>
      <c r="J60" s="2028"/>
      <c r="K60" s="2028"/>
      <c r="L60" s="2028"/>
      <c r="M60" s="2028"/>
      <c r="N60" s="2028"/>
      <c r="O60" s="2029"/>
      <c r="P60" s="1665"/>
      <c r="Q60" s="1077"/>
      <c r="R60" s="1077"/>
      <c r="S60" s="1077"/>
      <c r="T60" s="714" t="s">
        <v>544</v>
      </c>
      <c r="U60" s="1665"/>
      <c r="V60" s="1077"/>
      <c r="W60" s="1077"/>
      <c r="X60" s="1077"/>
      <c r="Y60" s="812" t="s">
        <v>146</v>
      </c>
      <c r="Z60" s="1846"/>
      <c r="AA60" s="458"/>
      <c r="AB60" s="1495"/>
      <c r="AC60" s="1585"/>
      <c r="AD60" s="1586"/>
      <c r="AE60" s="739" t="s">
        <v>40</v>
      </c>
      <c r="AF60" s="739" t="s">
        <v>39</v>
      </c>
      <c r="AG60" s="739" t="s">
        <v>145</v>
      </c>
      <c r="AH60" s="739" t="s">
        <v>147</v>
      </c>
      <c r="AI60" s="775" t="s">
        <v>31</v>
      </c>
      <c r="AJ60" s="594" t="s">
        <v>1260</v>
      </c>
      <c r="AK60" s="739" t="s">
        <v>1260</v>
      </c>
      <c r="AL60" s="739" t="s">
        <v>1260</v>
      </c>
      <c r="AM60" s="775" t="s">
        <v>1260</v>
      </c>
      <c r="AN60" s="1736" t="s">
        <v>1260</v>
      </c>
      <c r="AO60" s="1746"/>
      <c r="AP60" s="1495"/>
      <c r="AQ60" s="217"/>
      <c r="AR60" s="1557" t="s">
        <v>1285</v>
      </c>
      <c r="AS60" s="1558"/>
      <c r="AT60" s="1558"/>
      <c r="AU60" s="1558"/>
      <c r="AV60" s="1559"/>
      <c r="AW60" s="213"/>
      <c r="AX60" s="1289" t="s">
        <v>1286</v>
      </c>
      <c r="AY60" s="1289"/>
      <c r="AZ60" s="1289"/>
      <c r="BA60" s="1289"/>
      <c r="BB60" s="1289"/>
    </row>
    <row r="61" spans="1:54" ht="25.05" customHeight="1">
      <c r="A61" s="1805"/>
      <c r="B61" s="397" t="s">
        <v>316</v>
      </c>
      <c r="C61" s="2018"/>
      <c r="D61" s="2019"/>
      <c r="E61" s="2019"/>
      <c r="F61" s="2019"/>
      <c r="G61" s="2019"/>
      <c r="H61" s="2020"/>
      <c r="I61" s="2020"/>
      <c r="J61" s="2020"/>
      <c r="K61" s="2020"/>
      <c r="L61" s="2020"/>
      <c r="M61" s="2020"/>
      <c r="N61" s="2020"/>
      <c r="O61" s="2021"/>
      <c r="P61" s="1875" t="s">
        <v>509</v>
      </c>
      <c r="Q61" s="1876"/>
      <c r="R61" s="1876"/>
      <c r="S61" s="1877"/>
      <c r="T61" s="403" t="str">
        <f>IF(OR(C61="",H61=""),"",VLOOKUP(H61,'Emission factors'!$A$118:$B$134,2,FALSE))</f>
        <v/>
      </c>
      <c r="U61" s="1957" t="s">
        <v>509</v>
      </c>
      <c r="V61" s="1958"/>
      <c r="W61" s="1958"/>
      <c r="X61" s="1959"/>
      <c r="Y61" s="404" t="str">
        <f>IF(T61="","",(C61*T61*(10^-3)))</f>
        <v/>
      </c>
      <c r="Z61" s="1846"/>
      <c r="AA61" s="458"/>
      <c r="AB61" s="1495"/>
      <c r="AC61" s="1587"/>
      <c r="AD61" s="1499"/>
      <c r="AE61" s="1400"/>
      <c r="AF61" s="1400"/>
      <c r="AG61" s="1400"/>
      <c r="AH61" s="1400"/>
      <c r="AI61" s="728">
        <v>40</v>
      </c>
      <c r="AJ61" s="1562"/>
      <c r="AK61" s="1562"/>
      <c r="AL61" s="1562"/>
      <c r="AM61" s="1562"/>
      <c r="AN61" s="1562" t="str">
        <f t="shared" si="12"/>
        <v/>
      </c>
      <c r="AO61" s="1592"/>
      <c r="AP61" s="1495"/>
      <c r="AQ61" s="217"/>
      <c r="AR61" s="1759"/>
      <c r="AS61" s="1760"/>
      <c r="AT61" s="1760"/>
      <c r="AU61" s="1761"/>
      <c r="AV61" s="719" t="str">
        <f t="shared" si="13"/>
        <v/>
      </c>
      <c r="AW61" s="213"/>
      <c r="AX61" s="1759"/>
      <c r="AY61" s="1760"/>
      <c r="AZ61" s="1760"/>
      <c r="BA61" s="1761"/>
      <c r="BB61" s="719" t="str">
        <f t="shared" si="14"/>
        <v/>
      </c>
    </row>
    <row r="62" spans="1:54" ht="18.600000000000001">
      <c r="A62" s="1805"/>
      <c r="B62" s="399" t="s">
        <v>317</v>
      </c>
      <c r="C62" s="2005"/>
      <c r="D62" s="2006"/>
      <c r="E62" s="2006"/>
      <c r="F62" s="2006"/>
      <c r="G62" s="2006"/>
      <c r="H62" s="2007"/>
      <c r="I62" s="2007"/>
      <c r="J62" s="2007"/>
      <c r="K62" s="2007"/>
      <c r="L62" s="2007"/>
      <c r="M62" s="2007"/>
      <c r="N62" s="2007"/>
      <c r="O62" s="2008"/>
      <c r="P62" s="1957"/>
      <c r="Q62" s="1958"/>
      <c r="R62" s="1958"/>
      <c r="S62" s="1959"/>
      <c r="T62" s="405" t="str">
        <f>IF(OR(C62="",H62=""),"",VLOOKUP(H62,'Emission factors'!$A$118:$B$134,2,FALSE))</f>
        <v/>
      </c>
      <c r="U62" s="1957"/>
      <c r="V62" s="1958"/>
      <c r="W62" s="1958"/>
      <c r="X62" s="1959"/>
      <c r="Y62" s="406" t="str">
        <f t="shared" ref="Y62:Y71" si="15">IF(T62="","",(C62*T62*(10^-3)))</f>
        <v/>
      </c>
      <c r="Z62" s="1846"/>
      <c r="AA62" s="458"/>
      <c r="AB62" s="1495"/>
      <c r="AC62" s="1587"/>
      <c r="AD62" s="1499"/>
      <c r="AE62" s="1400"/>
      <c r="AF62" s="1400"/>
      <c r="AG62" s="1400"/>
      <c r="AH62" s="1400"/>
      <c r="AI62" s="728">
        <v>40</v>
      </c>
      <c r="AJ62" s="1562"/>
      <c r="AK62" s="1562"/>
      <c r="AL62" s="1562"/>
      <c r="AM62" s="1562"/>
      <c r="AN62" s="1562" t="str">
        <f t="shared" ref="AN62:AN71" si="16">IF(AC62="","",(SQRT((AC62^2)+(AI62^2))))</f>
        <v/>
      </c>
      <c r="AO62" s="1592"/>
      <c r="AP62" s="1495"/>
      <c r="AQ62" s="217"/>
      <c r="AR62" s="1759"/>
      <c r="AS62" s="1760"/>
      <c r="AT62" s="1760"/>
      <c r="AU62" s="1761"/>
      <c r="AV62" s="719" t="str">
        <f t="shared" ref="AV62:AV71" si="17">IF(OR(AN62="",Y62=""),"",AN62*Y62)</f>
        <v/>
      </c>
      <c r="AW62" s="213"/>
      <c r="AX62" s="1759"/>
      <c r="AY62" s="1760"/>
      <c r="AZ62" s="1760"/>
      <c r="BA62" s="1761"/>
      <c r="BB62" s="719" t="str">
        <f t="shared" ref="BB62:BB71" si="18">IF(AV62="","",AV62^2)</f>
        <v/>
      </c>
    </row>
    <row r="63" spans="1:54" ht="18.600000000000001">
      <c r="A63" s="1805"/>
      <c r="B63" s="399" t="s">
        <v>318</v>
      </c>
      <c r="C63" s="2005"/>
      <c r="D63" s="2006"/>
      <c r="E63" s="2006"/>
      <c r="F63" s="2006"/>
      <c r="G63" s="2006"/>
      <c r="H63" s="2007"/>
      <c r="I63" s="2007"/>
      <c r="J63" s="2007"/>
      <c r="K63" s="2007"/>
      <c r="L63" s="2007"/>
      <c r="M63" s="2007"/>
      <c r="N63" s="2007"/>
      <c r="O63" s="2008"/>
      <c r="P63" s="1957"/>
      <c r="Q63" s="1958"/>
      <c r="R63" s="1958"/>
      <c r="S63" s="1959"/>
      <c r="T63" s="405" t="str">
        <f>IF(OR(C63="",H63=""),"",VLOOKUP(H63,'Emission factors'!$A$118:$B$134,2,FALSE))</f>
        <v/>
      </c>
      <c r="U63" s="1957"/>
      <c r="V63" s="1958"/>
      <c r="W63" s="1958"/>
      <c r="X63" s="1959"/>
      <c r="Y63" s="406" t="str">
        <f t="shared" si="15"/>
        <v/>
      </c>
      <c r="Z63" s="1846"/>
      <c r="AA63" s="458"/>
      <c r="AB63" s="1495"/>
      <c r="AC63" s="1587"/>
      <c r="AD63" s="1499"/>
      <c r="AE63" s="1400"/>
      <c r="AF63" s="1400"/>
      <c r="AG63" s="1400"/>
      <c r="AH63" s="1400"/>
      <c r="AI63" s="728">
        <v>40</v>
      </c>
      <c r="AJ63" s="1562"/>
      <c r="AK63" s="1562"/>
      <c r="AL63" s="1562"/>
      <c r="AM63" s="1562"/>
      <c r="AN63" s="1562" t="str">
        <f t="shared" si="16"/>
        <v/>
      </c>
      <c r="AO63" s="1592"/>
      <c r="AP63" s="1495"/>
      <c r="AQ63" s="217"/>
      <c r="AR63" s="1759"/>
      <c r="AS63" s="1760"/>
      <c r="AT63" s="1760"/>
      <c r="AU63" s="1761"/>
      <c r="AV63" s="719" t="str">
        <f t="shared" si="17"/>
        <v/>
      </c>
      <c r="AW63" s="213"/>
      <c r="AX63" s="1759"/>
      <c r="AY63" s="1760"/>
      <c r="AZ63" s="1760"/>
      <c r="BA63" s="1761"/>
      <c r="BB63" s="719" t="str">
        <f t="shared" si="18"/>
        <v/>
      </c>
    </row>
    <row r="64" spans="1:54" ht="18.600000000000001">
      <c r="A64" s="1805"/>
      <c r="B64" s="399" t="s">
        <v>319</v>
      </c>
      <c r="C64" s="2005"/>
      <c r="D64" s="2006"/>
      <c r="E64" s="2006"/>
      <c r="F64" s="2006"/>
      <c r="G64" s="2006"/>
      <c r="H64" s="2007"/>
      <c r="I64" s="2007"/>
      <c r="J64" s="2007"/>
      <c r="K64" s="2007"/>
      <c r="L64" s="2007"/>
      <c r="M64" s="2007"/>
      <c r="N64" s="2007"/>
      <c r="O64" s="2008"/>
      <c r="P64" s="1957"/>
      <c r="Q64" s="1958"/>
      <c r="R64" s="1958"/>
      <c r="S64" s="1959"/>
      <c r="T64" s="405" t="str">
        <f>IF(OR(C64="",H64=""),"",VLOOKUP(H64,'Emission factors'!$A$118:$B$134,2,FALSE))</f>
        <v/>
      </c>
      <c r="U64" s="1957"/>
      <c r="V64" s="1958"/>
      <c r="W64" s="1958"/>
      <c r="X64" s="1959"/>
      <c r="Y64" s="406" t="str">
        <f t="shared" si="15"/>
        <v/>
      </c>
      <c r="Z64" s="1846"/>
      <c r="AA64" s="458"/>
      <c r="AB64" s="1495"/>
      <c r="AC64" s="1587"/>
      <c r="AD64" s="1499"/>
      <c r="AE64" s="1400"/>
      <c r="AF64" s="1400"/>
      <c r="AG64" s="1400"/>
      <c r="AH64" s="1400"/>
      <c r="AI64" s="728">
        <v>40</v>
      </c>
      <c r="AJ64" s="1562"/>
      <c r="AK64" s="1562"/>
      <c r="AL64" s="1562"/>
      <c r="AM64" s="1562"/>
      <c r="AN64" s="1562" t="str">
        <f t="shared" si="16"/>
        <v/>
      </c>
      <c r="AO64" s="1592"/>
      <c r="AP64" s="1495"/>
      <c r="AQ64" s="217"/>
      <c r="AR64" s="1759"/>
      <c r="AS64" s="1760"/>
      <c r="AT64" s="1760"/>
      <c r="AU64" s="1761"/>
      <c r="AV64" s="719" t="str">
        <f t="shared" si="17"/>
        <v/>
      </c>
      <c r="AW64" s="213"/>
      <c r="AX64" s="1759"/>
      <c r="AY64" s="1760"/>
      <c r="AZ64" s="1760"/>
      <c r="BA64" s="1761"/>
      <c r="BB64" s="719" t="str">
        <f t="shared" si="18"/>
        <v/>
      </c>
    </row>
    <row r="65" spans="1:54" ht="18.600000000000001">
      <c r="A65" s="1805"/>
      <c r="B65" s="399" t="s">
        <v>320</v>
      </c>
      <c r="C65" s="2005"/>
      <c r="D65" s="2006"/>
      <c r="E65" s="2006"/>
      <c r="F65" s="2006"/>
      <c r="G65" s="2006"/>
      <c r="H65" s="2007"/>
      <c r="I65" s="2007"/>
      <c r="J65" s="2007"/>
      <c r="K65" s="2007"/>
      <c r="L65" s="2007"/>
      <c r="M65" s="2007"/>
      <c r="N65" s="2007"/>
      <c r="O65" s="2008"/>
      <c r="P65" s="1957"/>
      <c r="Q65" s="1958"/>
      <c r="R65" s="1958"/>
      <c r="S65" s="1959"/>
      <c r="T65" s="405" t="str">
        <f>IF(OR(C65="",H65=""),"",VLOOKUP(H65,'Emission factors'!$A$118:$B$134,2,FALSE))</f>
        <v/>
      </c>
      <c r="U65" s="1957"/>
      <c r="V65" s="1958"/>
      <c r="W65" s="1958"/>
      <c r="X65" s="1959"/>
      <c r="Y65" s="406" t="str">
        <f t="shared" si="15"/>
        <v/>
      </c>
      <c r="Z65" s="1846"/>
      <c r="AA65" s="458"/>
      <c r="AB65" s="1495"/>
      <c r="AC65" s="1587"/>
      <c r="AD65" s="1499"/>
      <c r="AE65" s="1400"/>
      <c r="AF65" s="1400"/>
      <c r="AG65" s="1400"/>
      <c r="AH65" s="1400"/>
      <c r="AI65" s="728">
        <v>40</v>
      </c>
      <c r="AJ65" s="1562"/>
      <c r="AK65" s="1562"/>
      <c r="AL65" s="1562"/>
      <c r="AM65" s="1562"/>
      <c r="AN65" s="1562" t="str">
        <f t="shared" si="16"/>
        <v/>
      </c>
      <c r="AO65" s="1592"/>
      <c r="AP65" s="1495"/>
      <c r="AQ65" s="217"/>
      <c r="AR65" s="1759"/>
      <c r="AS65" s="1760"/>
      <c r="AT65" s="1760"/>
      <c r="AU65" s="1761"/>
      <c r="AV65" s="719" t="str">
        <f t="shared" si="17"/>
        <v/>
      </c>
      <c r="AW65" s="213"/>
      <c r="AX65" s="1759"/>
      <c r="AY65" s="1760"/>
      <c r="AZ65" s="1760"/>
      <c r="BA65" s="1761"/>
      <c r="BB65" s="719" t="str">
        <f t="shared" si="18"/>
        <v/>
      </c>
    </row>
    <row r="66" spans="1:54" ht="18.600000000000001">
      <c r="A66" s="1805"/>
      <c r="B66" s="399" t="s">
        <v>321</v>
      </c>
      <c r="C66" s="2005"/>
      <c r="D66" s="2006"/>
      <c r="E66" s="2006"/>
      <c r="F66" s="2006"/>
      <c r="G66" s="2006"/>
      <c r="H66" s="2007"/>
      <c r="I66" s="2007"/>
      <c r="J66" s="2007"/>
      <c r="K66" s="2007"/>
      <c r="L66" s="2007"/>
      <c r="M66" s="2007"/>
      <c r="N66" s="2007"/>
      <c r="O66" s="2008"/>
      <c r="P66" s="1957"/>
      <c r="Q66" s="1958"/>
      <c r="R66" s="1958"/>
      <c r="S66" s="1959"/>
      <c r="T66" s="405" t="str">
        <f>IF(OR(C66="",H66=""),"",VLOOKUP(H66,'Emission factors'!$A$118:$B$134,2,FALSE))</f>
        <v/>
      </c>
      <c r="U66" s="1957"/>
      <c r="V66" s="1958"/>
      <c r="W66" s="1958"/>
      <c r="X66" s="1959"/>
      <c r="Y66" s="406" t="str">
        <f t="shared" si="15"/>
        <v/>
      </c>
      <c r="Z66" s="1846"/>
      <c r="AA66" s="458"/>
      <c r="AB66" s="1495"/>
      <c r="AC66" s="1587"/>
      <c r="AD66" s="1499"/>
      <c r="AE66" s="1400"/>
      <c r="AF66" s="1400"/>
      <c r="AG66" s="1400"/>
      <c r="AH66" s="1400"/>
      <c r="AI66" s="728">
        <v>40</v>
      </c>
      <c r="AJ66" s="1562"/>
      <c r="AK66" s="1562"/>
      <c r="AL66" s="1562"/>
      <c r="AM66" s="1562"/>
      <c r="AN66" s="1562" t="str">
        <f t="shared" si="16"/>
        <v/>
      </c>
      <c r="AO66" s="1592"/>
      <c r="AP66" s="1495"/>
      <c r="AQ66" s="217"/>
      <c r="AR66" s="1759"/>
      <c r="AS66" s="1760"/>
      <c r="AT66" s="1760"/>
      <c r="AU66" s="1761"/>
      <c r="AV66" s="719" t="str">
        <f t="shared" si="17"/>
        <v/>
      </c>
      <c r="AW66" s="213"/>
      <c r="AX66" s="1759"/>
      <c r="AY66" s="1760"/>
      <c r="AZ66" s="1760"/>
      <c r="BA66" s="1761"/>
      <c r="BB66" s="719" t="str">
        <f t="shared" si="18"/>
        <v/>
      </c>
    </row>
    <row r="67" spans="1:54" ht="18.600000000000001">
      <c r="A67" s="1805"/>
      <c r="B67" s="399" t="s">
        <v>322</v>
      </c>
      <c r="C67" s="2005"/>
      <c r="D67" s="2006"/>
      <c r="E67" s="2006"/>
      <c r="F67" s="2006"/>
      <c r="G67" s="2006"/>
      <c r="H67" s="2007"/>
      <c r="I67" s="2007"/>
      <c r="J67" s="2007"/>
      <c r="K67" s="2007"/>
      <c r="L67" s="2007"/>
      <c r="M67" s="2007"/>
      <c r="N67" s="2007"/>
      <c r="O67" s="2008"/>
      <c r="P67" s="1957"/>
      <c r="Q67" s="1958"/>
      <c r="R67" s="1958"/>
      <c r="S67" s="1959"/>
      <c r="T67" s="405" t="str">
        <f>IF(OR(C67="",H67=""),"",VLOOKUP(H67,'Emission factors'!$A$118:$B$134,2,FALSE))</f>
        <v/>
      </c>
      <c r="U67" s="1957"/>
      <c r="V67" s="1958"/>
      <c r="W67" s="1958"/>
      <c r="X67" s="1959"/>
      <c r="Y67" s="406" t="str">
        <f t="shared" si="15"/>
        <v/>
      </c>
      <c r="Z67" s="1846"/>
      <c r="AA67" s="458"/>
      <c r="AB67" s="1495"/>
      <c r="AC67" s="1587"/>
      <c r="AD67" s="1499"/>
      <c r="AE67" s="1400"/>
      <c r="AF67" s="1400"/>
      <c r="AG67" s="1400"/>
      <c r="AH67" s="1400"/>
      <c r="AI67" s="728">
        <v>40</v>
      </c>
      <c r="AJ67" s="1562"/>
      <c r="AK67" s="1562"/>
      <c r="AL67" s="1562"/>
      <c r="AM67" s="1562"/>
      <c r="AN67" s="1562" t="str">
        <f t="shared" si="16"/>
        <v/>
      </c>
      <c r="AO67" s="1592"/>
      <c r="AP67" s="1495"/>
      <c r="AQ67" s="217"/>
      <c r="AR67" s="1759"/>
      <c r="AS67" s="1760"/>
      <c r="AT67" s="1760"/>
      <c r="AU67" s="1761"/>
      <c r="AV67" s="719" t="str">
        <f t="shared" si="17"/>
        <v/>
      </c>
      <c r="AW67" s="213"/>
      <c r="AX67" s="1759"/>
      <c r="AY67" s="1760"/>
      <c r="AZ67" s="1760"/>
      <c r="BA67" s="1761"/>
      <c r="BB67" s="719" t="str">
        <f t="shared" si="18"/>
        <v/>
      </c>
    </row>
    <row r="68" spans="1:54" ht="18.600000000000001">
      <c r="A68" s="1805"/>
      <c r="B68" s="399" t="s">
        <v>545</v>
      </c>
      <c r="C68" s="2005"/>
      <c r="D68" s="2006"/>
      <c r="E68" s="2006"/>
      <c r="F68" s="2006"/>
      <c r="G68" s="2006"/>
      <c r="H68" s="2007"/>
      <c r="I68" s="2007"/>
      <c r="J68" s="2007"/>
      <c r="K68" s="2007"/>
      <c r="L68" s="2007"/>
      <c r="M68" s="2007"/>
      <c r="N68" s="2007"/>
      <c r="O68" s="2008"/>
      <c r="P68" s="1957"/>
      <c r="Q68" s="1958"/>
      <c r="R68" s="1958"/>
      <c r="S68" s="1959"/>
      <c r="T68" s="405" t="str">
        <f>IF(OR(C68="",H68=""),"",VLOOKUP(H68,'Emission factors'!$A$118:$B$134,2,FALSE))</f>
        <v/>
      </c>
      <c r="U68" s="1957"/>
      <c r="V68" s="1958"/>
      <c r="W68" s="1958"/>
      <c r="X68" s="1959"/>
      <c r="Y68" s="406" t="str">
        <f t="shared" si="15"/>
        <v/>
      </c>
      <c r="Z68" s="1846"/>
      <c r="AA68" s="458"/>
      <c r="AB68" s="1495"/>
      <c r="AC68" s="1587"/>
      <c r="AD68" s="1499"/>
      <c r="AE68" s="1400"/>
      <c r="AF68" s="1400"/>
      <c r="AG68" s="1400"/>
      <c r="AH68" s="1400"/>
      <c r="AI68" s="728">
        <v>40</v>
      </c>
      <c r="AJ68" s="1562"/>
      <c r="AK68" s="1562"/>
      <c r="AL68" s="1562"/>
      <c r="AM68" s="1562"/>
      <c r="AN68" s="1562" t="str">
        <f t="shared" si="16"/>
        <v/>
      </c>
      <c r="AO68" s="1592"/>
      <c r="AP68" s="1495"/>
      <c r="AQ68" s="217"/>
      <c r="AR68" s="1759"/>
      <c r="AS68" s="1760"/>
      <c r="AT68" s="1760"/>
      <c r="AU68" s="1761"/>
      <c r="AV68" s="719" t="str">
        <f t="shared" si="17"/>
        <v/>
      </c>
      <c r="AW68" s="213"/>
      <c r="AX68" s="1759"/>
      <c r="AY68" s="1760"/>
      <c r="AZ68" s="1760"/>
      <c r="BA68" s="1761"/>
      <c r="BB68" s="719" t="str">
        <f t="shared" si="18"/>
        <v/>
      </c>
    </row>
    <row r="69" spans="1:54" ht="18.600000000000001">
      <c r="A69" s="1805"/>
      <c r="B69" s="399" t="s">
        <v>547</v>
      </c>
      <c r="C69" s="2005"/>
      <c r="D69" s="2006"/>
      <c r="E69" s="2006"/>
      <c r="F69" s="2006"/>
      <c r="G69" s="2006"/>
      <c r="H69" s="2007"/>
      <c r="I69" s="2007"/>
      <c r="J69" s="2007"/>
      <c r="K69" s="2007"/>
      <c r="L69" s="2007"/>
      <c r="M69" s="2007"/>
      <c r="N69" s="2007"/>
      <c r="O69" s="2008"/>
      <c r="P69" s="1957"/>
      <c r="Q69" s="1958"/>
      <c r="R69" s="1958"/>
      <c r="S69" s="1959"/>
      <c r="T69" s="405" t="str">
        <f>IF(OR(C69="",H69=""),"",VLOOKUP(H69,'Emission factors'!$A$118:$B$134,2,FALSE))</f>
        <v/>
      </c>
      <c r="U69" s="1957"/>
      <c r="V69" s="1958"/>
      <c r="W69" s="1958"/>
      <c r="X69" s="1959"/>
      <c r="Y69" s="406" t="str">
        <f t="shared" si="15"/>
        <v/>
      </c>
      <c r="Z69" s="1846"/>
      <c r="AA69" s="458"/>
      <c r="AB69" s="1495"/>
      <c r="AC69" s="1587"/>
      <c r="AD69" s="1499"/>
      <c r="AE69" s="1400"/>
      <c r="AF69" s="1400"/>
      <c r="AG69" s="1400"/>
      <c r="AH69" s="1400"/>
      <c r="AI69" s="728">
        <v>40</v>
      </c>
      <c r="AJ69" s="1562"/>
      <c r="AK69" s="1562"/>
      <c r="AL69" s="1562"/>
      <c r="AM69" s="1562"/>
      <c r="AN69" s="1562" t="str">
        <f t="shared" si="16"/>
        <v/>
      </c>
      <c r="AO69" s="1592"/>
      <c r="AP69" s="1495"/>
      <c r="AQ69" s="217"/>
      <c r="AR69" s="1759"/>
      <c r="AS69" s="1760"/>
      <c r="AT69" s="1760"/>
      <c r="AU69" s="1761"/>
      <c r="AV69" s="719" t="str">
        <f t="shared" si="17"/>
        <v/>
      </c>
      <c r="AW69" s="213"/>
      <c r="AX69" s="1759"/>
      <c r="AY69" s="1760"/>
      <c r="AZ69" s="1760"/>
      <c r="BA69" s="1761"/>
      <c r="BB69" s="719" t="str">
        <f t="shared" si="18"/>
        <v/>
      </c>
    </row>
    <row r="70" spans="1:54" ht="25.05" customHeight="1">
      <c r="A70" s="1805"/>
      <c r="B70" s="399" t="s">
        <v>548</v>
      </c>
      <c r="C70" s="2005"/>
      <c r="D70" s="2006"/>
      <c r="E70" s="2006"/>
      <c r="F70" s="2006"/>
      <c r="G70" s="2006"/>
      <c r="H70" s="2007"/>
      <c r="I70" s="2007"/>
      <c r="J70" s="2007"/>
      <c r="K70" s="2007"/>
      <c r="L70" s="2007"/>
      <c r="M70" s="2007"/>
      <c r="N70" s="2007"/>
      <c r="O70" s="2008"/>
      <c r="P70" s="1957"/>
      <c r="Q70" s="1958"/>
      <c r="R70" s="1958"/>
      <c r="S70" s="1959"/>
      <c r="T70" s="405" t="str">
        <f>IF(OR(C70="",H70=""),"",VLOOKUP(H70,'Emission factors'!$A$118:$B$134,2,FALSE))</f>
        <v/>
      </c>
      <c r="U70" s="1957"/>
      <c r="V70" s="1958"/>
      <c r="W70" s="1958"/>
      <c r="X70" s="1959"/>
      <c r="Y70" s="406" t="str">
        <f t="shared" si="15"/>
        <v/>
      </c>
      <c r="Z70" s="1846"/>
      <c r="AA70" s="458"/>
      <c r="AB70" s="1495"/>
      <c r="AC70" s="1587"/>
      <c r="AD70" s="1499"/>
      <c r="AE70" s="1400"/>
      <c r="AF70" s="1400"/>
      <c r="AG70" s="1400"/>
      <c r="AH70" s="1400"/>
      <c r="AI70" s="728">
        <v>40</v>
      </c>
      <c r="AJ70" s="1562"/>
      <c r="AK70" s="1562"/>
      <c r="AL70" s="1562"/>
      <c r="AM70" s="1562"/>
      <c r="AN70" s="1562" t="str">
        <f t="shared" si="16"/>
        <v/>
      </c>
      <c r="AO70" s="1592"/>
      <c r="AP70" s="1495"/>
      <c r="AQ70" s="217"/>
      <c r="AR70" s="1759"/>
      <c r="AS70" s="1760"/>
      <c r="AT70" s="1760"/>
      <c r="AU70" s="1761"/>
      <c r="AV70" s="719" t="str">
        <f t="shared" si="17"/>
        <v/>
      </c>
      <c r="AW70" s="213"/>
      <c r="AX70" s="1759"/>
      <c r="AY70" s="1760"/>
      <c r="AZ70" s="1760"/>
      <c r="BA70" s="1761"/>
      <c r="BB70" s="719" t="str">
        <f t="shared" si="18"/>
        <v/>
      </c>
    </row>
    <row r="71" spans="1:54" ht="25.05" customHeight="1" thickBot="1">
      <c r="A71" s="1806"/>
      <c r="B71" s="401" t="s">
        <v>551</v>
      </c>
      <c r="C71" s="2013"/>
      <c r="D71" s="2014"/>
      <c r="E71" s="2014"/>
      <c r="F71" s="2014"/>
      <c r="G71" s="2014"/>
      <c r="H71" s="2022"/>
      <c r="I71" s="2022"/>
      <c r="J71" s="2022"/>
      <c r="K71" s="2022"/>
      <c r="L71" s="2022"/>
      <c r="M71" s="2022"/>
      <c r="N71" s="2022"/>
      <c r="O71" s="2023"/>
      <c r="P71" s="1957"/>
      <c r="Q71" s="1958"/>
      <c r="R71" s="1958"/>
      <c r="S71" s="1959"/>
      <c r="T71" s="407" t="str">
        <f>IF(OR(C71="",H71=""),"",VLOOKUP(H71,'Emission factors'!$A$118:$B$134,2,FALSE))</f>
        <v/>
      </c>
      <c r="U71" s="1957"/>
      <c r="V71" s="1958"/>
      <c r="W71" s="1958"/>
      <c r="X71" s="1959"/>
      <c r="Y71" s="408" t="str">
        <f t="shared" si="15"/>
        <v/>
      </c>
      <c r="Z71" s="1846"/>
      <c r="AA71" s="458"/>
      <c r="AB71" s="1496"/>
      <c r="AC71" s="1587"/>
      <c r="AD71" s="1499"/>
      <c r="AE71" s="1400"/>
      <c r="AF71" s="1400"/>
      <c r="AG71" s="1400"/>
      <c r="AH71" s="1400"/>
      <c r="AI71" s="728">
        <v>40</v>
      </c>
      <c r="AJ71" s="1562"/>
      <c r="AK71" s="1562"/>
      <c r="AL71" s="1562"/>
      <c r="AM71" s="1562"/>
      <c r="AN71" s="1562" t="str">
        <f t="shared" si="16"/>
        <v/>
      </c>
      <c r="AO71" s="1592"/>
      <c r="AP71" s="1496"/>
      <c r="AQ71" s="217"/>
      <c r="AR71" s="1759"/>
      <c r="AS71" s="1760"/>
      <c r="AT71" s="1760"/>
      <c r="AU71" s="1761"/>
      <c r="AV71" s="719" t="str">
        <f t="shared" si="17"/>
        <v/>
      </c>
      <c r="AW71" s="213"/>
      <c r="AX71" s="1759"/>
      <c r="AY71" s="1760"/>
      <c r="AZ71" s="1760"/>
      <c r="BA71" s="1761"/>
      <c r="BB71" s="719" t="str">
        <f t="shared" si="18"/>
        <v/>
      </c>
    </row>
    <row r="72" spans="1:54" ht="31.5" customHeight="1" thickBot="1">
      <c r="A72" s="1372"/>
      <c r="B72" s="1374"/>
      <c r="C72" s="1374"/>
      <c r="D72" s="1374"/>
      <c r="E72" s="1374"/>
      <c r="F72" s="1374"/>
      <c r="G72" s="1374"/>
      <c r="H72" s="1374"/>
      <c r="I72" s="1374"/>
      <c r="J72" s="1374"/>
      <c r="K72" s="1374"/>
      <c r="L72" s="1374"/>
      <c r="M72" s="1374"/>
      <c r="N72" s="1374"/>
      <c r="O72" s="1374"/>
      <c r="P72" s="1374"/>
      <c r="Q72" s="1374"/>
      <c r="R72" s="1374"/>
      <c r="S72" s="1374"/>
      <c r="T72" s="1374"/>
      <c r="U72" s="1374"/>
      <c r="V72" s="1374"/>
      <c r="W72" s="1374"/>
      <c r="X72" s="1374"/>
      <c r="Y72" s="1374"/>
      <c r="Z72" s="1375"/>
      <c r="AA72" s="458"/>
      <c r="AB72" s="1464"/>
      <c r="AC72" s="1465"/>
      <c r="AD72" s="1465"/>
      <c r="AE72" s="1465"/>
      <c r="AF72" s="1465"/>
      <c r="AG72" s="1465"/>
      <c r="AH72" s="1465"/>
      <c r="AI72" s="1465"/>
      <c r="AJ72" s="1465"/>
      <c r="AK72" s="1465"/>
      <c r="AL72" s="1465"/>
      <c r="AM72" s="1465"/>
      <c r="AN72" s="1465"/>
      <c r="AO72" s="1465"/>
      <c r="AP72" s="1467"/>
    </row>
    <row r="73" spans="1:54" ht="37.5" customHeight="1">
      <c r="A73" s="1995"/>
      <c r="B73" s="1995"/>
      <c r="C73" s="1995"/>
      <c r="D73" s="1995"/>
      <c r="E73" s="1995"/>
      <c r="F73" s="1995"/>
      <c r="G73" s="1995"/>
      <c r="H73" s="1995"/>
      <c r="I73" s="1995"/>
      <c r="J73" s="1995"/>
      <c r="K73" s="1995"/>
      <c r="L73" s="1995"/>
      <c r="M73" s="1995"/>
      <c r="N73" s="1995"/>
      <c r="O73" s="1995"/>
      <c r="P73" s="1995"/>
      <c r="Q73" s="1995"/>
      <c r="R73" s="1995"/>
      <c r="S73" s="1995"/>
      <c r="T73" s="1995"/>
      <c r="U73" s="1995"/>
      <c r="V73" s="1995"/>
      <c r="W73" s="1995"/>
      <c r="X73" s="1995"/>
      <c r="Y73" s="1995"/>
      <c r="Z73" s="1995"/>
      <c r="AA73" s="458"/>
      <c r="AB73" s="458"/>
      <c r="AC73" s="458"/>
      <c r="AD73" s="458"/>
      <c r="AE73" s="458"/>
      <c r="AF73" s="458"/>
      <c r="AG73" s="458"/>
      <c r="AH73" s="458"/>
      <c r="AI73" s="458"/>
      <c r="AJ73" s="458"/>
      <c r="AK73" s="458"/>
      <c r="AL73" s="458"/>
      <c r="AM73" s="458"/>
      <c r="AN73" s="458"/>
      <c r="AO73" s="458"/>
      <c r="AP73" s="458"/>
    </row>
    <row r="74" spans="1:54">
      <c r="A74" s="1795"/>
      <c r="B74" s="1795"/>
      <c r="C74" s="1795"/>
      <c r="D74" s="1795"/>
      <c r="E74" s="1795"/>
      <c r="F74" s="1795"/>
      <c r="G74" s="1795"/>
      <c r="H74" s="1795"/>
      <c r="I74" s="1795"/>
      <c r="J74" s="1795"/>
      <c r="K74" s="1795"/>
      <c r="L74" s="1795"/>
      <c r="M74" s="1795"/>
      <c r="N74" s="1795"/>
      <c r="O74" s="1795"/>
      <c r="P74" s="1795"/>
      <c r="Q74" s="1795"/>
      <c r="R74" s="1795"/>
      <c r="S74" s="1795"/>
      <c r="T74" s="1795"/>
      <c r="U74" s="1795"/>
      <c r="V74" s="1795"/>
      <c r="W74" s="1795"/>
      <c r="X74" s="1795"/>
      <c r="Y74" s="1795"/>
      <c r="Z74" s="1795"/>
      <c r="AA74" s="458"/>
      <c r="AB74" s="458"/>
      <c r="AC74" s="458"/>
      <c r="AD74" s="458"/>
      <c r="AE74" s="458"/>
      <c r="AF74" s="458"/>
      <c r="AG74" s="458"/>
      <c r="AH74" s="458"/>
      <c r="AI74" s="458"/>
      <c r="AJ74" s="458"/>
      <c r="AK74" s="458"/>
      <c r="AL74" s="458"/>
      <c r="AM74" s="458"/>
      <c r="AN74" s="458"/>
      <c r="AO74" s="458"/>
      <c r="AP74" s="458"/>
    </row>
    <row r="75" spans="1:54" ht="15.6" thickBot="1">
      <c r="A75" s="1795"/>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458"/>
      <c r="AB75" s="458"/>
      <c r="AC75" s="458"/>
      <c r="AD75" s="458"/>
      <c r="AE75" s="458"/>
      <c r="AF75" s="458"/>
      <c r="AG75" s="458"/>
      <c r="AH75" s="458"/>
      <c r="AI75" s="458"/>
      <c r="AJ75" s="458"/>
      <c r="AK75" s="458"/>
      <c r="AL75" s="458"/>
      <c r="AM75" s="458"/>
      <c r="AN75" s="458"/>
      <c r="AO75" s="458"/>
      <c r="AP75" s="458"/>
    </row>
    <row r="76" spans="1:54" ht="39" customHeight="1">
      <c r="A76" s="1015" t="s">
        <v>850</v>
      </c>
      <c r="B76" s="1284"/>
      <c r="C76" s="1284"/>
      <c r="D76" s="1284"/>
      <c r="E76" s="1284"/>
      <c r="F76" s="1284"/>
      <c r="G76" s="1284"/>
      <c r="H76" s="1284"/>
      <c r="I76" s="1284"/>
      <c r="J76" s="1284"/>
      <c r="K76" s="1284"/>
      <c r="L76" s="1284"/>
      <c r="M76" s="1284"/>
      <c r="N76" s="1284"/>
      <c r="O76" s="1284"/>
      <c r="P76" s="1284"/>
      <c r="Q76" s="1284"/>
      <c r="R76" s="1284"/>
      <c r="S76" s="1284"/>
      <c r="T76" s="1284"/>
      <c r="U76" s="1285"/>
      <c r="V76" s="1996" t="s">
        <v>752</v>
      </c>
      <c r="W76" s="1997"/>
      <c r="X76" s="1997"/>
      <c r="Y76" s="1997"/>
      <c r="Z76" s="1998"/>
      <c r="AA76" s="458"/>
      <c r="AB76" s="1015" t="s">
        <v>1358</v>
      </c>
      <c r="AC76" s="1284"/>
      <c r="AD76" s="1284"/>
      <c r="AE76" s="1284"/>
      <c r="AF76" s="1284"/>
      <c r="AG76" s="1284"/>
      <c r="AH76" s="1284"/>
      <c r="AI76" s="1284"/>
      <c r="AJ76" s="1284"/>
      <c r="AK76" s="1284"/>
      <c r="AL76" s="1284"/>
      <c r="AM76" s="1284"/>
      <c r="AN76" s="1284"/>
      <c r="AO76" s="1284"/>
      <c r="AP76" s="1285"/>
    </row>
    <row r="77" spans="1:54" ht="94.95" customHeight="1" thickBot="1">
      <c r="A77" s="1283" t="s">
        <v>1589</v>
      </c>
      <c r="B77" s="1216"/>
      <c r="C77" s="1216"/>
      <c r="D77" s="1216"/>
      <c r="E77" s="1216"/>
      <c r="F77" s="1216"/>
      <c r="G77" s="1216"/>
      <c r="H77" s="1216"/>
      <c r="I77" s="1216"/>
      <c r="J77" s="1216"/>
      <c r="K77" s="1216"/>
      <c r="L77" s="1216"/>
      <c r="M77" s="1216"/>
      <c r="N77" s="1216"/>
      <c r="O77" s="1216"/>
      <c r="P77" s="1216"/>
      <c r="Q77" s="1216"/>
      <c r="R77" s="1216"/>
      <c r="S77" s="1216"/>
      <c r="T77" s="1216"/>
      <c r="U77" s="1217"/>
      <c r="V77" s="1484"/>
      <c r="W77" s="1485"/>
      <c r="X77" s="1485"/>
      <c r="Y77" s="1485"/>
      <c r="Z77" s="1486"/>
      <c r="AA77" s="458"/>
      <c r="AB77" s="1039" t="s">
        <v>1274</v>
      </c>
      <c r="AC77" s="1037"/>
      <c r="AD77" s="1037"/>
      <c r="AE77" s="1037"/>
      <c r="AF77" s="1037"/>
      <c r="AG77" s="1037"/>
      <c r="AH77" s="1037"/>
      <c r="AI77" s="1037"/>
      <c r="AJ77" s="1037"/>
      <c r="AK77" s="1037"/>
      <c r="AL77" s="1037"/>
      <c r="AM77" s="1037"/>
      <c r="AN77" s="1037"/>
      <c r="AO77" s="1037"/>
      <c r="AP77" s="1038"/>
    </row>
    <row r="78" spans="1:54" ht="40.049999999999997" customHeight="1" thickBot="1">
      <c r="A78" s="1015" t="s">
        <v>816</v>
      </c>
      <c r="B78" s="1284"/>
      <c r="C78" s="1284"/>
      <c r="D78" s="1284"/>
      <c r="E78" s="1284"/>
      <c r="F78" s="1284"/>
      <c r="G78" s="1284"/>
      <c r="H78" s="1284"/>
      <c r="I78" s="1284"/>
      <c r="J78" s="1284"/>
      <c r="K78" s="1284"/>
      <c r="L78" s="1284"/>
      <c r="M78" s="1284"/>
      <c r="N78" s="1284"/>
      <c r="O78" s="1284"/>
      <c r="P78" s="1284"/>
      <c r="Q78" s="1284"/>
      <c r="R78" s="1284"/>
      <c r="S78" s="1284"/>
      <c r="T78" s="1284"/>
      <c r="U78" s="1285"/>
      <c r="V78" s="1996" t="s">
        <v>752</v>
      </c>
      <c r="W78" s="1997"/>
      <c r="X78" s="1997"/>
      <c r="Y78" s="1997"/>
      <c r="Z78" s="1998"/>
      <c r="AA78" s="458"/>
      <c r="AB78" s="1283"/>
      <c r="AC78" s="1216"/>
      <c r="AD78" s="1216"/>
      <c r="AE78" s="1216"/>
      <c r="AF78" s="1216"/>
      <c r="AG78" s="1216"/>
      <c r="AH78" s="1216"/>
      <c r="AI78" s="1216"/>
      <c r="AJ78" s="1216"/>
      <c r="AK78" s="1216"/>
      <c r="AL78" s="1216"/>
      <c r="AM78" s="1216"/>
      <c r="AN78" s="1216"/>
      <c r="AO78" s="1216"/>
      <c r="AP78" s="1217"/>
    </row>
    <row r="79" spans="1:54" ht="36" customHeight="1">
      <c r="A79" s="1021" t="s">
        <v>1143</v>
      </c>
      <c r="B79" s="1022"/>
      <c r="C79" s="1022"/>
      <c r="D79" s="1022"/>
      <c r="E79" s="1022"/>
      <c r="F79" s="1022"/>
      <c r="G79" s="1022"/>
      <c r="H79" s="1022"/>
      <c r="I79" s="1022"/>
      <c r="J79" s="1022"/>
      <c r="K79" s="1022"/>
      <c r="L79" s="1022"/>
      <c r="M79" s="1022"/>
      <c r="N79" s="1022"/>
      <c r="O79" s="1022"/>
      <c r="P79" s="1022"/>
      <c r="Q79" s="1022"/>
      <c r="R79" s="1022"/>
      <c r="S79" s="1022"/>
      <c r="T79" s="1022"/>
      <c r="U79" s="1023"/>
      <c r="V79" s="1999"/>
      <c r="W79" s="2000"/>
      <c r="X79" s="2000"/>
      <c r="Y79" s="2000"/>
      <c r="Z79" s="2001"/>
      <c r="AA79" s="458"/>
      <c r="AB79" s="458"/>
      <c r="AC79" s="458"/>
      <c r="AD79" s="458"/>
      <c r="AE79" s="458"/>
      <c r="AF79" s="458"/>
      <c r="AG79" s="458"/>
      <c r="AH79" s="458"/>
      <c r="AI79" s="458"/>
      <c r="AJ79" s="458"/>
      <c r="AK79" s="458"/>
      <c r="AL79" s="458"/>
      <c r="AM79" s="458"/>
      <c r="AN79" s="458"/>
      <c r="AO79" s="458"/>
      <c r="AP79" s="458"/>
    </row>
    <row r="80" spans="1:54" ht="36" customHeight="1">
      <c r="A80" s="1021" t="s">
        <v>1144</v>
      </c>
      <c r="B80" s="1022"/>
      <c r="C80" s="1022"/>
      <c r="D80" s="1022"/>
      <c r="E80" s="1022"/>
      <c r="F80" s="1022"/>
      <c r="G80" s="1022"/>
      <c r="H80" s="1022"/>
      <c r="I80" s="1022"/>
      <c r="J80" s="1022"/>
      <c r="K80" s="1022"/>
      <c r="L80" s="1022"/>
      <c r="M80" s="1022"/>
      <c r="N80" s="1022"/>
      <c r="O80" s="1022"/>
      <c r="P80" s="1022"/>
      <c r="Q80" s="1022"/>
      <c r="R80" s="1022"/>
      <c r="S80" s="1022"/>
      <c r="T80" s="1022"/>
      <c r="U80" s="1023"/>
      <c r="V80" s="1999"/>
      <c r="W80" s="2000"/>
      <c r="X80" s="2000"/>
      <c r="Y80" s="2000"/>
      <c r="Z80" s="2001"/>
      <c r="AA80" s="458"/>
      <c r="AB80" s="458"/>
      <c r="AC80" s="458"/>
      <c r="AD80" s="458"/>
      <c r="AE80" s="458"/>
      <c r="AF80" s="458"/>
      <c r="AG80" s="458"/>
      <c r="AH80" s="458"/>
      <c r="AI80" s="458"/>
      <c r="AJ80" s="458"/>
      <c r="AK80" s="458"/>
      <c r="AL80" s="458"/>
      <c r="AM80" s="458"/>
      <c r="AN80" s="458"/>
      <c r="AO80" s="458"/>
      <c r="AP80" s="458"/>
    </row>
    <row r="81" spans="1:42" ht="36" customHeight="1">
      <c r="A81" s="1021" t="s">
        <v>1142</v>
      </c>
      <c r="B81" s="1022"/>
      <c r="C81" s="1022"/>
      <c r="D81" s="1022"/>
      <c r="E81" s="1022"/>
      <c r="F81" s="1022"/>
      <c r="G81" s="1022"/>
      <c r="H81" s="1022"/>
      <c r="I81" s="1022"/>
      <c r="J81" s="1022"/>
      <c r="K81" s="1022"/>
      <c r="L81" s="1022"/>
      <c r="M81" s="1022"/>
      <c r="N81" s="1022"/>
      <c r="O81" s="1022"/>
      <c r="P81" s="1022"/>
      <c r="Q81" s="1022"/>
      <c r="R81" s="1022"/>
      <c r="S81" s="1022"/>
      <c r="T81" s="1022"/>
      <c r="U81" s="1023"/>
      <c r="V81" s="1999"/>
      <c r="W81" s="2000"/>
      <c r="X81" s="2000"/>
      <c r="Y81" s="2000"/>
      <c r="Z81" s="2001"/>
      <c r="AA81" s="458"/>
      <c r="AB81" s="458"/>
      <c r="AC81" s="458"/>
      <c r="AD81" s="458"/>
      <c r="AE81" s="458"/>
      <c r="AF81" s="458"/>
      <c r="AG81" s="458"/>
      <c r="AH81" s="458"/>
      <c r="AI81" s="458"/>
      <c r="AJ81" s="458"/>
      <c r="AK81" s="458"/>
      <c r="AL81" s="458"/>
      <c r="AM81" s="458"/>
      <c r="AN81" s="458"/>
      <c r="AO81" s="458"/>
      <c r="AP81" s="458"/>
    </row>
    <row r="82" spans="1:42" ht="55.05" customHeight="1">
      <c r="A82" s="1021" t="s">
        <v>1155</v>
      </c>
      <c r="B82" s="1022"/>
      <c r="C82" s="1022"/>
      <c r="D82" s="1022"/>
      <c r="E82" s="1022"/>
      <c r="F82" s="1022"/>
      <c r="G82" s="1022"/>
      <c r="H82" s="1022"/>
      <c r="I82" s="1022"/>
      <c r="J82" s="1022"/>
      <c r="K82" s="1022"/>
      <c r="L82" s="1022"/>
      <c r="M82" s="1022"/>
      <c r="N82" s="1022"/>
      <c r="O82" s="1022"/>
      <c r="P82" s="1022"/>
      <c r="Q82" s="1022"/>
      <c r="R82" s="1022"/>
      <c r="S82" s="1022"/>
      <c r="T82" s="1022"/>
      <c r="U82" s="1023"/>
      <c r="V82" s="1999"/>
      <c r="W82" s="2000"/>
      <c r="X82" s="2000"/>
      <c r="Y82" s="2000"/>
      <c r="Z82" s="2001"/>
      <c r="AA82" s="458"/>
      <c r="AB82" s="458"/>
      <c r="AC82" s="458"/>
      <c r="AD82" s="458"/>
      <c r="AE82" s="458"/>
      <c r="AF82" s="458"/>
      <c r="AG82" s="458"/>
      <c r="AH82" s="458"/>
      <c r="AI82" s="458"/>
      <c r="AJ82" s="458"/>
      <c r="AK82" s="458"/>
      <c r="AL82" s="458"/>
      <c r="AM82" s="458"/>
      <c r="AN82" s="458"/>
      <c r="AO82" s="458"/>
      <c r="AP82" s="458"/>
    </row>
    <row r="83" spans="1:42" ht="100.95" customHeight="1" thickBot="1">
      <c r="A83" s="1024" t="s">
        <v>1141</v>
      </c>
      <c r="B83" s="1025"/>
      <c r="C83" s="1025"/>
      <c r="D83" s="1025"/>
      <c r="E83" s="1025"/>
      <c r="F83" s="1025"/>
      <c r="G83" s="1025"/>
      <c r="H83" s="1025"/>
      <c r="I83" s="1025"/>
      <c r="J83" s="1025"/>
      <c r="K83" s="1025"/>
      <c r="L83" s="1025"/>
      <c r="M83" s="1025"/>
      <c r="N83" s="1025"/>
      <c r="O83" s="1025"/>
      <c r="P83" s="1025"/>
      <c r="Q83" s="1025"/>
      <c r="R83" s="1025"/>
      <c r="S83" s="1025"/>
      <c r="T83" s="1025"/>
      <c r="U83" s="1026"/>
      <c r="V83" s="2002"/>
      <c r="W83" s="2003"/>
      <c r="X83" s="2003"/>
      <c r="Y83" s="2003"/>
      <c r="Z83" s="2004"/>
      <c r="AA83" s="458"/>
      <c r="AB83" s="458"/>
      <c r="AC83" s="458"/>
      <c r="AD83" s="458"/>
      <c r="AE83" s="458"/>
      <c r="AF83" s="458"/>
      <c r="AG83" s="458"/>
      <c r="AH83" s="458"/>
      <c r="AI83" s="458"/>
      <c r="AJ83" s="458"/>
      <c r="AK83" s="458"/>
      <c r="AL83" s="458"/>
      <c r="AM83" s="458"/>
      <c r="AN83" s="458"/>
      <c r="AO83" s="458"/>
      <c r="AP83" s="458"/>
    </row>
    <row r="85" spans="1:42">
      <c r="H85" s="409"/>
    </row>
    <row r="86" spans="1:42" ht="15.6" thickBot="1"/>
    <row r="87" spans="1:42" ht="15.6" thickBot="1">
      <c r="V87" s="410"/>
    </row>
  </sheetData>
  <sheetProtection password="9F15" sheet="1" objects="1" scenarios="1"/>
  <mergeCells count="402">
    <mergeCell ref="A14:Z14"/>
    <mergeCell ref="A15:Z15"/>
    <mergeCell ref="Z16:Z28"/>
    <mergeCell ref="A29:Z29"/>
    <mergeCell ref="A50:Z50"/>
    <mergeCell ref="P59:P60"/>
    <mergeCell ref="Q59:Q60"/>
    <mergeCell ref="R59:R60"/>
    <mergeCell ref="C39:G39"/>
    <mergeCell ref="C40:G40"/>
    <mergeCell ref="H40:O40"/>
    <mergeCell ref="B16:B18"/>
    <mergeCell ref="P16:T16"/>
    <mergeCell ref="U16:Y16"/>
    <mergeCell ref="C17:G17"/>
    <mergeCell ref="C18:G18"/>
    <mergeCell ref="C19:G19"/>
    <mergeCell ref="C16:O16"/>
    <mergeCell ref="H19:O19"/>
    <mergeCell ref="H17:O18"/>
    <mergeCell ref="S17:S18"/>
    <mergeCell ref="U17:U18"/>
    <mergeCell ref="V17:V18"/>
    <mergeCell ref="W17:W18"/>
    <mergeCell ref="X17:X18"/>
    <mergeCell ref="P17:P18"/>
    <mergeCell ref="Q17:Q18"/>
    <mergeCell ref="R17:R18"/>
    <mergeCell ref="C26:G26"/>
    <mergeCell ref="H26:O26"/>
    <mergeCell ref="C25:G25"/>
    <mergeCell ref="H25:O25"/>
    <mergeCell ref="P37:T37"/>
    <mergeCell ref="U40:X49"/>
    <mergeCell ref="C45:G45"/>
    <mergeCell ref="C27:G27"/>
    <mergeCell ref="H27:O27"/>
    <mergeCell ref="P19:S28"/>
    <mergeCell ref="U19:X28"/>
    <mergeCell ref="C21:G21"/>
    <mergeCell ref="H21:O21"/>
    <mergeCell ref="C22:G22"/>
    <mergeCell ref="H22:O22"/>
    <mergeCell ref="H24:O24"/>
    <mergeCell ref="C23:G23"/>
    <mergeCell ref="H23:O23"/>
    <mergeCell ref="C20:G20"/>
    <mergeCell ref="H20:O20"/>
    <mergeCell ref="C24:G24"/>
    <mergeCell ref="C28:G28"/>
    <mergeCell ref="H28:O28"/>
    <mergeCell ref="R38:R39"/>
    <mergeCell ref="C37:O37"/>
    <mergeCell ref="X59:X60"/>
    <mergeCell ref="C60:G60"/>
    <mergeCell ref="C58:O58"/>
    <mergeCell ref="P58:T58"/>
    <mergeCell ref="U58:Y58"/>
    <mergeCell ref="C59:G59"/>
    <mergeCell ref="H59:O60"/>
    <mergeCell ref="B37:B39"/>
    <mergeCell ref="C44:G44"/>
    <mergeCell ref="H44:O44"/>
    <mergeCell ref="V38:V39"/>
    <mergeCell ref="W38:W39"/>
    <mergeCell ref="X38:X39"/>
    <mergeCell ref="U37:Y37"/>
    <mergeCell ref="C38:G38"/>
    <mergeCell ref="H38:O39"/>
    <mergeCell ref="P38:P39"/>
    <mergeCell ref="Q38:Q39"/>
    <mergeCell ref="S38:S39"/>
    <mergeCell ref="U38:U39"/>
    <mergeCell ref="C43:G43"/>
    <mergeCell ref="H43:O43"/>
    <mergeCell ref="C41:G41"/>
    <mergeCell ref="H41:O41"/>
    <mergeCell ref="A83:U83"/>
    <mergeCell ref="H62:O62"/>
    <mergeCell ref="H45:O45"/>
    <mergeCell ref="C46:G46"/>
    <mergeCell ref="H46:O46"/>
    <mergeCell ref="S59:S60"/>
    <mergeCell ref="U59:U60"/>
    <mergeCell ref="V59:V60"/>
    <mergeCell ref="W59:W60"/>
    <mergeCell ref="A76:U76"/>
    <mergeCell ref="A77:U77"/>
    <mergeCell ref="A78:U78"/>
    <mergeCell ref="A79:U79"/>
    <mergeCell ref="A80:U80"/>
    <mergeCell ref="A82:U82"/>
    <mergeCell ref="C71:G71"/>
    <mergeCell ref="H71:O71"/>
    <mergeCell ref="B58:B60"/>
    <mergeCell ref="C69:G69"/>
    <mergeCell ref="H69:O69"/>
    <mergeCell ref="C70:G70"/>
    <mergeCell ref="H70:O70"/>
    <mergeCell ref="C67:G67"/>
    <mergeCell ref="H67:O67"/>
    <mergeCell ref="C68:G68"/>
    <mergeCell ref="H68:O68"/>
    <mergeCell ref="C65:G65"/>
    <mergeCell ref="H65:O65"/>
    <mergeCell ref="C66:G66"/>
    <mergeCell ref="H66:O66"/>
    <mergeCell ref="C63:G63"/>
    <mergeCell ref="H63:O63"/>
    <mergeCell ref="P40:S49"/>
    <mergeCell ref="C42:G42"/>
    <mergeCell ref="H42:O42"/>
    <mergeCell ref="C49:G49"/>
    <mergeCell ref="H49:O49"/>
    <mergeCell ref="C62:G62"/>
    <mergeCell ref="C47:G47"/>
    <mergeCell ref="H47:O47"/>
    <mergeCell ref="C48:G48"/>
    <mergeCell ref="H48:O48"/>
    <mergeCell ref="C61:G61"/>
    <mergeCell ref="H61:O61"/>
    <mergeCell ref="H5:I5"/>
    <mergeCell ref="H6:I6"/>
    <mergeCell ref="H7:I7"/>
    <mergeCell ref="H8:I8"/>
    <mergeCell ref="A3:F3"/>
    <mergeCell ref="G3:K3"/>
    <mergeCell ref="A2:Y2"/>
    <mergeCell ref="A9:Y9"/>
    <mergeCell ref="A7:C7"/>
    <mergeCell ref="A8:C8"/>
    <mergeCell ref="A4:C4"/>
    <mergeCell ref="A5:C5"/>
    <mergeCell ref="A6:C6"/>
    <mergeCell ref="E4:G4"/>
    <mergeCell ref="E5:G5"/>
    <mergeCell ref="E6:G6"/>
    <mergeCell ref="E7:G7"/>
    <mergeCell ref="E8:G8"/>
    <mergeCell ref="H4:I4"/>
    <mergeCell ref="AB2:AP2"/>
    <mergeCell ref="A12:Z13"/>
    <mergeCell ref="A54:Z55"/>
    <mergeCell ref="A33:Z34"/>
    <mergeCell ref="A73:Z75"/>
    <mergeCell ref="V78:Z78"/>
    <mergeCell ref="V79:Z83"/>
    <mergeCell ref="V76:Z76"/>
    <mergeCell ref="V77:Z77"/>
    <mergeCell ref="A81:U81"/>
    <mergeCell ref="A16:A28"/>
    <mergeCell ref="A72:Z72"/>
    <mergeCell ref="A35:Z35"/>
    <mergeCell ref="A36:Z36"/>
    <mergeCell ref="A56:Z56"/>
    <mergeCell ref="A57:Z57"/>
    <mergeCell ref="Z58:Z71"/>
    <mergeCell ref="A58:A71"/>
    <mergeCell ref="A37:A49"/>
    <mergeCell ref="Z37:Z49"/>
    <mergeCell ref="C64:G64"/>
    <mergeCell ref="H64:O64"/>
    <mergeCell ref="P61:S71"/>
    <mergeCell ref="U61:X71"/>
    <mergeCell ref="AC20:AD20"/>
    <mergeCell ref="AC21:AD21"/>
    <mergeCell ref="AC22:AD22"/>
    <mergeCell ref="AC23:AD23"/>
    <mergeCell ref="AC24:AD24"/>
    <mergeCell ref="AB14:AP14"/>
    <mergeCell ref="AC25:AD25"/>
    <mergeCell ref="AC26:AD26"/>
    <mergeCell ref="AC27:AD27"/>
    <mergeCell ref="AB15:AP15"/>
    <mergeCell ref="AC16:AI16"/>
    <mergeCell ref="AJ16:AO16"/>
    <mergeCell ref="AC17:AD18"/>
    <mergeCell ref="AE17:AI17"/>
    <mergeCell ref="AN17:AO17"/>
    <mergeCell ref="AN18:AO18"/>
    <mergeCell ref="AE20:AH20"/>
    <mergeCell ref="AJ20:AM20"/>
    <mergeCell ref="AN20:AO20"/>
    <mergeCell ref="AR18:AV18"/>
    <mergeCell ref="AX18:BB18"/>
    <mergeCell ref="AN19:AO19"/>
    <mergeCell ref="AE19:AH19"/>
    <mergeCell ref="AJ19:AM19"/>
    <mergeCell ref="AR19:AU19"/>
    <mergeCell ref="AX19:BA19"/>
    <mergeCell ref="AC19:AD19"/>
    <mergeCell ref="AC3:AF3"/>
    <mergeCell ref="AC4:AF4"/>
    <mergeCell ref="AC5:AF5"/>
    <mergeCell ref="AC6:AF6"/>
    <mergeCell ref="AC7:AF7"/>
    <mergeCell ref="AH3:AJ3"/>
    <mergeCell ref="AH4:AJ4"/>
    <mergeCell ref="AH5:AJ5"/>
    <mergeCell ref="AH6:AJ6"/>
    <mergeCell ref="AH7:AJ7"/>
    <mergeCell ref="AR20:AU20"/>
    <mergeCell ref="AX20:BA20"/>
    <mergeCell ref="AE21:AH21"/>
    <mergeCell ref="AJ21:AM21"/>
    <mergeCell ref="AN21:AO21"/>
    <mergeCell ref="AR21:AU21"/>
    <mergeCell ref="AX21:BA21"/>
    <mergeCell ref="AN25:AO25"/>
    <mergeCell ref="AR25:AU25"/>
    <mergeCell ref="AX25:BA25"/>
    <mergeCell ref="AE22:AH22"/>
    <mergeCell ref="AJ22:AM22"/>
    <mergeCell ref="AN22:AO22"/>
    <mergeCell ref="AR22:AU22"/>
    <mergeCell ref="AX22:BA22"/>
    <mergeCell ref="AE23:AH23"/>
    <mergeCell ref="AJ23:AM23"/>
    <mergeCell ref="AN23:AO23"/>
    <mergeCell ref="AR23:AU23"/>
    <mergeCell ref="AX23:BA23"/>
    <mergeCell ref="AC28:AD28"/>
    <mergeCell ref="AE28:AH28"/>
    <mergeCell ref="AJ28:AM28"/>
    <mergeCell ref="AN28:AO28"/>
    <mergeCell ref="AR28:AU28"/>
    <mergeCell ref="AX28:BA28"/>
    <mergeCell ref="AP16:AP28"/>
    <mergeCell ref="AE26:AH26"/>
    <mergeCell ref="AJ26:AM26"/>
    <mergeCell ref="AN26:AO26"/>
    <mergeCell ref="AR26:AU26"/>
    <mergeCell ref="AX26:BA26"/>
    <mergeCell ref="AE27:AH27"/>
    <mergeCell ref="AJ27:AM27"/>
    <mergeCell ref="AN27:AO27"/>
    <mergeCell ref="AR27:AU27"/>
    <mergeCell ref="AX27:BA27"/>
    <mergeCell ref="AE24:AH24"/>
    <mergeCell ref="AJ24:AM24"/>
    <mergeCell ref="AN24:AO24"/>
    <mergeCell ref="AR24:AU24"/>
    <mergeCell ref="AX24:BA24"/>
    <mergeCell ref="AE25:AH25"/>
    <mergeCell ref="AJ25:AM25"/>
    <mergeCell ref="AC40:AD40"/>
    <mergeCell ref="AE40:AH40"/>
    <mergeCell ref="AJ40:AM40"/>
    <mergeCell ref="AN40:AO40"/>
    <mergeCell ref="AR40:AU40"/>
    <mergeCell ref="AX40:BA40"/>
    <mergeCell ref="AB36:AP36"/>
    <mergeCell ref="AC37:AI37"/>
    <mergeCell ref="AJ37:AO37"/>
    <mergeCell ref="AC38:AD39"/>
    <mergeCell ref="AE38:AI38"/>
    <mergeCell ref="AR39:AV39"/>
    <mergeCell ref="AX39:BB39"/>
    <mergeCell ref="AN38:AO38"/>
    <mergeCell ref="AN39:AO39"/>
    <mergeCell ref="AC41:AD41"/>
    <mergeCell ref="AE41:AH41"/>
    <mergeCell ref="AJ41:AM41"/>
    <mergeCell ref="AN41:AO41"/>
    <mergeCell ref="AR41:AU41"/>
    <mergeCell ref="AX41:BA41"/>
    <mergeCell ref="AC42:AD42"/>
    <mergeCell ref="AE42:AH42"/>
    <mergeCell ref="AJ42:AM42"/>
    <mergeCell ref="AN42:AO42"/>
    <mergeCell ref="AR42:AU42"/>
    <mergeCell ref="AX42:BA42"/>
    <mergeCell ref="AC43:AD43"/>
    <mergeCell ref="AE43:AH43"/>
    <mergeCell ref="AJ43:AM43"/>
    <mergeCell ref="AN43:AO43"/>
    <mergeCell ref="AR43:AU43"/>
    <mergeCell ref="AX43:BA43"/>
    <mergeCell ref="AC44:AD44"/>
    <mergeCell ref="AE44:AH44"/>
    <mergeCell ref="AJ44:AM44"/>
    <mergeCell ref="AN44:AO44"/>
    <mergeCell ref="AR44:AU44"/>
    <mergeCell ref="AX44:BA44"/>
    <mergeCell ref="AC45:AD45"/>
    <mergeCell ref="AE45:AH45"/>
    <mergeCell ref="AJ45:AM45"/>
    <mergeCell ref="AN45:AO45"/>
    <mergeCell ref="AR45:AU45"/>
    <mergeCell ref="AX45:BA45"/>
    <mergeCell ref="AC46:AD46"/>
    <mergeCell ref="AE46:AH46"/>
    <mergeCell ref="AJ46:AM46"/>
    <mergeCell ref="AN46:AO46"/>
    <mergeCell ref="AR46:AU46"/>
    <mergeCell ref="AX46:BA46"/>
    <mergeCell ref="AC49:AD49"/>
    <mergeCell ref="AE49:AH49"/>
    <mergeCell ref="AJ49:AM49"/>
    <mergeCell ref="AN49:AO49"/>
    <mergeCell ref="AR49:AU49"/>
    <mergeCell ref="AX49:BA49"/>
    <mergeCell ref="AC47:AD47"/>
    <mergeCell ref="AE47:AH47"/>
    <mergeCell ref="AJ47:AM47"/>
    <mergeCell ref="AN47:AO47"/>
    <mergeCell ref="AR47:AU47"/>
    <mergeCell ref="AX47:BA47"/>
    <mergeCell ref="AC48:AD48"/>
    <mergeCell ref="AE48:AH48"/>
    <mergeCell ref="AJ48:AM48"/>
    <mergeCell ref="AN48:AO48"/>
    <mergeCell ref="AR48:AU48"/>
    <mergeCell ref="AX48:BA48"/>
    <mergeCell ref="AC61:AD61"/>
    <mergeCell ref="AE61:AH61"/>
    <mergeCell ref="AJ61:AM61"/>
    <mergeCell ref="AN61:AO61"/>
    <mergeCell ref="AR61:AU61"/>
    <mergeCell ref="AX61:BA61"/>
    <mergeCell ref="AB57:AP57"/>
    <mergeCell ref="AC58:AI58"/>
    <mergeCell ref="AJ58:AO58"/>
    <mergeCell ref="AC59:AD60"/>
    <mergeCell ref="AE59:AI59"/>
    <mergeCell ref="AR60:AV60"/>
    <mergeCell ref="AX60:BB60"/>
    <mergeCell ref="AN59:AO59"/>
    <mergeCell ref="AN60:AO60"/>
    <mergeCell ref="AN62:AO62"/>
    <mergeCell ref="AR62:AU62"/>
    <mergeCell ref="AX62:BA62"/>
    <mergeCell ref="AC63:AD63"/>
    <mergeCell ref="AE63:AH63"/>
    <mergeCell ref="AJ63:AM63"/>
    <mergeCell ref="AN63:AO63"/>
    <mergeCell ref="AR63:AU63"/>
    <mergeCell ref="AX63:BA63"/>
    <mergeCell ref="AR66:AU66"/>
    <mergeCell ref="AX66:BA66"/>
    <mergeCell ref="AC67:AD67"/>
    <mergeCell ref="AE67:AH67"/>
    <mergeCell ref="AJ67:AM67"/>
    <mergeCell ref="AN67:AO67"/>
    <mergeCell ref="AR67:AU67"/>
    <mergeCell ref="AX67:BA67"/>
    <mergeCell ref="AC64:AD64"/>
    <mergeCell ref="AE64:AH64"/>
    <mergeCell ref="AJ64:AM64"/>
    <mergeCell ref="AN64:AO64"/>
    <mergeCell ref="AR64:AU64"/>
    <mergeCell ref="AX64:BA64"/>
    <mergeCell ref="AC65:AD65"/>
    <mergeCell ref="AE65:AH65"/>
    <mergeCell ref="AJ65:AM65"/>
    <mergeCell ref="AN65:AO65"/>
    <mergeCell ref="AR65:AU65"/>
    <mergeCell ref="AX65:BA65"/>
    <mergeCell ref="AR70:AU70"/>
    <mergeCell ref="AX70:BA70"/>
    <mergeCell ref="AC71:AD71"/>
    <mergeCell ref="AE71:AH71"/>
    <mergeCell ref="AJ71:AM71"/>
    <mergeCell ref="AN71:AO71"/>
    <mergeCell ref="AR71:AU71"/>
    <mergeCell ref="AX71:BA71"/>
    <mergeCell ref="AC68:AD68"/>
    <mergeCell ref="AE68:AH68"/>
    <mergeCell ref="AJ68:AM68"/>
    <mergeCell ref="AN68:AO68"/>
    <mergeCell ref="AR68:AU68"/>
    <mergeCell ref="AX68:BA68"/>
    <mergeCell ref="AC69:AD69"/>
    <mergeCell ref="AE69:AH69"/>
    <mergeCell ref="AJ69:AM69"/>
    <mergeCell ref="AN69:AO69"/>
    <mergeCell ref="AR69:AU69"/>
    <mergeCell ref="AX69:BA69"/>
    <mergeCell ref="AB76:AP76"/>
    <mergeCell ref="AB77:AP78"/>
    <mergeCell ref="A1:AP1"/>
    <mergeCell ref="AB16:AB28"/>
    <mergeCell ref="AP37:AP49"/>
    <mergeCell ref="AB37:AB49"/>
    <mergeCell ref="AB58:AB71"/>
    <mergeCell ref="AP58:AP71"/>
    <mergeCell ref="AB72:AP72"/>
    <mergeCell ref="AB50:AP50"/>
    <mergeCell ref="AB29:AP29"/>
    <mergeCell ref="AB35:AP35"/>
    <mergeCell ref="AB56:AP56"/>
    <mergeCell ref="AC70:AD70"/>
    <mergeCell ref="AE70:AH70"/>
    <mergeCell ref="AJ70:AM70"/>
    <mergeCell ref="AN70:AO70"/>
    <mergeCell ref="AC66:AD66"/>
    <mergeCell ref="AE66:AH66"/>
    <mergeCell ref="AJ66:AM66"/>
    <mergeCell ref="AN66:AO66"/>
    <mergeCell ref="AC62:AD62"/>
    <mergeCell ref="AE62:AH62"/>
    <mergeCell ref="AJ62:AM62"/>
  </mergeCells>
  <dataValidations count="1">
    <dataValidation type="decimal" operator="greaterThanOrEqual" allowBlank="1" showInputMessage="1" showErrorMessage="1" sqref="C19:G28 C30:G32 AC19:AD28 AC40:AD49 AC61:AD71">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'Emission factors'!$A$109:$A$112</xm:f>
          </x14:formula1>
          <xm:sqref>H19:H28 H30:H32</xm:sqref>
        </x14:dataValidation>
        <x14:dataValidation type="list" allowBlank="1" showInputMessage="1" showErrorMessage="1">
          <x14:formula1>
            <xm:f>'Emission factors'!$A$113:$A$117</xm:f>
          </x14:formula1>
          <xm:sqref>H51:O51 H40:O49</xm:sqref>
        </x14:dataValidation>
        <x14:dataValidation type="list" allowBlank="1" showInputMessage="1" showErrorMessage="1">
          <x14:formula1>
            <xm:f>'Emission factors'!$A$118:$A$134</xm:f>
          </x14:formula1>
          <xm:sqref>H61:O71</xm:sqref>
        </x14:dataValidation>
        <x14:dataValidation type="list" allowBlank="1" showInputMessage="1" showErrorMessage="1">
          <x14:formula1>
            <xm:f>'Emission factors'!$B$237:$B$239</xm:f>
          </x14:formula1>
          <xm:sqref>G3:K3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0B4F4"/>
  </sheetPr>
  <dimension ref="A1:BJ89"/>
  <sheetViews>
    <sheetView rightToLeft="1" zoomScale="50" zoomScaleNormal="50" workbookViewId="0">
      <selection activeCell="K17" sqref="K17:K18"/>
    </sheetView>
  </sheetViews>
  <sheetFormatPr defaultColWidth="8.69921875" defaultRowHeight="15"/>
  <cols>
    <col min="1" max="1" width="3.8984375" style="98" customWidth="1"/>
    <col min="2" max="2" width="10.59765625" style="98" customWidth="1"/>
    <col min="3" max="3" width="10.69921875" style="98" customWidth="1"/>
    <col min="4" max="4" width="15.796875" style="98" customWidth="1"/>
    <col min="5" max="5" width="16.19921875" style="98" customWidth="1"/>
    <col min="6" max="6" width="15.69921875" style="98" customWidth="1"/>
    <col min="7" max="7" width="12.5" style="98" customWidth="1"/>
    <col min="8" max="8" width="20.19921875" style="98" customWidth="1"/>
    <col min="9" max="9" width="14.8984375" style="98" customWidth="1"/>
    <col min="10" max="10" width="19.3984375" style="98" customWidth="1"/>
    <col min="11" max="11" width="39.69921875" style="98" customWidth="1"/>
    <col min="12" max="13" width="6.3984375" style="98" customWidth="1"/>
    <col min="14" max="15" width="7.3984375" style="98" customWidth="1"/>
    <col min="16" max="19" width="6" style="98" customWidth="1"/>
    <col min="20" max="20" width="12.796875" style="438" customWidth="1"/>
    <col min="21" max="24" width="6" style="98" customWidth="1"/>
    <col min="25" max="25" width="12.796875" style="98" customWidth="1"/>
    <col min="26" max="26" width="3.8984375" style="98" customWidth="1"/>
    <col min="27" max="28" width="8.69921875" style="98"/>
    <col min="29" max="30" width="24" style="98" customWidth="1"/>
    <col min="31" max="35" width="12.296875" style="98" customWidth="1"/>
    <col min="36" max="38" width="8.69921875" style="98"/>
    <col min="39" max="42" width="10" style="98" customWidth="1"/>
    <col min="43" max="43" width="13" style="98" customWidth="1"/>
    <col min="44" max="45" width="8.69921875" style="98"/>
    <col min="46" max="55" width="8.69921875" style="98" hidden="1" customWidth="1"/>
    <col min="56" max="56" width="13.5" style="98" hidden="1" customWidth="1"/>
    <col min="57" max="58" width="8.69921875" style="98" hidden="1" customWidth="1"/>
    <col min="59" max="59" width="17.69921875" style="98" hidden="1" customWidth="1"/>
    <col min="60" max="60" width="29.8984375" style="98" hidden="1" customWidth="1"/>
    <col min="61" max="61" width="27" style="98" hidden="1" customWidth="1"/>
    <col min="62" max="62" width="26.296875" style="98" hidden="1" customWidth="1"/>
    <col min="63" max="67" width="8.69921875" style="98" customWidth="1"/>
    <col min="68" max="16384" width="8.69921875" style="98"/>
  </cols>
  <sheetData>
    <row r="1" spans="1:57" s="213" customFormat="1" ht="33" thickBot="1">
      <c r="A1" s="1706" t="s">
        <v>1027</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8"/>
    </row>
    <row r="2" spans="1:57" s="213" customFormat="1" ht="57.6" thickBot="1">
      <c r="A2" s="1174" t="s">
        <v>930</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709"/>
      <c r="AA2" s="458"/>
      <c r="AB2" s="1966" t="s">
        <v>1380</v>
      </c>
      <c r="AC2" s="1444"/>
      <c r="AD2" s="1444"/>
      <c r="AE2" s="1444"/>
      <c r="AF2" s="1444"/>
      <c r="AG2" s="1444"/>
      <c r="AH2" s="1444"/>
      <c r="AI2" s="1444"/>
      <c r="AJ2" s="1444"/>
      <c r="AK2" s="1444"/>
      <c r="AL2" s="1444"/>
      <c r="AM2" s="734"/>
      <c r="AN2" s="734"/>
      <c r="AO2" s="734"/>
      <c r="AP2" s="734"/>
      <c r="AQ2" s="734"/>
      <c r="AR2" s="829"/>
    </row>
    <row r="3" spans="1:57" s="213" customFormat="1" ht="57.6" thickBot="1">
      <c r="A3" s="1183" t="s">
        <v>741</v>
      </c>
      <c r="B3" s="1184"/>
      <c r="C3" s="214" t="s">
        <v>40</v>
      </c>
      <c r="D3" s="411" t="s">
        <v>819</v>
      </c>
      <c r="E3" s="412">
        <v>0</v>
      </c>
      <c r="F3" s="413" t="s">
        <v>146</v>
      </c>
      <c r="G3" s="796" t="s">
        <v>743</v>
      </c>
      <c r="H3" s="1176"/>
      <c r="I3" s="1176"/>
      <c r="J3" s="1176"/>
      <c r="K3" s="1176"/>
      <c r="L3" s="1176"/>
      <c r="M3" s="1176"/>
      <c r="N3" s="1176"/>
      <c r="O3" s="1176"/>
      <c r="P3" s="1176"/>
      <c r="Q3" s="1176"/>
      <c r="R3" s="1176"/>
      <c r="S3" s="1176"/>
      <c r="T3" s="1176"/>
      <c r="U3" s="1176"/>
      <c r="V3" s="1176"/>
      <c r="W3" s="1176"/>
      <c r="X3" s="1176"/>
      <c r="Y3" s="1176"/>
      <c r="Z3" s="1177"/>
      <c r="AA3" s="458"/>
      <c r="AB3" s="582"/>
      <c r="AC3" s="1446" t="s">
        <v>1287</v>
      </c>
      <c r="AD3" s="1446"/>
      <c r="AE3" s="545" t="s">
        <v>356</v>
      </c>
      <c r="AF3" s="1181"/>
      <c r="AG3" s="1181"/>
      <c r="AH3" s="1181"/>
      <c r="AI3" s="1181"/>
      <c r="AJ3" s="1181"/>
      <c r="AK3" s="546" t="s">
        <v>1259</v>
      </c>
      <c r="AL3" s="545" t="s">
        <v>743</v>
      </c>
      <c r="AM3" s="540"/>
      <c r="AN3" s="540"/>
      <c r="AO3" s="540"/>
      <c r="AP3" s="540"/>
      <c r="AQ3" s="540"/>
      <c r="AR3" s="583"/>
    </row>
    <row r="4" spans="1:57" s="213" customFormat="1" ht="42" customHeight="1" thickBot="1">
      <c r="A4" s="1183" t="s">
        <v>741</v>
      </c>
      <c r="B4" s="1184"/>
      <c r="C4" s="214" t="s">
        <v>39</v>
      </c>
      <c r="D4" s="411" t="s">
        <v>819</v>
      </c>
      <c r="E4" s="412">
        <v>0</v>
      </c>
      <c r="F4" s="413" t="s">
        <v>146</v>
      </c>
      <c r="G4" s="796" t="s">
        <v>743</v>
      </c>
      <c r="H4" s="1176"/>
      <c r="I4" s="1176"/>
      <c r="J4" s="1176"/>
      <c r="K4" s="1176"/>
      <c r="L4" s="1176"/>
      <c r="M4" s="1176"/>
      <c r="N4" s="1176"/>
      <c r="O4" s="1176"/>
      <c r="P4" s="1176"/>
      <c r="Q4" s="1176"/>
      <c r="R4" s="1176"/>
      <c r="S4" s="1176"/>
      <c r="T4" s="1176"/>
      <c r="U4" s="1176"/>
      <c r="V4" s="1176"/>
      <c r="W4" s="1176"/>
      <c r="X4" s="1176"/>
      <c r="Y4" s="1176"/>
      <c r="Z4" s="1177"/>
      <c r="AA4" s="458"/>
      <c r="AB4" s="582"/>
      <c r="AC4" s="1446" t="s">
        <v>1288</v>
      </c>
      <c r="AD4" s="1446"/>
      <c r="AE4" s="545" t="s">
        <v>356</v>
      </c>
      <c r="AF4" s="1181"/>
      <c r="AG4" s="1181"/>
      <c r="AH4" s="1181"/>
      <c r="AI4" s="1181"/>
      <c r="AJ4" s="1181"/>
      <c r="AK4" s="546" t="s">
        <v>1259</v>
      </c>
      <c r="AL4" s="545" t="s">
        <v>743</v>
      </c>
      <c r="AM4" s="540"/>
      <c r="AN4" s="540"/>
      <c r="AO4" s="540"/>
      <c r="AP4" s="540"/>
      <c r="AQ4" s="540"/>
      <c r="AR4" s="583"/>
    </row>
    <row r="5" spans="1:57" s="213" customFormat="1" ht="42" customHeight="1" thickBot="1">
      <c r="A5" s="1183" t="s">
        <v>741</v>
      </c>
      <c r="B5" s="1184"/>
      <c r="C5" s="214" t="s">
        <v>145</v>
      </c>
      <c r="D5" s="411" t="s">
        <v>819</v>
      </c>
      <c r="E5" s="412">
        <v>0</v>
      </c>
      <c r="F5" s="413" t="s">
        <v>146</v>
      </c>
      <c r="G5" s="796" t="s">
        <v>743</v>
      </c>
      <c r="H5" s="1176"/>
      <c r="I5" s="1176"/>
      <c r="J5" s="1176"/>
      <c r="K5" s="1176"/>
      <c r="L5" s="1176"/>
      <c r="M5" s="1176"/>
      <c r="N5" s="1176"/>
      <c r="O5" s="1176"/>
      <c r="P5" s="1176"/>
      <c r="Q5" s="1176"/>
      <c r="R5" s="1176"/>
      <c r="S5" s="1176"/>
      <c r="T5" s="1176"/>
      <c r="U5" s="1176"/>
      <c r="V5" s="1176"/>
      <c r="W5" s="1176"/>
      <c r="X5" s="1176"/>
      <c r="Y5" s="1176"/>
      <c r="Z5" s="1177"/>
      <c r="AA5" s="458"/>
      <c r="AB5" s="582"/>
      <c r="AC5" s="1446" t="s">
        <v>1289</v>
      </c>
      <c r="AD5" s="1446"/>
      <c r="AE5" s="545" t="s">
        <v>356</v>
      </c>
      <c r="AF5" s="1181"/>
      <c r="AG5" s="1181"/>
      <c r="AH5" s="1181"/>
      <c r="AI5" s="1181"/>
      <c r="AJ5" s="1181"/>
      <c r="AK5" s="546" t="s">
        <v>1259</v>
      </c>
      <c r="AL5" s="545" t="s">
        <v>743</v>
      </c>
      <c r="AM5" s="540"/>
      <c r="AN5" s="540"/>
      <c r="AO5" s="540"/>
      <c r="AP5" s="540"/>
      <c r="AQ5" s="540"/>
      <c r="AR5" s="583"/>
    </row>
    <row r="6" spans="1:57" s="213" customFormat="1" ht="42" customHeight="1" thickBot="1">
      <c r="A6" s="1183" t="s">
        <v>741</v>
      </c>
      <c r="B6" s="1184"/>
      <c r="C6" s="214" t="s">
        <v>147</v>
      </c>
      <c r="D6" s="411" t="s">
        <v>819</v>
      </c>
      <c r="E6" s="412">
        <v>0</v>
      </c>
      <c r="F6" s="413" t="s">
        <v>146</v>
      </c>
      <c r="G6" s="796" t="s">
        <v>743</v>
      </c>
      <c r="H6" s="1176"/>
      <c r="I6" s="1176"/>
      <c r="J6" s="1176"/>
      <c r="K6" s="1176"/>
      <c r="L6" s="1176"/>
      <c r="M6" s="1176"/>
      <c r="N6" s="1176"/>
      <c r="O6" s="1176"/>
      <c r="P6" s="1176"/>
      <c r="Q6" s="1176"/>
      <c r="R6" s="1176"/>
      <c r="S6" s="1176"/>
      <c r="T6" s="1176"/>
      <c r="U6" s="1176"/>
      <c r="V6" s="1176"/>
      <c r="W6" s="1176"/>
      <c r="X6" s="1176"/>
      <c r="Y6" s="1176"/>
      <c r="Z6" s="1177"/>
      <c r="AA6" s="458"/>
      <c r="AB6" s="582"/>
      <c r="AC6" s="1446" t="s">
        <v>1290</v>
      </c>
      <c r="AD6" s="1446"/>
      <c r="AE6" s="545" t="s">
        <v>356</v>
      </c>
      <c r="AF6" s="1181"/>
      <c r="AG6" s="1181"/>
      <c r="AH6" s="1181"/>
      <c r="AI6" s="1181"/>
      <c r="AJ6" s="1181"/>
      <c r="AK6" s="546" t="s">
        <v>1259</v>
      </c>
      <c r="AL6" s="545" t="s">
        <v>743</v>
      </c>
      <c r="AM6" s="540"/>
      <c r="AN6" s="540"/>
      <c r="AO6" s="540"/>
      <c r="AP6" s="540"/>
      <c r="AQ6" s="540"/>
      <c r="AR6" s="583"/>
    </row>
    <row r="7" spans="1:57" s="213" customFormat="1" ht="42" customHeight="1" thickBot="1">
      <c r="A7" s="1183" t="s">
        <v>741</v>
      </c>
      <c r="B7" s="1184"/>
      <c r="C7" s="214" t="s">
        <v>31</v>
      </c>
      <c r="D7" s="411" t="s">
        <v>819</v>
      </c>
      <c r="E7" s="412">
        <f>SUM(Y19:Y28)+SUM(Y40:Y49)+SUM(Y63:Y72)</f>
        <v>0</v>
      </c>
      <c r="F7" s="413" t="s">
        <v>146</v>
      </c>
      <c r="G7" s="796" t="s">
        <v>743</v>
      </c>
      <c r="H7" s="1176"/>
      <c r="I7" s="1176"/>
      <c r="J7" s="1176"/>
      <c r="K7" s="1176"/>
      <c r="L7" s="1176"/>
      <c r="M7" s="1176"/>
      <c r="N7" s="1176"/>
      <c r="O7" s="1176"/>
      <c r="P7" s="1176"/>
      <c r="Q7" s="1176"/>
      <c r="R7" s="1176"/>
      <c r="S7" s="1176"/>
      <c r="T7" s="1176"/>
      <c r="U7" s="1176"/>
      <c r="V7" s="1176"/>
      <c r="W7" s="1176"/>
      <c r="X7" s="1176"/>
      <c r="Y7" s="1176"/>
      <c r="Z7" s="1177"/>
      <c r="AA7" s="458"/>
      <c r="AB7" s="582"/>
      <c r="AC7" s="1446" t="s">
        <v>1291</v>
      </c>
      <c r="AD7" s="1446"/>
      <c r="AE7" s="545" t="s">
        <v>356</v>
      </c>
      <c r="AF7" s="1181" t="str">
        <f>IF(OR(E7=0,E7=""),"",(SQRT(SUM(BD19:BD28)+SUM(BD40:BD49)+SUM(BD63:BD72)))/E7)</f>
        <v/>
      </c>
      <c r="AG7" s="1181"/>
      <c r="AH7" s="1181"/>
      <c r="AI7" s="1181"/>
      <c r="AJ7" s="1181"/>
      <c r="AK7" s="546" t="s">
        <v>1259</v>
      </c>
      <c r="AL7" s="545" t="s">
        <v>743</v>
      </c>
      <c r="AM7" s="540"/>
      <c r="AN7" s="540"/>
      <c r="AO7" s="540"/>
      <c r="AP7" s="540"/>
      <c r="AQ7" s="540"/>
      <c r="AR7" s="583"/>
    </row>
    <row r="8" spans="1:57" s="213" customFormat="1" ht="42" customHeight="1">
      <c r="A8" s="1711"/>
      <c r="B8" s="1381"/>
      <c r="C8" s="1381"/>
      <c r="D8" s="1381"/>
      <c r="E8" s="1381"/>
      <c r="F8" s="1381"/>
      <c r="G8" s="1381"/>
      <c r="H8" s="1176"/>
      <c r="I8" s="1176"/>
      <c r="J8" s="1176"/>
      <c r="K8" s="1176"/>
      <c r="L8" s="1176"/>
      <c r="M8" s="1176"/>
      <c r="N8" s="1176"/>
      <c r="O8" s="1176"/>
      <c r="P8" s="1176"/>
      <c r="Q8" s="1176"/>
      <c r="R8" s="1176"/>
      <c r="S8" s="1176"/>
      <c r="T8" s="1176"/>
      <c r="U8" s="1176"/>
      <c r="V8" s="1176"/>
      <c r="W8" s="1176"/>
      <c r="X8" s="1176"/>
      <c r="Y8" s="1176"/>
      <c r="Z8" s="1177"/>
      <c r="AA8" s="458"/>
      <c r="AB8" s="585"/>
      <c r="AC8" s="540"/>
      <c r="AD8" s="540"/>
      <c r="AE8" s="540"/>
      <c r="AF8" s="540"/>
      <c r="AG8" s="540"/>
      <c r="AH8" s="540"/>
      <c r="AI8" s="540"/>
      <c r="AJ8" s="540"/>
      <c r="AK8" s="540"/>
      <c r="AL8" s="540"/>
      <c r="AM8" s="540"/>
      <c r="AN8" s="540"/>
      <c r="AO8" s="540"/>
      <c r="AP8" s="540"/>
      <c r="AQ8" s="540"/>
      <c r="AR8" s="583"/>
    </row>
    <row r="9" spans="1:57" s="213" customFormat="1" ht="57.6" thickBot="1">
      <c r="A9" s="1793"/>
      <c r="B9" s="1791"/>
      <c r="C9" s="1791"/>
      <c r="D9" s="1791"/>
      <c r="E9" s="1791"/>
      <c r="F9" s="1791"/>
      <c r="G9" s="1791"/>
      <c r="H9" s="1791"/>
      <c r="I9" s="1791"/>
      <c r="J9" s="1791"/>
      <c r="K9" s="1791"/>
      <c r="L9" s="1791"/>
      <c r="M9" s="1791"/>
      <c r="N9" s="1791"/>
      <c r="O9" s="1791"/>
      <c r="P9" s="1791"/>
      <c r="Q9" s="1791"/>
      <c r="R9" s="1791"/>
      <c r="S9" s="1791"/>
      <c r="T9" s="1791"/>
      <c r="U9" s="1791"/>
      <c r="V9" s="1791"/>
      <c r="W9" s="1791"/>
      <c r="X9" s="1791"/>
      <c r="Y9" s="1791"/>
      <c r="Z9" s="1792"/>
      <c r="AA9" s="458"/>
      <c r="AB9" s="612"/>
      <c r="AC9" s="613"/>
      <c r="AD9" s="613"/>
      <c r="AE9" s="613"/>
      <c r="AF9" s="613"/>
      <c r="AG9" s="613"/>
      <c r="AH9" s="613"/>
      <c r="AI9" s="613"/>
      <c r="AJ9" s="613"/>
      <c r="AK9" s="613"/>
      <c r="AL9" s="613"/>
      <c r="AM9" s="613"/>
      <c r="AN9" s="613"/>
      <c r="AO9" s="613"/>
      <c r="AP9" s="613"/>
      <c r="AQ9" s="613"/>
      <c r="AR9" s="614"/>
    </row>
    <row r="10" spans="1:57" s="213" customFormat="1" ht="42.45" hidden="1" customHeight="1">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458"/>
    </row>
    <row r="11" spans="1:57" s="213" customFormat="1" ht="42.45" hidden="1" customHeight="1">
      <c r="A11" s="9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458"/>
    </row>
    <row r="12" spans="1:57" s="213" customFormat="1" ht="42.45" customHeight="1">
      <c r="A12" s="1795" t="s">
        <v>796</v>
      </c>
      <c r="B12" s="1795"/>
      <c r="C12" s="1795"/>
      <c r="D12" s="1795"/>
      <c r="E12" s="1795"/>
      <c r="F12" s="1795"/>
      <c r="G12" s="1795"/>
      <c r="H12" s="1795"/>
      <c r="I12" s="1795"/>
      <c r="J12" s="1795"/>
      <c r="K12" s="1795"/>
      <c r="L12" s="1795"/>
      <c r="M12" s="1795"/>
      <c r="N12" s="1795"/>
      <c r="O12" s="1795"/>
      <c r="P12" s="1795"/>
      <c r="Q12" s="1795"/>
      <c r="R12" s="1795"/>
      <c r="S12" s="1795"/>
      <c r="T12" s="1795"/>
      <c r="U12" s="1795"/>
      <c r="V12" s="1795"/>
      <c r="W12" s="1795"/>
      <c r="X12" s="1795"/>
      <c r="Y12" s="1795"/>
      <c r="Z12" s="1795"/>
      <c r="AA12" s="458"/>
      <c r="AB12" s="458"/>
      <c r="AC12" s="458"/>
      <c r="AD12" s="458"/>
      <c r="AE12" s="458"/>
      <c r="AF12" s="458"/>
      <c r="AG12" s="458"/>
      <c r="AH12" s="458"/>
      <c r="AI12" s="458"/>
      <c r="AJ12" s="458"/>
      <c r="AK12" s="458"/>
      <c r="AL12" s="458"/>
      <c r="AM12" s="478"/>
      <c r="AN12" s="478"/>
      <c r="AO12" s="478"/>
      <c r="AP12" s="478"/>
      <c r="AQ12" s="478"/>
      <c r="AR12" s="478"/>
    </row>
    <row r="13" spans="1:57" ht="36.450000000000003" customHeight="1" thickBot="1">
      <c r="A13" s="1795"/>
      <c r="B13" s="1795"/>
      <c r="C13" s="1795"/>
      <c r="D13" s="1795"/>
      <c r="E13" s="1795"/>
      <c r="F13" s="1795"/>
      <c r="G13" s="1795"/>
      <c r="H13" s="1795"/>
      <c r="I13" s="1795"/>
      <c r="J13" s="1795"/>
      <c r="K13" s="1795"/>
      <c r="L13" s="1795"/>
      <c r="M13" s="1795"/>
      <c r="N13" s="1795"/>
      <c r="O13" s="1795"/>
      <c r="P13" s="1795"/>
      <c r="Q13" s="1795"/>
      <c r="R13" s="1795"/>
      <c r="S13" s="1795"/>
      <c r="T13" s="1795"/>
      <c r="U13" s="1795"/>
      <c r="V13" s="1795"/>
      <c r="W13" s="1795"/>
      <c r="X13" s="1795"/>
      <c r="Y13" s="1795"/>
      <c r="Z13" s="1795"/>
      <c r="AA13" s="458"/>
      <c r="AB13" s="458"/>
      <c r="AC13" s="458"/>
      <c r="AD13" s="458"/>
      <c r="AE13" s="458"/>
      <c r="AF13" s="458"/>
      <c r="AG13" s="458"/>
      <c r="AH13" s="458"/>
      <c r="AI13" s="458"/>
      <c r="AJ13" s="458"/>
      <c r="AK13" s="458"/>
      <c r="AL13" s="458"/>
      <c r="AM13" s="458"/>
      <c r="AN13" s="458"/>
      <c r="AO13" s="458"/>
      <c r="AP13" s="458"/>
      <c r="AQ13" s="458"/>
      <c r="AR13" s="458"/>
    </row>
    <row r="14" spans="1:57" ht="36.450000000000003" customHeight="1" thickBot="1">
      <c r="A14" s="1820" t="s">
        <v>818</v>
      </c>
      <c r="B14" s="1821"/>
      <c r="C14" s="1821"/>
      <c r="D14" s="1821"/>
      <c r="E14" s="1821"/>
      <c r="F14" s="1821"/>
      <c r="G14" s="1821"/>
      <c r="H14" s="1821"/>
      <c r="I14" s="1821"/>
      <c r="J14" s="1821"/>
      <c r="K14" s="1821"/>
      <c r="L14" s="1821"/>
      <c r="M14" s="1821"/>
      <c r="N14" s="1821"/>
      <c r="O14" s="1821"/>
      <c r="P14" s="1821"/>
      <c r="Q14" s="1821"/>
      <c r="R14" s="1821"/>
      <c r="S14" s="1821"/>
      <c r="T14" s="1821"/>
      <c r="U14" s="1821"/>
      <c r="V14" s="1821"/>
      <c r="W14" s="1821"/>
      <c r="X14" s="1821"/>
      <c r="Y14" s="1821"/>
      <c r="Z14" s="1822"/>
      <c r="AA14" s="458"/>
      <c r="AB14" s="1991" t="s">
        <v>1553</v>
      </c>
      <c r="AC14" s="1992"/>
      <c r="AD14" s="1992"/>
      <c r="AE14" s="1992"/>
      <c r="AF14" s="1992"/>
      <c r="AG14" s="1992"/>
      <c r="AH14" s="1992"/>
      <c r="AI14" s="1992"/>
      <c r="AJ14" s="1992"/>
      <c r="AK14" s="1992"/>
      <c r="AL14" s="1992"/>
      <c r="AM14" s="1992"/>
      <c r="AN14" s="1992"/>
      <c r="AO14" s="1992"/>
      <c r="AP14" s="1992"/>
      <c r="AQ14" s="1992"/>
      <c r="AR14" s="1993"/>
    </row>
    <row r="15" spans="1:57" ht="44.55" customHeight="1" thickBot="1">
      <c r="A15" s="1065" t="s">
        <v>430</v>
      </c>
      <c r="B15" s="1066"/>
      <c r="C15" s="1066"/>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7"/>
      <c r="AA15" s="458"/>
      <c r="AB15" s="1464"/>
      <c r="AC15" s="1465"/>
      <c r="AD15" s="1465"/>
      <c r="AE15" s="1465"/>
      <c r="AF15" s="1465"/>
      <c r="AG15" s="1465"/>
      <c r="AH15" s="1465"/>
      <c r="AI15" s="1465"/>
      <c r="AJ15" s="1465"/>
      <c r="AK15" s="1465"/>
      <c r="AL15" s="1465"/>
      <c r="AM15" s="1465"/>
      <c r="AN15" s="1465"/>
      <c r="AO15" s="1465"/>
      <c r="AP15" s="1465"/>
      <c r="AQ15" s="1465"/>
      <c r="AR15" s="1467"/>
      <c r="AS15" s="213"/>
      <c r="AT15" s="213"/>
      <c r="AU15" s="213"/>
      <c r="AV15" s="213"/>
      <c r="AW15" s="213"/>
      <c r="AX15" s="213"/>
      <c r="AY15" s="213"/>
      <c r="AZ15" s="213"/>
      <c r="BA15" s="213"/>
      <c r="BB15" s="213"/>
      <c r="BC15" s="213"/>
      <c r="BD15" s="213"/>
      <c r="BE15" s="213"/>
    </row>
    <row r="16" spans="1:57" ht="25.8" thickBot="1">
      <c r="A16" s="2104"/>
      <c r="B16" s="2088" t="s">
        <v>588</v>
      </c>
      <c r="C16" s="1317" t="s">
        <v>602</v>
      </c>
      <c r="D16" s="1318"/>
      <c r="E16" s="1318"/>
      <c r="F16" s="1318"/>
      <c r="G16" s="1318"/>
      <c r="H16" s="1318"/>
      <c r="I16" s="1319"/>
      <c r="J16" s="1317" t="s">
        <v>601</v>
      </c>
      <c r="K16" s="1318"/>
      <c r="L16" s="1318"/>
      <c r="M16" s="1318"/>
      <c r="N16" s="1318"/>
      <c r="O16" s="1319"/>
      <c r="P16" s="1317" t="s">
        <v>852</v>
      </c>
      <c r="Q16" s="1318"/>
      <c r="R16" s="1318"/>
      <c r="S16" s="1318"/>
      <c r="T16" s="1319"/>
      <c r="U16" s="1317" t="s">
        <v>853</v>
      </c>
      <c r="V16" s="1318"/>
      <c r="W16" s="1318"/>
      <c r="X16" s="1318"/>
      <c r="Y16" s="1319"/>
      <c r="Z16" s="1845"/>
      <c r="AA16" s="458"/>
      <c r="AB16" s="2124"/>
      <c r="AC16" s="2050" t="s">
        <v>1364</v>
      </c>
      <c r="AD16" s="1252"/>
      <c r="AE16" s="1252"/>
      <c r="AF16" s="1252"/>
      <c r="AG16" s="1252"/>
      <c r="AH16" s="1252"/>
      <c r="AI16" s="1252"/>
      <c r="AJ16" s="1252"/>
      <c r="AK16" s="1252"/>
      <c r="AL16" s="1252"/>
      <c r="AM16" s="1252" t="s">
        <v>1365</v>
      </c>
      <c r="AN16" s="1252"/>
      <c r="AO16" s="1252"/>
      <c r="AP16" s="1252"/>
      <c r="AQ16" s="1252"/>
      <c r="AR16" s="1494"/>
      <c r="AS16" s="213"/>
      <c r="AT16" s="213"/>
      <c r="AU16" s="213"/>
      <c r="AV16" s="213"/>
      <c r="AW16" s="213"/>
      <c r="AX16" s="213"/>
      <c r="AY16" s="213"/>
      <c r="AZ16" s="213"/>
      <c r="BA16" s="213"/>
      <c r="BB16" s="213"/>
      <c r="BC16" s="213"/>
      <c r="BD16" s="213"/>
      <c r="BE16" s="213"/>
    </row>
    <row r="17" spans="1:60" ht="103.05" customHeight="1">
      <c r="A17" s="2105"/>
      <c r="B17" s="2088"/>
      <c r="C17" s="1393" t="s">
        <v>589</v>
      </c>
      <c r="D17" s="1391"/>
      <c r="E17" s="688" t="s">
        <v>552</v>
      </c>
      <c r="F17" s="688" t="s">
        <v>553</v>
      </c>
      <c r="G17" s="688" t="s">
        <v>555</v>
      </c>
      <c r="H17" s="688" t="s">
        <v>557</v>
      </c>
      <c r="I17" s="1407" t="s">
        <v>574</v>
      </c>
      <c r="J17" s="1209" t="s">
        <v>564</v>
      </c>
      <c r="K17" s="1110" t="s">
        <v>586</v>
      </c>
      <c r="L17" s="1699" t="s">
        <v>575</v>
      </c>
      <c r="M17" s="1391"/>
      <c r="N17" s="1699" t="s">
        <v>585</v>
      </c>
      <c r="O17" s="1083"/>
      <c r="P17" s="1664" t="s">
        <v>40</v>
      </c>
      <c r="Q17" s="1076" t="s">
        <v>39</v>
      </c>
      <c r="R17" s="1076" t="s">
        <v>145</v>
      </c>
      <c r="S17" s="1076" t="s">
        <v>147</v>
      </c>
      <c r="T17" s="713" t="s">
        <v>31</v>
      </c>
      <c r="U17" s="1664" t="s">
        <v>40</v>
      </c>
      <c r="V17" s="1076" t="s">
        <v>39</v>
      </c>
      <c r="W17" s="1076" t="s">
        <v>145</v>
      </c>
      <c r="X17" s="1076" t="s">
        <v>147</v>
      </c>
      <c r="Y17" s="713" t="s">
        <v>31</v>
      </c>
      <c r="Z17" s="1846"/>
      <c r="AA17" s="458"/>
      <c r="AB17" s="2125"/>
      <c r="AC17" s="1348" t="s">
        <v>1359</v>
      </c>
      <c r="AD17" s="1731"/>
      <c r="AE17" s="1731" t="s">
        <v>1360</v>
      </c>
      <c r="AF17" s="1731"/>
      <c r="AG17" s="1731" t="s">
        <v>1361</v>
      </c>
      <c r="AH17" s="1731"/>
      <c r="AI17" s="1731" t="s">
        <v>1362</v>
      </c>
      <c r="AJ17" s="1731"/>
      <c r="AK17" s="1731" t="s">
        <v>1363</v>
      </c>
      <c r="AL17" s="2051"/>
      <c r="AM17" s="549" t="s">
        <v>40</v>
      </c>
      <c r="AN17" s="530" t="s">
        <v>39</v>
      </c>
      <c r="AO17" s="530" t="s">
        <v>145</v>
      </c>
      <c r="AP17" s="530" t="s">
        <v>147</v>
      </c>
      <c r="AQ17" s="537" t="s">
        <v>31</v>
      </c>
      <c r="AR17" s="1495"/>
      <c r="AS17" s="213"/>
      <c r="AT17" s="529" t="s">
        <v>40</v>
      </c>
      <c r="AU17" s="530" t="s">
        <v>39</v>
      </c>
      <c r="AV17" s="530" t="s">
        <v>145</v>
      </c>
      <c r="AW17" s="530" t="s">
        <v>147</v>
      </c>
      <c r="AX17" s="531" t="s">
        <v>31</v>
      </c>
      <c r="AY17" s="217"/>
      <c r="AZ17" s="529" t="s">
        <v>40</v>
      </c>
      <c r="BA17" s="530" t="s">
        <v>39</v>
      </c>
      <c r="BB17" s="530" t="s">
        <v>145</v>
      </c>
      <c r="BC17" s="530" t="s">
        <v>147</v>
      </c>
      <c r="BD17" s="531" t="s">
        <v>31</v>
      </c>
      <c r="BE17" s="213"/>
    </row>
    <row r="18" spans="1:60" ht="32.549999999999997" customHeight="1" thickBot="1">
      <c r="A18" s="2105"/>
      <c r="B18" s="2089"/>
      <c r="C18" s="1394"/>
      <c r="D18" s="2061"/>
      <c r="E18" s="414" t="s">
        <v>1077</v>
      </c>
      <c r="F18" s="414" t="s">
        <v>554</v>
      </c>
      <c r="G18" s="414" t="s">
        <v>556</v>
      </c>
      <c r="H18" s="414" t="s">
        <v>558</v>
      </c>
      <c r="I18" s="1409"/>
      <c r="J18" s="1210"/>
      <c r="K18" s="1111"/>
      <c r="L18" s="1700" t="s">
        <v>356</v>
      </c>
      <c r="M18" s="2081"/>
      <c r="N18" s="1700" t="s">
        <v>356</v>
      </c>
      <c r="O18" s="2080"/>
      <c r="P18" s="1665"/>
      <c r="Q18" s="1077"/>
      <c r="R18" s="1077"/>
      <c r="S18" s="1077"/>
      <c r="T18" s="714" t="s">
        <v>1147</v>
      </c>
      <c r="U18" s="1665"/>
      <c r="V18" s="1077"/>
      <c r="W18" s="1077"/>
      <c r="X18" s="1077"/>
      <c r="Y18" s="714" t="s">
        <v>146</v>
      </c>
      <c r="Z18" s="1846"/>
      <c r="AA18" s="458"/>
      <c r="AB18" s="2125"/>
      <c r="AC18" s="1350"/>
      <c r="AD18" s="2048"/>
      <c r="AE18" s="2048"/>
      <c r="AF18" s="2048"/>
      <c r="AG18" s="2048"/>
      <c r="AH18" s="2048"/>
      <c r="AI18" s="2048"/>
      <c r="AJ18" s="2048"/>
      <c r="AK18" s="2048"/>
      <c r="AL18" s="2052"/>
      <c r="AM18" s="552" t="s">
        <v>1260</v>
      </c>
      <c r="AN18" s="739" t="s">
        <v>1260</v>
      </c>
      <c r="AO18" s="739" t="s">
        <v>1260</v>
      </c>
      <c r="AP18" s="739" t="s">
        <v>1260</v>
      </c>
      <c r="AQ18" s="775" t="s">
        <v>1260</v>
      </c>
      <c r="AR18" s="1495"/>
      <c r="AS18" s="213"/>
      <c r="AT18" s="1289" t="s">
        <v>1285</v>
      </c>
      <c r="AU18" s="1289"/>
      <c r="AV18" s="1289"/>
      <c r="AW18" s="1289"/>
      <c r="AX18" s="1289"/>
      <c r="AY18" s="213"/>
      <c r="AZ18" s="1289" t="s">
        <v>1286</v>
      </c>
      <c r="BA18" s="1289"/>
      <c r="BB18" s="1289"/>
      <c r="BC18" s="1289"/>
      <c r="BD18" s="1289"/>
      <c r="BE18" s="213"/>
      <c r="BG18" s="98" t="s">
        <v>1366</v>
      </c>
      <c r="BH18" s="98" t="s">
        <v>1367</v>
      </c>
    </row>
    <row r="19" spans="1:60" ht="85.05" customHeight="1">
      <c r="A19" s="2105"/>
      <c r="B19" s="415" t="s">
        <v>316</v>
      </c>
      <c r="C19" s="2059"/>
      <c r="D19" s="2060"/>
      <c r="E19" s="793"/>
      <c r="F19" s="793"/>
      <c r="G19" s="793"/>
      <c r="H19" s="793"/>
      <c r="I19" s="439"/>
      <c r="J19" s="416"/>
      <c r="K19" s="417"/>
      <c r="L19" s="1162" t="str">
        <f>IF(K19="","",(VLOOKUP(K19,'Emission factors'!$A$157:$B$163,2,FALSE)))</f>
        <v/>
      </c>
      <c r="M19" s="1162"/>
      <c r="N19" s="1091"/>
      <c r="O19" s="1092"/>
      <c r="P19" s="2090" t="s">
        <v>817</v>
      </c>
      <c r="Q19" s="2091"/>
      <c r="R19" s="2091"/>
      <c r="S19" s="2092"/>
      <c r="T19" s="695" t="str">
        <f>IF(OR(J19="",H19="",G19="",F19=""),"",(12.187*(VLOOKUP(J19,'Emission factors'!$A$146:$B$153,2,FALSE))*F19*(G19/H19)))</f>
        <v/>
      </c>
      <c r="U19" s="2090" t="s">
        <v>817</v>
      </c>
      <c r="V19" s="2091"/>
      <c r="W19" s="2091"/>
      <c r="X19" s="2092"/>
      <c r="Y19" s="418" t="str">
        <f>IF(OR(E19="",I19="",L19="",T19=""),"",  IF(N19="",((T19*E19*(1-((L19/100)*(0/100)))*(10^-3)*(VLOOKUP(I19,'Emission factors'!$A$139:$B$141,2,FALSE)))),     ((T19*E19*(1-((L19/100)*(N19/100)))*(10^-3)*(VLOOKUP(I19,'Emission factors'!$A$139:$B$141,2,FALSE))))  )         )</f>
        <v/>
      </c>
      <c r="Z19" s="1846"/>
      <c r="AA19" s="458"/>
      <c r="AB19" s="2125"/>
      <c r="AC19" s="2045"/>
      <c r="AD19" s="2046"/>
      <c r="AE19" s="2047"/>
      <c r="AF19" s="2046"/>
      <c r="AG19" s="2047"/>
      <c r="AH19" s="2046"/>
      <c r="AI19" s="2047"/>
      <c r="AJ19" s="2046"/>
      <c r="AK19" s="2047"/>
      <c r="AL19" s="2053"/>
      <c r="AM19" s="1470" t="s">
        <v>1284</v>
      </c>
      <c r="AN19" s="1471"/>
      <c r="AO19" s="1471"/>
      <c r="AP19" s="2036"/>
      <c r="AQ19" s="753" t="str">
        <f>IF(OR(BG19="",BH19="",AC19=""),"",SQRT((BG19)^2+(AC19)^2+(BH19)^2+(40)^2))</f>
        <v/>
      </c>
      <c r="AR19" s="1570"/>
      <c r="AS19" s="213"/>
      <c r="AT19" s="1476"/>
      <c r="AU19" s="1477"/>
      <c r="AV19" s="1477"/>
      <c r="AW19" s="1478"/>
      <c r="AX19" s="719" t="str">
        <f>IF(OR(Y19="",AQ19=""),"",Y19*AQ19)</f>
        <v/>
      </c>
      <c r="AY19" s="213"/>
      <c r="AZ19" s="1476"/>
      <c r="BA19" s="1477"/>
      <c r="BB19" s="1477"/>
      <c r="BC19" s="1478"/>
      <c r="BD19" s="719" t="str">
        <f>IF(AX19="","",AX19^2)</f>
        <v/>
      </c>
      <c r="BG19" s="592" t="str">
        <f>IF(OR(AE19="",AG19="",AI19=""),"",SQRT((40)^2+(AE19)^2+(AG19)^2+(AI19)^2))</f>
        <v/>
      </c>
      <c r="BH19" s="592" t="str">
        <f>IF(OR(AK19="",N19="",L19=""),"",(((N19*L19/10000)*(SQRT((40)^2+(AK19)^2)))/(1-((L19*N19)/10000))))</f>
        <v/>
      </c>
    </row>
    <row r="20" spans="1:60" ht="85.05" customHeight="1">
      <c r="A20" s="2105"/>
      <c r="B20" s="419" t="s">
        <v>317</v>
      </c>
      <c r="C20" s="2059"/>
      <c r="D20" s="2060"/>
      <c r="E20" s="793"/>
      <c r="F20" s="793"/>
      <c r="G20" s="793"/>
      <c r="H20" s="793"/>
      <c r="I20" s="439"/>
      <c r="J20" s="416"/>
      <c r="K20" s="417"/>
      <c r="L20" s="1162" t="str">
        <f>IF(K20="","",(VLOOKUP(K20,'Emission factors'!$A$157:$B$163,2,FALSE)))</f>
        <v/>
      </c>
      <c r="M20" s="1162"/>
      <c r="N20" s="1091"/>
      <c r="O20" s="1092"/>
      <c r="P20" s="2086"/>
      <c r="Q20" s="2082"/>
      <c r="R20" s="2082"/>
      <c r="S20" s="2083"/>
      <c r="T20" s="695" t="str">
        <f>IF(OR(J20="",H20="",G20="",F20=""),"",(12.187*(VLOOKUP(J20,'Emission factors'!$A$146:$B$153,2,FALSE))*F20*(G20/H20)))</f>
        <v/>
      </c>
      <c r="U20" s="2086"/>
      <c r="V20" s="2082"/>
      <c r="W20" s="2082"/>
      <c r="X20" s="2083"/>
      <c r="Y20" s="418" t="str">
        <f>IF(OR(E20="",I20="",L20="",T20=""),"",  IF(N20="",((T20*E20*(1-((L20/100)*(0/100)))*(10^-3)*(VLOOKUP(I20,'Emission factors'!$A$139:$B$141,2,FALSE)))),     ((T20*E20*(1-((L20/100)*(N20/100)))*(10^-3)*(VLOOKUP(I20,'Emission factors'!$A$139:$B$141,2,FALSE))))  )         )</f>
        <v/>
      </c>
      <c r="Z20" s="1846"/>
      <c r="AA20" s="458"/>
      <c r="AB20" s="2125"/>
      <c r="AC20" s="2044"/>
      <c r="AD20" s="1587"/>
      <c r="AE20" s="2039"/>
      <c r="AF20" s="1587"/>
      <c r="AG20" s="2039"/>
      <c r="AH20" s="1587"/>
      <c r="AI20" s="2039"/>
      <c r="AJ20" s="1587"/>
      <c r="AK20" s="2039"/>
      <c r="AL20" s="2040"/>
      <c r="AM20" s="1472"/>
      <c r="AN20" s="1473"/>
      <c r="AO20" s="1473"/>
      <c r="AP20" s="2037"/>
      <c r="AQ20" s="755" t="str">
        <f t="shared" ref="AQ20:AQ27" si="0">IF(OR(BG20="",BH20="",AC20=""),"",SQRT((BG20)^2+(AC20)^2+(BH20)^2+(40)^2))</f>
        <v/>
      </c>
      <c r="AR20" s="1570"/>
      <c r="AS20" s="213"/>
      <c r="AT20" s="1335"/>
      <c r="AU20" s="1479"/>
      <c r="AV20" s="1479"/>
      <c r="AW20" s="1336"/>
      <c r="AX20" s="719" t="str">
        <f t="shared" ref="AX20:AX27" si="1">IF(OR(Y20="",AQ20=""),"",Y20*AQ20)</f>
        <v/>
      </c>
      <c r="AY20" s="213"/>
      <c r="AZ20" s="1335"/>
      <c r="BA20" s="1479"/>
      <c r="BB20" s="1479"/>
      <c r="BC20" s="1336"/>
      <c r="BD20" s="719" t="str">
        <f t="shared" ref="BD20:BD27" si="2">IF(AX20="","",AX20^2)</f>
        <v/>
      </c>
      <c r="BG20" s="592" t="str">
        <f t="shared" ref="BG20:BG27" si="3">IF(OR(AE20="",AG20="",AI20=""),"",SQRT((40)^2+(AE20)^2+(AG20)^2+(AI20)^2))</f>
        <v/>
      </c>
      <c r="BH20" s="592" t="str">
        <f t="shared" ref="BH20:BH27" si="4">IF(OR(AK20="",N20="",L20=""),"",(((N20*L20/10000)*(SQRT((40)^2+(AK20)^2)))/(1-((L20*N20)/10000))))</f>
        <v/>
      </c>
    </row>
    <row r="21" spans="1:60" ht="85.05" customHeight="1">
      <c r="A21" s="2105"/>
      <c r="B21" s="419" t="s">
        <v>318</v>
      </c>
      <c r="C21" s="2059"/>
      <c r="D21" s="2060"/>
      <c r="E21" s="793"/>
      <c r="F21" s="793"/>
      <c r="G21" s="793"/>
      <c r="H21" s="793"/>
      <c r="I21" s="439"/>
      <c r="J21" s="416"/>
      <c r="K21" s="417"/>
      <c r="L21" s="1162" t="str">
        <f>IF(K21="","",(VLOOKUP(K21,'Emission factors'!$A$157:$B$163,2,FALSE)))</f>
        <v/>
      </c>
      <c r="M21" s="1162"/>
      <c r="N21" s="1091"/>
      <c r="O21" s="1092"/>
      <c r="P21" s="2086"/>
      <c r="Q21" s="2082"/>
      <c r="R21" s="2082"/>
      <c r="S21" s="2083"/>
      <c r="T21" s="695" t="str">
        <f>IF(OR(J21="",H21="",G21="",F21=""),"",(12.187*(VLOOKUP(J21,'Emission factors'!$A$146:$B$153,2,FALSE))*F21*(G21/H21)))</f>
        <v/>
      </c>
      <c r="U21" s="2086"/>
      <c r="V21" s="2082"/>
      <c r="W21" s="2082"/>
      <c r="X21" s="2083"/>
      <c r="Y21" s="418" t="str">
        <f>IF(OR(E21="",I21="",L21="",T21=""),"",  IF(N21="",((T21*E21*(1-((L21/100)*(0/100)))*(10^-3)*(VLOOKUP(I21,'Emission factors'!$A$139:$B$141,2,FALSE)))),     ((T21*E21*(1-((L21/100)*(N21/100)))*(10^-3)*(VLOOKUP(I21,'Emission factors'!$A$139:$B$141,2,FALSE))))  )         )</f>
        <v/>
      </c>
      <c r="Z21" s="1846"/>
      <c r="AA21" s="458"/>
      <c r="AB21" s="2125"/>
      <c r="AC21" s="2044"/>
      <c r="AD21" s="1587"/>
      <c r="AE21" s="2039"/>
      <c r="AF21" s="1587"/>
      <c r="AG21" s="2039"/>
      <c r="AH21" s="1587"/>
      <c r="AI21" s="2039"/>
      <c r="AJ21" s="1587"/>
      <c r="AK21" s="2039"/>
      <c r="AL21" s="2040"/>
      <c r="AM21" s="1472"/>
      <c r="AN21" s="1473"/>
      <c r="AO21" s="1473"/>
      <c r="AP21" s="2037"/>
      <c r="AQ21" s="755" t="str">
        <f t="shared" si="0"/>
        <v/>
      </c>
      <c r="AR21" s="1570"/>
      <c r="AS21" s="213"/>
      <c r="AT21" s="1335"/>
      <c r="AU21" s="1479"/>
      <c r="AV21" s="1479"/>
      <c r="AW21" s="1336"/>
      <c r="AX21" s="719" t="str">
        <f t="shared" si="1"/>
        <v/>
      </c>
      <c r="AY21" s="213"/>
      <c r="AZ21" s="1335"/>
      <c r="BA21" s="1479"/>
      <c r="BB21" s="1479"/>
      <c r="BC21" s="1336"/>
      <c r="BD21" s="719" t="str">
        <f t="shared" si="2"/>
        <v/>
      </c>
      <c r="BG21" s="592" t="str">
        <f t="shared" si="3"/>
        <v/>
      </c>
      <c r="BH21" s="592" t="str">
        <f t="shared" si="4"/>
        <v/>
      </c>
    </row>
    <row r="22" spans="1:60" ht="85.05" customHeight="1">
      <c r="A22" s="2105"/>
      <c r="B22" s="419" t="s">
        <v>319</v>
      </c>
      <c r="C22" s="2059"/>
      <c r="D22" s="2060"/>
      <c r="E22" s="793"/>
      <c r="F22" s="793"/>
      <c r="G22" s="793"/>
      <c r="H22" s="793"/>
      <c r="I22" s="439"/>
      <c r="J22" s="416"/>
      <c r="K22" s="417"/>
      <c r="L22" s="1162" t="str">
        <f>IF(K22="","",(VLOOKUP(K22,'Emission factors'!$A$157:$B$163,2,FALSE)))</f>
        <v/>
      </c>
      <c r="M22" s="1162"/>
      <c r="N22" s="1091"/>
      <c r="O22" s="1092"/>
      <c r="P22" s="2086"/>
      <c r="Q22" s="2082"/>
      <c r="R22" s="2082"/>
      <c r="S22" s="2083"/>
      <c r="T22" s="695" t="str">
        <f>IF(OR(J22="",H22="",G22="",F22=""),"",(12.187*(VLOOKUP(J22,'Emission factors'!$A$146:$B$153,2,FALSE))*F22*(G22/H22)))</f>
        <v/>
      </c>
      <c r="U22" s="2086"/>
      <c r="V22" s="2082"/>
      <c r="W22" s="2082"/>
      <c r="X22" s="2083"/>
      <c r="Y22" s="418" t="str">
        <f>IF(OR(E22="",I22="",L22="",T22=""),"",  IF(N22="",((T22*E22*(1-((L22/100)*(0/100)))*(10^-3)*(VLOOKUP(I22,'Emission factors'!$A$139:$B$141,2,FALSE)))),     ((T22*E22*(1-((L22/100)*(N22/100)))*(10^-3)*(VLOOKUP(I22,'Emission factors'!$A$139:$B$141,2,FALSE))))  )         )</f>
        <v/>
      </c>
      <c r="Z22" s="1846"/>
      <c r="AA22" s="458"/>
      <c r="AB22" s="2125"/>
      <c r="AC22" s="2044"/>
      <c r="AD22" s="1587"/>
      <c r="AE22" s="2039"/>
      <c r="AF22" s="1587"/>
      <c r="AG22" s="2039"/>
      <c r="AH22" s="1587"/>
      <c r="AI22" s="2039"/>
      <c r="AJ22" s="1587"/>
      <c r="AK22" s="2039"/>
      <c r="AL22" s="2040"/>
      <c r="AM22" s="1472"/>
      <c r="AN22" s="1473"/>
      <c r="AO22" s="1473"/>
      <c r="AP22" s="2037"/>
      <c r="AQ22" s="755" t="str">
        <f t="shared" si="0"/>
        <v/>
      </c>
      <c r="AR22" s="1570"/>
      <c r="AS22" s="213"/>
      <c r="AT22" s="1335"/>
      <c r="AU22" s="1479"/>
      <c r="AV22" s="1479"/>
      <c r="AW22" s="1336"/>
      <c r="AX22" s="719" t="str">
        <f t="shared" si="1"/>
        <v/>
      </c>
      <c r="AY22" s="213"/>
      <c r="AZ22" s="1335"/>
      <c r="BA22" s="1479"/>
      <c r="BB22" s="1479"/>
      <c r="BC22" s="1336"/>
      <c r="BD22" s="719" t="str">
        <f t="shared" si="2"/>
        <v/>
      </c>
      <c r="BG22" s="592" t="str">
        <f t="shared" si="3"/>
        <v/>
      </c>
      <c r="BH22" s="592" t="str">
        <f t="shared" si="4"/>
        <v/>
      </c>
    </row>
    <row r="23" spans="1:60" ht="85.05" customHeight="1">
      <c r="A23" s="2105"/>
      <c r="B23" s="419" t="s">
        <v>320</v>
      </c>
      <c r="C23" s="2059"/>
      <c r="D23" s="2060"/>
      <c r="E23" s="793"/>
      <c r="F23" s="793"/>
      <c r="G23" s="793"/>
      <c r="H23" s="793"/>
      <c r="I23" s="439"/>
      <c r="J23" s="416"/>
      <c r="K23" s="417"/>
      <c r="L23" s="1162" t="str">
        <f>IF(K23="","",(VLOOKUP(K23,'Emission factors'!$A$157:$B$163,2,FALSE)))</f>
        <v/>
      </c>
      <c r="M23" s="1162"/>
      <c r="N23" s="1091"/>
      <c r="O23" s="1092"/>
      <c r="P23" s="2086"/>
      <c r="Q23" s="2082"/>
      <c r="R23" s="2082"/>
      <c r="S23" s="2083"/>
      <c r="T23" s="695" t="str">
        <f>IF(OR(J23="",H23="",G23="",F23=""),"",(12.187*(VLOOKUP(J23,'Emission factors'!$A$146:$B$153,2,FALSE))*F23*(G23/H23)))</f>
        <v/>
      </c>
      <c r="U23" s="2086"/>
      <c r="V23" s="2082"/>
      <c r="W23" s="2082"/>
      <c r="X23" s="2083"/>
      <c r="Y23" s="418" t="str">
        <f>IF(OR(E23="",I23="",L23="",T23=""),"",  IF(N23="",((T23*E23*(1-((L23/100)*(0/100)))*(10^-3)*(VLOOKUP(I23,'Emission factors'!$A$139:$B$141,2,FALSE)))),     ((T23*E23*(1-((L23/100)*(N23/100)))*(10^-3)*(VLOOKUP(I23,'Emission factors'!$A$139:$B$141,2,FALSE))))  )         )</f>
        <v/>
      </c>
      <c r="Z23" s="1846"/>
      <c r="AA23" s="458"/>
      <c r="AB23" s="2125"/>
      <c r="AC23" s="2044"/>
      <c r="AD23" s="1587"/>
      <c r="AE23" s="2039"/>
      <c r="AF23" s="1587"/>
      <c r="AG23" s="2039"/>
      <c r="AH23" s="1587"/>
      <c r="AI23" s="2039"/>
      <c r="AJ23" s="1587"/>
      <c r="AK23" s="2039"/>
      <c r="AL23" s="2040"/>
      <c r="AM23" s="1472"/>
      <c r="AN23" s="1473"/>
      <c r="AO23" s="1473"/>
      <c r="AP23" s="2037"/>
      <c r="AQ23" s="755" t="str">
        <f t="shared" si="0"/>
        <v/>
      </c>
      <c r="AR23" s="1570"/>
      <c r="AS23" s="213"/>
      <c r="AT23" s="1335"/>
      <c r="AU23" s="1479"/>
      <c r="AV23" s="1479"/>
      <c r="AW23" s="1336"/>
      <c r="AX23" s="719" t="str">
        <f t="shared" si="1"/>
        <v/>
      </c>
      <c r="AY23" s="213"/>
      <c r="AZ23" s="1335"/>
      <c r="BA23" s="1479"/>
      <c r="BB23" s="1479"/>
      <c r="BC23" s="1336"/>
      <c r="BD23" s="719" t="str">
        <f t="shared" si="2"/>
        <v/>
      </c>
      <c r="BG23" s="592" t="str">
        <f t="shared" si="3"/>
        <v/>
      </c>
      <c r="BH23" s="592" t="str">
        <f t="shared" si="4"/>
        <v/>
      </c>
    </row>
    <row r="24" spans="1:60" ht="85.05" customHeight="1">
      <c r="A24" s="2105"/>
      <c r="B24" s="419" t="s">
        <v>321</v>
      </c>
      <c r="C24" s="2059"/>
      <c r="D24" s="2060"/>
      <c r="E24" s="793"/>
      <c r="F24" s="793"/>
      <c r="G24" s="793"/>
      <c r="H24" s="793"/>
      <c r="I24" s="439"/>
      <c r="J24" s="416"/>
      <c r="K24" s="417"/>
      <c r="L24" s="1162" t="str">
        <f>IF(K24="","",(VLOOKUP(K24,'Emission factors'!$A$157:$B$163,2,FALSE)))</f>
        <v/>
      </c>
      <c r="M24" s="1162"/>
      <c r="N24" s="1091"/>
      <c r="O24" s="1092"/>
      <c r="P24" s="2086"/>
      <c r="Q24" s="2082"/>
      <c r="R24" s="2082"/>
      <c r="S24" s="2083"/>
      <c r="T24" s="695" t="str">
        <f>IF(OR(J24="",H24="",G24="",F24=""),"",(12.187*(VLOOKUP(J24,'Emission factors'!$A$146:$B$153,2,FALSE))*F24*(G24/H24)))</f>
        <v/>
      </c>
      <c r="U24" s="2086"/>
      <c r="V24" s="2082"/>
      <c r="W24" s="2082"/>
      <c r="X24" s="2083"/>
      <c r="Y24" s="418" t="str">
        <f>IF(OR(E24="",I24="",L24="",T24=""),"",  IF(N24="",((T24*E24*(1-((L24/100)*(0/100)))*(10^-3)*(VLOOKUP(I24,'Emission factors'!$A$139:$B$141,2,FALSE)))),     ((T24*E24*(1-((L24/100)*(N24/100)))*(10^-3)*(VLOOKUP(I24,'Emission factors'!$A$139:$B$141,2,FALSE))))  )         )</f>
        <v/>
      </c>
      <c r="Z24" s="1846"/>
      <c r="AA24" s="458"/>
      <c r="AB24" s="2125"/>
      <c r="AC24" s="2044"/>
      <c r="AD24" s="1587"/>
      <c r="AE24" s="2039"/>
      <c r="AF24" s="1587"/>
      <c r="AG24" s="2039"/>
      <c r="AH24" s="1587"/>
      <c r="AI24" s="2039"/>
      <c r="AJ24" s="1587"/>
      <c r="AK24" s="2039"/>
      <c r="AL24" s="2040"/>
      <c r="AM24" s="1472"/>
      <c r="AN24" s="1473"/>
      <c r="AO24" s="1473"/>
      <c r="AP24" s="2037"/>
      <c r="AQ24" s="755" t="str">
        <f t="shared" si="0"/>
        <v/>
      </c>
      <c r="AR24" s="1570"/>
      <c r="AS24" s="213"/>
      <c r="AT24" s="1335"/>
      <c r="AU24" s="1479"/>
      <c r="AV24" s="1479"/>
      <c r="AW24" s="1336"/>
      <c r="AX24" s="719" t="str">
        <f t="shared" si="1"/>
        <v/>
      </c>
      <c r="AY24" s="213"/>
      <c r="AZ24" s="1335"/>
      <c r="BA24" s="1479"/>
      <c r="BB24" s="1479"/>
      <c r="BC24" s="1336"/>
      <c r="BD24" s="719" t="str">
        <f t="shared" si="2"/>
        <v/>
      </c>
      <c r="BG24" s="592" t="str">
        <f t="shared" si="3"/>
        <v/>
      </c>
      <c r="BH24" s="592" t="str">
        <f t="shared" si="4"/>
        <v/>
      </c>
    </row>
    <row r="25" spans="1:60" ht="85.05" customHeight="1">
      <c r="A25" s="2105"/>
      <c r="B25" s="419" t="s">
        <v>322</v>
      </c>
      <c r="C25" s="2059"/>
      <c r="D25" s="2060"/>
      <c r="E25" s="793"/>
      <c r="F25" s="793"/>
      <c r="G25" s="793"/>
      <c r="H25" s="793"/>
      <c r="I25" s="439"/>
      <c r="J25" s="416"/>
      <c r="K25" s="417"/>
      <c r="L25" s="1162" t="str">
        <f>IF(K25="","",(VLOOKUP(K25,'Emission factors'!$A$157:$B$163,2,FALSE)))</f>
        <v/>
      </c>
      <c r="M25" s="1162"/>
      <c r="N25" s="1091"/>
      <c r="O25" s="1092"/>
      <c r="P25" s="2086"/>
      <c r="Q25" s="2082"/>
      <c r="R25" s="2082"/>
      <c r="S25" s="2083"/>
      <c r="T25" s="695" t="str">
        <f>IF(OR(J25="",H25="",G25="",F25=""),"",(12.187*(VLOOKUP(J25,'Emission factors'!$A$146:$B$153,2,FALSE))*F25*(G25/H25)))</f>
        <v/>
      </c>
      <c r="U25" s="2086"/>
      <c r="V25" s="2082"/>
      <c r="W25" s="2082"/>
      <c r="X25" s="2083"/>
      <c r="Y25" s="418" t="str">
        <f>IF(OR(E25="",I25="",L25="",T25=""),"",  IF(N25="",((T25*E25*(1-((L25/100)*(0/100)))*(10^-3)*(VLOOKUP(I25,'Emission factors'!$A$139:$B$141,2,FALSE)))),     ((T25*E25*(1-((L25/100)*(N25/100)))*(10^-3)*(VLOOKUP(I25,'Emission factors'!$A$139:$B$141,2,FALSE))))  )         )</f>
        <v/>
      </c>
      <c r="Z25" s="1846"/>
      <c r="AA25" s="458"/>
      <c r="AB25" s="2125"/>
      <c r="AC25" s="2044"/>
      <c r="AD25" s="1587"/>
      <c r="AE25" s="2039"/>
      <c r="AF25" s="1587"/>
      <c r="AG25" s="2039"/>
      <c r="AH25" s="1587"/>
      <c r="AI25" s="2039"/>
      <c r="AJ25" s="1587"/>
      <c r="AK25" s="2039"/>
      <c r="AL25" s="2040"/>
      <c r="AM25" s="1472"/>
      <c r="AN25" s="1473"/>
      <c r="AO25" s="1473"/>
      <c r="AP25" s="2037"/>
      <c r="AQ25" s="755" t="str">
        <f t="shared" si="0"/>
        <v/>
      </c>
      <c r="AR25" s="1570"/>
      <c r="AS25" s="213"/>
      <c r="AT25" s="1335"/>
      <c r="AU25" s="1479"/>
      <c r="AV25" s="1479"/>
      <c r="AW25" s="1336"/>
      <c r="AX25" s="719" t="str">
        <f t="shared" si="1"/>
        <v/>
      </c>
      <c r="AY25" s="213"/>
      <c r="AZ25" s="1335"/>
      <c r="BA25" s="1479"/>
      <c r="BB25" s="1479"/>
      <c r="BC25" s="1336"/>
      <c r="BD25" s="719" t="str">
        <f t="shared" si="2"/>
        <v/>
      </c>
      <c r="BG25" s="592" t="str">
        <f t="shared" si="3"/>
        <v/>
      </c>
      <c r="BH25" s="592" t="str">
        <f t="shared" si="4"/>
        <v/>
      </c>
    </row>
    <row r="26" spans="1:60" ht="85.05" customHeight="1">
      <c r="A26" s="2105"/>
      <c r="B26" s="419" t="s">
        <v>545</v>
      </c>
      <c r="C26" s="2059"/>
      <c r="D26" s="2060"/>
      <c r="E26" s="793"/>
      <c r="F26" s="793"/>
      <c r="G26" s="793"/>
      <c r="H26" s="793"/>
      <c r="I26" s="439"/>
      <c r="J26" s="416"/>
      <c r="K26" s="417"/>
      <c r="L26" s="1162" t="str">
        <f>IF(K26="","",(VLOOKUP(K26,'Emission factors'!$A$157:$B$163,2,FALSE)))</f>
        <v/>
      </c>
      <c r="M26" s="1162"/>
      <c r="N26" s="1091"/>
      <c r="O26" s="1092"/>
      <c r="P26" s="2086"/>
      <c r="Q26" s="2082"/>
      <c r="R26" s="2082"/>
      <c r="S26" s="2083"/>
      <c r="T26" s="695" t="str">
        <f>IF(OR(J26="",H26="",G26="",F26=""),"",(12.187*(VLOOKUP(J26,'Emission factors'!$A$146:$B$153,2,FALSE))*F26*(G26/H26)))</f>
        <v/>
      </c>
      <c r="U26" s="2086"/>
      <c r="V26" s="2082"/>
      <c r="W26" s="2082"/>
      <c r="X26" s="2083"/>
      <c r="Y26" s="418" t="str">
        <f>IF(OR(E26="",I26="",L26="",T26=""),"",  IF(N26="",((T26*E26*(1-((L26/100)*(0/100)))*(10^-3)*(VLOOKUP(I26,'Emission factors'!$A$139:$B$141,2,FALSE)))),     ((T26*E26*(1-((L26/100)*(N26/100)))*(10^-3)*(VLOOKUP(I26,'Emission factors'!$A$139:$B$141,2,FALSE))))  )         )</f>
        <v/>
      </c>
      <c r="Z26" s="1846"/>
      <c r="AA26" s="458"/>
      <c r="AB26" s="2125"/>
      <c r="AC26" s="2044"/>
      <c r="AD26" s="1587"/>
      <c r="AE26" s="2039"/>
      <c r="AF26" s="1587"/>
      <c r="AG26" s="2039"/>
      <c r="AH26" s="1587"/>
      <c r="AI26" s="2039"/>
      <c r="AJ26" s="1587"/>
      <c r="AK26" s="2039"/>
      <c r="AL26" s="2040"/>
      <c r="AM26" s="1472"/>
      <c r="AN26" s="1473"/>
      <c r="AO26" s="1473"/>
      <c r="AP26" s="2037"/>
      <c r="AQ26" s="755" t="str">
        <f t="shared" si="0"/>
        <v/>
      </c>
      <c r="AR26" s="1570"/>
      <c r="AS26" s="213"/>
      <c r="AT26" s="1335"/>
      <c r="AU26" s="1479"/>
      <c r="AV26" s="1479"/>
      <c r="AW26" s="1336"/>
      <c r="AX26" s="719" t="str">
        <f t="shared" si="1"/>
        <v/>
      </c>
      <c r="AY26" s="213"/>
      <c r="AZ26" s="1335"/>
      <c r="BA26" s="1479"/>
      <c r="BB26" s="1479"/>
      <c r="BC26" s="1336"/>
      <c r="BD26" s="719" t="str">
        <f t="shared" si="2"/>
        <v/>
      </c>
      <c r="BG26" s="592" t="str">
        <f t="shared" si="3"/>
        <v/>
      </c>
      <c r="BH26" s="592" t="str">
        <f t="shared" si="4"/>
        <v/>
      </c>
    </row>
    <row r="27" spans="1:60" ht="85.05" customHeight="1">
      <c r="A27" s="2105"/>
      <c r="B27" s="419" t="s">
        <v>547</v>
      </c>
      <c r="C27" s="2059"/>
      <c r="D27" s="2060"/>
      <c r="E27" s="793"/>
      <c r="F27" s="793"/>
      <c r="G27" s="793"/>
      <c r="H27" s="793"/>
      <c r="I27" s="439"/>
      <c r="J27" s="416"/>
      <c r="K27" s="417"/>
      <c r="L27" s="1162" t="str">
        <f>IF(K27="","",(VLOOKUP(K27,'Emission factors'!$A$157:$B$163,2,FALSE)))</f>
        <v/>
      </c>
      <c r="M27" s="1162"/>
      <c r="N27" s="1091"/>
      <c r="O27" s="1092"/>
      <c r="P27" s="2086"/>
      <c r="Q27" s="2082"/>
      <c r="R27" s="2082"/>
      <c r="S27" s="2083"/>
      <c r="T27" s="695" t="str">
        <f>IF(OR(J27="",H27="",G27="",F27=""),"",(12.187*(VLOOKUP(J27,'Emission factors'!$A$146:$B$153,2,FALSE))*F27*(G27/H27)))</f>
        <v/>
      </c>
      <c r="U27" s="2086"/>
      <c r="V27" s="2082"/>
      <c r="W27" s="2082"/>
      <c r="X27" s="2083"/>
      <c r="Y27" s="418" t="str">
        <f>IF(OR(E27="",I27="",L27="",T27=""),"",  IF(N27="",((T27*E27*(1-((L27/100)*(0/100)))*(10^-3)*(VLOOKUP(I27,'Emission factors'!$A$139:$B$141,2,FALSE)))),     ((T27*E27*(1-((L27/100)*(N27/100)))*(10^-3)*(VLOOKUP(I27,'Emission factors'!$A$139:$B$141,2,FALSE))))  )         )</f>
        <v/>
      </c>
      <c r="Z27" s="1846"/>
      <c r="AA27" s="458"/>
      <c r="AB27" s="2125"/>
      <c r="AC27" s="2044"/>
      <c r="AD27" s="1587"/>
      <c r="AE27" s="2039"/>
      <c r="AF27" s="1587"/>
      <c r="AG27" s="2039"/>
      <c r="AH27" s="1587"/>
      <c r="AI27" s="2039"/>
      <c r="AJ27" s="1587"/>
      <c r="AK27" s="2039"/>
      <c r="AL27" s="2040"/>
      <c r="AM27" s="1472"/>
      <c r="AN27" s="1473"/>
      <c r="AO27" s="1473"/>
      <c r="AP27" s="2037"/>
      <c r="AQ27" s="755" t="str">
        <f t="shared" si="0"/>
        <v/>
      </c>
      <c r="AR27" s="1570"/>
      <c r="AS27" s="213"/>
      <c r="AT27" s="1335"/>
      <c r="AU27" s="1479"/>
      <c r="AV27" s="1479"/>
      <c r="AW27" s="1336"/>
      <c r="AX27" s="719" t="str">
        <f t="shared" si="1"/>
        <v/>
      </c>
      <c r="AY27" s="213"/>
      <c r="AZ27" s="1335"/>
      <c r="BA27" s="1479"/>
      <c r="BB27" s="1479"/>
      <c r="BC27" s="1336"/>
      <c r="BD27" s="719" t="str">
        <f t="shared" si="2"/>
        <v/>
      </c>
      <c r="BG27" s="592" t="str">
        <f t="shared" si="3"/>
        <v/>
      </c>
      <c r="BH27" s="592" t="str">
        <f t="shared" si="4"/>
        <v/>
      </c>
    </row>
    <row r="28" spans="1:60" ht="85.05" customHeight="1" thickBot="1">
      <c r="A28" s="2106"/>
      <c r="B28" s="420" t="s">
        <v>548</v>
      </c>
      <c r="C28" s="2059"/>
      <c r="D28" s="2060"/>
      <c r="E28" s="793"/>
      <c r="F28" s="793"/>
      <c r="G28" s="793"/>
      <c r="H28" s="793"/>
      <c r="I28" s="439"/>
      <c r="J28" s="416"/>
      <c r="K28" s="417"/>
      <c r="L28" s="1162" t="str">
        <f>IF(K28="","",(VLOOKUP(K28,'Emission factors'!$A$157:$B$163,2,FALSE)))</f>
        <v/>
      </c>
      <c r="M28" s="1162"/>
      <c r="N28" s="1091"/>
      <c r="O28" s="1092"/>
      <c r="P28" s="2087"/>
      <c r="Q28" s="2084"/>
      <c r="R28" s="2084"/>
      <c r="S28" s="2085"/>
      <c r="T28" s="695" t="str">
        <f>IF(OR(J28="",H28="",G28="",F28=""),"",(12.187*(VLOOKUP(J28,'Emission factors'!$A$146:$B$153,2,FALSE))*F28*(G28/H28)))</f>
        <v/>
      </c>
      <c r="U28" s="2087"/>
      <c r="V28" s="2084"/>
      <c r="W28" s="2084"/>
      <c r="X28" s="2085"/>
      <c r="Y28" s="418" t="str">
        <f>IF(OR(E28="",I28="",L28="",T28=""),"",  IF(N28="",((T28*E28*(1-((L28/100)*(0/100)))*(10^-3)*(VLOOKUP(I28,'Emission factors'!$A$139:$B$141,2,FALSE)))),     ((T28*E28*(1-((L28/100)*(N28/100)))*(10^-3)*(VLOOKUP(I28,'Emission factors'!$A$139:$B$141,2,FALSE))))  )         )</f>
        <v/>
      </c>
      <c r="Z28" s="1847"/>
      <c r="AA28" s="458"/>
      <c r="AB28" s="2126"/>
      <c r="AC28" s="2049"/>
      <c r="AD28" s="2042"/>
      <c r="AE28" s="2041"/>
      <c r="AF28" s="2042"/>
      <c r="AG28" s="2041"/>
      <c r="AH28" s="2042"/>
      <c r="AI28" s="2041"/>
      <c r="AJ28" s="2042"/>
      <c r="AK28" s="2041"/>
      <c r="AL28" s="2043"/>
      <c r="AM28" s="1474"/>
      <c r="AN28" s="1475"/>
      <c r="AO28" s="1475"/>
      <c r="AP28" s="2038"/>
      <c r="AQ28" s="757" t="str">
        <f>IF(OR(BG28="",BH28="",AC28=""),"",SQRT((BG28)^2+(AC28)^2+(BH28)^2+(40)^2))</f>
        <v/>
      </c>
      <c r="AR28" s="1758"/>
      <c r="AS28" s="213"/>
      <c r="AT28" s="1337"/>
      <c r="AU28" s="1480"/>
      <c r="AV28" s="1480"/>
      <c r="AW28" s="1338"/>
      <c r="AX28" s="719" t="str">
        <f>IF(OR(Y28="",AQ28=""),"",Y28*AQ28)</f>
        <v/>
      </c>
      <c r="AY28" s="213"/>
      <c r="AZ28" s="1337"/>
      <c r="BA28" s="1480"/>
      <c r="BB28" s="1480"/>
      <c r="BC28" s="1338"/>
      <c r="BD28" s="719" t="str">
        <f>IF(AX28="","",AX28^2)</f>
        <v/>
      </c>
      <c r="BG28" s="592" t="str">
        <f>IF(OR(AE28="",AG28="",AI28=""),"",SQRT((40)^2+(AE28)^2+(AG28)^2+(AI28)^2))</f>
        <v/>
      </c>
      <c r="BH28" s="592" t="str">
        <f>IF(OR(AK28="",N28="",L28=""),"",(((N28*L28/10000)*(SQRT((40)^2+(AK28)^2)))/(1-((L28*N28)/10000))))</f>
        <v/>
      </c>
    </row>
    <row r="29" spans="1:60" ht="44.55" customHeight="1" thickBot="1">
      <c r="A29" s="1065"/>
      <c r="B29" s="1066"/>
      <c r="C29" s="1066"/>
      <c r="D29" s="1066"/>
      <c r="E29" s="1066"/>
      <c r="F29" s="1066"/>
      <c r="G29" s="1066"/>
      <c r="H29" s="1066"/>
      <c r="I29" s="1066"/>
      <c r="J29" s="1066"/>
      <c r="K29" s="1066"/>
      <c r="L29" s="1066"/>
      <c r="M29" s="1066"/>
      <c r="N29" s="1066"/>
      <c r="O29" s="1066"/>
      <c r="P29" s="1066"/>
      <c r="Q29" s="1066"/>
      <c r="R29" s="1066"/>
      <c r="S29" s="1066"/>
      <c r="T29" s="1066"/>
      <c r="U29" s="1066"/>
      <c r="V29" s="1066"/>
      <c r="W29" s="1066"/>
      <c r="X29" s="1066"/>
      <c r="Y29" s="1066"/>
      <c r="Z29" s="1067"/>
      <c r="AA29" s="458"/>
      <c r="AB29" s="1464"/>
      <c r="AC29" s="1465"/>
      <c r="AD29" s="1465"/>
      <c r="AE29" s="1465"/>
      <c r="AF29" s="1465"/>
      <c r="AG29" s="1465"/>
      <c r="AH29" s="1465"/>
      <c r="AI29" s="1465"/>
      <c r="AJ29" s="1465"/>
      <c r="AK29" s="1465"/>
      <c r="AL29" s="1465"/>
      <c r="AM29" s="1466"/>
      <c r="AN29" s="1466"/>
      <c r="AO29" s="1466"/>
      <c r="AP29" s="1466"/>
      <c r="AQ29" s="1466"/>
      <c r="AR29" s="1467"/>
    </row>
    <row r="30" spans="1:60" ht="36.450000000000003" hidden="1" customHeight="1">
      <c r="T30" s="98"/>
      <c r="AA30" s="458"/>
    </row>
    <row r="31" spans="1:60" ht="37.049999999999997" hidden="1" customHeight="1">
      <c r="T31" s="98"/>
      <c r="AA31" s="458"/>
    </row>
    <row r="32" spans="1:60" ht="37.049999999999997" hidden="1" customHeight="1">
      <c r="T32" s="98"/>
      <c r="AA32" s="458"/>
    </row>
    <row r="33" spans="1:60" ht="37.049999999999997" customHeight="1">
      <c r="A33" s="1795"/>
      <c r="B33" s="1795"/>
      <c r="C33" s="1795"/>
      <c r="D33" s="1795"/>
      <c r="E33" s="1795"/>
      <c r="F33" s="1795"/>
      <c r="G33" s="1795"/>
      <c r="H33" s="1795"/>
      <c r="I33" s="1795"/>
      <c r="J33" s="1795"/>
      <c r="K33" s="1795"/>
      <c r="L33" s="1795"/>
      <c r="M33" s="1795"/>
      <c r="N33" s="1795"/>
      <c r="O33" s="1795"/>
      <c r="P33" s="1795"/>
      <c r="Q33" s="1795"/>
      <c r="R33" s="1795"/>
      <c r="S33" s="1795"/>
      <c r="T33" s="1795"/>
      <c r="U33" s="1795"/>
      <c r="V33" s="1795"/>
      <c r="W33" s="1795"/>
      <c r="X33" s="1795"/>
      <c r="Y33" s="1795"/>
      <c r="Z33" s="1795"/>
      <c r="AA33" s="458"/>
      <c r="AB33" s="458"/>
      <c r="AC33" s="458"/>
      <c r="AD33" s="458"/>
      <c r="AE33" s="458"/>
      <c r="AF33" s="458"/>
      <c r="AG33" s="458"/>
      <c r="AH33" s="458"/>
      <c r="AI33" s="458"/>
      <c r="AJ33" s="458"/>
      <c r="AK33" s="458"/>
      <c r="AL33" s="458"/>
      <c r="AM33" s="458"/>
      <c r="AN33" s="458"/>
      <c r="AO33" s="458"/>
      <c r="AP33" s="458"/>
      <c r="AQ33" s="458"/>
      <c r="AR33" s="458"/>
    </row>
    <row r="34" spans="1:60" ht="36.450000000000003" customHeight="1" thickBot="1">
      <c r="A34" s="1994"/>
      <c r="B34" s="1994"/>
      <c r="C34" s="1994"/>
      <c r="D34" s="1994"/>
      <c r="E34" s="1994"/>
      <c r="F34" s="1994"/>
      <c r="G34" s="1994"/>
      <c r="H34" s="1994"/>
      <c r="I34" s="1994"/>
      <c r="J34" s="1994"/>
      <c r="K34" s="1994"/>
      <c r="L34" s="1994"/>
      <c r="M34" s="1994"/>
      <c r="N34" s="1994"/>
      <c r="O34" s="1994"/>
      <c r="P34" s="1994"/>
      <c r="Q34" s="1994"/>
      <c r="R34" s="1994"/>
      <c r="S34" s="1994"/>
      <c r="T34" s="1994"/>
      <c r="U34" s="1994"/>
      <c r="V34" s="1994"/>
      <c r="W34" s="1994"/>
      <c r="X34" s="1994"/>
      <c r="Y34" s="1994"/>
      <c r="Z34" s="1994"/>
      <c r="AA34" s="458"/>
      <c r="AB34" s="458"/>
      <c r="AC34" s="458"/>
      <c r="AD34" s="458"/>
      <c r="AE34" s="458"/>
      <c r="AF34" s="458"/>
      <c r="AG34" s="458"/>
      <c r="AH34" s="458"/>
      <c r="AI34" s="458"/>
      <c r="AJ34" s="458"/>
      <c r="AK34" s="458"/>
      <c r="AL34" s="458"/>
      <c r="AM34" s="458"/>
      <c r="AN34" s="458"/>
      <c r="AO34" s="458"/>
      <c r="AP34" s="458"/>
      <c r="AQ34" s="458"/>
      <c r="AR34" s="458"/>
    </row>
    <row r="35" spans="1:60" ht="36.450000000000003" customHeight="1" thickBot="1">
      <c r="A35" s="1878" t="s">
        <v>600</v>
      </c>
      <c r="B35" s="1879"/>
      <c r="C35" s="1879"/>
      <c r="D35" s="1879"/>
      <c r="E35" s="1879"/>
      <c r="F35" s="1879"/>
      <c r="G35" s="1879"/>
      <c r="H35" s="1879"/>
      <c r="I35" s="1879"/>
      <c r="J35" s="1879"/>
      <c r="K35" s="1879"/>
      <c r="L35" s="1879"/>
      <c r="M35" s="1879"/>
      <c r="N35" s="1879"/>
      <c r="O35" s="1879"/>
      <c r="P35" s="1879"/>
      <c r="Q35" s="1879"/>
      <c r="R35" s="1879"/>
      <c r="S35" s="1879"/>
      <c r="T35" s="1879"/>
      <c r="U35" s="1879"/>
      <c r="V35" s="1879"/>
      <c r="W35" s="1879"/>
      <c r="X35" s="1879"/>
      <c r="Y35" s="1879"/>
      <c r="Z35" s="1880"/>
      <c r="AA35" s="458"/>
      <c r="AB35" s="1991" t="s">
        <v>1555</v>
      </c>
      <c r="AC35" s="1992"/>
      <c r="AD35" s="1992"/>
      <c r="AE35" s="1992"/>
      <c r="AF35" s="1992"/>
      <c r="AG35" s="1992"/>
      <c r="AH35" s="1992"/>
      <c r="AI35" s="1992"/>
      <c r="AJ35" s="1992"/>
      <c r="AK35" s="1992"/>
      <c r="AL35" s="1992"/>
      <c r="AM35" s="1992"/>
      <c r="AN35" s="1992"/>
      <c r="AO35" s="1992"/>
      <c r="AP35" s="1992"/>
      <c r="AQ35" s="1992"/>
      <c r="AR35" s="1993"/>
    </row>
    <row r="36" spans="1:60" ht="44.55" customHeight="1" thickBot="1">
      <c r="A36" s="1065" t="s">
        <v>430</v>
      </c>
      <c r="B36" s="1066"/>
      <c r="C36" s="1066"/>
      <c r="D36" s="1066"/>
      <c r="E36" s="1066"/>
      <c r="F36" s="1066"/>
      <c r="G36" s="1066"/>
      <c r="H36" s="1066"/>
      <c r="I36" s="1066"/>
      <c r="J36" s="1066"/>
      <c r="K36" s="1066"/>
      <c r="L36" s="1066"/>
      <c r="M36" s="1066"/>
      <c r="N36" s="1066"/>
      <c r="O36" s="1066"/>
      <c r="P36" s="1066"/>
      <c r="Q36" s="1066"/>
      <c r="R36" s="1066"/>
      <c r="S36" s="1066"/>
      <c r="T36" s="1066"/>
      <c r="U36" s="1066"/>
      <c r="V36" s="1066"/>
      <c r="W36" s="1066"/>
      <c r="X36" s="1066"/>
      <c r="Y36" s="1066"/>
      <c r="Z36" s="1067"/>
      <c r="AA36" s="458"/>
      <c r="AB36" s="1464"/>
      <c r="AC36" s="1465"/>
      <c r="AD36" s="1465"/>
      <c r="AE36" s="1465"/>
      <c r="AF36" s="1465"/>
      <c r="AG36" s="1465"/>
      <c r="AH36" s="1465"/>
      <c r="AI36" s="1465"/>
      <c r="AJ36" s="1465"/>
      <c r="AK36" s="1465"/>
      <c r="AL36" s="1465"/>
      <c r="AM36" s="1465"/>
      <c r="AN36" s="1465"/>
      <c r="AO36" s="1465"/>
      <c r="AP36" s="1465"/>
      <c r="AQ36" s="1465"/>
      <c r="AR36" s="1467"/>
      <c r="AS36" s="213"/>
      <c r="AT36" s="213"/>
      <c r="AU36" s="213"/>
      <c r="AV36" s="213"/>
      <c r="AW36" s="213"/>
      <c r="AX36" s="213"/>
      <c r="AY36" s="213"/>
      <c r="AZ36" s="213"/>
      <c r="BA36" s="213"/>
      <c r="BB36" s="213"/>
      <c r="BC36" s="213"/>
      <c r="BD36" s="213"/>
      <c r="BE36" s="213"/>
    </row>
    <row r="37" spans="1:60" ht="25.8" thickBot="1">
      <c r="A37" s="1804"/>
      <c r="B37" s="1714" t="s">
        <v>588</v>
      </c>
      <c r="C37" s="1318" t="s">
        <v>617</v>
      </c>
      <c r="D37" s="1318"/>
      <c r="E37" s="1318"/>
      <c r="F37" s="1318"/>
      <c r="G37" s="1318"/>
      <c r="H37" s="1318"/>
      <c r="I37" s="1318"/>
      <c r="J37" s="1376" t="s">
        <v>601</v>
      </c>
      <c r="K37" s="1377"/>
      <c r="L37" s="1377"/>
      <c r="M37" s="1377"/>
      <c r="N37" s="1377"/>
      <c r="O37" s="1378"/>
      <c r="P37" s="1318" t="s">
        <v>852</v>
      </c>
      <c r="Q37" s="1318"/>
      <c r="R37" s="1318"/>
      <c r="S37" s="1318"/>
      <c r="T37" s="1319"/>
      <c r="U37" s="1317" t="s">
        <v>853</v>
      </c>
      <c r="V37" s="1318"/>
      <c r="W37" s="1318"/>
      <c r="X37" s="1318"/>
      <c r="Y37" s="1319"/>
      <c r="Z37" s="1845"/>
      <c r="AA37" s="458"/>
      <c r="AB37" s="2124"/>
      <c r="AC37" s="2050" t="s">
        <v>1364</v>
      </c>
      <c r="AD37" s="1252"/>
      <c r="AE37" s="1252"/>
      <c r="AF37" s="1252"/>
      <c r="AG37" s="1252"/>
      <c r="AH37" s="1252"/>
      <c r="AI37" s="1252"/>
      <c r="AJ37" s="1252"/>
      <c r="AK37" s="1252"/>
      <c r="AL37" s="1252"/>
      <c r="AM37" s="1252" t="s">
        <v>1365</v>
      </c>
      <c r="AN37" s="1252"/>
      <c r="AO37" s="1252"/>
      <c r="AP37" s="1252"/>
      <c r="AQ37" s="1252"/>
      <c r="AR37" s="1494"/>
      <c r="AS37" s="213"/>
      <c r="AT37" s="213"/>
      <c r="AU37" s="213"/>
      <c r="AV37" s="213"/>
      <c r="AW37" s="213"/>
      <c r="AX37" s="213"/>
      <c r="AY37" s="213"/>
      <c r="AZ37" s="213"/>
      <c r="BA37" s="213"/>
      <c r="BB37" s="213"/>
      <c r="BC37" s="213"/>
      <c r="BD37" s="213"/>
      <c r="BE37" s="213"/>
    </row>
    <row r="38" spans="1:60" ht="78" customHeight="1">
      <c r="A38" s="1805"/>
      <c r="B38" s="1715"/>
      <c r="C38" s="1393" t="s">
        <v>589</v>
      </c>
      <c r="D38" s="1391"/>
      <c r="E38" s="688" t="s">
        <v>552</v>
      </c>
      <c r="F38" s="1699" t="s">
        <v>603</v>
      </c>
      <c r="G38" s="1391"/>
      <c r="H38" s="1699" t="s">
        <v>590</v>
      </c>
      <c r="I38" s="1083"/>
      <c r="J38" s="1393" t="s">
        <v>586</v>
      </c>
      <c r="K38" s="1391"/>
      <c r="L38" s="1699" t="s">
        <v>587</v>
      </c>
      <c r="M38" s="1391"/>
      <c r="N38" s="1699" t="s">
        <v>585</v>
      </c>
      <c r="O38" s="1083"/>
      <c r="P38" s="1079" t="s">
        <v>40</v>
      </c>
      <c r="Q38" s="1076" t="s">
        <v>39</v>
      </c>
      <c r="R38" s="1076" t="s">
        <v>145</v>
      </c>
      <c r="S38" s="1076" t="s">
        <v>147</v>
      </c>
      <c r="T38" s="713" t="s">
        <v>31</v>
      </c>
      <c r="U38" s="1664" t="s">
        <v>40</v>
      </c>
      <c r="V38" s="1076" t="s">
        <v>39</v>
      </c>
      <c r="W38" s="1076" t="s">
        <v>145</v>
      </c>
      <c r="X38" s="1076" t="s">
        <v>147</v>
      </c>
      <c r="Y38" s="713" t="s">
        <v>31</v>
      </c>
      <c r="Z38" s="1846"/>
      <c r="AA38" s="458"/>
      <c r="AB38" s="2125"/>
      <c r="AC38" s="1452" t="s">
        <v>1372</v>
      </c>
      <c r="AD38" s="1458"/>
      <c r="AE38" s="1458"/>
      <c r="AF38" s="2120"/>
      <c r="AG38" s="2122" t="s">
        <v>1363</v>
      </c>
      <c r="AH38" s="1458"/>
      <c r="AI38" s="1458"/>
      <c r="AJ38" s="1458"/>
      <c r="AK38" s="1458"/>
      <c r="AL38" s="1974"/>
      <c r="AM38" s="549" t="s">
        <v>40</v>
      </c>
      <c r="AN38" s="530" t="s">
        <v>39</v>
      </c>
      <c r="AO38" s="530" t="s">
        <v>145</v>
      </c>
      <c r="AP38" s="530" t="s">
        <v>147</v>
      </c>
      <c r="AQ38" s="537" t="s">
        <v>31</v>
      </c>
      <c r="AR38" s="1495"/>
      <c r="AS38" s="213"/>
      <c r="AT38" s="529" t="s">
        <v>40</v>
      </c>
      <c r="AU38" s="530" t="s">
        <v>39</v>
      </c>
      <c r="AV38" s="530" t="s">
        <v>145</v>
      </c>
      <c r="AW38" s="530" t="s">
        <v>147</v>
      </c>
      <c r="AX38" s="531" t="s">
        <v>31</v>
      </c>
      <c r="AY38" s="217"/>
      <c r="AZ38" s="529" t="s">
        <v>40</v>
      </c>
      <c r="BA38" s="530" t="s">
        <v>39</v>
      </c>
      <c r="BB38" s="530" t="s">
        <v>145</v>
      </c>
      <c r="BC38" s="530" t="s">
        <v>147</v>
      </c>
      <c r="BD38" s="531" t="s">
        <v>31</v>
      </c>
      <c r="BE38" s="213"/>
    </row>
    <row r="39" spans="1:60" ht="49.05" customHeight="1" thickBot="1">
      <c r="A39" s="1805"/>
      <c r="B39" s="1716"/>
      <c r="C39" s="1394"/>
      <c r="D39" s="2061"/>
      <c r="E39" s="414" t="s">
        <v>1077</v>
      </c>
      <c r="F39" s="1965"/>
      <c r="G39" s="2061"/>
      <c r="H39" s="1965"/>
      <c r="I39" s="1085"/>
      <c r="J39" s="1394"/>
      <c r="K39" s="2061"/>
      <c r="L39" s="1700" t="s">
        <v>356</v>
      </c>
      <c r="M39" s="2081"/>
      <c r="N39" s="1700" t="s">
        <v>356</v>
      </c>
      <c r="O39" s="2080"/>
      <c r="P39" s="1081"/>
      <c r="Q39" s="1077"/>
      <c r="R39" s="1077"/>
      <c r="S39" s="1077"/>
      <c r="T39" s="714" t="s">
        <v>1148</v>
      </c>
      <c r="U39" s="1665"/>
      <c r="V39" s="1077"/>
      <c r="W39" s="1077"/>
      <c r="X39" s="1077"/>
      <c r="Y39" s="714" t="s">
        <v>146</v>
      </c>
      <c r="Z39" s="1846"/>
      <c r="AA39" s="458"/>
      <c r="AB39" s="2125"/>
      <c r="AC39" s="1454"/>
      <c r="AD39" s="1459"/>
      <c r="AE39" s="1459"/>
      <c r="AF39" s="2121"/>
      <c r="AG39" s="2123"/>
      <c r="AH39" s="1459"/>
      <c r="AI39" s="1459"/>
      <c r="AJ39" s="1459"/>
      <c r="AK39" s="1459"/>
      <c r="AL39" s="1975"/>
      <c r="AM39" s="552" t="s">
        <v>1260</v>
      </c>
      <c r="AN39" s="739" t="s">
        <v>1260</v>
      </c>
      <c r="AO39" s="739" t="s">
        <v>1260</v>
      </c>
      <c r="AP39" s="739" t="s">
        <v>1260</v>
      </c>
      <c r="AQ39" s="775" t="s">
        <v>1260</v>
      </c>
      <c r="AR39" s="1495"/>
      <c r="AS39" s="213"/>
      <c r="AT39" s="1289" t="s">
        <v>1285</v>
      </c>
      <c r="AU39" s="1289"/>
      <c r="AV39" s="1289"/>
      <c r="AW39" s="1289"/>
      <c r="AX39" s="1289"/>
      <c r="AY39" s="213"/>
      <c r="AZ39" s="1289" t="s">
        <v>1286</v>
      </c>
      <c r="BA39" s="1289"/>
      <c r="BB39" s="1289"/>
      <c r="BC39" s="1289"/>
      <c r="BD39" s="1289"/>
      <c r="BE39" s="213"/>
      <c r="BG39" s="98" t="s">
        <v>1366</v>
      </c>
      <c r="BH39" s="98" t="s">
        <v>1367</v>
      </c>
    </row>
    <row r="40" spans="1:60" ht="60.45" customHeight="1">
      <c r="A40" s="1805"/>
      <c r="B40" s="421" t="s">
        <v>316</v>
      </c>
      <c r="C40" s="2064"/>
      <c r="D40" s="2065"/>
      <c r="E40" s="793"/>
      <c r="F40" s="2076"/>
      <c r="G40" s="2077"/>
      <c r="H40" s="2073"/>
      <c r="I40" s="2074"/>
      <c r="J40" s="2078"/>
      <c r="K40" s="2079"/>
      <c r="L40" s="2075" t="str">
        <f>IF(J40="","",(VLOOKUP(J40,'Emission factors'!$A$157:$B$163,2,FALSE)))</f>
        <v/>
      </c>
      <c r="M40" s="2075"/>
      <c r="N40" s="2062"/>
      <c r="O40" s="2063"/>
      <c r="P40" s="2082" t="s">
        <v>817</v>
      </c>
      <c r="Q40" s="2082"/>
      <c r="R40" s="2082"/>
      <c r="S40" s="2083"/>
      <c r="T40" s="422" t="str">
        <f>IF(OR(F40="",H40=""),"",(IF(F40="بشکه کوچک (مثلا با عمق حدود 3m الي 3/7m)",(VLOOKUP(H40,'Emission factors'!$A$177:$B$183,2,FALSE)),(VLOOKUP(H40,'Emission factors'!$A$169:$B$175,2,FALSE)))))</f>
        <v/>
      </c>
      <c r="U40" s="2086" t="s">
        <v>817</v>
      </c>
      <c r="V40" s="2082"/>
      <c r="W40" s="2082"/>
      <c r="X40" s="2083"/>
      <c r="Y40" s="695" t="str">
        <f>IF(OR(E40="",L40="",T40=""),"",IF(T40="ضريبي براي اين مورد ارائه نشده است.","", IF(N40="",((1-((L40/100)*(0/100)))*(10^-6)*E40*T40), ((1-((L40/100)*(N40/100)))*(10^-6)*E40*T40))     ))</f>
        <v/>
      </c>
      <c r="Z40" s="1846"/>
      <c r="AA40" s="458"/>
      <c r="AB40" s="2125"/>
      <c r="AC40" s="2117"/>
      <c r="AD40" s="2118"/>
      <c r="AE40" s="2118"/>
      <c r="AF40" s="2119"/>
      <c r="AG40" s="2112"/>
      <c r="AH40" s="2113"/>
      <c r="AI40" s="2113"/>
      <c r="AJ40" s="2113"/>
      <c r="AK40" s="2113"/>
      <c r="AL40" s="2114"/>
      <c r="AM40" s="1470" t="s">
        <v>1284</v>
      </c>
      <c r="AN40" s="1471"/>
      <c r="AO40" s="1471"/>
      <c r="AP40" s="2036"/>
      <c r="AQ40" s="753" t="str">
        <f>IF(OR(BH40="",AC40=""),"",SQRT((40)^2+(AC40)^2+(BH40)^2+(40)^2))</f>
        <v/>
      </c>
      <c r="AR40" s="1570"/>
      <c r="AS40" s="213"/>
      <c r="AT40" s="1476"/>
      <c r="AU40" s="1477"/>
      <c r="AV40" s="1477"/>
      <c r="AW40" s="1478"/>
      <c r="AX40" s="719" t="str">
        <f>IF(OR(Y40="",AQ40=""),"",Y40*AQ40)</f>
        <v/>
      </c>
      <c r="AY40" s="213"/>
      <c r="AZ40" s="1476"/>
      <c r="BA40" s="1477"/>
      <c r="BB40" s="1477"/>
      <c r="BC40" s="1478"/>
      <c r="BD40" s="719" t="str">
        <f>IF(AX40="","",AX40^2)</f>
        <v/>
      </c>
      <c r="BG40" s="592"/>
      <c r="BH40" s="592" t="str">
        <f>IF(OR(AG40="",N40="",L40=""),"",(((N40*L40/10000)*(SQRT((40)^2+(AG40)^2)))/(1-((L40*N40)/10000))))</f>
        <v/>
      </c>
    </row>
    <row r="41" spans="1:60" ht="60.45" customHeight="1">
      <c r="A41" s="1805"/>
      <c r="B41" s="421" t="s">
        <v>317</v>
      </c>
      <c r="C41" s="2064"/>
      <c r="D41" s="2065"/>
      <c r="E41" s="793"/>
      <c r="F41" s="2066"/>
      <c r="G41" s="2067"/>
      <c r="H41" s="2071"/>
      <c r="I41" s="2072"/>
      <c r="J41" s="2057"/>
      <c r="K41" s="2058"/>
      <c r="L41" s="2070" t="str">
        <f>IF(J41="","",(VLOOKUP(J41,'Emission factors'!$A$157:$B$163,2,FALSE)))</f>
        <v/>
      </c>
      <c r="M41" s="2070"/>
      <c r="N41" s="2068"/>
      <c r="O41" s="2069"/>
      <c r="P41" s="2082"/>
      <c r="Q41" s="2082"/>
      <c r="R41" s="2082"/>
      <c r="S41" s="2083"/>
      <c r="T41" s="695" t="str">
        <f>IF(OR(F41="",H41=""),"",(IF(F41="بشکه کوچک (مثلا با عمق حدود 3m الي 3/7m)",(VLOOKUP(H41,'Emission factors'!$A$177:$B$183,2,FALSE)),(VLOOKUP(H41,'Emission factors'!$A$169:$B$175,2,FALSE)))))</f>
        <v/>
      </c>
      <c r="U41" s="2086"/>
      <c r="V41" s="2082"/>
      <c r="W41" s="2082"/>
      <c r="X41" s="2083"/>
      <c r="Y41" s="695" t="str">
        <f t="shared" ref="Y41:Y48" si="5">IF(OR(E41="",L41="",T41=""),"",IF(T41="ضريبي براي اين مورد ارائه نشده است.","", IF(N41="",((1-((L41/100)*(0/100)))*(10^-6)*E41*T41), ((1-((L41/100)*(N41/100)))*(10^-6)*E41*T41))     ))</f>
        <v/>
      </c>
      <c r="Z41" s="1846"/>
      <c r="AA41" s="458"/>
      <c r="AB41" s="2125"/>
      <c r="AC41" s="1498"/>
      <c r="AD41" s="1499"/>
      <c r="AE41" s="1499"/>
      <c r="AF41" s="1499"/>
      <c r="AG41" s="2039"/>
      <c r="AH41" s="2115"/>
      <c r="AI41" s="2115"/>
      <c r="AJ41" s="2115"/>
      <c r="AK41" s="2115"/>
      <c r="AL41" s="2040"/>
      <c r="AM41" s="1472"/>
      <c r="AN41" s="1473"/>
      <c r="AO41" s="1473"/>
      <c r="AP41" s="2037"/>
      <c r="AQ41" s="755" t="str">
        <f t="shared" ref="AQ41:AQ48" si="6">IF(OR(BH41="",AC41=""),"",SQRT((40)^2+(AC41)^2+(BH41)^2+(40)^2))</f>
        <v/>
      </c>
      <c r="AR41" s="1570"/>
      <c r="AS41" s="213"/>
      <c r="AT41" s="1335"/>
      <c r="AU41" s="1479"/>
      <c r="AV41" s="1479"/>
      <c r="AW41" s="1336"/>
      <c r="AX41" s="719" t="str">
        <f t="shared" ref="AX41:AX48" si="7">IF(OR(Y41="",AQ41=""),"",Y41*AQ41)</f>
        <v/>
      </c>
      <c r="AY41" s="213"/>
      <c r="AZ41" s="1335"/>
      <c r="BA41" s="1479"/>
      <c r="BB41" s="1479"/>
      <c r="BC41" s="1336"/>
      <c r="BD41" s="719" t="str">
        <f t="shared" ref="BD41:BD48" si="8">IF(AX41="","",AX41^2)</f>
        <v/>
      </c>
      <c r="BG41" s="592"/>
      <c r="BH41" s="592" t="str">
        <f t="shared" ref="BH41:BH48" si="9">IF(OR(AG41="",N41="",L41=""),"",(((N41*L41/10000)*(SQRT((40)^2+(AG41)^2)))/(1-((L41*N41)/10000))))</f>
        <v/>
      </c>
    </row>
    <row r="42" spans="1:60" ht="60.45" customHeight="1">
      <c r="A42" s="1805"/>
      <c r="B42" s="421" t="s">
        <v>318</v>
      </c>
      <c r="C42" s="2064"/>
      <c r="D42" s="2065"/>
      <c r="E42" s="793"/>
      <c r="F42" s="2066"/>
      <c r="G42" s="2067"/>
      <c r="H42" s="2071"/>
      <c r="I42" s="2072"/>
      <c r="J42" s="2057"/>
      <c r="K42" s="2058"/>
      <c r="L42" s="2070" t="str">
        <f>IF(J42="","",(VLOOKUP(J42,'Emission factors'!$A$157:$B$163,2,FALSE)))</f>
        <v/>
      </c>
      <c r="M42" s="2070"/>
      <c r="N42" s="2068"/>
      <c r="O42" s="2069"/>
      <c r="P42" s="2082"/>
      <c r="Q42" s="2082"/>
      <c r="R42" s="2082"/>
      <c r="S42" s="2083"/>
      <c r="T42" s="695" t="str">
        <f>IF(OR(F42="",H42=""),"",(IF(F42="بشکه کوچک (مثلا با عمق حدود 3m الي 3/7m)",(VLOOKUP(H42,'Emission factors'!$A$177:$B$183,2,FALSE)),(VLOOKUP(H42,'Emission factors'!$A$169:$B$175,2,FALSE)))))</f>
        <v/>
      </c>
      <c r="U42" s="2086"/>
      <c r="V42" s="2082"/>
      <c r="W42" s="2082"/>
      <c r="X42" s="2083"/>
      <c r="Y42" s="695" t="str">
        <f t="shared" si="5"/>
        <v/>
      </c>
      <c r="Z42" s="1846"/>
      <c r="AA42" s="458"/>
      <c r="AB42" s="2125"/>
      <c r="AC42" s="1498"/>
      <c r="AD42" s="1499"/>
      <c r="AE42" s="1499"/>
      <c r="AF42" s="1499"/>
      <c r="AG42" s="2039"/>
      <c r="AH42" s="2115"/>
      <c r="AI42" s="2115"/>
      <c r="AJ42" s="2115"/>
      <c r="AK42" s="2115"/>
      <c r="AL42" s="2040"/>
      <c r="AM42" s="1472"/>
      <c r="AN42" s="1473"/>
      <c r="AO42" s="1473"/>
      <c r="AP42" s="2037"/>
      <c r="AQ42" s="755" t="str">
        <f t="shared" si="6"/>
        <v/>
      </c>
      <c r="AR42" s="1570"/>
      <c r="AS42" s="213"/>
      <c r="AT42" s="1335"/>
      <c r="AU42" s="1479"/>
      <c r="AV42" s="1479"/>
      <c r="AW42" s="1336"/>
      <c r="AX42" s="719" t="str">
        <f t="shared" si="7"/>
        <v/>
      </c>
      <c r="AY42" s="213"/>
      <c r="AZ42" s="1335"/>
      <c r="BA42" s="1479"/>
      <c r="BB42" s="1479"/>
      <c r="BC42" s="1336"/>
      <c r="BD42" s="719" t="str">
        <f t="shared" si="8"/>
        <v/>
      </c>
      <c r="BG42" s="592"/>
      <c r="BH42" s="592" t="str">
        <f t="shared" si="9"/>
        <v/>
      </c>
    </row>
    <row r="43" spans="1:60" ht="60.45" customHeight="1">
      <c r="A43" s="1805"/>
      <c r="B43" s="421" t="s">
        <v>319</v>
      </c>
      <c r="C43" s="2064"/>
      <c r="D43" s="2065"/>
      <c r="E43" s="793"/>
      <c r="F43" s="2066"/>
      <c r="G43" s="2067"/>
      <c r="H43" s="2071"/>
      <c r="I43" s="2072"/>
      <c r="J43" s="2057"/>
      <c r="K43" s="2058"/>
      <c r="L43" s="2070" t="str">
        <f>IF(J43="","",(VLOOKUP(J43,'Emission factors'!$A$157:$B$163,2,FALSE)))</f>
        <v/>
      </c>
      <c r="M43" s="2070"/>
      <c r="N43" s="2068"/>
      <c r="O43" s="2069"/>
      <c r="P43" s="2082"/>
      <c r="Q43" s="2082"/>
      <c r="R43" s="2082"/>
      <c r="S43" s="2083"/>
      <c r="T43" s="695" t="str">
        <f>IF(OR(F43="",H43=""),"",(IF(F43="بشکه کوچک (مثلا با عمق حدود 3m الي 3/7m)",(VLOOKUP(H43,'Emission factors'!$A$177:$B$183,2,FALSE)),(VLOOKUP(H43,'Emission factors'!$A$169:$B$175,2,FALSE)))))</f>
        <v/>
      </c>
      <c r="U43" s="2086"/>
      <c r="V43" s="2082"/>
      <c r="W43" s="2082"/>
      <c r="X43" s="2083"/>
      <c r="Y43" s="695" t="str">
        <f t="shared" si="5"/>
        <v/>
      </c>
      <c r="Z43" s="1846"/>
      <c r="AA43" s="458"/>
      <c r="AB43" s="2125"/>
      <c r="AC43" s="1498"/>
      <c r="AD43" s="1499"/>
      <c r="AE43" s="1499"/>
      <c r="AF43" s="1499"/>
      <c r="AG43" s="2039"/>
      <c r="AH43" s="2115"/>
      <c r="AI43" s="2115"/>
      <c r="AJ43" s="2115"/>
      <c r="AK43" s="2115"/>
      <c r="AL43" s="2040"/>
      <c r="AM43" s="1472"/>
      <c r="AN43" s="1473"/>
      <c r="AO43" s="1473"/>
      <c r="AP43" s="2037"/>
      <c r="AQ43" s="755" t="str">
        <f t="shared" si="6"/>
        <v/>
      </c>
      <c r="AR43" s="1570"/>
      <c r="AS43" s="213"/>
      <c r="AT43" s="1335"/>
      <c r="AU43" s="1479"/>
      <c r="AV43" s="1479"/>
      <c r="AW43" s="1336"/>
      <c r="AX43" s="719" t="str">
        <f t="shared" si="7"/>
        <v/>
      </c>
      <c r="AY43" s="213"/>
      <c r="AZ43" s="1335"/>
      <c r="BA43" s="1479"/>
      <c r="BB43" s="1479"/>
      <c r="BC43" s="1336"/>
      <c r="BD43" s="719" t="str">
        <f t="shared" si="8"/>
        <v/>
      </c>
      <c r="BG43" s="592"/>
      <c r="BH43" s="592" t="str">
        <f t="shared" si="9"/>
        <v/>
      </c>
    </row>
    <row r="44" spans="1:60" ht="60.45" customHeight="1">
      <c r="A44" s="1805"/>
      <c r="B44" s="421" t="s">
        <v>320</v>
      </c>
      <c r="C44" s="2064"/>
      <c r="D44" s="2065"/>
      <c r="E44" s="793"/>
      <c r="F44" s="2066"/>
      <c r="G44" s="2067"/>
      <c r="H44" s="2071"/>
      <c r="I44" s="2072"/>
      <c r="J44" s="2057"/>
      <c r="K44" s="2058"/>
      <c r="L44" s="2070" t="str">
        <f>IF(J44="","",(VLOOKUP(J44,'Emission factors'!$A$157:$B$163,2,FALSE)))</f>
        <v/>
      </c>
      <c r="M44" s="2070"/>
      <c r="N44" s="2068"/>
      <c r="O44" s="2069"/>
      <c r="P44" s="2082"/>
      <c r="Q44" s="2082"/>
      <c r="R44" s="2082"/>
      <c r="S44" s="2083"/>
      <c r="T44" s="695" t="str">
        <f>IF(OR(F44="",H44=""),"",(IF(F44="بشکه کوچک (مثلا با عمق حدود 3m الي 3/7m)",(VLOOKUP(H44,'Emission factors'!$A$177:$B$183,2,FALSE)),(VLOOKUP(H44,'Emission factors'!$A$169:$B$175,2,FALSE)))))</f>
        <v/>
      </c>
      <c r="U44" s="2086"/>
      <c r="V44" s="2082"/>
      <c r="W44" s="2082"/>
      <c r="X44" s="2083"/>
      <c r="Y44" s="695" t="str">
        <f t="shared" si="5"/>
        <v/>
      </c>
      <c r="Z44" s="1846"/>
      <c r="AA44" s="458"/>
      <c r="AB44" s="2125"/>
      <c r="AC44" s="1498"/>
      <c r="AD44" s="1499"/>
      <c r="AE44" s="1499"/>
      <c r="AF44" s="1499"/>
      <c r="AG44" s="2039"/>
      <c r="AH44" s="2115"/>
      <c r="AI44" s="2115"/>
      <c r="AJ44" s="2115"/>
      <c r="AK44" s="2115"/>
      <c r="AL44" s="2040"/>
      <c r="AM44" s="1472"/>
      <c r="AN44" s="1473"/>
      <c r="AO44" s="1473"/>
      <c r="AP44" s="2037"/>
      <c r="AQ44" s="755" t="str">
        <f t="shared" si="6"/>
        <v/>
      </c>
      <c r="AR44" s="1570"/>
      <c r="AS44" s="213"/>
      <c r="AT44" s="1335"/>
      <c r="AU44" s="1479"/>
      <c r="AV44" s="1479"/>
      <c r="AW44" s="1336"/>
      <c r="AX44" s="719" t="str">
        <f t="shared" si="7"/>
        <v/>
      </c>
      <c r="AY44" s="213"/>
      <c r="AZ44" s="1335"/>
      <c r="BA44" s="1479"/>
      <c r="BB44" s="1479"/>
      <c r="BC44" s="1336"/>
      <c r="BD44" s="719" t="str">
        <f t="shared" si="8"/>
        <v/>
      </c>
      <c r="BG44" s="592"/>
      <c r="BH44" s="592" t="str">
        <f t="shared" si="9"/>
        <v/>
      </c>
    </row>
    <row r="45" spans="1:60" ht="60.45" customHeight="1">
      <c r="A45" s="1805"/>
      <c r="B45" s="421" t="s">
        <v>321</v>
      </c>
      <c r="C45" s="2064"/>
      <c r="D45" s="2065"/>
      <c r="E45" s="793"/>
      <c r="F45" s="2066"/>
      <c r="G45" s="2067"/>
      <c r="H45" s="2071"/>
      <c r="I45" s="2072"/>
      <c r="J45" s="2057"/>
      <c r="K45" s="2058"/>
      <c r="L45" s="2070" t="str">
        <f>IF(J45="","",(VLOOKUP(J45,'Emission factors'!$A$157:$B$163,2,FALSE)))</f>
        <v/>
      </c>
      <c r="M45" s="2070"/>
      <c r="N45" s="2068"/>
      <c r="O45" s="2069"/>
      <c r="P45" s="2082"/>
      <c r="Q45" s="2082"/>
      <c r="R45" s="2082"/>
      <c r="S45" s="2083"/>
      <c r="T45" s="695" t="str">
        <f>IF(OR(F45="",H45=""),"",(IF(F45="بشکه کوچک (مثلا با عمق حدود 3m الي 3/7m)",(VLOOKUP(H45,'Emission factors'!$A$177:$B$183,2,FALSE)),(VLOOKUP(H45,'Emission factors'!$A$169:$B$175,2,FALSE)))))</f>
        <v/>
      </c>
      <c r="U45" s="2086"/>
      <c r="V45" s="2082"/>
      <c r="W45" s="2082"/>
      <c r="X45" s="2083"/>
      <c r="Y45" s="695" t="str">
        <f t="shared" si="5"/>
        <v/>
      </c>
      <c r="Z45" s="1846"/>
      <c r="AA45" s="458"/>
      <c r="AB45" s="2125"/>
      <c r="AC45" s="1498"/>
      <c r="AD45" s="1499"/>
      <c r="AE45" s="1499"/>
      <c r="AF45" s="1499"/>
      <c r="AG45" s="2039"/>
      <c r="AH45" s="2115"/>
      <c r="AI45" s="2115"/>
      <c r="AJ45" s="2115"/>
      <c r="AK45" s="2115"/>
      <c r="AL45" s="2040"/>
      <c r="AM45" s="1472"/>
      <c r="AN45" s="1473"/>
      <c r="AO45" s="1473"/>
      <c r="AP45" s="2037"/>
      <c r="AQ45" s="755" t="str">
        <f t="shared" si="6"/>
        <v/>
      </c>
      <c r="AR45" s="1570"/>
      <c r="AS45" s="213"/>
      <c r="AT45" s="1335"/>
      <c r="AU45" s="1479"/>
      <c r="AV45" s="1479"/>
      <c r="AW45" s="1336"/>
      <c r="AX45" s="719" t="str">
        <f t="shared" si="7"/>
        <v/>
      </c>
      <c r="AY45" s="213"/>
      <c r="AZ45" s="1335"/>
      <c r="BA45" s="1479"/>
      <c r="BB45" s="1479"/>
      <c r="BC45" s="1336"/>
      <c r="BD45" s="719" t="str">
        <f t="shared" si="8"/>
        <v/>
      </c>
      <c r="BG45" s="592"/>
      <c r="BH45" s="592" t="str">
        <f t="shared" si="9"/>
        <v/>
      </c>
    </row>
    <row r="46" spans="1:60" ht="60.45" customHeight="1">
      <c r="A46" s="1805"/>
      <c r="B46" s="421" t="s">
        <v>322</v>
      </c>
      <c r="C46" s="2064"/>
      <c r="D46" s="2065"/>
      <c r="E46" s="793"/>
      <c r="F46" s="2066"/>
      <c r="G46" s="2067"/>
      <c r="H46" s="2071"/>
      <c r="I46" s="2072"/>
      <c r="J46" s="2057"/>
      <c r="K46" s="2058"/>
      <c r="L46" s="2070" t="str">
        <f>IF(J46="","",(VLOOKUP(J46,'Emission factors'!$A$157:$B$163,2,FALSE)))</f>
        <v/>
      </c>
      <c r="M46" s="2070"/>
      <c r="N46" s="2068"/>
      <c r="O46" s="2069"/>
      <c r="P46" s="2082"/>
      <c r="Q46" s="2082"/>
      <c r="R46" s="2082"/>
      <c r="S46" s="2083"/>
      <c r="T46" s="695" t="str">
        <f>IF(OR(F46="",H46=""),"",(IF(F46="بشکه کوچک (مثلا با عمق حدود 3m الي 3/7m)",(VLOOKUP(H46,'Emission factors'!$A$177:$B$183,2,FALSE)),(VLOOKUP(H46,'Emission factors'!$A$169:$B$175,2,FALSE)))))</f>
        <v/>
      </c>
      <c r="U46" s="2086"/>
      <c r="V46" s="2082"/>
      <c r="W46" s="2082"/>
      <c r="X46" s="2083"/>
      <c r="Y46" s="695" t="str">
        <f t="shared" si="5"/>
        <v/>
      </c>
      <c r="Z46" s="1846"/>
      <c r="AA46" s="458"/>
      <c r="AB46" s="2125"/>
      <c r="AC46" s="1498"/>
      <c r="AD46" s="1499"/>
      <c r="AE46" s="1499"/>
      <c r="AF46" s="1499"/>
      <c r="AG46" s="2039"/>
      <c r="AH46" s="2115"/>
      <c r="AI46" s="2115"/>
      <c r="AJ46" s="2115"/>
      <c r="AK46" s="2115"/>
      <c r="AL46" s="2040"/>
      <c r="AM46" s="1472"/>
      <c r="AN46" s="1473"/>
      <c r="AO46" s="1473"/>
      <c r="AP46" s="2037"/>
      <c r="AQ46" s="755" t="str">
        <f t="shared" si="6"/>
        <v/>
      </c>
      <c r="AR46" s="1570"/>
      <c r="AS46" s="213"/>
      <c r="AT46" s="1335"/>
      <c r="AU46" s="1479"/>
      <c r="AV46" s="1479"/>
      <c r="AW46" s="1336"/>
      <c r="AX46" s="719" t="str">
        <f t="shared" si="7"/>
        <v/>
      </c>
      <c r="AY46" s="213"/>
      <c r="AZ46" s="1335"/>
      <c r="BA46" s="1479"/>
      <c r="BB46" s="1479"/>
      <c r="BC46" s="1336"/>
      <c r="BD46" s="719" t="str">
        <f t="shared" si="8"/>
        <v/>
      </c>
      <c r="BG46" s="592"/>
      <c r="BH46" s="592" t="str">
        <f t="shared" si="9"/>
        <v/>
      </c>
    </row>
    <row r="47" spans="1:60" ht="60.45" customHeight="1">
      <c r="A47" s="1805"/>
      <c r="B47" s="421" t="s">
        <v>545</v>
      </c>
      <c r="C47" s="2064"/>
      <c r="D47" s="2065"/>
      <c r="E47" s="793"/>
      <c r="F47" s="2066"/>
      <c r="G47" s="2067"/>
      <c r="H47" s="2071"/>
      <c r="I47" s="2072"/>
      <c r="J47" s="2057"/>
      <c r="K47" s="2058"/>
      <c r="L47" s="2070" t="str">
        <f>IF(J47="","",(VLOOKUP(J47,'Emission factors'!$A$157:$B$163,2,FALSE)))</f>
        <v/>
      </c>
      <c r="M47" s="2070"/>
      <c r="N47" s="2068"/>
      <c r="O47" s="2069"/>
      <c r="P47" s="2082"/>
      <c r="Q47" s="2082"/>
      <c r="R47" s="2082"/>
      <c r="S47" s="2083"/>
      <c r="T47" s="695" t="str">
        <f>IF(OR(F47="",H47=""),"",(IF(F47="بشکه کوچک (مثلا با عمق حدود 3m الي 3/7m)",(VLOOKUP(H47,'Emission factors'!$A$177:$B$183,2,FALSE)),(VLOOKUP(H47,'Emission factors'!$A$169:$B$175,2,FALSE)))))</f>
        <v/>
      </c>
      <c r="U47" s="2086"/>
      <c r="V47" s="2082"/>
      <c r="W47" s="2082"/>
      <c r="X47" s="2083"/>
      <c r="Y47" s="695" t="str">
        <f t="shared" si="5"/>
        <v/>
      </c>
      <c r="Z47" s="1846"/>
      <c r="AA47" s="458"/>
      <c r="AB47" s="2125"/>
      <c r="AC47" s="1498"/>
      <c r="AD47" s="1499"/>
      <c r="AE47" s="1499"/>
      <c r="AF47" s="1499"/>
      <c r="AG47" s="2039"/>
      <c r="AH47" s="2115"/>
      <c r="AI47" s="2115"/>
      <c r="AJ47" s="2115"/>
      <c r="AK47" s="2115"/>
      <c r="AL47" s="2040"/>
      <c r="AM47" s="1472"/>
      <c r="AN47" s="1473"/>
      <c r="AO47" s="1473"/>
      <c r="AP47" s="2037"/>
      <c r="AQ47" s="755" t="str">
        <f t="shared" si="6"/>
        <v/>
      </c>
      <c r="AR47" s="1570"/>
      <c r="AS47" s="213"/>
      <c r="AT47" s="1335"/>
      <c r="AU47" s="1479"/>
      <c r="AV47" s="1479"/>
      <c r="AW47" s="1336"/>
      <c r="AX47" s="719" t="str">
        <f t="shared" si="7"/>
        <v/>
      </c>
      <c r="AY47" s="213"/>
      <c r="AZ47" s="1335"/>
      <c r="BA47" s="1479"/>
      <c r="BB47" s="1479"/>
      <c r="BC47" s="1336"/>
      <c r="BD47" s="719" t="str">
        <f t="shared" si="8"/>
        <v/>
      </c>
      <c r="BG47" s="592"/>
      <c r="BH47" s="592" t="str">
        <f t="shared" si="9"/>
        <v/>
      </c>
    </row>
    <row r="48" spans="1:60" ht="60.45" customHeight="1">
      <c r="A48" s="1805"/>
      <c r="B48" s="421" t="s">
        <v>547</v>
      </c>
      <c r="C48" s="2064"/>
      <c r="D48" s="2065"/>
      <c r="E48" s="793"/>
      <c r="F48" s="2066"/>
      <c r="G48" s="2067"/>
      <c r="H48" s="2071"/>
      <c r="I48" s="2072"/>
      <c r="J48" s="2057"/>
      <c r="K48" s="2058"/>
      <c r="L48" s="2070" t="str">
        <f>IF(J48="","",(VLOOKUP(J48,'Emission factors'!$A$157:$B$163,2,FALSE)))</f>
        <v/>
      </c>
      <c r="M48" s="2070"/>
      <c r="N48" s="2068"/>
      <c r="O48" s="2069"/>
      <c r="P48" s="2082"/>
      <c r="Q48" s="2082"/>
      <c r="R48" s="2082"/>
      <c r="S48" s="2083"/>
      <c r="T48" s="695" t="str">
        <f>IF(OR(F48="",H48=""),"",(IF(F48="بشکه کوچک (مثلا با عمق حدود 3m الي 3/7m)",(VLOOKUP(H48,'Emission factors'!$A$177:$B$183,2,FALSE)),(VLOOKUP(H48,'Emission factors'!$A$169:$B$175,2,FALSE)))))</f>
        <v/>
      </c>
      <c r="U48" s="2086"/>
      <c r="V48" s="2082"/>
      <c r="W48" s="2082"/>
      <c r="X48" s="2083"/>
      <c r="Y48" s="695" t="str">
        <f t="shared" si="5"/>
        <v/>
      </c>
      <c r="Z48" s="1846"/>
      <c r="AA48" s="458"/>
      <c r="AB48" s="2125"/>
      <c r="AC48" s="1498"/>
      <c r="AD48" s="1499"/>
      <c r="AE48" s="1499"/>
      <c r="AF48" s="1499"/>
      <c r="AG48" s="2039"/>
      <c r="AH48" s="2115"/>
      <c r="AI48" s="2115"/>
      <c r="AJ48" s="2115"/>
      <c r="AK48" s="2115"/>
      <c r="AL48" s="2040"/>
      <c r="AM48" s="1472"/>
      <c r="AN48" s="1473"/>
      <c r="AO48" s="1473"/>
      <c r="AP48" s="2037"/>
      <c r="AQ48" s="755" t="str">
        <f t="shared" si="6"/>
        <v/>
      </c>
      <c r="AR48" s="1570"/>
      <c r="AS48" s="213"/>
      <c r="AT48" s="1335"/>
      <c r="AU48" s="1479"/>
      <c r="AV48" s="1479"/>
      <c r="AW48" s="1336"/>
      <c r="AX48" s="719" t="str">
        <f t="shared" si="7"/>
        <v/>
      </c>
      <c r="AY48" s="213"/>
      <c r="AZ48" s="1335"/>
      <c r="BA48" s="1479"/>
      <c r="BB48" s="1479"/>
      <c r="BC48" s="1336"/>
      <c r="BD48" s="719" t="str">
        <f t="shared" si="8"/>
        <v/>
      </c>
      <c r="BG48" s="592"/>
      <c r="BH48" s="592" t="str">
        <f t="shared" si="9"/>
        <v/>
      </c>
    </row>
    <row r="49" spans="1:62" ht="60.45" customHeight="1" thickBot="1">
      <c r="A49" s="1806"/>
      <c r="B49" s="421" t="s">
        <v>548</v>
      </c>
      <c r="C49" s="2100"/>
      <c r="D49" s="2101"/>
      <c r="E49" s="423"/>
      <c r="F49" s="2098"/>
      <c r="G49" s="2099"/>
      <c r="H49" s="2093"/>
      <c r="I49" s="2094"/>
      <c r="J49" s="2095"/>
      <c r="K49" s="2096"/>
      <c r="L49" s="2097" t="str">
        <f>IF(J49="","",(VLOOKUP(J49,'Emission factors'!$A$157:$B$163,2,FALSE)))</f>
        <v/>
      </c>
      <c r="M49" s="2097"/>
      <c r="N49" s="2102"/>
      <c r="O49" s="2103"/>
      <c r="P49" s="2084"/>
      <c r="Q49" s="2084"/>
      <c r="R49" s="2084"/>
      <c r="S49" s="2085"/>
      <c r="T49" s="695" t="str">
        <f>IF(OR(F49="",H49=""),"",(IF(F49="بشکه کوچک (مثلا با عمق حدود 3m الي 3/7m)",(VLOOKUP(H49,'Emission factors'!$A$177:$B$183,2,FALSE)),(VLOOKUP(H49,'Emission factors'!$A$169:$B$175,2,FALSE)))))</f>
        <v/>
      </c>
      <c r="U49" s="2087"/>
      <c r="V49" s="2084"/>
      <c r="W49" s="2084"/>
      <c r="X49" s="2085"/>
      <c r="Y49" s="695" t="str">
        <f>IF(OR(E49="",L49="",T49=""),"",IF(T49="ضريبي براي اين مورد ارائه نشده است.","", IF(N49="",((1-((L49/100)*(0/100)))*(10^-6)*E49*T49), ((1-((L49/100)*(N49/100)))*(10^-6)*E49*T49))     ))</f>
        <v/>
      </c>
      <c r="Z49" s="1847"/>
      <c r="AA49" s="458"/>
      <c r="AB49" s="2126"/>
      <c r="AC49" s="1501"/>
      <c r="AD49" s="1502"/>
      <c r="AE49" s="1502"/>
      <c r="AF49" s="1502"/>
      <c r="AG49" s="2041"/>
      <c r="AH49" s="2116"/>
      <c r="AI49" s="2116"/>
      <c r="AJ49" s="2116"/>
      <c r="AK49" s="2116"/>
      <c r="AL49" s="2043"/>
      <c r="AM49" s="1474"/>
      <c r="AN49" s="1475"/>
      <c r="AO49" s="1475"/>
      <c r="AP49" s="2038"/>
      <c r="AQ49" s="757" t="str">
        <f>IF(OR(BH49="",AC49=""),"",SQRT((40)^2+(AC49)^2+(BH49)^2+(40)^2))</f>
        <v/>
      </c>
      <c r="AR49" s="1758"/>
      <c r="AS49" s="213"/>
      <c r="AT49" s="1337"/>
      <c r="AU49" s="1480"/>
      <c r="AV49" s="1480"/>
      <c r="AW49" s="1338"/>
      <c r="AX49" s="719" t="str">
        <f>IF(OR(Y49="",AQ49=""),"",Y49*AQ49)</f>
        <v/>
      </c>
      <c r="AY49" s="213"/>
      <c r="AZ49" s="1337"/>
      <c r="BA49" s="1480"/>
      <c r="BB49" s="1480"/>
      <c r="BC49" s="1338"/>
      <c r="BD49" s="719" t="str">
        <f>IF(AX49="","",AX49^2)</f>
        <v/>
      </c>
      <c r="BG49" s="592"/>
      <c r="BH49" s="592" t="str">
        <f>IF(OR(AG49="",N49="",L49=""),"",(((N49*L49/10000)*(SQRT((40)^2+(AG49)^2)))/(1-((L49*N49)/10000))))</f>
        <v/>
      </c>
    </row>
    <row r="50" spans="1:62" ht="37.049999999999997" customHeight="1" thickBot="1">
      <c r="A50" s="1065"/>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7"/>
      <c r="AA50" s="458"/>
      <c r="AB50" s="1464"/>
      <c r="AC50" s="1466"/>
      <c r="AD50" s="1466"/>
      <c r="AE50" s="1466"/>
      <c r="AF50" s="1466"/>
      <c r="AG50" s="1466"/>
      <c r="AH50" s="1466"/>
      <c r="AI50" s="1466"/>
      <c r="AJ50" s="1466"/>
      <c r="AK50" s="1466"/>
      <c r="AL50" s="1466"/>
      <c r="AM50" s="1466"/>
      <c r="AN50" s="1466"/>
      <c r="AO50" s="1466"/>
      <c r="AP50" s="1466"/>
      <c r="AQ50" s="1466"/>
      <c r="AR50" s="1467"/>
    </row>
    <row r="51" spans="1:62" ht="36.450000000000003" hidden="1" customHeight="1">
      <c r="T51" s="98"/>
      <c r="AA51" s="458"/>
    </row>
    <row r="52" spans="1:62" ht="37.049999999999997" hidden="1" customHeight="1">
      <c r="T52" s="98"/>
      <c r="AA52" s="458"/>
    </row>
    <row r="53" spans="1:62" ht="37.049999999999997" hidden="1" customHeight="1">
      <c r="T53" s="98"/>
      <c r="AA53" s="458"/>
    </row>
    <row r="54" spans="1:62" ht="37.049999999999997" hidden="1" customHeight="1">
      <c r="T54" s="98"/>
      <c r="AA54" s="458"/>
    </row>
    <row r="55" spans="1:62" ht="37.049999999999997" hidden="1" customHeight="1">
      <c r="T55" s="98"/>
      <c r="AA55" s="458"/>
    </row>
    <row r="56" spans="1:62" ht="37.049999999999997" customHeight="1">
      <c r="A56" s="1795"/>
      <c r="B56" s="1795"/>
      <c r="C56" s="1795"/>
      <c r="D56" s="1795"/>
      <c r="E56" s="1795"/>
      <c r="F56" s="1795"/>
      <c r="G56" s="1795"/>
      <c r="H56" s="1795"/>
      <c r="I56" s="1795"/>
      <c r="J56" s="1795"/>
      <c r="K56" s="1795"/>
      <c r="L56" s="1795"/>
      <c r="M56" s="1795"/>
      <c r="N56" s="1795"/>
      <c r="O56" s="1795"/>
      <c r="P56" s="1795"/>
      <c r="Q56" s="1795"/>
      <c r="R56" s="1795"/>
      <c r="S56" s="1795"/>
      <c r="T56" s="1795"/>
      <c r="U56" s="1795"/>
      <c r="V56" s="1795"/>
      <c r="W56" s="1795"/>
      <c r="X56" s="1795"/>
      <c r="Y56" s="1795"/>
      <c r="Z56" s="1795"/>
      <c r="AA56" s="458"/>
      <c r="AB56" s="458"/>
      <c r="AC56" s="458"/>
      <c r="AD56" s="458"/>
      <c r="AE56" s="458"/>
      <c r="AF56" s="458"/>
      <c r="AG56" s="458"/>
      <c r="AH56" s="458"/>
      <c r="AI56" s="458"/>
      <c r="AJ56" s="458"/>
      <c r="AK56" s="458"/>
      <c r="AL56" s="458"/>
      <c r="AM56" s="458"/>
      <c r="AN56" s="458"/>
      <c r="AO56" s="458"/>
      <c r="AP56" s="458"/>
      <c r="AQ56" s="458"/>
      <c r="AR56" s="458"/>
    </row>
    <row r="57" spans="1:62" ht="36.450000000000003" customHeight="1" thickBot="1">
      <c r="A57" s="1795"/>
      <c r="B57" s="1795"/>
      <c r="C57" s="1795"/>
      <c r="D57" s="1795"/>
      <c r="E57" s="1795"/>
      <c r="F57" s="1795"/>
      <c r="G57" s="1795"/>
      <c r="H57" s="1795"/>
      <c r="I57" s="1795"/>
      <c r="J57" s="1795"/>
      <c r="K57" s="1795"/>
      <c r="L57" s="1795"/>
      <c r="M57" s="1795"/>
      <c r="N57" s="1795"/>
      <c r="O57" s="1795"/>
      <c r="P57" s="1795"/>
      <c r="Q57" s="1795"/>
      <c r="R57" s="1795"/>
      <c r="S57" s="1795"/>
      <c r="T57" s="1795"/>
      <c r="U57" s="1795"/>
      <c r="V57" s="1795"/>
      <c r="W57" s="1795"/>
      <c r="X57" s="1795"/>
      <c r="Y57" s="1795"/>
      <c r="Z57" s="1795"/>
      <c r="AA57" s="458"/>
      <c r="AB57" s="458"/>
      <c r="AC57" s="458"/>
      <c r="AD57" s="458"/>
      <c r="AE57" s="458"/>
      <c r="AF57" s="458"/>
      <c r="AG57" s="458"/>
      <c r="AH57" s="458"/>
      <c r="AI57" s="458"/>
      <c r="AJ57" s="458"/>
      <c r="AK57" s="458"/>
      <c r="AL57" s="458"/>
      <c r="AM57" s="458"/>
      <c r="AN57" s="458"/>
      <c r="AO57" s="458"/>
      <c r="AP57" s="458"/>
      <c r="AQ57" s="458"/>
      <c r="AR57" s="458"/>
    </row>
    <row r="58" spans="1:62" ht="36.450000000000003" customHeight="1" thickBot="1">
      <c r="A58" s="2107" t="s">
        <v>607</v>
      </c>
      <c r="B58" s="2108"/>
      <c r="C58" s="2108"/>
      <c r="D58" s="2108"/>
      <c r="E58" s="2108"/>
      <c r="F58" s="2108"/>
      <c r="G58" s="2108"/>
      <c r="H58" s="2108"/>
      <c r="I58" s="2108"/>
      <c r="J58" s="2108"/>
      <c r="K58" s="2108"/>
      <c r="L58" s="2108"/>
      <c r="M58" s="2108"/>
      <c r="N58" s="2108"/>
      <c r="O58" s="2108"/>
      <c r="P58" s="2108"/>
      <c r="Q58" s="2108"/>
      <c r="R58" s="2108"/>
      <c r="S58" s="2108"/>
      <c r="T58" s="2108"/>
      <c r="U58" s="2108"/>
      <c r="V58" s="2108"/>
      <c r="W58" s="2108"/>
      <c r="X58" s="2108"/>
      <c r="Y58" s="2108"/>
      <c r="Z58" s="2108"/>
      <c r="AA58" s="458"/>
      <c r="AB58" s="1991" t="s">
        <v>1554</v>
      </c>
      <c r="AC58" s="1992"/>
      <c r="AD58" s="1992"/>
      <c r="AE58" s="1992"/>
      <c r="AF58" s="1992"/>
      <c r="AG58" s="1992"/>
      <c r="AH58" s="1992"/>
      <c r="AI58" s="1992"/>
      <c r="AJ58" s="1992"/>
      <c r="AK58" s="1992"/>
      <c r="AL58" s="1992"/>
      <c r="AM58" s="1992"/>
      <c r="AN58" s="1992"/>
      <c r="AO58" s="1992"/>
      <c r="AP58" s="1992"/>
      <c r="AQ58" s="1992"/>
      <c r="AR58" s="1993"/>
    </row>
    <row r="59" spans="1:62" ht="44.55" customHeight="1" thickBot="1">
      <c r="A59" s="1065" t="s">
        <v>430</v>
      </c>
      <c r="B59" s="1066"/>
      <c r="C59" s="1066"/>
      <c r="D59" s="1066"/>
      <c r="E59" s="1066"/>
      <c r="F59" s="1066"/>
      <c r="G59" s="1066"/>
      <c r="H59" s="1066"/>
      <c r="I59" s="1066"/>
      <c r="J59" s="1066"/>
      <c r="K59" s="1066"/>
      <c r="L59" s="1066"/>
      <c r="M59" s="1066"/>
      <c r="N59" s="1066"/>
      <c r="O59" s="1066"/>
      <c r="P59" s="1066"/>
      <c r="Q59" s="1066"/>
      <c r="R59" s="1066"/>
      <c r="S59" s="1066"/>
      <c r="T59" s="1066"/>
      <c r="U59" s="1066"/>
      <c r="V59" s="1066"/>
      <c r="W59" s="1066"/>
      <c r="X59" s="1066"/>
      <c r="Y59" s="1066"/>
      <c r="Z59" s="1067"/>
      <c r="AA59" s="458"/>
      <c r="AB59" s="1464"/>
      <c r="AC59" s="1465"/>
      <c r="AD59" s="1465"/>
      <c r="AE59" s="1465"/>
      <c r="AF59" s="1465"/>
      <c r="AG59" s="1465"/>
      <c r="AH59" s="1465"/>
      <c r="AI59" s="1465"/>
      <c r="AJ59" s="1465"/>
      <c r="AK59" s="1465"/>
      <c r="AL59" s="1465"/>
      <c r="AM59" s="1465"/>
      <c r="AN59" s="1465"/>
      <c r="AO59" s="1465"/>
      <c r="AP59" s="1465"/>
      <c r="AQ59" s="1465"/>
      <c r="AR59" s="1467"/>
      <c r="AS59" s="213"/>
      <c r="AT59" s="213"/>
      <c r="AU59" s="213"/>
      <c r="AV59" s="213"/>
      <c r="AW59" s="213"/>
      <c r="AX59" s="213"/>
      <c r="AY59" s="213"/>
      <c r="AZ59" s="213"/>
      <c r="BA59" s="213"/>
      <c r="BB59" s="213"/>
      <c r="BC59" s="213"/>
      <c r="BD59" s="213"/>
      <c r="BE59" s="213"/>
    </row>
    <row r="60" spans="1:62" ht="25.8" thickBot="1">
      <c r="A60" s="1804"/>
      <c r="B60" s="2088" t="s">
        <v>588</v>
      </c>
      <c r="C60" s="1376" t="s">
        <v>617</v>
      </c>
      <c r="D60" s="1377"/>
      <c r="E60" s="1377"/>
      <c r="F60" s="1377"/>
      <c r="G60" s="1377"/>
      <c r="H60" s="1377"/>
      <c r="I60" s="1377"/>
      <c r="J60" s="1378"/>
      <c r="K60" s="1376" t="s">
        <v>601</v>
      </c>
      <c r="L60" s="1377"/>
      <c r="M60" s="1377"/>
      <c r="N60" s="1377"/>
      <c r="O60" s="1378"/>
      <c r="P60" s="1376" t="s">
        <v>852</v>
      </c>
      <c r="Q60" s="1377"/>
      <c r="R60" s="1377"/>
      <c r="S60" s="1377"/>
      <c r="T60" s="1378"/>
      <c r="U60" s="1376" t="s">
        <v>853</v>
      </c>
      <c r="V60" s="1377"/>
      <c r="W60" s="1377"/>
      <c r="X60" s="1377"/>
      <c r="Y60" s="1378"/>
      <c r="Z60" s="1845"/>
      <c r="AA60" s="458"/>
      <c r="AB60" s="1494"/>
      <c r="AC60" s="2050" t="s">
        <v>1364</v>
      </c>
      <c r="AD60" s="1252"/>
      <c r="AE60" s="1252"/>
      <c r="AF60" s="1252"/>
      <c r="AG60" s="1252"/>
      <c r="AH60" s="1252"/>
      <c r="AI60" s="1252"/>
      <c r="AJ60" s="1252"/>
      <c r="AK60" s="1252"/>
      <c r="AL60" s="1252"/>
      <c r="AM60" s="1252" t="s">
        <v>1365</v>
      </c>
      <c r="AN60" s="1252"/>
      <c r="AO60" s="1252"/>
      <c r="AP60" s="1252"/>
      <c r="AQ60" s="1252"/>
      <c r="AR60" s="1494"/>
      <c r="AS60" s="213"/>
      <c r="AT60" s="213"/>
      <c r="AU60" s="213"/>
      <c r="AV60" s="213"/>
      <c r="AW60" s="213"/>
      <c r="AX60" s="213"/>
      <c r="AY60" s="213"/>
      <c r="AZ60" s="213"/>
      <c r="BA60" s="213"/>
      <c r="BB60" s="213"/>
      <c r="BC60" s="213"/>
      <c r="BD60" s="213"/>
      <c r="BE60" s="213"/>
    </row>
    <row r="61" spans="1:62" ht="88.95" customHeight="1">
      <c r="A61" s="1805"/>
      <c r="B61" s="2088"/>
      <c r="C61" s="1209" t="s">
        <v>589</v>
      </c>
      <c r="D61" s="688" t="s">
        <v>552</v>
      </c>
      <c r="E61" s="688" t="s">
        <v>615</v>
      </c>
      <c r="F61" s="688" t="s">
        <v>614</v>
      </c>
      <c r="G61" s="665" t="s">
        <v>616</v>
      </c>
      <c r="H61" s="1110" t="s">
        <v>590</v>
      </c>
      <c r="I61" s="688" t="s">
        <v>1149</v>
      </c>
      <c r="J61" s="798" t="s">
        <v>1150</v>
      </c>
      <c r="K61" s="1209" t="s">
        <v>586</v>
      </c>
      <c r="L61" s="1699" t="s">
        <v>575</v>
      </c>
      <c r="M61" s="1391"/>
      <c r="N61" s="1699" t="s">
        <v>585</v>
      </c>
      <c r="O61" s="1083"/>
      <c r="P61" s="1664" t="s">
        <v>40</v>
      </c>
      <c r="Q61" s="1076" t="s">
        <v>39</v>
      </c>
      <c r="R61" s="1076" t="s">
        <v>145</v>
      </c>
      <c r="S61" s="1076" t="s">
        <v>147</v>
      </c>
      <c r="T61" s="713" t="s">
        <v>31</v>
      </c>
      <c r="U61" s="1664" t="s">
        <v>40</v>
      </c>
      <c r="V61" s="1076" t="s">
        <v>39</v>
      </c>
      <c r="W61" s="1076" t="s">
        <v>145</v>
      </c>
      <c r="X61" s="1076" t="s">
        <v>147</v>
      </c>
      <c r="Y61" s="713" t="s">
        <v>31</v>
      </c>
      <c r="Z61" s="1846"/>
      <c r="AA61" s="458"/>
      <c r="AB61" s="1495"/>
      <c r="AC61" s="1348" t="s">
        <v>1373</v>
      </c>
      <c r="AD61" s="1731"/>
      <c r="AE61" s="1731" t="s">
        <v>1374</v>
      </c>
      <c r="AF61" s="1731"/>
      <c r="AG61" s="2127" t="s">
        <v>1375</v>
      </c>
      <c r="AH61" s="2128"/>
      <c r="AI61" s="1731" t="s">
        <v>1376</v>
      </c>
      <c r="AJ61" s="1731"/>
      <c r="AK61" s="1731" t="s">
        <v>1363</v>
      </c>
      <c r="AL61" s="2051"/>
      <c r="AM61" s="549" t="s">
        <v>40</v>
      </c>
      <c r="AN61" s="530" t="s">
        <v>39</v>
      </c>
      <c r="AO61" s="530" t="s">
        <v>145</v>
      </c>
      <c r="AP61" s="530" t="s">
        <v>147</v>
      </c>
      <c r="AQ61" s="537" t="s">
        <v>31</v>
      </c>
      <c r="AR61" s="1495"/>
      <c r="AS61" s="213"/>
      <c r="AT61" s="529" t="s">
        <v>40</v>
      </c>
      <c r="AU61" s="530" t="s">
        <v>39</v>
      </c>
      <c r="AV61" s="530" t="s">
        <v>145</v>
      </c>
      <c r="AW61" s="530" t="s">
        <v>147</v>
      </c>
      <c r="AX61" s="531" t="s">
        <v>31</v>
      </c>
      <c r="AY61" s="217"/>
      <c r="AZ61" s="529" t="s">
        <v>40</v>
      </c>
      <c r="BA61" s="530" t="s">
        <v>39</v>
      </c>
      <c r="BB61" s="530" t="s">
        <v>145</v>
      </c>
      <c r="BC61" s="530" t="s">
        <v>147</v>
      </c>
      <c r="BD61" s="531" t="s">
        <v>31</v>
      </c>
      <c r="BE61" s="213"/>
    </row>
    <row r="62" spans="1:62" ht="29.55" customHeight="1" thickBot="1">
      <c r="A62" s="1805"/>
      <c r="B62" s="2089"/>
      <c r="C62" s="1210"/>
      <c r="D62" s="414" t="s">
        <v>1077</v>
      </c>
      <c r="E62" s="414" t="s">
        <v>554</v>
      </c>
      <c r="F62" s="414" t="s">
        <v>556</v>
      </c>
      <c r="G62" s="424" t="s">
        <v>558</v>
      </c>
      <c r="H62" s="1111"/>
      <c r="I62" s="414" t="s">
        <v>1151</v>
      </c>
      <c r="J62" s="425" t="s">
        <v>1151</v>
      </c>
      <c r="K62" s="1210"/>
      <c r="L62" s="1700" t="s">
        <v>356</v>
      </c>
      <c r="M62" s="2081"/>
      <c r="N62" s="1700" t="s">
        <v>356</v>
      </c>
      <c r="O62" s="2080"/>
      <c r="P62" s="1665"/>
      <c r="Q62" s="1077"/>
      <c r="R62" s="1077"/>
      <c r="S62" s="1077"/>
      <c r="T62" s="714" t="s">
        <v>1148</v>
      </c>
      <c r="U62" s="1665"/>
      <c r="V62" s="1077"/>
      <c r="W62" s="1077"/>
      <c r="X62" s="1077"/>
      <c r="Y62" s="714" t="s">
        <v>146</v>
      </c>
      <c r="Z62" s="1846"/>
      <c r="AA62" s="458"/>
      <c r="AB62" s="1495"/>
      <c r="AC62" s="1350"/>
      <c r="AD62" s="2048"/>
      <c r="AE62" s="2048"/>
      <c r="AF62" s="2048"/>
      <c r="AG62" s="2129"/>
      <c r="AH62" s="2130"/>
      <c r="AI62" s="2048"/>
      <c r="AJ62" s="2048"/>
      <c r="AK62" s="2048"/>
      <c r="AL62" s="2052"/>
      <c r="AM62" s="552" t="s">
        <v>1260</v>
      </c>
      <c r="AN62" s="739" t="s">
        <v>1260</v>
      </c>
      <c r="AO62" s="739" t="s">
        <v>1260</v>
      </c>
      <c r="AP62" s="739" t="s">
        <v>1260</v>
      </c>
      <c r="AQ62" s="775" t="s">
        <v>1260</v>
      </c>
      <c r="AR62" s="1495"/>
      <c r="AS62" s="213"/>
      <c r="AT62" s="1289" t="s">
        <v>1285</v>
      </c>
      <c r="AU62" s="1289"/>
      <c r="AV62" s="1289"/>
      <c r="AW62" s="1289"/>
      <c r="AX62" s="1289"/>
      <c r="AY62" s="213"/>
      <c r="AZ62" s="1289" t="s">
        <v>1286</v>
      </c>
      <c r="BA62" s="1289"/>
      <c r="BB62" s="1289"/>
      <c r="BC62" s="1289"/>
      <c r="BD62" s="1289"/>
      <c r="BE62" s="213"/>
      <c r="BG62" s="722" t="s">
        <v>1377</v>
      </c>
      <c r="BH62" s="722" t="s">
        <v>1367</v>
      </c>
      <c r="BI62" s="722" t="s">
        <v>1378</v>
      </c>
      <c r="BJ62" s="722" t="s">
        <v>1379</v>
      </c>
    </row>
    <row r="63" spans="1:62" ht="91.5" customHeight="1">
      <c r="A63" s="1805"/>
      <c r="B63" s="421" t="s">
        <v>316</v>
      </c>
      <c r="C63" s="426"/>
      <c r="D63" s="427"/>
      <c r="E63" s="808"/>
      <c r="F63" s="808"/>
      <c r="G63" s="808"/>
      <c r="H63" s="428"/>
      <c r="I63" s="807" t="str">
        <f>IF(OR(E63="",F63="",G63=""),"",(220.48*((6.47*E63)-0.42)*F63*(1.02/(1.8*G63))))</f>
        <v/>
      </c>
      <c r="J63" s="429" t="str">
        <f>IF(H63="","",(VLOOKUP(H63,'Emission factors'!$A$189:$B$193,2,FALSE)))</f>
        <v/>
      </c>
      <c r="K63" s="440"/>
      <c r="L63" s="2109" t="str">
        <f>IF(K63="","",(VLOOKUP(K63,'Emission factors'!$A$157:$B$163,2,FALSE)))</f>
        <v/>
      </c>
      <c r="M63" s="2109"/>
      <c r="N63" s="2110"/>
      <c r="O63" s="2111"/>
      <c r="P63" s="2090" t="s">
        <v>817</v>
      </c>
      <c r="Q63" s="2091"/>
      <c r="R63" s="2091"/>
      <c r="S63" s="2092"/>
      <c r="T63" s="429" t="str">
        <f>IF(OR(I63="",J63=""),"",(I63+J63))</f>
        <v/>
      </c>
      <c r="U63" s="2090" t="s">
        <v>817</v>
      </c>
      <c r="V63" s="2091"/>
      <c r="W63" s="2091"/>
      <c r="X63" s="2092"/>
      <c r="Y63" s="429" t="str">
        <f>IF(OR(D63="",L63="",T63=""),"", IF(N63="",(T63*D63*(10^-6)*0.85*(1-((L63/100)*(0/100)))), (T63*D63*(10^-6)*0.85*(1-((L63/100)*(N63/100))))    )    )</f>
        <v/>
      </c>
      <c r="Z63" s="1846"/>
      <c r="AA63" s="458"/>
      <c r="AB63" s="1495"/>
      <c r="AC63" s="2045"/>
      <c r="AD63" s="2046"/>
      <c r="AE63" s="2047"/>
      <c r="AF63" s="2046"/>
      <c r="AG63" s="2047"/>
      <c r="AH63" s="2046"/>
      <c r="AI63" s="2047"/>
      <c r="AJ63" s="2046"/>
      <c r="AK63" s="2047"/>
      <c r="AL63" s="2053"/>
      <c r="AM63" s="1470" t="s">
        <v>1284</v>
      </c>
      <c r="AN63" s="1471"/>
      <c r="AO63" s="1471"/>
      <c r="AP63" s="2036"/>
      <c r="AQ63" s="753" t="str">
        <f>IF(OR(BI63="",BH63="",AC63=""),"",SQRT((BI63)^2+(AC63)^2+(BH63)^2+(40)^2))</f>
        <v/>
      </c>
      <c r="AR63" s="1570"/>
      <c r="AS63" s="213"/>
      <c r="AT63" s="1476"/>
      <c r="AU63" s="1477"/>
      <c r="AV63" s="1477"/>
      <c r="AW63" s="1478"/>
      <c r="AX63" s="719" t="str">
        <f>IF(OR(Y63="",AQ63=""),"",Y63*AQ63)</f>
        <v/>
      </c>
      <c r="AY63" s="213"/>
      <c r="AZ63" s="1476"/>
      <c r="BA63" s="1477"/>
      <c r="BB63" s="1477"/>
      <c r="BC63" s="1478"/>
      <c r="BD63" s="719" t="str">
        <f>IF(AX63="","",AX63^2)</f>
        <v/>
      </c>
      <c r="BG63" s="592" t="str">
        <f>IF(OR(BJ63="",AI63="",AG63=""),"",SQRT((BJ63)^2+(AG63)^2+(AI63)^2+(40)^2))</f>
        <v/>
      </c>
      <c r="BH63" s="592" t="str">
        <f>IF(OR(AK63="",N63="",L63=""),"",(((N63*L63/10000)*(SQRT((40)^2+(AK63)^2)))/(1-((L63*N63)/10000))))</f>
        <v/>
      </c>
      <c r="BI63" s="592" t="str">
        <f>IF(OR(I63="",J63="",BG63=""),"",SQRT((40*J63)^2+(I63*BG63)^2)/(J63+I63))</f>
        <v/>
      </c>
      <c r="BJ63" s="592" t="str">
        <f>IF(OR(E63="",AE63=""),"",SQRT((6.47)^2*(AE63)^2)/((6.47*E63)-0.42))</f>
        <v/>
      </c>
    </row>
    <row r="64" spans="1:62" ht="91.5" customHeight="1">
      <c r="A64" s="1805"/>
      <c r="B64" s="421" t="s">
        <v>317</v>
      </c>
      <c r="C64" s="431"/>
      <c r="D64" s="432"/>
      <c r="E64" s="803"/>
      <c r="F64" s="803"/>
      <c r="G64" s="803"/>
      <c r="H64" s="433"/>
      <c r="I64" s="804" t="str">
        <f t="shared" ref="I64:I72" si="10">IF(OR(E64="",F64="",G64=""),"",(220.48*((6.47*E64)-0.42)*F64*(1.02/(1.8*G64))))</f>
        <v/>
      </c>
      <c r="J64" s="430" t="str">
        <f>IF(H64="","",(VLOOKUP(H64,'Emission factors'!$A$189:$B$193,2,FALSE)))</f>
        <v/>
      </c>
      <c r="K64" s="416"/>
      <c r="L64" s="2070" t="str">
        <f>IF(K64="","",(VLOOKUP(K64,'Emission factors'!$A$157:$B$163,2,FALSE)))</f>
        <v/>
      </c>
      <c r="M64" s="2070"/>
      <c r="N64" s="2068"/>
      <c r="O64" s="2069"/>
      <c r="P64" s="2086"/>
      <c r="Q64" s="2082"/>
      <c r="R64" s="2082"/>
      <c r="S64" s="2083"/>
      <c r="T64" s="430" t="str">
        <f t="shared" ref="T64:T72" si="11">IF(OR(I64="",J64=""),"",(I64+J64))</f>
        <v/>
      </c>
      <c r="U64" s="2086"/>
      <c r="V64" s="2082"/>
      <c r="W64" s="2082"/>
      <c r="X64" s="2083"/>
      <c r="Y64" s="430" t="str">
        <f t="shared" ref="Y64:Y71" si="12">IF(OR(D64="",L64="",T64=""),"", IF(N64="",(T64*D64*(10^-6)*0.85*(1-((L64/100)*(0/100)))), (T64*D64*(10^-6)*0.85*(1-((L64/100)*(N64/100))))    )    )</f>
        <v/>
      </c>
      <c r="Z64" s="1846"/>
      <c r="AA64" s="458"/>
      <c r="AB64" s="1495"/>
      <c r="AC64" s="2044"/>
      <c r="AD64" s="1587"/>
      <c r="AE64" s="2039"/>
      <c r="AF64" s="1587"/>
      <c r="AG64" s="2039"/>
      <c r="AH64" s="1587"/>
      <c r="AI64" s="2039"/>
      <c r="AJ64" s="1587"/>
      <c r="AK64" s="2039"/>
      <c r="AL64" s="2040"/>
      <c r="AM64" s="1472"/>
      <c r="AN64" s="1473"/>
      <c r="AO64" s="1473"/>
      <c r="AP64" s="2037"/>
      <c r="AQ64" s="755" t="str">
        <f t="shared" ref="AQ64:AQ72" si="13">IF(OR(BI64="",BH64="",AC64=""),"",SQRT((BI64)^2+(AC64)^2+(BH64)^2+(40)^2))</f>
        <v/>
      </c>
      <c r="AR64" s="1570"/>
      <c r="AS64" s="213"/>
      <c r="AT64" s="1335"/>
      <c r="AU64" s="1479"/>
      <c r="AV64" s="1479"/>
      <c r="AW64" s="1336"/>
      <c r="AX64" s="719" t="str">
        <f t="shared" ref="AX64:AX71" si="14">IF(OR(Y64="",AQ64=""),"",Y64*AQ64)</f>
        <v/>
      </c>
      <c r="AY64" s="213"/>
      <c r="AZ64" s="1335"/>
      <c r="BA64" s="1479"/>
      <c r="BB64" s="1479"/>
      <c r="BC64" s="1336"/>
      <c r="BD64" s="719" t="str">
        <f t="shared" ref="BD64:BD71" si="15">IF(AX64="","",AX64^2)</f>
        <v/>
      </c>
      <c r="BG64" s="592" t="str">
        <f t="shared" ref="BG64:BG72" si="16">IF(OR(BJ64="",AI64="",AG64=""),"",SQRT((BJ64)^2+(AG64)^2+(AI64)^2+(40)^2))</f>
        <v/>
      </c>
      <c r="BH64" s="592" t="str">
        <f t="shared" ref="BH64:BH72" si="17">IF(OR(AK64="",N64="",L64=""),"",(((N64*L64/10000)*(SQRT((40)^2+(AK64)^2)))/(1-((L64*N64)/10000))))</f>
        <v/>
      </c>
      <c r="BI64" s="592" t="str">
        <f t="shared" ref="BI64:BI72" si="18">IF(OR(I64="",J64="",BG64=""),"",SQRT((40*J64)^2+(I64*BG64)^2)/(J64+I64))</f>
        <v/>
      </c>
      <c r="BJ64" s="592" t="str">
        <f t="shared" ref="BJ64:BJ72" si="19">IF(OR(E64="",AE64=""),"",SQRT((6.47)^2*(AE64)^2)/((6.47*E64)-0.42))</f>
        <v/>
      </c>
    </row>
    <row r="65" spans="1:62" ht="91.5" customHeight="1">
      <c r="A65" s="1805"/>
      <c r="B65" s="421" t="s">
        <v>318</v>
      </c>
      <c r="C65" s="431"/>
      <c r="D65" s="803"/>
      <c r="E65" s="803"/>
      <c r="F65" s="803"/>
      <c r="G65" s="803"/>
      <c r="H65" s="433"/>
      <c r="I65" s="804" t="str">
        <f t="shared" si="10"/>
        <v/>
      </c>
      <c r="J65" s="430" t="str">
        <f>IF(H65="","",(VLOOKUP(H65,'Emission factors'!$A$189:$B$193,2,FALSE)))</f>
        <v/>
      </c>
      <c r="K65" s="416"/>
      <c r="L65" s="2070" t="str">
        <f>IF(K65="","",(VLOOKUP(K65,'Emission factors'!$A$157:$B$163,2,FALSE)))</f>
        <v/>
      </c>
      <c r="M65" s="2070"/>
      <c r="N65" s="2068"/>
      <c r="O65" s="2069"/>
      <c r="P65" s="2086"/>
      <c r="Q65" s="2082"/>
      <c r="R65" s="2082"/>
      <c r="S65" s="2083"/>
      <c r="T65" s="430" t="str">
        <f t="shared" si="11"/>
        <v/>
      </c>
      <c r="U65" s="2086"/>
      <c r="V65" s="2082"/>
      <c r="W65" s="2082"/>
      <c r="X65" s="2083"/>
      <c r="Y65" s="430" t="str">
        <f t="shared" si="12"/>
        <v/>
      </c>
      <c r="Z65" s="1846"/>
      <c r="AA65" s="458"/>
      <c r="AB65" s="1495"/>
      <c r="AC65" s="2044"/>
      <c r="AD65" s="1587"/>
      <c r="AE65" s="2039"/>
      <c r="AF65" s="1587"/>
      <c r="AG65" s="2039"/>
      <c r="AH65" s="1587"/>
      <c r="AI65" s="2039"/>
      <c r="AJ65" s="1587"/>
      <c r="AK65" s="2039"/>
      <c r="AL65" s="2040"/>
      <c r="AM65" s="1472"/>
      <c r="AN65" s="1473"/>
      <c r="AO65" s="1473"/>
      <c r="AP65" s="2037"/>
      <c r="AQ65" s="755" t="str">
        <f t="shared" si="13"/>
        <v/>
      </c>
      <c r="AR65" s="1570"/>
      <c r="AS65" s="213"/>
      <c r="AT65" s="1335"/>
      <c r="AU65" s="1479"/>
      <c r="AV65" s="1479"/>
      <c r="AW65" s="1336"/>
      <c r="AX65" s="719" t="str">
        <f t="shared" si="14"/>
        <v/>
      </c>
      <c r="AY65" s="213"/>
      <c r="AZ65" s="1335"/>
      <c r="BA65" s="1479"/>
      <c r="BB65" s="1479"/>
      <c r="BC65" s="1336"/>
      <c r="BD65" s="719" t="str">
        <f t="shared" si="15"/>
        <v/>
      </c>
      <c r="BG65" s="592" t="str">
        <f t="shared" si="16"/>
        <v/>
      </c>
      <c r="BH65" s="592" t="str">
        <f t="shared" si="17"/>
        <v/>
      </c>
      <c r="BI65" s="592" t="str">
        <f t="shared" si="18"/>
        <v/>
      </c>
      <c r="BJ65" s="592" t="str">
        <f t="shared" si="19"/>
        <v/>
      </c>
    </row>
    <row r="66" spans="1:62" ht="91.5" customHeight="1">
      <c r="A66" s="1805"/>
      <c r="B66" s="421" t="s">
        <v>319</v>
      </c>
      <c r="C66" s="431"/>
      <c r="D66" s="803"/>
      <c r="E66" s="803"/>
      <c r="F66" s="803"/>
      <c r="G66" s="803"/>
      <c r="H66" s="433"/>
      <c r="I66" s="804" t="str">
        <f t="shared" si="10"/>
        <v/>
      </c>
      <c r="J66" s="430" t="str">
        <f>IF(H66="","",(VLOOKUP(H66,'Emission factors'!$A$189:$B$193,2,FALSE)))</f>
        <v/>
      </c>
      <c r="K66" s="416"/>
      <c r="L66" s="2070" t="str">
        <f>IF(K66="","",(VLOOKUP(K66,'Emission factors'!$A$157:$B$163,2,FALSE)))</f>
        <v/>
      </c>
      <c r="M66" s="2070"/>
      <c r="N66" s="2068"/>
      <c r="O66" s="2069"/>
      <c r="P66" s="2086"/>
      <c r="Q66" s="2082"/>
      <c r="R66" s="2082"/>
      <c r="S66" s="2083"/>
      <c r="T66" s="430" t="str">
        <f t="shared" si="11"/>
        <v/>
      </c>
      <c r="U66" s="2086"/>
      <c r="V66" s="2082"/>
      <c r="W66" s="2082"/>
      <c r="X66" s="2083"/>
      <c r="Y66" s="430" t="str">
        <f t="shared" si="12"/>
        <v/>
      </c>
      <c r="Z66" s="1846"/>
      <c r="AA66" s="458"/>
      <c r="AB66" s="1495"/>
      <c r="AC66" s="2044"/>
      <c r="AD66" s="1587"/>
      <c r="AE66" s="2039"/>
      <c r="AF66" s="1587"/>
      <c r="AG66" s="2039"/>
      <c r="AH66" s="1587"/>
      <c r="AI66" s="2039"/>
      <c r="AJ66" s="1587"/>
      <c r="AK66" s="2039"/>
      <c r="AL66" s="2040"/>
      <c r="AM66" s="1472"/>
      <c r="AN66" s="1473"/>
      <c r="AO66" s="1473"/>
      <c r="AP66" s="2037"/>
      <c r="AQ66" s="755" t="str">
        <f t="shared" si="13"/>
        <v/>
      </c>
      <c r="AR66" s="1570"/>
      <c r="AS66" s="213"/>
      <c r="AT66" s="1335"/>
      <c r="AU66" s="1479"/>
      <c r="AV66" s="1479"/>
      <c r="AW66" s="1336"/>
      <c r="AX66" s="719" t="str">
        <f t="shared" si="14"/>
        <v/>
      </c>
      <c r="AY66" s="213"/>
      <c r="AZ66" s="1335"/>
      <c r="BA66" s="1479"/>
      <c r="BB66" s="1479"/>
      <c r="BC66" s="1336"/>
      <c r="BD66" s="719" t="str">
        <f t="shared" si="15"/>
        <v/>
      </c>
      <c r="BG66" s="592" t="str">
        <f t="shared" si="16"/>
        <v/>
      </c>
      <c r="BH66" s="592" t="str">
        <f t="shared" si="17"/>
        <v/>
      </c>
      <c r="BI66" s="592" t="str">
        <f t="shared" si="18"/>
        <v/>
      </c>
      <c r="BJ66" s="592" t="str">
        <f t="shared" si="19"/>
        <v/>
      </c>
    </row>
    <row r="67" spans="1:62" ht="91.5" customHeight="1">
      <c r="A67" s="1805"/>
      <c r="B67" s="421" t="s">
        <v>320</v>
      </c>
      <c r="C67" s="431"/>
      <c r="D67" s="803"/>
      <c r="E67" s="803"/>
      <c r="F67" s="803"/>
      <c r="G67" s="803"/>
      <c r="H67" s="433"/>
      <c r="I67" s="804" t="str">
        <f t="shared" si="10"/>
        <v/>
      </c>
      <c r="J67" s="430" t="str">
        <f>IF(H67="","",(VLOOKUP(H67,'Emission factors'!$A$189:$B$193,2,FALSE)))</f>
        <v/>
      </c>
      <c r="K67" s="416"/>
      <c r="L67" s="2070" t="str">
        <f>IF(K67="","",(VLOOKUP(K67,'Emission factors'!$A$157:$B$163,2,FALSE)))</f>
        <v/>
      </c>
      <c r="M67" s="2070"/>
      <c r="N67" s="2068"/>
      <c r="O67" s="2069"/>
      <c r="P67" s="2086"/>
      <c r="Q67" s="2082"/>
      <c r="R67" s="2082"/>
      <c r="S67" s="2083"/>
      <c r="T67" s="430" t="str">
        <f t="shared" si="11"/>
        <v/>
      </c>
      <c r="U67" s="2086"/>
      <c r="V67" s="2082"/>
      <c r="W67" s="2082"/>
      <c r="X67" s="2083"/>
      <c r="Y67" s="430" t="str">
        <f t="shared" si="12"/>
        <v/>
      </c>
      <c r="Z67" s="1846"/>
      <c r="AA67" s="458"/>
      <c r="AB67" s="1495"/>
      <c r="AC67" s="2044"/>
      <c r="AD67" s="1587"/>
      <c r="AE67" s="2039"/>
      <c r="AF67" s="1587"/>
      <c r="AG67" s="2039"/>
      <c r="AH67" s="1587"/>
      <c r="AI67" s="2039"/>
      <c r="AJ67" s="1587"/>
      <c r="AK67" s="2039"/>
      <c r="AL67" s="2040"/>
      <c r="AM67" s="1472"/>
      <c r="AN67" s="1473"/>
      <c r="AO67" s="1473"/>
      <c r="AP67" s="2037"/>
      <c r="AQ67" s="755" t="str">
        <f t="shared" si="13"/>
        <v/>
      </c>
      <c r="AR67" s="1570"/>
      <c r="AS67" s="213"/>
      <c r="AT67" s="1335"/>
      <c r="AU67" s="1479"/>
      <c r="AV67" s="1479"/>
      <c r="AW67" s="1336"/>
      <c r="AX67" s="719" t="str">
        <f t="shared" si="14"/>
        <v/>
      </c>
      <c r="AY67" s="213"/>
      <c r="AZ67" s="1335"/>
      <c r="BA67" s="1479"/>
      <c r="BB67" s="1479"/>
      <c r="BC67" s="1336"/>
      <c r="BD67" s="719" t="str">
        <f t="shared" si="15"/>
        <v/>
      </c>
      <c r="BG67" s="592" t="str">
        <f t="shared" si="16"/>
        <v/>
      </c>
      <c r="BH67" s="592" t="str">
        <f t="shared" si="17"/>
        <v/>
      </c>
      <c r="BI67" s="592" t="str">
        <f t="shared" si="18"/>
        <v/>
      </c>
      <c r="BJ67" s="592" t="str">
        <f t="shared" si="19"/>
        <v/>
      </c>
    </row>
    <row r="68" spans="1:62" ht="91.5" customHeight="1">
      <c r="A68" s="1805"/>
      <c r="B68" s="421" t="s">
        <v>321</v>
      </c>
      <c r="C68" s="431"/>
      <c r="D68" s="803"/>
      <c r="E68" s="803"/>
      <c r="F68" s="803"/>
      <c r="G68" s="803"/>
      <c r="H68" s="433"/>
      <c r="I68" s="804" t="str">
        <f t="shared" si="10"/>
        <v/>
      </c>
      <c r="J68" s="430" t="str">
        <f>IF(H68="","",(VLOOKUP(H68,'Emission factors'!$A$189:$B$193,2,FALSE)))</f>
        <v/>
      </c>
      <c r="K68" s="416"/>
      <c r="L68" s="2070" t="str">
        <f>IF(K68="","",(VLOOKUP(K68,'Emission factors'!$A$157:$B$163,2,FALSE)))</f>
        <v/>
      </c>
      <c r="M68" s="2070"/>
      <c r="N68" s="2068"/>
      <c r="O68" s="2069"/>
      <c r="P68" s="2086"/>
      <c r="Q68" s="2082"/>
      <c r="R68" s="2082"/>
      <c r="S68" s="2083"/>
      <c r="T68" s="430" t="str">
        <f t="shared" si="11"/>
        <v/>
      </c>
      <c r="U68" s="2086"/>
      <c r="V68" s="2082"/>
      <c r="W68" s="2082"/>
      <c r="X68" s="2083"/>
      <c r="Y68" s="430" t="str">
        <f t="shared" si="12"/>
        <v/>
      </c>
      <c r="Z68" s="1846"/>
      <c r="AA68" s="458"/>
      <c r="AB68" s="1495"/>
      <c r="AC68" s="2044"/>
      <c r="AD68" s="1587"/>
      <c r="AE68" s="2039"/>
      <c r="AF68" s="1587"/>
      <c r="AG68" s="2039"/>
      <c r="AH68" s="1587"/>
      <c r="AI68" s="2039"/>
      <c r="AJ68" s="1587"/>
      <c r="AK68" s="2039"/>
      <c r="AL68" s="2040"/>
      <c r="AM68" s="1472"/>
      <c r="AN68" s="1473"/>
      <c r="AO68" s="1473"/>
      <c r="AP68" s="2037"/>
      <c r="AQ68" s="755" t="str">
        <f t="shared" si="13"/>
        <v/>
      </c>
      <c r="AR68" s="1570"/>
      <c r="AS68" s="213"/>
      <c r="AT68" s="1335"/>
      <c r="AU68" s="1479"/>
      <c r="AV68" s="1479"/>
      <c r="AW68" s="1336"/>
      <c r="AX68" s="719" t="str">
        <f t="shared" si="14"/>
        <v/>
      </c>
      <c r="AY68" s="213"/>
      <c r="AZ68" s="1335"/>
      <c r="BA68" s="1479"/>
      <c r="BB68" s="1479"/>
      <c r="BC68" s="1336"/>
      <c r="BD68" s="719" t="str">
        <f t="shared" si="15"/>
        <v/>
      </c>
      <c r="BG68" s="592" t="str">
        <f t="shared" si="16"/>
        <v/>
      </c>
      <c r="BH68" s="592" t="str">
        <f t="shared" si="17"/>
        <v/>
      </c>
      <c r="BI68" s="592" t="str">
        <f t="shared" si="18"/>
        <v/>
      </c>
      <c r="BJ68" s="592" t="str">
        <f t="shared" si="19"/>
        <v/>
      </c>
    </row>
    <row r="69" spans="1:62" ht="91.5" customHeight="1">
      <c r="A69" s="1805"/>
      <c r="B69" s="421" t="s">
        <v>322</v>
      </c>
      <c r="C69" s="431"/>
      <c r="D69" s="803"/>
      <c r="E69" s="803"/>
      <c r="F69" s="803"/>
      <c r="G69" s="803"/>
      <c r="H69" s="433"/>
      <c r="I69" s="804" t="str">
        <f t="shared" si="10"/>
        <v/>
      </c>
      <c r="J69" s="430" t="str">
        <f>IF(H69="","",(VLOOKUP(H69,'Emission factors'!$A$189:$B$193,2,FALSE)))</f>
        <v/>
      </c>
      <c r="K69" s="416"/>
      <c r="L69" s="2070" t="str">
        <f>IF(K69="","",(VLOOKUP(K69,'Emission factors'!$A$157:$B$163,2,FALSE)))</f>
        <v/>
      </c>
      <c r="M69" s="2070"/>
      <c r="N69" s="2068"/>
      <c r="O69" s="2069"/>
      <c r="P69" s="2086"/>
      <c r="Q69" s="2082"/>
      <c r="R69" s="2082"/>
      <c r="S69" s="2083"/>
      <c r="T69" s="430" t="str">
        <f t="shared" si="11"/>
        <v/>
      </c>
      <c r="U69" s="2086"/>
      <c r="V69" s="2082"/>
      <c r="W69" s="2082"/>
      <c r="X69" s="2083"/>
      <c r="Y69" s="430" t="str">
        <f t="shared" si="12"/>
        <v/>
      </c>
      <c r="Z69" s="1846"/>
      <c r="AA69" s="458"/>
      <c r="AB69" s="1495"/>
      <c r="AC69" s="2044"/>
      <c r="AD69" s="1587"/>
      <c r="AE69" s="2039"/>
      <c r="AF69" s="1587"/>
      <c r="AG69" s="2039"/>
      <c r="AH69" s="1587"/>
      <c r="AI69" s="2039"/>
      <c r="AJ69" s="1587"/>
      <c r="AK69" s="2039"/>
      <c r="AL69" s="2040"/>
      <c r="AM69" s="1472"/>
      <c r="AN69" s="1473"/>
      <c r="AO69" s="1473"/>
      <c r="AP69" s="2037"/>
      <c r="AQ69" s="755" t="str">
        <f t="shared" si="13"/>
        <v/>
      </c>
      <c r="AR69" s="1570"/>
      <c r="AS69" s="213"/>
      <c r="AT69" s="1335"/>
      <c r="AU69" s="1479"/>
      <c r="AV69" s="1479"/>
      <c r="AW69" s="1336"/>
      <c r="AX69" s="719" t="str">
        <f t="shared" si="14"/>
        <v/>
      </c>
      <c r="AY69" s="213"/>
      <c r="AZ69" s="1335"/>
      <c r="BA69" s="1479"/>
      <c r="BB69" s="1479"/>
      <c r="BC69" s="1336"/>
      <c r="BD69" s="719" t="str">
        <f t="shared" si="15"/>
        <v/>
      </c>
      <c r="BG69" s="592" t="str">
        <f t="shared" si="16"/>
        <v/>
      </c>
      <c r="BH69" s="592" t="str">
        <f t="shared" si="17"/>
        <v/>
      </c>
      <c r="BI69" s="592" t="str">
        <f t="shared" si="18"/>
        <v/>
      </c>
      <c r="BJ69" s="592" t="str">
        <f t="shared" si="19"/>
        <v/>
      </c>
    </row>
    <row r="70" spans="1:62" ht="91.5" customHeight="1">
      <c r="A70" s="1805"/>
      <c r="B70" s="421" t="s">
        <v>545</v>
      </c>
      <c r="C70" s="431"/>
      <c r="D70" s="803"/>
      <c r="E70" s="803"/>
      <c r="F70" s="803"/>
      <c r="G70" s="803"/>
      <c r="H70" s="433"/>
      <c r="I70" s="804" t="str">
        <f t="shared" si="10"/>
        <v/>
      </c>
      <c r="J70" s="430" t="str">
        <f>IF(H70="","",(VLOOKUP(H70,'Emission factors'!$A$189:$B$193,2,FALSE)))</f>
        <v/>
      </c>
      <c r="K70" s="416"/>
      <c r="L70" s="2070" t="str">
        <f>IF(K70="","",(VLOOKUP(K70,'Emission factors'!$A$157:$B$163,2,FALSE)))</f>
        <v/>
      </c>
      <c r="M70" s="2070"/>
      <c r="N70" s="2068"/>
      <c r="O70" s="2069"/>
      <c r="P70" s="2086"/>
      <c r="Q70" s="2082"/>
      <c r="R70" s="2082"/>
      <c r="S70" s="2083"/>
      <c r="T70" s="430" t="str">
        <f t="shared" si="11"/>
        <v/>
      </c>
      <c r="U70" s="2086"/>
      <c r="V70" s="2082"/>
      <c r="W70" s="2082"/>
      <c r="X70" s="2083"/>
      <c r="Y70" s="430" t="str">
        <f t="shared" si="12"/>
        <v/>
      </c>
      <c r="Z70" s="1846"/>
      <c r="AA70" s="458"/>
      <c r="AB70" s="1495"/>
      <c r="AC70" s="2044"/>
      <c r="AD70" s="1587"/>
      <c r="AE70" s="2039"/>
      <c r="AF70" s="1587"/>
      <c r="AG70" s="2039"/>
      <c r="AH70" s="1587"/>
      <c r="AI70" s="2039"/>
      <c r="AJ70" s="1587"/>
      <c r="AK70" s="2039"/>
      <c r="AL70" s="2040"/>
      <c r="AM70" s="1472"/>
      <c r="AN70" s="1473"/>
      <c r="AO70" s="1473"/>
      <c r="AP70" s="2037"/>
      <c r="AQ70" s="755" t="str">
        <f t="shared" si="13"/>
        <v/>
      </c>
      <c r="AR70" s="1570"/>
      <c r="AS70" s="213"/>
      <c r="AT70" s="1335"/>
      <c r="AU70" s="1479"/>
      <c r="AV70" s="1479"/>
      <c r="AW70" s="1336"/>
      <c r="AX70" s="719" t="str">
        <f t="shared" si="14"/>
        <v/>
      </c>
      <c r="AY70" s="213"/>
      <c r="AZ70" s="1335"/>
      <c r="BA70" s="1479"/>
      <c r="BB70" s="1479"/>
      <c r="BC70" s="1336"/>
      <c r="BD70" s="719" t="str">
        <f t="shared" si="15"/>
        <v/>
      </c>
      <c r="BG70" s="592" t="str">
        <f t="shared" si="16"/>
        <v/>
      </c>
      <c r="BH70" s="592" t="str">
        <f t="shared" si="17"/>
        <v/>
      </c>
      <c r="BI70" s="592" t="str">
        <f t="shared" si="18"/>
        <v/>
      </c>
      <c r="BJ70" s="592" t="str">
        <f t="shared" si="19"/>
        <v/>
      </c>
    </row>
    <row r="71" spans="1:62" ht="91.5" customHeight="1">
      <c r="A71" s="1805"/>
      <c r="B71" s="421" t="s">
        <v>547</v>
      </c>
      <c r="C71" s="431"/>
      <c r="D71" s="803"/>
      <c r="E71" s="803"/>
      <c r="F71" s="803"/>
      <c r="G71" s="803"/>
      <c r="H71" s="433"/>
      <c r="I71" s="804" t="str">
        <f t="shared" si="10"/>
        <v/>
      </c>
      <c r="J71" s="430" t="str">
        <f>IF(H71="","",(VLOOKUP(H71,'Emission factors'!$A$189:$B$193,2,FALSE)))</f>
        <v/>
      </c>
      <c r="K71" s="416"/>
      <c r="L71" s="2070" t="str">
        <f>IF(K71="","",(VLOOKUP(K71,'Emission factors'!$A$157:$B$163,2,FALSE)))</f>
        <v/>
      </c>
      <c r="M71" s="2070"/>
      <c r="N71" s="2068"/>
      <c r="O71" s="2069"/>
      <c r="P71" s="2086"/>
      <c r="Q71" s="2082"/>
      <c r="R71" s="2082"/>
      <c r="S71" s="2083"/>
      <c r="T71" s="430" t="str">
        <f t="shared" si="11"/>
        <v/>
      </c>
      <c r="U71" s="2086"/>
      <c r="V71" s="2082"/>
      <c r="W71" s="2082"/>
      <c r="X71" s="2083"/>
      <c r="Y71" s="430" t="str">
        <f t="shared" si="12"/>
        <v/>
      </c>
      <c r="Z71" s="1846"/>
      <c r="AA71" s="458"/>
      <c r="AB71" s="1495"/>
      <c r="AC71" s="2044"/>
      <c r="AD71" s="1587"/>
      <c r="AE71" s="2039"/>
      <c r="AF71" s="1587"/>
      <c r="AG71" s="2039"/>
      <c r="AH71" s="1587"/>
      <c r="AI71" s="2039"/>
      <c r="AJ71" s="1587"/>
      <c r="AK71" s="2039"/>
      <c r="AL71" s="2040"/>
      <c r="AM71" s="1472"/>
      <c r="AN71" s="1473"/>
      <c r="AO71" s="1473"/>
      <c r="AP71" s="2037"/>
      <c r="AQ71" s="755" t="str">
        <f t="shared" si="13"/>
        <v/>
      </c>
      <c r="AR71" s="1570"/>
      <c r="AS71" s="213"/>
      <c r="AT71" s="1335"/>
      <c r="AU71" s="1479"/>
      <c r="AV71" s="1479"/>
      <c r="AW71" s="1336"/>
      <c r="AX71" s="719" t="str">
        <f t="shared" si="14"/>
        <v/>
      </c>
      <c r="AY71" s="213"/>
      <c r="AZ71" s="1335"/>
      <c r="BA71" s="1479"/>
      <c r="BB71" s="1479"/>
      <c r="BC71" s="1336"/>
      <c r="BD71" s="719" t="str">
        <f t="shared" si="15"/>
        <v/>
      </c>
      <c r="BG71" s="592" t="str">
        <f t="shared" si="16"/>
        <v/>
      </c>
      <c r="BH71" s="592" t="str">
        <f t="shared" si="17"/>
        <v/>
      </c>
      <c r="BI71" s="592" t="str">
        <f t="shared" si="18"/>
        <v/>
      </c>
      <c r="BJ71" s="592" t="str">
        <f t="shared" si="19"/>
        <v/>
      </c>
    </row>
    <row r="72" spans="1:62" ht="91.5" customHeight="1" thickBot="1">
      <c r="A72" s="1806"/>
      <c r="B72" s="421" t="s">
        <v>548</v>
      </c>
      <c r="C72" s="434"/>
      <c r="D72" s="806"/>
      <c r="E72" s="806"/>
      <c r="F72" s="806"/>
      <c r="G72" s="806"/>
      <c r="H72" s="435"/>
      <c r="I72" s="805" t="str">
        <f t="shared" si="10"/>
        <v/>
      </c>
      <c r="J72" s="436" t="str">
        <f>IF(H72="","",(VLOOKUP(H72,'Emission factors'!$A$189:$B$193,2,FALSE)))</f>
        <v/>
      </c>
      <c r="K72" s="437"/>
      <c r="L72" s="2097" t="str">
        <f>IF(K72="","",(VLOOKUP(K72,'Emission factors'!$A$157:$B$163,2,FALSE)))</f>
        <v/>
      </c>
      <c r="M72" s="2097"/>
      <c r="N72" s="2102"/>
      <c r="O72" s="2103"/>
      <c r="P72" s="2087"/>
      <c r="Q72" s="2084"/>
      <c r="R72" s="2084"/>
      <c r="S72" s="2085"/>
      <c r="T72" s="436" t="str">
        <f t="shared" si="11"/>
        <v/>
      </c>
      <c r="U72" s="2087"/>
      <c r="V72" s="2084"/>
      <c r="W72" s="2084"/>
      <c r="X72" s="2085"/>
      <c r="Y72" s="436" t="str">
        <f>IF(OR(D72="",L72="",T72=""),"", IF(N72="",(T72*D72*(10^-6)*0.85*(1-((L72/100)*(0/100)))), (T72*D72*(10^-6)*0.85*(1-((L72/100)*(N72/100))))    )    )</f>
        <v/>
      </c>
      <c r="Z72" s="1847"/>
      <c r="AA72" s="458"/>
      <c r="AB72" s="1496"/>
      <c r="AC72" s="2049"/>
      <c r="AD72" s="2042"/>
      <c r="AE72" s="2041"/>
      <c r="AF72" s="2042"/>
      <c r="AG72" s="2041"/>
      <c r="AH72" s="2042"/>
      <c r="AI72" s="2041"/>
      <c r="AJ72" s="2042"/>
      <c r="AK72" s="2041"/>
      <c r="AL72" s="2043"/>
      <c r="AM72" s="1474"/>
      <c r="AN72" s="1475"/>
      <c r="AO72" s="1475"/>
      <c r="AP72" s="2038"/>
      <c r="AQ72" s="757" t="str">
        <f t="shared" si="13"/>
        <v/>
      </c>
      <c r="AR72" s="1758"/>
      <c r="AS72" s="213"/>
      <c r="AT72" s="1337"/>
      <c r="AU72" s="1480"/>
      <c r="AV72" s="1480"/>
      <c r="AW72" s="1338"/>
      <c r="AX72" s="719" t="str">
        <f>IF(OR(Y72="",AQ72=""),"",Y72*AQ72)</f>
        <v/>
      </c>
      <c r="AY72" s="213"/>
      <c r="AZ72" s="1337"/>
      <c r="BA72" s="1480"/>
      <c r="BB72" s="1480"/>
      <c r="BC72" s="1338"/>
      <c r="BD72" s="719" t="str">
        <f>IF(AX72="","",AX72^2)</f>
        <v/>
      </c>
      <c r="BG72" s="592" t="str">
        <f t="shared" si="16"/>
        <v/>
      </c>
      <c r="BH72" s="592" t="str">
        <f t="shared" si="17"/>
        <v/>
      </c>
      <c r="BI72" s="592" t="str">
        <f t="shared" si="18"/>
        <v/>
      </c>
      <c r="BJ72" s="592" t="str">
        <f t="shared" si="19"/>
        <v/>
      </c>
    </row>
    <row r="73" spans="1:62" ht="44.55" customHeight="1" thickBot="1">
      <c r="A73" s="1065"/>
      <c r="B73" s="1066"/>
      <c r="C73" s="1066"/>
      <c r="D73" s="1066"/>
      <c r="E73" s="1066"/>
      <c r="F73" s="1066"/>
      <c r="G73" s="1066"/>
      <c r="H73" s="1066"/>
      <c r="I73" s="1066"/>
      <c r="J73" s="1066"/>
      <c r="K73" s="1066"/>
      <c r="L73" s="1066"/>
      <c r="M73" s="1066"/>
      <c r="N73" s="1066"/>
      <c r="O73" s="1066"/>
      <c r="P73" s="1066"/>
      <c r="Q73" s="1066"/>
      <c r="R73" s="1066"/>
      <c r="S73" s="1066"/>
      <c r="T73" s="1066"/>
      <c r="U73" s="1066"/>
      <c r="V73" s="1066"/>
      <c r="W73" s="1066"/>
      <c r="X73" s="1066"/>
      <c r="Y73" s="1066"/>
      <c r="Z73" s="1067"/>
      <c r="AA73" s="458"/>
      <c r="AB73" s="1464"/>
      <c r="AC73" s="1465"/>
      <c r="AD73" s="1465"/>
      <c r="AE73" s="1465"/>
      <c r="AF73" s="1465"/>
      <c r="AG73" s="1465"/>
      <c r="AH73" s="1465"/>
      <c r="AI73" s="1465"/>
      <c r="AJ73" s="1465"/>
      <c r="AK73" s="1465"/>
      <c r="AL73" s="1465"/>
      <c r="AM73" s="1465"/>
      <c r="AN73" s="1465"/>
      <c r="AO73" s="1465"/>
      <c r="AP73" s="1465"/>
      <c r="AQ73" s="1465"/>
      <c r="AR73" s="1467"/>
    </row>
    <row r="74" spans="1:62" ht="36.450000000000003" customHeight="1">
      <c r="A74" s="1995"/>
      <c r="B74" s="1995"/>
      <c r="C74" s="1995"/>
      <c r="D74" s="1995"/>
      <c r="E74" s="1995"/>
      <c r="F74" s="1995"/>
      <c r="G74" s="1995"/>
      <c r="H74" s="1995"/>
      <c r="I74" s="1995"/>
      <c r="J74" s="1995"/>
      <c r="K74" s="1995"/>
      <c r="L74" s="1995"/>
      <c r="M74" s="1995"/>
      <c r="N74" s="1995"/>
      <c r="O74" s="1995"/>
      <c r="P74" s="1995"/>
      <c r="Q74" s="1995"/>
      <c r="R74" s="1995"/>
      <c r="S74" s="1995"/>
      <c r="T74" s="1995"/>
      <c r="U74" s="1995"/>
      <c r="V74" s="1995"/>
      <c r="W74" s="1995"/>
      <c r="X74" s="1995"/>
      <c r="Y74" s="1995"/>
      <c r="Z74" s="1995"/>
      <c r="AA74" s="458"/>
      <c r="AB74" s="458"/>
      <c r="AC74" s="458"/>
      <c r="AD74" s="458"/>
      <c r="AE74" s="458"/>
      <c r="AF74" s="458"/>
      <c r="AG74" s="458"/>
      <c r="AH74" s="458"/>
      <c r="AI74" s="458"/>
      <c r="AJ74" s="458"/>
      <c r="AK74" s="458"/>
      <c r="AL74" s="458"/>
      <c r="AM74" s="458"/>
      <c r="AN74" s="458"/>
      <c r="AO74" s="458"/>
      <c r="AP74" s="458"/>
      <c r="AQ74" s="458"/>
      <c r="AR74" s="458"/>
    </row>
    <row r="75" spans="1:62" ht="15.6" thickBot="1">
      <c r="A75" s="1795"/>
      <c r="B75" s="1795"/>
      <c r="C75" s="1795"/>
      <c r="D75" s="1795"/>
      <c r="E75" s="1795"/>
      <c r="F75" s="1795"/>
      <c r="G75" s="1795"/>
      <c r="H75" s="1795"/>
      <c r="I75" s="1795"/>
      <c r="J75" s="1795"/>
      <c r="K75" s="1795"/>
      <c r="L75" s="1795"/>
      <c r="M75" s="1795"/>
      <c r="N75" s="1795"/>
      <c r="O75" s="1795"/>
      <c r="P75" s="1795"/>
      <c r="Q75" s="1795"/>
      <c r="R75" s="1795"/>
      <c r="S75" s="1795"/>
      <c r="T75" s="1795"/>
      <c r="U75" s="1795"/>
      <c r="V75" s="1795"/>
      <c r="W75" s="1795"/>
      <c r="X75" s="1795"/>
      <c r="Y75" s="1795"/>
      <c r="Z75" s="1795"/>
      <c r="AA75" s="458"/>
      <c r="AB75" s="458"/>
      <c r="AC75" s="458"/>
      <c r="AD75" s="458"/>
      <c r="AE75" s="458"/>
      <c r="AF75" s="458"/>
      <c r="AG75" s="458"/>
      <c r="AH75" s="458"/>
      <c r="AI75" s="458"/>
      <c r="AJ75" s="458"/>
      <c r="AK75" s="458"/>
      <c r="AL75" s="458"/>
      <c r="AM75" s="458"/>
      <c r="AN75" s="458"/>
      <c r="AO75" s="458"/>
      <c r="AP75" s="458"/>
      <c r="AQ75" s="458"/>
      <c r="AR75" s="458"/>
    </row>
    <row r="76" spans="1:62" ht="32.549999999999997" customHeight="1">
      <c r="A76" s="1015" t="s">
        <v>851</v>
      </c>
      <c r="B76" s="1284"/>
      <c r="C76" s="1284"/>
      <c r="D76" s="1284"/>
      <c r="E76" s="1284"/>
      <c r="F76" s="1284"/>
      <c r="G76" s="1284"/>
      <c r="H76" s="1284"/>
      <c r="I76" s="1284"/>
      <c r="J76" s="1284"/>
      <c r="K76" s="1284"/>
      <c r="L76" s="1285"/>
      <c r="M76" s="2054" t="s">
        <v>752</v>
      </c>
      <c r="N76" s="2055"/>
      <c r="O76" s="2055"/>
      <c r="P76" s="2055"/>
      <c r="Q76" s="2055"/>
      <c r="R76" s="2055"/>
      <c r="S76" s="2055"/>
      <c r="T76" s="2055"/>
      <c r="U76" s="2055"/>
      <c r="V76" s="2055"/>
      <c r="W76" s="2055"/>
      <c r="X76" s="2055"/>
      <c r="Y76" s="2055"/>
      <c r="Z76" s="2056"/>
      <c r="AA76" s="458"/>
      <c r="AB76" s="1015" t="s">
        <v>1381</v>
      </c>
      <c r="AC76" s="1284"/>
      <c r="AD76" s="1284"/>
      <c r="AE76" s="1284"/>
      <c r="AF76" s="1284"/>
      <c r="AG76" s="1284"/>
      <c r="AH76" s="1284"/>
      <c r="AI76" s="1284"/>
      <c r="AJ76" s="1284"/>
      <c r="AK76" s="1284"/>
      <c r="AL76" s="1284"/>
      <c r="AM76" s="1284"/>
      <c r="AN76" s="1284"/>
      <c r="AO76" s="1284"/>
      <c r="AP76" s="1284"/>
      <c r="AQ76" s="1284"/>
      <c r="AR76" s="1285"/>
    </row>
    <row r="77" spans="1:62" ht="111.45" customHeight="1" thickBot="1">
      <c r="A77" s="1283" t="s">
        <v>1152</v>
      </c>
      <c r="B77" s="1216"/>
      <c r="C77" s="1216"/>
      <c r="D77" s="1216"/>
      <c r="E77" s="1216"/>
      <c r="F77" s="1216"/>
      <c r="G77" s="1216"/>
      <c r="H77" s="1216"/>
      <c r="I77" s="1216"/>
      <c r="J77" s="1216"/>
      <c r="K77" s="1216"/>
      <c r="L77" s="1217"/>
      <c r="M77" s="1484"/>
      <c r="N77" s="1485"/>
      <c r="O77" s="1485"/>
      <c r="P77" s="1485"/>
      <c r="Q77" s="1485"/>
      <c r="R77" s="1485"/>
      <c r="S77" s="1485"/>
      <c r="T77" s="1485"/>
      <c r="U77" s="1485"/>
      <c r="V77" s="1485"/>
      <c r="W77" s="1485"/>
      <c r="X77" s="1485"/>
      <c r="Y77" s="1485"/>
      <c r="Z77" s="1486"/>
      <c r="AA77" s="458"/>
      <c r="AB77" s="1039" t="s">
        <v>1274</v>
      </c>
      <c r="AC77" s="1037"/>
      <c r="AD77" s="1037"/>
      <c r="AE77" s="1037"/>
      <c r="AF77" s="1037"/>
      <c r="AG77" s="1037"/>
      <c r="AH77" s="1037"/>
      <c r="AI77" s="1037"/>
      <c r="AJ77" s="1037"/>
      <c r="AK77" s="1037"/>
      <c r="AL77" s="1037"/>
      <c r="AM77" s="1037"/>
      <c r="AN77" s="1037"/>
      <c r="AO77" s="1037"/>
      <c r="AP77" s="1037"/>
      <c r="AQ77" s="1037"/>
      <c r="AR77" s="1038"/>
    </row>
    <row r="78" spans="1:62" ht="25.95" customHeight="1" thickBot="1">
      <c r="A78" s="1015" t="s">
        <v>816</v>
      </c>
      <c r="B78" s="1284"/>
      <c r="C78" s="1284"/>
      <c r="D78" s="1284"/>
      <c r="E78" s="1284"/>
      <c r="F78" s="1284"/>
      <c r="G78" s="1284"/>
      <c r="H78" s="1284"/>
      <c r="I78" s="1284"/>
      <c r="J78" s="1284"/>
      <c r="K78" s="1284"/>
      <c r="L78" s="1285"/>
      <c r="M78" s="2054" t="s">
        <v>752</v>
      </c>
      <c r="N78" s="2055"/>
      <c r="O78" s="2055"/>
      <c r="P78" s="2055"/>
      <c r="Q78" s="2055"/>
      <c r="R78" s="2055"/>
      <c r="S78" s="2055"/>
      <c r="T78" s="2055"/>
      <c r="U78" s="2055"/>
      <c r="V78" s="2055"/>
      <c r="W78" s="2055"/>
      <c r="X78" s="2055"/>
      <c r="Y78" s="2055"/>
      <c r="Z78" s="2056"/>
      <c r="AA78" s="458"/>
      <c r="AB78" s="1039"/>
      <c r="AC78" s="1037"/>
      <c r="AD78" s="1037"/>
      <c r="AE78" s="1037"/>
      <c r="AF78" s="1037"/>
      <c r="AG78" s="1037"/>
      <c r="AH78" s="1037"/>
      <c r="AI78" s="1037"/>
      <c r="AJ78" s="1037"/>
      <c r="AK78" s="1037"/>
      <c r="AL78" s="1037"/>
      <c r="AM78" s="1037"/>
      <c r="AN78" s="1037"/>
      <c r="AO78" s="1037"/>
      <c r="AP78" s="1037"/>
      <c r="AQ78" s="1037"/>
      <c r="AR78" s="1038"/>
    </row>
    <row r="79" spans="1:62" ht="45.45" customHeight="1">
      <c r="A79" s="1021" t="s">
        <v>1153</v>
      </c>
      <c r="B79" s="1022"/>
      <c r="C79" s="1022"/>
      <c r="D79" s="1022"/>
      <c r="E79" s="1022"/>
      <c r="F79" s="1022"/>
      <c r="G79" s="1022"/>
      <c r="H79" s="1022"/>
      <c r="I79" s="1022"/>
      <c r="J79" s="1022"/>
      <c r="K79" s="1022"/>
      <c r="L79" s="1023"/>
      <c r="M79" s="1481"/>
      <c r="N79" s="1482"/>
      <c r="O79" s="1482"/>
      <c r="P79" s="1482"/>
      <c r="Q79" s="1482"/>
      <c r="R79" s="1482"/>
      <c r="S79" s="1482"/>
      <c r="T79" s="1482"/>
      <c r="U79" s="1482"/>
      <c r="V79" s="1482"/>
      <c r="W79" s="1482"/>
      <c r="X79" s="1482"/>
      <c r="Y79" s="1482"/>
      <c r="Z79" s="1483"/>
      <c r="AA79" s="458"/>
      <c r="AB79" s="1015" t="s">
        <v>1382</v>
      </c>
      <c r="AC79" s="1284"/>
      <c r="AD79" s="1284"/>
      <c r="AE79" s="1284"/>
      <c r="AF79" s="1284"/>
      <c r="AG79" s="1284"/>
      <c r="AH79" s="1284"/>
      <c r="AI79" s="1284"/>
      <c r="AJ79" s="1284"/>
      <c r="AK79" s="1284"/>
      <c r="AL79" s="1284"/>
      <c r="AM79" s="1284"/>
      <c r="AN79" s="1284"/>
      <c r="AO79" s="1284"/>
      <c r="AP79" s="1284"/>
      <c r="AQ79" s="1284"/>
      <c r="AR79" s="1285"/>
    </row>
    <row r="80" spans="1:62" ht="25.5" customHeight="1">
      <c r="A80" s="1021" t="s">
        <v>1154</v>
      </c>
      <c r="B80" s="1022"/>
      <c r="C80" s="1022"/>
      <c r="D80" s="1022"/>
      <c r="E80" s="1022"/>
      <c r="F80" s="1022"/>
      <c r="G80" s="1022"/>
      <c r="H80" s="1022"/>
      <c r="I80" s="1022"/>
      <c r="J80" s="1022"/>
      <c r="K80" s="1022"/>
      <c r="L80" s="1023"/>
      <c r="M80" s="1481"/>
      <c r="N80" s="1482"/>
      <c r="O80" s="1482"/>
      <c r="P80" s="1482"/>
      <c r="Q80" s="1482"/>
      <c r="R80" s="1482"/>
      <c r="S80" s="1482"/>
      <c r="T80" s="1482"/>
      <c r="U80" s="1482"/>
      <c r="V80" s="1482"/>
      <c r="W80" s="1482"/>
      <c r="X80" s="1482"/>
      <c r="Y80" s="1482"/>
      <c r="Z80" s="1483"/>
      <c r="AA80" s="458"/>
      <c r="AB80" s="1039" t="s">
        <v>1383</v>
      </c>
      <c r="AC80" s="1037"/>
      <c r="AD80" s="1037"/>
      <c r="AE80" s="1037"/>
      <c r="AF80" s="1037"/>
      <c r="AG80" s="1037"/>
      <c r="AH80" s="1037"/>
      <c r="AI80" s="1037"/>
      <c r="AJ80" s="1037"/>
      <c r="AK80" s="1037"/>
      <c r="AL80" s="1037"/>
      <c r="AM80" s="1037"/>
      <c r="AN80" s="1037"/>
      <c r="AO80" s="1037"/>
      <c r="AP80" s="1037"/>
      <c r="AQ80" s="1037"/>
      <c r="AR80" s="1038"/>
    </row>
    <row r="81" spans="1:44" ht="37.5" customHeight="1">
      <c r="A81" s="1021" t="s">
        <v>1157</v>
      </c>
      <c r="B81" s="1022"/>
      <c r="C81" s="1022"/>
      <c r="D81" s="1022"/>
      <c r="E81" s="1022"/>
      <c r="F81" s="1022"/>
      <c r="G81" s="1022"/>
      <c r="H81" s="1022"/>
      <c r="I81" s="1022"/>
      <c r="J81" s="1022"/>
      <c r="K81" s="1022"/>
      <c r="L81" s="1023"/>
      <c r="M81" s="1481"/>
      <c r="N81" s="1482"/>
      <c r="O81" s="1482"/>
      <c r="P81" s="1482"/>
      <c r="Q81" s="1482"/>
      <c r="R81" s="1482"/>
      <c r="S81" s="1482"/>
      <c r="T81" s="1482"/>
      <c r="U81" s="1482"/>
      <c r="V81" s="1482"/>
      <c r="W81" s="1482"/>
      <c r="X81" s="1482"/>
      <c r="Y81" s="1482"/>
      <c r="Z81" s="1483"/>
      <c r="AA81" s="458"/>
      <c r="AB81" s="1039"/>
      <c r="AC81" s="1037"/>
      <c r="AD81" s="1037"/>
      <c r="AE81" s="1037"/>
      <c r="AF81" s="1037"/>
      <c r="AG81" s="1037"/>
      <c r="AH81" s="1037"/>
      <c r="AI81" s="1037"/>
      <c r="AJ81" s="1037"/>
      <c r="AK81" s="1037"/>
      <c r="AL81" s="1037"/>
      <c r="AM81" s="1037"/>
      <c r="AN81" s="1037"/>
      <c r="AO81" s="1037"/>
      <c r="AP81" s="1037"/>
      <c r="AQ81" s="1037"/>
      <c r="AR81" s="1038"/>
    </row>
    <row r="82" spans="1:44" ht="37.950000000000003" customHeight="1" thickBot="1">
      <c r="A82" s="1018" t="s">
        <v>1158</v>
      </c>
      <c r="B82" s="1019"/>
      <c r="C82" s="1019"/>
      <c r="D82" s="1019"/>
      <c r="E82" s="1019"/>
      <c r="F82" s="1019"/>
      <c r="G82" s="1019"/>
      <c r="H82" s="1019"/>
      <c r="I82" s="1019"/>
      <c r="J82" s="1019"/>
      <c r="K82" s="1019"/>
      <c r="L82" s="1020"/>
      <c r="M82" s="1481"/>
      <c r="N82" s="1482"/>
      <c r="O82" s="1482"/>
      <c r="P82" s="1482"/>
      <c r="Q82" s="1482"/>
      <c r="R82" s="1482"/>
      <c r="S82" s="1482"/>
      <c r="T82" s="1482"/>
      <c r="U82" s="1482"/>
      <c r="V82" s="1482"/>
      <c r="W82" s="1482"/>
      <c r="X82" s="1482"/>
      <c r="Y82" s="1482"/>
      <c r="Z82" s="1483"/>
      <c r="AA82" s="458"/>
      <c r="AB82" s="1283"/>
      <c r="AC82" s="1216"/>
      <c r="AD82" s="1216"/>
      <c r="AE82" s="1216"/>
      <c r="AF82" s="1216"/>
      <c r="AG82" s="1216"/>
      <c r="AH82" s="1216"/>
      <c r="AI82" s="1216"/>
      <c r="AJ82" s="1216"/>
      <c r="AK82" s="1216"/>
      <c r="AL82" s="1216"/>
      <c r="AM82" s="1216"/>
      <c r="AN82" s="1216"/>
      <c r="AO82" s="1216"/>
      <c r="AP82" s="1216"/>
      <c r="AQ82" s="1216"/>
      <c r="AR82" s="1217"/>
    </row>
    <row r="83" spans="1:44" ht="76.5" customHeight="1">
      <c r="A83" s="1018" t="s">
        <v>1159</v>
      </c>
      <c r="B83" s="1019"/>
      <c r="C83" s="1019"/>
      <c r="D83" s="1019"/>
      <c r="E83" s="1019"/>
      <c r="F83" s="1019"/>
      <c r="G83" s="1019"/>
      <c r="H83" s="1019"/>
      <c r="I83" s="1019"/>
      <c r="J83" s="1019"/>
      <c r="K83" s="1019"/>
      <c r="L83" s="1020"/>
      <c r="M83" s="1481"/>
      <c r="N83" s="1482"/>
      <c r="O83" s="1482"/>
      <c r="P83" s="1482"/>
      <c r="Q83" s="1482"/>
      <c r="R83" s="1482"/>
      <c r="S83" s="1482"/>
      <c r="T83" s="1482"/>
      <c r="U83" s="1482"/>
      <c r="V83" s="1482"/>
      <c r="W83" s="1482"/>
      <c r="X83" s="1482"/>
      <c r="Y83" s="1482"/>
      <c r="Z83" s="1483"/>
      <c r="AA83" s="458"/>
      <c r="AB83" s="458"/>
      <c r="AC83" s="458"/>
      <c r="AD83" s="458"/>
      <c r="AE83" s="458"/>
      <c r="AF83" s="458"/>
      <c r="AG83" s="458"/>
      <c r="AH83" s="458"/>
      <c r="AI83" s="458"/>
      <c r="AJ83" s="458"/>
      <c r="AK83" s="458"/>
      <c r="AL83" s="458"/>
      <c r="AM83" s="458"/>
      <c r="AN83" s="458"/>
      <c r="AO83" s="458"/>
      <c r="AP83" s="458"/>
      <c r="AQ83" s="458"/>
      <c r="AR83" s="458"/>
    </row>
    <row r="84" spans="1:44" ht="107.55" customHeight="1" thickBot="1">
      <c r="A84" s="1024" t="s">
        <v>1156</v>
      </c>
      <c r="B84" s="1025"/>
      <c r="C84" s="1025"/>
      <c r="D84" s="1025"/>
      <c r="E84" s="1025"/>
      <c r="F84" s="1025"/>
      <c r="G84" s="1025"/>
      <c r="H84" s="1025"/>
      <c r="I84" s="1025"/>
      <c r="J84" s="1025"/>
      <c r="K84" s="1025"/>
      <c r="L84" s="1026"/>
      <c r="M84" s="1484"/>
      <c r="N84" s="1485"/>
      <c r="O84" s="1485"/>
      <c r="P84" s="1485"/>
      <c r="Q84" s="1485"/>
      <c r="R84" s="1485"/>
      <c r="S84" s="1485"/>
      <c r="T84" s="1485"/>
      <c r="U84" s="1485"/>
      <c r="V84" s="1485"/>
      <c r="W84" s="1485"/>
      <c r="X84" s="1485"/>
      <c r="Y84" s="1485"/>
      <c r="Z84" s="1486"/>
      <c r="AA84" s="458"/>
      <c r="AB84" s="458"/>
      <c r="AC84" s="458"/>
      <c r="AD84" s="458"/>
      <c r="AE84" s="458"/>
      <c r="AF84" s="458"/>
      <c r="AG84" s="458"/>
      <c r="AH84" s="458"/>
      <c r="AI84" s="458"/>
      <c r="AJ84" s="458"/>
      <c r="AK84" s="458"/>
      <c r="AL84" s="458"/>
      <c r="AM84" s="458"/>
      <c r="AN84" s="458"/>
      <c r="AO84" s="458"/>
      <c r="AP84" s="458"/>
      <c r="AQ84" s="458"/>
      <c r="AR84" s="458"/>
    </row>
    <row r="85" spans="1:44">
      <c r="T85" s="98"/>
    </row>
    <row r="86" spans="1:44">
      <c r="T86" s="98"/>
    </row>
    <row r="87" spans="1:44">
      <c r="T87" s="98"/>
    </row>
    <row r="88" spans="1:44">
      <c r="T88" s="98"/>
    </row>
    <row r="89" spans="1:44">
      <c r="T89" s="98"/>
    </row>
  </sheetData>
  <sheetProtection password="9F15" sheet="1" objects="1" scenarios="1"/>
  <mergeCells count="402">
    <mergeCell ref="AB76:AR76"/>
    <mergeCell ref="AB77:AR78"/>
    <mergeCell ref="AB79:AR79"/>
    <mergeCell ref="AB80:AR82"/>
    <mergeCell ref="AB60:AB72"/>
    <mergeCell ref="AB37:AB49"/>
    <mergeCell ref="AB16:AB28"/>
    <mergeCell ref="AB14:AR14"/>
    <mergeCell ref="AB35:AR35"/>
    <mergeCell ref="AB58:AR58"/>
    <mergeCell ref="AB73:AR73"/>
    <mergeCell ref="AC60:AL60"/>
    <mergeCell ref="AM60:AQ60"/>
    <mergeCell ref="AR60:AR72"/>
    <mergeCell ref="AC61:AD62"/>
    <mergeCell ref="AE61:AF62"/>
    <mergeCell ref="AG61:AH62"/>
    <mergeCell ref="AI61:AJ62"/>
    <mergeCell ref="AK61:AL62"/>
    <mergeCell ref="AK66:AL66"/>
    <mergeCell ref="AC67:AD67"/>
    <mergeCell ref="AE67:AF67"/>
    <mergeCell ref="AG67:AH67"/>
    <mergeCell ref="AI67:AJ67"/>
    <mergeCell ref="A1:AR1"/>
    <mergeCell ref="AC71:AD71"/>
    <mergeCell ref="AE71:AF71"/>
    <mergeCell ref="AG71:AH71"/>
    <mergeCell ref="AI71:AJ71"/>
    <mergeCell ref="AK71:AL71"/>
    <mergeCell ref="AC72:AD72"/>
    <mergeCell ref="AE72:AF72"/>
    <mergeCell ref="AG72:AH72"/>
    <mergeCell ref="AI72:AJ72"/>
    <mergeCell ref="AK72:AL72"/>
    <mergeCell ref="AE69:AF69"/>
    <mergeCell ref="AG69:AH69"/>
    <mergeCell ref="AI69:AJ69"/>
    <mergeCell ref="AK69:AL69"/>
    <mergeCell ref="AC70:AD70"/>
    <mergeCell ref="AE70:AF70"/>
    <mergeCell ref="AG70:AH70"/>
    <mergeCell ref="AI70:AJ70"/>
    <mergeCell ref="AK70:AL70"/>
    <mergeCell ref="AC49:AF49"/>
    <mergeCell ref="AC38:AF39"/>
    <mergeCell ref="AG38:AL39"/>
    <mergeCell ref="AB59:AR59"/>
    <mergeCell ref="AT62:AX62"/>
    <mergeCell ref="AZ62:BD62"/>
    <mergeCell ref="AC63:AD63"/>
    <mergeCell ref="AE63:AF63"/>
    <mergeCell ref="AG63:AH63"/>
    <mergeCell ref="AI63:AJ63"/>
    <mergeCell ref="AK63:AL63"/>
    <mergeCell ref="AM63:AP72"/>
    <mergeCell ref="AT63:AW72"/>
    <mergeCell ref="AZ63:BC72"/>
    <mergeCell ref="AC64:AD64"/>
    <mergeCell ref="AE64:AF64"/>
    <mergeCell ref="AG64:AH64"/>
    <mergeCell ref="AI64:AJ64"/>
    <mergeCell ref="AK64:AL64"/>
    <mergeCell ref="AC65:AD65"/>
    <mergeCell ref="AE65:AF65"/>
    <mergeCell ref="AG65:AH65"/>
    <mergeCell ref="AI65:AJ65"/>
    <mergeCell ref="AK65:AL65"/>
    <mergeCell ref="AC66:AD66"/>
    <mergeCell ref="AE66:AF66"/>
    <mergeCell ref="AG66:AH66"/>
    <mergeCell ref="AI66:AJ66"/>
    <mergeCell ref="AK67:AL67"/>
    <mergeCell ref="AC68:AD68"/>
    <mergeCell ref="AE68:AF68"/>
    <mergeCell ref="AG68:AH68"/>
    <mergeCell ref="AI68:AJ68"/>
    <mergeCell ref="AK68:AL68"/>
    <mergeCell ref="AC69:AD69"/>
    <mergeCell ref="AB50:AR50"/>
    <mergeCell ref="AG40:AL40"/>
    <mergeCell ref="AG41:AL41"/>
    <mergeCell ref="AG42:AL42"/>
    <mergeCell ref="AG43:AL43"/>
    <mergeCell ref="AG44:AL44"/>
    <mergeCell ref="AG45:AL45"/>
    <mergeCell ref="AG46:AL46"/>
    <mergeCell ref="AG47:AL47"/>
    <mergeCell ref="AG48:AL48"/>
    <mergeCell ref="AG49:AL49"/>
    <mergeCell ref="AC40:AF40"/>
    <mergeCell ref="AC41:AF41"/>
    <mergeCell ref="AC42:AF42"/>
    <mergeCell ref="AC43:AF43"/>
    <mergeCell ref="AC44:AF44"/>
    <mergeCell ref="AC45:AF45"/>
    <mergeCell ref="AC46:AF46"/>
    <mergeCell ref="AC47:AF47"/>
    <mergeCell ref="AC48:AF48"/>
    <mergeCell ref="AT39:AX39"/>
    <mergeCell ref="AZ39:BD39"/>
    <mergeCell ref="AM40:AP49"/>
    <mergeCell ref="AT40:AW49"/>
    <mergeCell ref="AZ40:BC49"/>
    <mergeCell ref="AB36:AR36"/>
    <mergeCell ref="AC37:AL37"/>
    <mergeCell ref="AM37:AQ37"/>
    <mergeCell ref="AR37:AR49"/>
    <mergeCell ref="Z16:Z28"/>
    <mergeCell ref="A50:Z50"/>
    <mergeCell ref="L65:M65"/>
    <mergeCell ref="A14:Z14"/>
    <mergeCell ref="A81:L81"/>
    <mergeCell ref="A82:L82"/>
    <mergeCell ref="A83:L83"/>
    <mergeCell ref="A78:L78"/>
    <mergeCell ref="A79:L79"/>
    <mergeCell ref="A80:L80"/>
    <mergeCell ref="L72:M72"/>
    <mergeCell ref="N72:O72"/>
    <mergeCell ref="L69:M69"/>
    <mergeCell ref="N69:O69"/>
    <mergeCell ref="L70:M70"/>
    <mergeCell ref="N70:O70"/>
    <mergeCell ref="L67:M67"/>
    <mergeCell ref="N67:O67"/>
    <mergeCell ref="L68:M68"/>
    <mergeCell ref="N68:O68"/>
    <mergeCell ref="W61:W62"/>
    <mergeCell ref="X61:X62"/>
    <mergeCell ref="L62:M62"/>
    <mergeCell ref="N62:O62"/>
    <mergeCell ref="A84:L84"/>
    <mergeCell ref="A3:B3"/>
    <mergeCell ref="A4:B4"/>
    <mergeCell ref="A5:B5"/>
    <mergeCell ref="A6:B6"/>
    <mergeCell ref="A7:B7"/>
    <mergeCell ref="A16:A28"/>
    <mergeCell ref="A58:Z58"/>
    <mergeCell ref="A59:Z59"/>
    <mergeCell ref="A15:Z15"/>
    <mergeCell ref="A73:Z73"/>
    <mergeCell ref="A60:A72"/>
    <mergeCell ref="Z60:Z72"/>
    <mergeCell ref="Z37:Z49"/>
    <mergeCell ref="A37:A49"/>
    <mergeCell ref="A29:Z29"/>
    <mergeCell ref="L66:M66"/>
    <mergeCell ref="N66:O66"/>
    <mergeCell ref="L63:M63"/>
    <mergeCell ref="N63:O63"/>
    <mergeCell ref="L64:M64"/>
    <mergeCell ref="L71:M71"/>
    <mergeCell ref="N71:O71"/>
    <mergeCell ref="N64:O64"/>
    <mergeCell ref="N65:O65"/>
    <mergeCell ref="K61:K62"/>
    <mergeCell ref="L61:M61"/>
    <mergeCell ref="N61:O61"/>
    <mergeCell ref="P61:P62"/>
    <mergeCell ref="Q61:Q62"/>
    <mergeCell ref="R61:R62"/>
    <mergeCell ref="P63:S72"/>
    <mergeCell ref="U63:X72"/>
    <mergeCell ref="B60:B62"/>
    <mergeCell ref="P60:T60"/>
    <mergeCell ref="U60:Y60"/>
    <mergeCell ref="H61:H62"/>
    <mergeCell ref="C61:C62"/>
    <mergeCell ref="K60:O60"/>
    <mergeCell ref="C60:J60"/>
    <mergeCell ref="H47:I47"/>
    <mergeCell ref="H48:I48"/>
    <mergeCell ref="H49:I49"/>
    <mergeCell ref="J48:K48"/>
    <mergeCell ref="J49:K49"/>
    <mergeCell ref="J47:K47"/>
    <mergeCell ref="L49:M49"/>
    <mergeCell ref="F49:G49"/>
    <mergeCell ref="C48:D48"/>
    <mergeCell ref="C49:D49"/>
    <mergeCell ref="N48:O48"/>
    <mergeCell ref="N49:O49"/>
    <mergeCell ref="F48:G48"/>
    <mergeCell ref="S61:S62"/>
    <mergeCell ref="U61:U62"/>
    <mergeCell ref="L48:M48"/>
    <mergeCell ref="V61:V62"/>
    <mergeCell ref="X17:X18"/>
    <mergeCell ref="B16:B18"/>
    <mergeCell ref="P16:T16"/>
    <mergeCell ref="U16:Y16"/>
    <mergeCell ref="P17:P18"/>
    <mergeCell ref="Q17:Q18"/>
    <mergeCell ref="C26:D26"/>
    <mergeCell ref="L25:M25"/>
    <mergeCell ref="L21:M21"/>
    <mergeCell ref="J16:O16"/>
    <mergeCell ref="C16:I16"/>
    <mergeCell ref="N25:O25"/>
    <mergeCell ref="L26:M26"/>
    <mergeCell ref="N26:O26"/>
    <mergeCell ref="L22:M22"/>
    <mergeCell ref="N22:O22"/>
    <mergeCell ref="L17:M17"/>
    <mergeCell ref="P19:S28"/>
    <mergeCell ref="U19:X28"/>
    <mergeCell ref="N18:O18"/>
    <mergeCell ref="L18:M18"/>
    <mergeCell ref="L19:M19"/>
    <mergeCell ref="N19:O19"/>
    <mergeCell ref="N21:O21"/>
    <mergeCell ref="V38:V39"/>
    <mergeCell ref="H38:I39"/>
    <mergeCell ref="F38:G39"/>
    <mergeCell ref="F40:G40"/>
    <mergeCell ref="F41:G41"/>
    <mergeCell ref="F42:G42"/>
    <mergeCell ref="L42:M42"/>
    <mergeCell ref="J38:K39"/>
    <mergeCell ref="J40:K40"/>
    <mergeCell ref="J41:K41"/>
    <mergeCell ref="N38:O38"/>
    <mergeCell ref="N39:O39"/>
    <mergeCell ref="L38:M38"/>
    <mergeCell ref="L39:M39"/>
    <mergeCell ref="P40:S49"/>
    <mergeCell ref="U40:X49"/>
    <mergeCell ref="N44:O44"/>
    <mergeCell ref="N45:O45"/>
    <mergeCell ref="X38:X39"/>
    <mergeCell ref="J44:K44"/>
    <mergeCell ref="C41:D41"/>
    <mergeCell ref="P38:P39"/>
    <mergeCell ref="Q38:Q39"/>
    <mergeCell ref="R38:R39"/>
    <mergeCell ref="S38:S39"/>
    <mergeCell ref="C44:D44"/>
    <mergeCell ref="C45:D45"/>
    <mergeCell ref="H40:I40"/>
    <mergeCell ref="H41:I41"/>
    <mergeCell ref="H42:I42"/>
    <mergeCell ref="H43:I43"/>
    <mergeCell ref="F44:G44"/>
    <mergeCell ref="F45:G45"/>
    <mergeCell ref="L40:M40"/>
    <mergeCell ref="L41:M41"/>
    <mergeCell ref="F43:G43"/>
    <mergeCell ref="C42:D42"/>
    <mergeCell ref="C43:D43"/>
    <mergeCell ref="N41:O41"/>
    <mergeCell ref="N42:O42"/>
    <mergeCell ref="N43:O43"/>
    <mergeCell ref="V17:V18"/>
    <mergeCell ref="W17:W18"/>
    <mergeCell ref="I17:I18"/>
    <mergeCell ref="K17:K18"/>
    <mergeCell ref="C17:D18"/>
    <mergeCell ref="C19:D19"/>
    <mergeCell ref="C46:D46"/>
    <mergeCell ref="C47:D47"/>
    <mergeCell ref="U38:U39"/>
    <mergeCell ref="F46:G46"/>
    <mergeCell ref="F47:G47"/>
    <mergeCell ref="N46:O46"/>
    <mergeCell ref="N47:O47"/>
    <mergeCell ref="L43:M43"/>
    <mergeCell ref="L44:M44"/>
    <mergeCell ref="L45:M45"/>
    <mergeCell ref="L46:M46"/>
    <mergeCell ref="L47:M47"/>
    <mergeCell ref="H44:I44"/>
    <mergeCell ref="H45:I45"/>
    <mergeCell ref="H46:I46"/>
    <mergeCell ref="J42:K42"/>
    <mergeCell ref="J43:K43"/>
    <mergeCell ref="C40:D40"/>
    <mergeCell ref="A12:Z13"/>
    <mergeCell ref="A33:Z34"/>
    <mergeCell ref="A56:Z57"/>
    <mergeCell ref="A74:Z75"/>
    <mergeCell ref="M78:Z78"/>
    <mergeCell ref="C27:D27"/>
    <mergeCell ref="C28:D28"/>
    <mergeCell ref="C24:D24"/>
    <mergeCell ref="C25:D25"/>
    <mergeCell ref="L27:M27"/>
    <mergeCell ref="N27:O27"/>
    <mergeCell ref="L28:M28"/>
    <mergeCell ref="N28:O28"/>
    <mergeCell ref="A36:Z36"/>
    <mergeCell ref="A35:Z35"/>
    <mergeCell ref="C20:D20"/>
    <mergeCell ref="C21:D21"/>
    <mergeCell ref="L20:M20"/>
    <mergeCell ref="N20:O20"/>
    <mergeCell ref="N17:O17"/>
    <mergeCell ref="L23:M23"/>
    <mergeCell ref="N23:O23"/>
    <mergeCell ref="L24:M24"/>
    <mergeCell ref="U17:U18"/>
    <mergeCell ref="M79:Z84"/>
    <mergeCell ref="M76:Z76"/>
    <mergeCell ref="M77:Z77"/>
    <mergeCell ref="A2:Z2"/>
    <mergeCell ref="H3:Z9"/>
    <mergeCell ref="A8:G9"/>
    <mergeCell ref="W38:W39"/>
    <mergeCell ref="J45:K45"/>
    <mergeCell ref="J46:K46"/>
    <mergeCell ref="C22:D22"/>
    <mergeCell ref="C23:D23"/>
    <mergeCell ref="J17:J18"/>
    <mergeCell ref="A77:L77"/>
    <mergeCell ref="A76:L76"/>
    <mergeCell ref="B37:B39"/>
    <mergeCell ref="P37:T37"/>
    <mergeCell ref="U37:Y37"/>
    <mergeCell ref="C38:D39"/>
    <mergeCell ref="J37:O37"/>
    <mergeCell ref="C37:I37"/>
    <mergeCell ref="N40:O40"/>
    <mergeCell ref="N24:O24"/>
    <mergeCell ref="R17:R18"/>
    <mergeCell ref="S17:S18"/>
    <mergeCell ref="AB2:AL2"/>
    <mergeCell ref="AC3:AD3"/>
    <mergeCell ref="AF3:AJ3"/>
    <mergeCell ref="AC4:AD4"/>
    <mergeCell ref="AF4:AJ4"/>
    <mergeCell ref="AC5:AD5"/>
    <mergeCell ref="AF5:AJ5"/>
    <mergeCell ref="AC6:AD6"/>
    <mergeCell ref="AF6:AJ6"/>
    <mergeCell ref="AC7:AD7"/>
    <mergeCell ref="AF7:AJ7"/>
    <mergeCell ref="AM16:AQ16"/>
    <mergeCell ref="AE25:AF25"/>
    <mergeCell ref="AC26:AD26"/>
    <mergeCell ref="AE26:AF26"/>
    <mergeCell ref="AC27:AD27"/>
    <mergeCell ref="AE27:AF27"/>
    <mergeCell ref="AC28:AD28"/>
    <mergeCell ref="AE28:AF28"/>
    <mergeCell ref="AI22:AJ22"/>
    <mergeCell ref="AK22:AL22"/>
    <mergeCell ref="AG23:AH23"/>
    <mergeCell ref="AC16:AL16"/>
    <mergeCell ref="AB15:AR15"/>
    <mergeCell ref="AG17:AH18"/>
    <mergeCell ref="AI17:AJ18"/>
    <mergeCell ref="AK17:AL18"/>
    <mergeCell ref="AG19:AH19"/>
    <mergeCell ref="AI19:AJ19"/>
    <mergeCell ref="AK19:AL19"/>
    <mergeCell ref="AG20:AH20"/>
    <mergeCell ref="AI20:AJ20"/>
    <mergeCell ref="AT18:AX18"/>
    <mergeCell ref="AZ18:BD18"/>
    <mergeCell ref="AC19:AD19"/>
    <mergeCell ref="AE19:AF19"/>
    <mergeCell ref="AC20:AD20"/>
    <mergeCell ref="AE20:AF20"/>
    <mergeCell ref="AC21:AD21"/>
    <mergeCell ref="AE21:AF21"/>
    <mergeCell ref="AC22:AD22"/>
    <mergeCell ref="AE22:AF22"/>
    <mergeCell ref="AR16:AR28"/>
    <mergeCell ref="AI23:AJ23"/>
    <mergeCell ref="AK23:AL23"/>
    <mergeCell ref="AG24:AH24"/>
    <mergeCell ref="AI24:AJ24"/>
    <mergeCell ref="AK24:AL24"/>
    <mergeCell ref="AG25:AH25"/>
    <mergeCell ref="AI25:AJ25"/>
    <mergeCell ref="AK25:AL25"/>
    <mergeCell ref="AG26:AH26"/>
    <mergeCell ref="AI26:AJ26"/>
    <mergeCell ref="AK26:AL26"/>
    <mergeCell ref="AC17:AD18"/>
    <mergeCell ref="AE17:AF18"/>
    <mergeCell ref="AB29:AR29"/>
    <mergeCell ref="AM19:AP28"/>
    <mergeCell ref="AT19:AW28"/>
    <mergeCell ref="AZ19:BC28"/>
    <mergeCell ref="AG27:AH27"/>
    <mergeCell ref="AI27:AJ27"/>
    <mergeCell ref="AK27:AL27"/>
    <mergeCell ref="AG28:AH28"/>
    <mergeCell ref="AI28:AJ28"/>
    <mergeCell ref="AK28:AL28"/>
    <mergeCell ref="AK20:AL20"/>
    <mergeCell ref="AG21:AH21"/>
    <mergeCell ref="AI21:AJ21"/>
    <mergeCell ref="AK21:AL21"/>
    <mergeCell ref="AG22:AH22"/>
    <mergeCell ref="AC23:AD23"/>
    <mergeCell ref="AE23:AF23"/>
    <mergeCell ref="AC24:AD24"/>
    <mergeCell ref="AE24:AF24"/>
    <mergeCell ref="AC25:AD25"/>
  </mergeCells>
  <dataValidations count="3">
    <dataValidation type="decimal" operator="greaterThanOrEqual" allowBlank="1" showInputMessage="1" showErrorMessage="1" sqref="G64:G72 E40:E49 C63:F72 E19:G28 H20:H28 AC63:AL72 AC40:AL49 AC19:AL28">
      <formula1>0</formula1>
    </dataValidation>
    <dataValidation type="decimal" allowBlank="1" showInputMessage="1" showErrorMessage="1" sqref="N19:O28 N40:O49 N63:O72">
      <formula1>0</formula1>
      <formula2>100</formula2>
    </dataValidation>
    <dataValidation type="decimal" operator="greaterThan" allowBlank="1" showInputMessage="1" showErrorMessage="1" sqref="G63 H19">
      <formula1>0</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'Emission factors'!$A$139:$A$141</xm:f>
          </x14:formula1>
          <xm:sqref>I19:I28</xm:sqref>
        </x14:dataValidation>
        <x14:dataValidation type="list" allowBlank="1" showInputMessage="1" showErrorMessage="1">
          <x14:formula1>
            <xm:f>'Emission factors'!$A$146:$A$153</xm:f>
          </x14:formula1>
          <xm:sqref>J19:J28</xm:sqref>
        </x14:dataValidation>
        <x14:dataValidation type="list" allowBlank="1" showInputMessage="1" showErrorMessage="1">
          <x14:formula1>
            <xm:f>'Emission factors'!$A$157:$A$163</xm:f>
          </x14:formula1>
          <xm:sqref>K63:K72 K19:K28 J40:J49</xm:sqref>
        </x14:dataValidation>
        <x14:dataValidation type="list" allowBlank="1" showInputMessage="1" showErrorMessage="1">
          <x14:formula1>
            <xm:f>'Emission factors'!$A$166:$B$166</xm:f>
          </x14:formula1>
          <xm:sqref>F40:F49</xm:sqref>
        </x14:dataValidation>
        <x14:dataValidation type="list" allowBlank="1" showInputMessage="1" showErrorMessage="1">
          <x14:formula1>
            <xm:f>'Emission factors'!$A$169:$A$175</xm:f>
          </x14:formula1>
          <xm:sqref>H40:H49</xm:sqref>
        </x14:dataValidation>
        <x14:dataValidation type="list" allowBlank="1" showInputMessage="1" showErrorMessage="1">
          <x14:formula1>
            <xm:f>'Emission factors'!$A$189:$A$193</xm:f>
          </x14:formula1>
          <xm:sqref>H63:H72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9392E"/>
  </sheetPr>
  <dimension ref="A1:BS419"/>
  <sheetViews>
    <sheetView rightToLeft="1" zoomScale="50" zoomScaleNormal="50" workbookViewId="0">
      <selection sqref="A1:BI1"/>
    </sheetView>
  </sheetViews>
  <sheetFormatPr defaultColWidth="8.69921875" defaultRowHeight="15"/>
  <cols>
    <col min="1" max="1" width="4.19921875" style="98" customWidth="1"/>
    <col min="2" max="3" width="10.8984375" style="98" customWidth="1"/>
    <col min="4" max="4" width="15.59765625" style="438" customWidth="1"/>
    <col min="5" max="5" width="15.8984375" style="438" customWidth="1"/>
    <col min="6" max="7" width="13.19921875" style="438" customWidth="1"/>
    <col min="8" max="8" width="14.296875" style="438" customWidth="1"/>
    <col min="9" max="9" width="13.796875" style="438" customWidth="1"/>
    <col min="10" max="11" width="13.19921875" style="438" customWidth="1"/>
    <col min="12" max="12" width="14.69921875" style="438" customWidth="1"/>
    <col min="13" max="27" width="13.19921875" style="438" customWidth="1"/>
    <col min="28" max="32" width="13.19921875" style="98" customWidth="1"/>
    <col min="33" max="33" width="13.19921875" style="438" customWidth="1"/>
    <col min="34" max="34" width="6" style="98" customWidth="1"/>
    <col min="35" max="36" width="17.69921875" style="98" customWidth="1"/>
    <col min="37" max="39" width="11.59765625" style="98" customWidth="1"/>
    <col min="40" max="40" width="16.796875" style="98" customWidth="1"/>
    <col min="41" max="41" width="14.69921875" style="98" customWidth="1"/>
    <col min="42" max="42" width="11.59765625" style="98" customWidth="1"/>
    <col min="43" max="43" width="14.69921875" style="98" customWidth="1"/>
    <col min="44" max="44" width="14.59765625" style="98" customWidth="1"/>
    <col min="45" max="46" width="14.69921875" style="98" customWidth="1"/>
    <col min="47" max="47" width="17.09765625" style="98" customWidth="1"/>
    <col min="48" max="59" width="11.59765625" style="98" customWidth="1"/>
    <col min="60" max="60" width="21.59765625" style="98" customWidth="1"/>
    <col min="61" max="61" width="6" style="98" customWidth="1"/>
    <col min="62" max="62" width="8.69921875" style="98"/>
    <col min="63" max="65" width="13.59765625" style="98" hidden="1" customWidth="1"/>
    <col min="66" max="66" width="0" style="98" hidden="1" customWidth="1"/>
    <col min="67" max="67" width="32.69921875" style="98" hidden="1" customWidth="1"/>
    <col min="68" max="68" width="12.69921875" style="98" hidden="1" customWidth="1"/>
    <col min="69" max="69" width="28.69921875" style="98" hidden="1" customWidth="1"/>
    <col min="70" max="70" width="45.59765625" style="98" hidden="1" customWidth="1"/>
    <col min="71" max="74" width="0" style="98" hidden="1" customWidth="1"/>
    <col min="75" max="16384" width="8.69921875" style="98"/>
  </cols>
  <sheetData>
    <row r="1" spans="1:62" s="213" customFormat="1" ht="33" thickBot="1">
      <c r="A1" s="1706" t="s">
        <v>1027</v>
      </c>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7"/>
      <c r="Z1" s="1707"/>
      <c r="AA1" s="1707"/>
      <c r="AB1" s="1707"/>
      <c r="AC1" s="1707"/>
      <c r="AD1" s="1707"/>
      <c r="AE1" s="1707"/>
      <c r="AF1" s="1707"/>
      <c r="AG1" s="1707"/>
      <c r="AH1" s="1707"/>
      <c r="AI1" s="1707"/>
      <c r="AJ1" s="1707"/>
      <c r="AK1" s="1707"/>
      <c r="AL1" s="1707"/>
      <c r="AM1" s="1707"/>
      <c r="AN1" s="1707"/>
      <c r="AO1" s="1707"/>
      <c r="AP1" s="1707"/>
      <c r="AQ1" s="1707"/>
      <c r="AR1" s="1707"/>
      <c r="AS1" s="1707"/>
      <c r="AT1" s="1707"/>
      <c r="AU1" s="1707"/>
      <c r="AV1" s="1707"/>
      <c r="AW1" s="1707"/>
      <c r="AX1" s="1707"/>
      <c r="AY1" s="1707"/>
      <c r="AZ1" s="1707"/>
      <c r="BA1" s="1707"/>
      <c r="BB1" s="1707"/>
      <c r="BC1" s="1707"/>
      <c r="BD1" s="1707"/>
      <c r="BE1" s="1707"/>
      <c r="BF1" s="1707"/>
      <c r="BG1" s="1707"/>
      <c r="BH1" s="1707"/>
      <c r="BI1" s="1708"/>
      <c r="BJ1" s="478"/>
    </row>
    <row r="2" spans="1:62" s="213" customFormat="1" ht="57.6" thickBot="1">
      <c r="A2" s="1175" t="s">
        <v>854</v>
      </c>
      <c r="B2" s="1175"/>
      <c r="C2" s="1175"/>
      <c r="D2" s="1175"/>
      <c r="E2" s="1175"/>
      <c r="F2" s="1175"/>
      <c r="G2" s="1175"/>
      <c r="H2" s="1175"/>
      <c r="I2" s="1175"/>
      <c r="J2" s="1175"/>
      <c r="K2" s="1175"/>
      <c r="L2" s="1175"/>
      <c r="M2" s="1175"/>
      <c r="N2" s="1175"/>
      <c r="O2" s="1175"/>
      <c r="P2" s="1175"/>
      <c r="Q2" s="1175"/>
      <c r="R2" s="1175"/>
      <c r="S2" s="1175"/>
      <c r="T2" s="1175"/>
      <c r="U2" s="1175"/>
      <c r="V2" s="1175"/>
      <c r="W2" s="1175"/>
      <c r="X2" s="1175"/>
      <c r="Y2" s="1175"/>
      <c r="Z2" s="1175"/>
      <c r="AA2" s="1175"/>
      <c r="AB2" s="1175"/>
      <c r="AC2" s="1175"/>
      <c r="AD2" s="1175"/>
      <c r="AE2" s="1175"/>
      <c r="AF2" s="1175"/>
      <c r="AG2" s="758"/>
      <c r="AH2" s="2211" t="s">
        <v>1437</v>
      </c>
      <c r="AI2" s="2212"/>
      <c r="AJ2" s="2212"/>
      <c r="AK2" s="2212"/>
      <c r="AL2" s="2212"/>
      <c r="AM2" s="2212"/>
      <c r="AN2" s="2212"/>
      <c r="AO2" s="540"/>
      <c r="AP2" s="540"/>
      <c r="AQ2" s="540"/>
      <c r="AR2" s="540"/>
      <c r="AS2" s="540"/>
      <c r="AT2" s="540"/>
      <c r="AU2" s="540"/>
      <c r="AV2" s="540"/>
      <c r="AW2" s="540"/>
      <c r="AX2" s="540"/>
      <c r="AY2" s="540"/>
      <c r="AZ2" s="540"/>
      <c r="BA2" s="540"/>
      <c r="BB2" s="540"/>
      <c r="BC2" s="540"/>
      <c r="BD2" s="540"/>
      <c r="BE2" s="540"/>
      <c r="BF2" s="540"/>
      <c r="BG2" s="540"/>
      <c r="BH2" s="540"/>
      <c r="BI2" s="583"/>
      <c r="BJ2" s="478"/>
    </row>
    <row r="3" spans="1:62" s="213" customFormat="1" ht="31.05" customHeight="1" thickBot="1">
      <c r="A3" s="1379" t="s">
        <v>741</v>
      </c>
      <c r="B3" s="1184"/>
      <c r="C3" s="214" t="s">
        <v>40</v>
      </c>
      <c r="D3" s="411" t="s">
        <v>819</v>
      </c>
      <c r="E3" s="702">
        <v>0</v>
      </c>
      <c r="F3" s="413" t="s">
        <v>146</v>
      </c>
      <c r="G3" s="796" t="s">
        <v>743</v>
      </c>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758"/>
      <c r="AH3" s="585"/>
      <c r="AI3" s="1182" t="s">
        <v>1269</v>
      </c>
      <c r="AJ3" s="1182"/>
      <c r="AK3" s="545" t="s">
        <v>356</v>
      </c>
      <c r="AL3" s="1181"/>
      <c r="AM3" s="1181"/>
      <c r="AN3" s="1181"/>
      <c r="AO3" s="1181"/>
      <c r="AP3" s="546" t="s">
        <v>1259</v>
      </c>
      <c r="AQ3" s="545" t="s">
        <v>743</v>
      </c>
      <c r="AR3" s="545"/>
      <c r="AS3" s="540"/>
      <c r="AT3" s="540"/>
      <c r="AU3" s="540"/>
      <c r="AV3" s="540"/>
      <c r="AW3" s="540"/>
      <c r="AX3" s="540"/>
      <c r="AY3" s="540"/>
      <c r="AZ3" s="540"/>
      <c r="BA3" s="540"/>
      <c r="BB3" s="540"/>
      <c r="BC3" s="540"/>
      <c r="BD3" s="540"/>
      <c r="BE3" s="540"/>
      <c r="BF3" s="540"/>
      <c r="BG3" s="540"/>
      <c r="BH3" s="540"/>
      <c r="BI3" s="583"/>
      <c r="BJ3" s="478"/>
    </row>
    <row r="4" spans="1:62" s="213" customFormat="1" ht="31.05" customHeight="1" thickBot="1">
      <c r="A4" s="1379" t="s">
        <v>741</v>
      </c>
      <c r="B4" s="1184"/>
      <c r="C4" s="214" t="s">
        <v>39</v>
      </c>
      <c r="D4" s="411" t="s">
        <v>819</v>
      </c>
      <c r="E4" s="702">
        <v>0</v>
      </c>
      <c r="F4" s="413" t="s">
        <v>146</v>
      </c>
      <c r="G4" s="796" t="s">
        <v>743</v>
      </c>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758"/>
      <c r="AH4" s="585"/>
      <c r="AI4" s="1182" t="s">
        <v>1270</v>
      </c>
      <c r="AJ4" s="1182"/>
      <c r="AK4" s="545" t="s">
        <v>356</v>
      </c>
      <c r="AL4" s="1181"/>
      <c r="AM4" s="1181"/>
      <c r="AN4" s="1181"/>
      <c r="AO4" s="1181"/>
      <c r="AP4" s="546" t="s">
        <v>1259</v>
      </c>
      <c r="AQ4" s="545" t="s">
        <v>743</v>
      </c>
      <c r="AR4" s="540"/>
      <c r="AS4" s="540"/>
      <c r="AT4" s="540"/>
      <c r="AU4" s="540"/>
      <c r="AV4" s="540"/>
      <c r="AW4" s="540"/>
      <c r="AX4" s="540"/>
      <c r="AY4" s="540"/>
      <c r="AZ4" s="540"/>
      <c r="BA4" s="540"/>
      <c r="BB4" s="540"/>
      <c r="BC4" s="540"/>
      <c r="BD4" s="540"/>
      <c r="BE4" s="540"/>
      <c r="BF4" s="540"/>
      <c r="BG4" s="540"/>
      <c r="BH4" s="540"/>
      <c r="BI4" s="583"/>
      <c r="BJ4" s="478"/>
    </row>
    <row r="5" spans="1:62" s="213" customFormat="1" ht="31.05" customHeight="1" thickBot="1">
      <c r="A5" s="1379" t="s">
        <v>741</v>
      </c>
      <c r="B5" s="1184"/>
      <c r="C5" s="214" t="s">
        <v>145</v>
      </c>
      <c r="D5" s="411" t="s">
        <v>819</v>
      </c>
      <c r="E5" s="702">
        <v>0</v>
      </c>
      <c r="F5" s="413" t="s">
        <v>146</v>
      </c>
      <c r="G5" s="796" t="s">
        <v>743</v>
      </c>
      <c r="H5" s="699"/>
      <c r="I5" s="699"/>
      <c r="J5" s="699"/>
      <c r="K5" s="699"/>
      <c r="L5" s="699"/>
      <c r="M5" s="699"/>
      <c r="N5" s="699"/>
      <c r="O5" s="699"/>
      <c r="P5" s="699"/>
      <c r="Q5" s="699"/>
      <c r="R5" s="699"/>
      <c r="S5" s="699"/>
      <c r="T5" s="699"/>
      <c r="U5" s="699"/>
      <c r="V5" s="699"/>
      <c r="W5" s="699"/>
      <c r="X5" s="699"/>
      <c r="Y5" s="699"/>
      <c r="Z5" s="699"/>
      <c r="AA5" s="699"/>
      <c r="AB5" s="699"/>
      <c r="AC5" s="699"/>
      <c r="AD5" s="699"/>
      <c r="AE5" s="699"/>
      <c r="AF5" s="699"/>
      <c r="AG5" s="758"/>
      <c r="AH5" s="585"/>
      <c r="AI5" s="1182" t="s">
        <v>1271</v>
      </c>
      <c r="AJ5" s="1182"/>
      <c r="AK5" s="545" t="s">
        <v>356</v>
      </c>
      <c r="AL5" s="1181"/>
      <c r="AM5" s="1181"/>
      <c r="AN5" s="1181"/>
      <c r="AO5" s="1181"/>
      <c r="AP5" s="546" t="s">
        <v>1259</v>
      </c>
      <c r="AQ5" s="545" t="s">
        <v>743</v>
      </c>
      <c r="AR5" s="540"/>
      <c r="AS5" s="540"/>
      <c r="AT5" s="540"/>
      <c r="AU5" s="540"/>
      <c r="AV5" s="540"/>
      <c r="AW5" s="540"/>
      <c r="AX5" s="540"/>
      <c r="AY5" s="540"/>
      <c r="AZ5" s="540"/>
      <c r="BA5" s="540"/>
      <c r="BB5" s="540"/>
      <c r="BC5" s="540"/>
      <c r="BD5" s="540"/>
      <c r="BE5" s="540"/>
      <c r="BF5" s="540"/>
      <c r="BG5" s="540"/>
      <c r="BH5" s="540"/>
      <c r="BI5" s="583"/>
      <c r="BJ5" s="478"/>
    </row>
    <row r="6" spans="1:62" s="213" customFormat="1" ht="31.05" customHeight="1" thickBot="1">
      <c r="A6" s="1379" t="s">
        <v>741</v>
      </c>
      <c r="B6" s="1184"/>
      <c r="C6" s="214" t="s">
        <v>147</v>
      </c>
      <c r="D6" s="411" t="s">
        <v>819</v>
      </c>
      <c r="E6" s="702">
        <v>0</v>
      </c>
      <c r="F6" s="413" t="s">
        <v>146</v>
      </c>
      <c r="G6" s="796" t="s">
        <v>743</v>
      </c>
      <c r="H6" s="699"/>
      <c r="I6" s="699"/>
      <c r="J6" s="699"/>
      <c r="K6" s="699"/>
      <c r="L6" s="699"/>
      <c r="M6" s="699"/>
      <c r="N6" s="699"/>
      <c r="O6" s="699"/>
      <c r="P6" s="699"/>
      <c r="Q6" s="699"/>
      <c r="R6" s="699"/>
      <c r="S6" s="699"/>
      <c r="T6" s="699"/>
      <c r="U6" s="699"/>
      <c r="V6" s="699"/>
      <c r="W6" s="699"/>
      <c r="X6" s="699"/>
      <c r="Y6" s="699"/>
      <c r="Z6" s="699"/>
      <c r="AA6" s="699"/>
      <c r="AB6" s="699"/>
      <c r="AC6" s="699"/>
      <c r="AD6" s="699"/>
      <c r="AE6" s="699"/>
      <c r="AF6" s="699"/>
      <c r="AG6" s="758"/>
      <c r="AH6" s="585"/>
      <c r="AI6" s="1182" t="s">
        <v>1272</v>
      </c>
      <c r="AJ6" s="1182"/>
      <c r="AK6" s="545" t="s">
        <v>356</v>
      </c>
      <c r="AL6" s="1181"/>
      <c r="AM6" s="1181"/>
      <c r="AN6" s="1181"/>
      <c r="AO6" s="1181"/>
      <c r="AP6" s="546" t="s">
        <v>1259</v>
      </c>
      <c r="AQ6" s="545" t="s">
        <v>743</v>
      </c>
      <c r="AR6" s="540"/>
      <c r="AS6" s="540"/>
      <c r="AT6" s="540"/>
      <c r="AU6" s="540"/>
      <c r="AV6" s="540"/>
      <c r="AW6" s="540"/>
      <c r="AX6" s="540"/>
      <c r="AY6" s="540"/>
      <c r="AZ6" s="540"/>
      <c r="BA6" s="540"/>
      <c r="BB6" s="540"/>
      <c r="BC6" s="540"/>
      <c r="BD6" s="540"/>
      <c r="BE6" s="540"/>
      <c r="BF6" s="540"/>
      <c r="BG6" s="540"/>
      <c r="BH6" s="540"/>
      <c r="BI6" s="583"/>
      <c r="BJ6" s="478"/>
    </row>
    <row r="7" spans="1:62" s="213" customFormat="1" ht="31.05" customHeight="1" thickBot="1">
      <c r="A7" s="1379" t="s">
        <v>741</v>
      </c>
      <c r="B7" s="1184"/>
      <c r="C7" s="214" t="s">
        <v>31</v>
      </c>
      <c r="D7" s="411" t="s">
        <v>819</v>
      </c>
      <c r="E7" s="702">
        <f>SUM(AE26:AE133)+SUM(R166:R273)+SUM(P289:P396)+(IF(Q146="",0,Q146))</f>
        <v>0</v>
      </c>
      <c r="F7" s="413" t="s">
        <v>146</v>
      </c>
      <c r="G7" s="796" t="s">
        <v>743</v>
      </c>
      <c r="H7" s="699"/>
      <c r="I7" s="699"/>
      <c r="J7" s="699"/>
      <c r="K7" s="699"/>
      <c r="L7" s="699"/>
      <c r="M7" s="699"/>
      <c r="N7" s="699"/>
      <c r="O7" s="699"/>
      <c r="P7" s="699"/>
      <c r="Q7" s="699"/>
      <c r="R7" s="699"/>
      <c r="S7" s="699"/>
      <c r="T7" s="699"/>
      <c r="U7" s="699"/>
      <c r="V7" s="699"/>
      <c r="W7" s="699"/>
      <c r="X7" s="699"/>
      <c r="Y7" s="699"/>
      <c r="Z7" s="699"/>
      <c r="AA7" s="699"/>
      <c r="AB7" s="699"/>
      <c r="AC7" s="699"/>
      <c r="AD7" s="699"/>
      <c r="AE7" s="699"/>
      <c r="AF7" s="699"/>
      <c r="AG7" s="758"/>
      <c r="AH7" s="585"/>
      <c r="AI7" s="1182" t="s">
        <v>1273</v>
      </c>
      <c r="AJ7" s="1182"/>
      <c r="AK7" s="545" t="s">
        <v>356</v>
      </c>
      <c r="AL7" s="1181" t="str">
        <f>IF(OR(E7=0,E7=""),"",(SQRT(SUM(BM26:BM133)+SUM(BM166:BM273)+SUM(BM289:BM396)+(IF(BM150="",0,BM150))))/E7)</f>
        <v/>
      </c>
      <c r="AM7" s="1181"/>
      <c r="AN7" s="1181"/>
      <c r="AO7" s="1181"/>
      <c r="AP7" s="546" t="s">
        <v>1259</v>
      </c>
      <c r="AQ7" s="545" t="s">
        <v>743</v>
      </c>
      <c r="AR7" s="540"/>
      <c r="AS7" s="540"/>
      <c r="AT7" s="540"/>
      <c r="AU7" s="540"/>
      <c r="AV7" s="540"/>
      <c r="AW7" s="540"/>
      <c r="AX7" s="540"/>
      <c r="AY7" s="540"/>
      <c r="AZ7" s="540"/>
      <c r="BA7" s="540"/>
      <c r="BB7" s="540"/>
      <c r="BC7" s="540"/>
      <c r="BD7" s="540"/>
      <c r="BE7" s="540"/>
      <c r="BF7" s="540"/>
      <c r="BG7" s="540"/>
      <c r="BH7" s="540"/>
      <c r="BI7" s="583"/>
      <c r="BJ7" s="478"/>
    </row>
    <row r="8" spans="1:62" s="213" customFormat="1" ht="42" customHeight="1" thickBot="1">
      <c r="A8" s="1381"/>
      <c r="B8" s="1381"/>
      <c r="C8" s="1381"/>
      <c r="D8" s="1381"/>
      <c r="E8" s="1381"/>
      <c r="F8" s="1381"/>
      <c r="G8" s="1381"/>
      <c r="H8" s="699"/>
      <c r="I8" s="699"/>
      <c r="J8" s="699"/>
      <c r="K8" s="699"/>
      <c r="L8" s="699"/>
      <c r="M8" s="699"/>
      <c r="N8" s="699"/>
      <c r="O8" s="699"/>
      <c r="P8" s="699"/>
      <c r="Q8" s="699"/>
      <c r="R8" s="699"/>
      <c r="S8" s="699"/>
      <c r="T8" s="699"/>
      <c r="U8" s="699"/>
      <c r="V8" s="699"/>
      <c r="W8" s="699"/>
      <c r="X8" s="699"/>
      <c r="Y8" s="699"/>
      <c r="Z8" s="699"/>
      <c r="AA8" s="699"/>
      <c r="AB8" s="699"/>
      <c r="AC8" s="699"/>
      <c r="AD8" s="699"/>
      <c r="AE8" s="699"/>
      <c r="AF8" s="699"/>
      <c r="AG8" s="758"/>
      <c r="AH8" s="612"/>
      <c r="AI8" s="613"/>
      <c r="AJ8" s="613"/>
      <c r="AK8" s="613"/>
      <c r="AL8" s="613"/>
      <c r="AM8" s="613"/>
      <c r="AN8" s="613"/>
      <c r="AO8" s="613"/>
      <c r="AP8" s="613"/>
      <c r="AQ8" s="613"/>
      <c r="AR8" s="613"/>
      <c r="AS8" s="613"/>
      <c r="AT8" s="613"/>
      <c r="AU8" s="613"/>
      <c r="AV8" s="613"/>
      <c r="AW8" s="613"/>
      <c r="AX8" s="613"/>
      <c r="AY8" s="613"/>
      <c r="AZ8" s="613"/>
      <c r="BA8" s="613"/>
      <c r="BB8" s="613"/>
      <c r="BC8" s="613"/>
      <c r="BD8" s="613"/>
      <c r="BE8" s="613"/>
      <c r="BF8" s="613"/>
      <c r="BG8" s="613"/>
      <c r="BH8" s="613"/>
      <c r="BI8" s="614"/>
      <c r="BJ8" s="478"/>
    </row>
    <row r="9" spans="1:62" s="213" customFormat="1" ht="25.2">
      <c r="A9" s="1176"/>
      <c r="B9" s="1176"/>
      <c r="C9" s="1176"/>
      <c r="D9" s="1176"/>
      <c r="E9" s="1176"/>
      <c r="F9" s="1176"/>
      <c r="G9" s="1176"/>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758"/>
      <c r="AH9" s="458"/>
      <c r="AI9" s="458"/>
      <c r="AJ9" s="458"/>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8"/>
      <c r="BI9" s="478"/>
      <c r="BJ9" s="478"/>
    </row>
    <row r="10" spans="1:62" s="213" customFormat="1" ht="25.2">
      <c r="A10" s="1176"/>
      <c r="B10" s="1176"/>
      <c r="C10" s="1176"/>
      <c r="D10" s="1176"/>
      <c r="E10" s="1176"/>
      <c r="F10" s="1176"/>
      <c r="G10" s="1176"/>
      <c r="H10" s="699"/>
      <c r="I10" s="699"/>
      <c r="J10" s="699"/>
      <c r="K10" s="699"/>
      <c r="L10" s="699"/>
      <c r="M10" s="699"/>
      <c r="N10" s="699"/>
      <c r="O10" s="699"/>
      <c r="P10" s="699"/>
      <c r="Q10" s="699"/>
      <c r="R10" s="699"/>
      <c r="S10" s="699"/>
      <c r="T10" s="699"/>
      <c r="U10" s="699"/>
      <c r="V10" s="699"/>
      <c r="W10" s="699"/>
      <c r="X10" s="699"/>
      <c r="Y10" s="699"/>
      <c r="Z10" s="699"/>
      <c r="AA10" s="699"/>
      <c r="AB10" s="699"/>
      <c r="AC10" s="699"/>
      <c r="AD10" s="699"/>
      <c r="AE10" s="699"/>
      <c r="AF10" s="699"/>
      <c r="AG10" s="758"/>
      <c r="AH10" s="458"/>
      <c r="AI10" s="458"/>
      <c r="AJ10" s="458"/>
      <c r="AK10" s="478"/>
      <c r="AL10" s="478"/>
      <c r="AM10" s="478"/>
      <c r="AN10" s="478"/>
      <c r="AO10" s="478"/>
      <c r="AP10" s="478"/>
      <c r="AQ10" s="478"/>
      <c r="AR10" s="478"/>
      <c r="AS10" s="478"/>
      <c r="AT10" s="478"/>
      <c r="AU10" s="478"/>
      <c r="AV10" s="478"/>
      <c r="AW10" s="478"/>
      <c r="AX10" s="478"/>
      <c r="AY10" s="478"/>
      <c r="AZ10" s="478"/>
      <c r="BA10" s="478"/>
      <c r="BB10" s="478"/>
      <c r="BC10" s="478"/>
      <c r="BD10" s="478"/>
      <c r="BE10" s="478"/>
      <c r="BF10" s="478"/>
      <c r="BG10" s="478"/>
      <c r="BH10" s="478"/>
      <c r="BI10" s="478"/>
      <c r="BJ10" s="478"/>
    </row>
    <row r="11" spans="1:62" s="213" customFormat="1" ht="25.2">
      <c r="A11" s="1176"/>
      <c r="B11" s="1176"/>
      <c r="C11" s="1176"/>
      <c r="D11" s="1176"/>
      <c r="E11" s="1176"/>
      <c r="F11" s="1176"/>
      <c r="G11" s="1176"/>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699"/>
      <c r="AF11" s="699"/>
      <c r="AG11" s="758"/>
      <c r="AH11" s="458"/>
      <c r="AI11" s="458"/>
      <c r="AJ11" s="458"/>
      <c r="AK11" s="478"/>
      <c r="AL11" s="478"/>
      <c r="AM11" s="478"/>
      <c r="AN11" s="478"/>
      <c r="AO11" s="478"/>
      <c r="AP11" s="478"/>
      <c r="AQ11" s="478"/>
      <c r="AR11" s="478"/>
      <c r="AS11" s="478"/>
      <c r="AT11" s="478"/>
      <c r="AU11" s="478"/>
      <c r="AV11" s="478"/>
      <c r="AW11" s="478"/>
      <c r="AX11" s="478"/>
      <c r="AY11" s="478"/>
      <c r="AZ11" s="478"/>
      <c r="BA11" s="478"/>
      <c r="BB11" s="478"/>
      <c r="BC11" s="478"/>
      <c r="BD11" s="478"/>
      <c r="BE11" s="478"/>
      <c r="BF11" s="478"/>
      <c r="BG11" s="478"/>
      <c r="BH11" s="478"/>
      <c r="BI11" s="478"/>
      <c r="BJ11" s="478"/>
    </row>
    <row r="12" spans="1:62" ht="22.05" hidden="1" customHeight="1">
      <c r="AG12" s="758"/>
      <c r="AH12" s="458"/>
      <c r="AI12" s="458"/>
      <c r="AJ12" s="458"/>
      <c r="AK12" s="458"/>
      <c r="AL12" s="458"/>
      <c r="AM12" s="458"/>
      <c r="AN12" s="458"/>
      <c r="AO12" s="458"/>
      <c r="AP12" s="458"/>
      <c r="AQ12" s="458"/>
      <c r="AR12" s="458"/>
      <c r="AS12" s="458"/>
      <c r="AT12" s="458"/>
      <c r="AU12" s="458"/>
      <c r="AV12" s="458"/>
      <c r="AW12" s="458"/>
      <c r="AX12" s="458"/>
      <c r="AY12" s="458"/>
      <c r="AZ12" s="458"/>
      <c r="BA12" s="458"/>
      <c r="BB12" s="458"/>
      <c r="BC12" s="458"/>
      <c r="BD12" s="458"/>
      <c r="BE12" s="458"/>
      <c r="BF12" s="458"/>
      <c r="BG12" s="458"/>
      <c r="BH12" s="458"/>
      <c r="BI12" s="458"/>
      <c r="BJ12" s="458"/>
    </row>
    <row r="13" spans="1:62" ht="22.05" hidden="1" customHeight="1">
      <c r="AG13" s="758"/>
      <c r="AH13" s="458"/>
      <c r="AI13" s="458"/>
      <c r="AJ13" s="458"/>
      <c r="AK13" s="458"/>
      <c r="AL13" s="458"/>
      <c r="AM13" s="458"/>
      <c r="AN13" s="458"/>
      <c r="AO13" s="458"/>
      <c r="AP13" s="458"/>
      <c r="AQ13" s="458"/>
      <c r="AR13" s="458"/>
      <c r="AS13" s="458"/>
      <c r="AT13" s="458"/>
      <c r="AU13" s="458"/>
      <c r="AV13" s="458"/>
      <c r="AW13" s="458"/>
      <c r="AX13" s="458"/>
      <c r="AY13" s="458"/>
      <c r="AZ13" s="458"/>
      <c r="BA13" s="458"/>
      <c r="BB13" s="458"/>
      <c r="BC13" s="458"/>
      <c r="BD13" s="458"/>
      <c r="BE13" s="458"/>
      <c r="BF13" s="458"/>
      <c r="BG13" s="458"/>
      <c r="BH13" s="458"/>
      <c r="BI13" s="458"/>
      <c r="BJ13" s="458"/>
    </row>
    <row r="14" spans="1:62" ht="22.05" customHeight="1">
      <c r="A14" s="1795"/>
      <c r="B14" s="1795"/>
      <c r="C14" s="1795"/>
      <c r="D14" s="1795"/>
      <c r="E14" s="1795"/>
      <c r="F14" s="1795"/>
      <c r="G14" s="1795"/>
      <c r="H14" s="1795"/>
      <c r="I14" s="1795"/>
      <c r="J14" s="1795"/>
      <c r="K14" s="1795"/>
      <c r="L14" s="1795"/>
      <c r="M14" s="1795"/>
      <c r="N14" s="1795"/>
      <c r="O14" s="1795"/>
      <c r="P14" s="1795"/>
      <c r="Q14" s="1795"/>
      <c r="R14" s="1795"/>
      <c r="S14" s="1795"/>
      <c r="T14" s="1795"/>
      <c r="U14" s="1795"/>
      <c r="V14" s="1795"/>
      <c r="W14" s="1795"/>
      <c r="X14" s="1795"/>
      <c r="Y14" s="1795"/>
      <c r="Z14" s="1795"/>
      <c r="AA14" s="1795"/>
      <c r="AB14" s="1795"/>
      <c r="AC14" s="1795"/>
      <c r="AD14" s="1795"/>
      <c r="AE14" s="1795"/>
      <c r="AF14" s="1795"/>
      <c r="AG14" s="758"/>
      <c r="AH14" s="458"/>
      <c r="AI14" s="458"/>
      <c r="AJ14" s="458"/>
      <c r="AK14" s="458"/>
      <c r="AL14" s="458"/>
      <c r="AM14" s="458"/>
      <c r="AN14" s="458"/>
      <c r="AO14" s="458"/>
      <c r="AP14" s="458"/>
      <c r="AQ14" s="458"/>
      <c r="AR14" s="458"/>
      <c r="AS14" s="458"/>
      <c r="AT14" s="458"/>
      <c r="AU14" s="458"/>
      <c r="AV14" s="458"/>
      <c r="AW14" s="458"/>
      <c r="AX14" s="458"/>
      <c r="AY14" s="458"/>
      <c r="AZ14" s="458"/>
      <c r="BA14" s="458"/>
      <c r="BB14" s="458"/>
      <c r="BC14" s="458"/>
      <c r="BD14" s="458"/>
      <c r="BE14" s="458"/>
      <c r="BF14" s="458"/>
      <c r="BG14" s="458"/>
      <c r="BH14" s="458"/>
      <c r="BI14" s="458"/>
      <c r="BJ14" s="458"/>
    </row>
    <row r="15" spans="1:62" ht="22.05" customHeight="1">
      <c r="A15" s="1795"/>
      <c r="B15" s="1795"/>
      <c r="C15" s="1795"/>
      <c r="D15" s="1795"/>
      <c r="E15" s="1795"/>
      <c r="F15" s="1795"/>
      <c r="G15" s="1795"/>
      <c r="H15" s="1795"/>
      <c r="I15" s="1795"/>
      <c r="J15" s="1795"/>
      <c r="K15" s="1795"/>
      <c r="L15" s="1795"/>
      <c r="M15" s="1795"/>
      <c r="N15" s="1795"/>
      <c r="O15" s="1795"/>
      <c r="P15" s="1795"/>
      <c r="Q15" s="1795"/>
      <c r="R15" s="1795"/>
      <c r="S15" s="1795"/>
      <c r="T15" s="1795"/>
      <c r="U15" s="1795"/>
      <c r="V15" s="1795"/>
      <c r="W15" s="1795"/>
      <c r="X15" s="1795"/>
      <c r="Y15" s="1795"/>
      <c r="Z15" s="1795"/>
      <c r="AA15" s="1795"/>
      <c r="AB15" s="1795"/>
      <c r="AC15" s="1795"/>
      <c r="AD15" s="1795"/>
      <c r="AE15" s="1795"/>
      <c r="AF15" s="1795"/>
      <c r="AG15" s="758"/>
      <c r="AH15" s="458"/>
      <c r="AI15" s="458"/>
      <c r="AJ15" s="458"/>
      <c r="AK15" s="458"/>
      <c r="AL15" s="458"/>
      <c r="AM15" s="458"/>
      <c r="AN15" s="458"/>
      <c r="AO15" s="458"/>
      <c r="AP15" s="458"/>
      <c r="AQ15" s="458"/>
      <c r="AR15" s="458"/>
      <c r="AS15" s="458"/>
      <c r="AT15" s="458"/>
      <c r="AU15" s="458"/>
      <c r="AV15" s="458"/>
      <c r="AW15" s="458"/>
      <c r="AX15" s="458"/>
      <c r="AY15" s="458"/>
      <c r="AZ15" s="458"/>
      <c r="BA15" s="458"/>
      <c r="BB15" s="458"/>
      <c r="BC15" s="458"/>
      <c r="BD15" s="458"/>
      <c r="BE15" s="458"/>
      <c r="BF15" s="458"/>
      <c r="BG15" s="458"/>
      <c r="BH15" s="458"/>
      <c r="BI15" s="458"/>
      <c r="BJ15" s="458"/>
    </row>
    <row r="16" spans="1:62" ht="22.05" customHeight="1" thickBot="1">
      <c r="A16" s="1795"/>
      <c r="B16" s="1795"/>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758"/>
      <c r="AH16" s="458"/>
      <c r="AI16" s="458"/>
      <c r="AJ16" s="458"/>
      <c r="AK16" s="458"/>
      <c r="AL16" s="458"/>
      <c r="AM16" s="458"/>
      <c r="AN16" s="458"/>
      <c r="AO16" s="458"/>
      <c r="AP16" s="458"/>
      <c r="AQ16" s="458"/>
      <c r="AR16" s="458"/>
      <c r="AS16" s="458"/>
      <c r="AT16" s="458"/>
      <c r="AU16" s="458"/>
      <c r="AV16" s="458"/>
      <c r="AW16" s="458"/>
      <c r="AX16" s="458"/>
      <c r="AY16" s="458"/>
      <c r="AZ16" s="458"/>
      <c r="BA16" s="458"/>
      <c r="BB16" s="458"/>
      <c r="BC16" s="458"/>
      <c r="BD16" s="458"/>
      <c r="BE16" s="458"/>
      <c r="BF16" s="458"/>
      <c r="BG16" s="458"/>
      <c r="BH16" s="458"/>
      <c r="BI16" s="458"/>
      <c r="BJ16" s="458"/>
    </row>
    <row r="17" spans="1:71" ht="34.5" customHeight="1" thickBot="1">
      <c r="A17" s="1820" t="s">
        <v>661</v>
      </c>
      <c r="B17" s="1821"/>
      <c r="C17" s="1821"/>
      <c r="D17" s="1821"/>
      <c r="E17" s="1821"/>
      <c r="F17" s="1821"/>
      <c r="G17" s="1821"/>
      <c r="H17" s="1821"/>
      <c r="I17" s="1821"/>
      <c r="J17" s="1821"/>
      <c r="K17" s="1821"/>
      <c r="L17" s="1821"/>
      <c r="M17" s="1821"/>
      <c r="N17" s="1821"/>
      <c r="O17" s="1821"/>
      <c r="P17" s="1821"/>
      <c r="Q17" s="1821"/>
      <c r="R17" s="1821"/>
      <c r="S17" s="1821"/>
      <c r="T17" s="1821"/>
      <c r="U17" s="1821"/>
      <c r="V17" s="1821"/>
      <c r="W17" s="1821"/>
      <c r="X17" s="1821"/>
      <c r="Y17" s="1821"/>
      <c r="Z17" s="1821"/>
      <c r="AA17" s="1821"/>
      <c r="AB17" s="1821"/>
      <c r="AC17" s="1821"/>
      <c r="AD17" s="1821"/>
      <c r="AE17" s="1821"/>
      <c r="AF17" s="1821"/>
      <c r="AG17" s="758"/>
      <c r="AH17" s="2213" t="s">
        <v>1556</v>
      </c>
      <c r="AI17" s="2214"/>
      <c r="AJ17" s="2214"/>
      <c r="AK17" s="2214"/>
      <c r="AL17" s="2214"/>
      <c r="AM17" s="2214"/>
      <c r="AN17" s="2214"/>
      <c r="AO17" s="2214"/>
      <c r="AP17" s="2214"/>
      <c r="AQ17" s="2214"/>
      <c r="AR17" s="2214"/>
      <c r="AS17" s="2214"/>
      <c r="AT17" s="2214"/>
      <c r="AU17" s="2214"/>
      <c r="AV17" s="2214"/>
      <c r="AW17" s="2214"/>
      <c r="AX17" s="2214"/>
      <c r="AY17" s="2214"/>
      <c r="AZ17" s="2214"/>
      <c r="BA17" s="2214"/>
      <c r="BB17" s="2214"/>
      <c r="BC17" s="2214"/>
      <c r="BD17" s="2214"/>
      <c r="BE17" s="2214"/>
      <c r="BF17" s="2214"/>
      <c r="BG17" s="2214"/>
      <c r="BH17" s="2214"/>
      <c r="BI17" s="2215"/>
      <c r="BJ17" s="458"/>
    </row>
    <row r="18" spans="1:71" ht="30" customHeight="1" thickBot="1">
      <c r="A18" s="1065" t="s">
        <v>658</v>
      </c>
      <c r="B18" s="1066"/>
      <c r="C18" s="1066"/>
      <c r="D18" s="1066"/>
      <c r="E18" s="1066"/>
      <c r="F18" s="1066"/>
      <c r="G18" s="1066"/>
      <c r="H18" s="1066"/>
      <c r="I18" s="1066"/>
      <c r="J18" s="1066"/>
      <c r="K18" s="1066"/>
      <c r="L18" s="1066"/>
      <c r="M18" s="1066"/>
      <c r="N18" s="1066"/>
      <c r="O18" s="1066"/>
      <c r="P18" s="1066"/>
      <c r="Q18" s="1066"/>
      <c r="R18" s="1066"/>
      <c r="S18" s="1066"/>
      <c r="T18" s="1066"/>
      <c r="U18" s="1066"/>
      <c r="V18" s="1066"/>
      <c r="W18" s="1066"/>
      <c r="X18" s="1066"/>
      <c r="Y18" s="1066"/>
      <c r="Z18" s="1066"/>
      <c r="AA18" s="1066"/>
      <c r="AB18" s="1066"/>
      <c r="AC18" s="1066"/>
      <c r="AD18" s="1066"/>
      <c r="AE18" s="1066"/>
      <c r="AF18" s="1067"/>
      <c r="AG18" s="758"/>
      <c r="AH18" s="2216"/>
      <c r="AI18" s="2217"/>
      <c r="AJ18" s="2217"/>
      <c r="AK18" s="2217"/>
      <c r="AL18" s="2217"/>
      <c r="AM18" s="2217"/>
      <c r="AN18" s="2217"/>
      <c r="AO18" s="2217"/>
      <c r="AP18" s="2217"/>
      <c r="AQ18" s="2217"/>
      <c r="AR18" s="2217"/>
      <c r="AS18" s="2217"/>
      <c r="AT18" s="2217"/>
      <c r="AU18" s="2217"/>
      <c r="AV18" s="2217"/>
      <c r="AW18" s="2217"/>
      <c r="AX18" s="2217"/>
      <c r="AY18" s="2217"/>
      <c r="AZ18" s="2217"/>
      <c r="BA18" s="2217"/>
      <c r="BB18" s="2217"/>
      <c r="BC18" s="2217"/>
      <c r="BD18" s="2217"/>
      <c r="BE18" s="2217"/>
      <c r="BF18" s="2217"/>
      <c r="BG18" s="2217"/>
      <c r="BH18" s="2217"/>
      <c r="BI18" s="2218"/>
      <c r="BJ18" s="458"/>
    </row>
    <row r="19" spans="1:71" ht="28.5" customHeight="1" thickBot="1">
      <c r="A19" s="1804"/>
      <c r="B19" s="2159" t="s">
        <v>636</v>
      </c>
      <c r="C19" s="2141" t="s">
        <v>656</v>
      </c>
      <c r="D19" s="1073" t="s">
        <v>820</v>
      </c>
      <c r="E19" s="1074"/>
      <c r="F19" s="1074"/>
      <c r="G19" s="1074"/>
      <c r="H19" s="1074"/>
      <c r="I19" s="1074"/>
      <c r="J19" s="1074"/>
      <c r="K19" s="1074"/>
      <c r="L19" s="1074"/>
      <c r="M19" s="1074"/>
      <c r="N19" s="1074"/>
      <c r="O19" s="1074"/>
      <c r="P19" s="1074"/>
      <c r="Q19" s="1074"/>
      <c r="R19" s="1074"/>
      <c r="S19" s="1074"/>
      <c r="T19" s="1074"/>
      <c r="U19" s="1074"/>
      <c r="V19" s="1074"/>
      <c r="W19" s="1074"/>
      <c r="X19" s="1074"/>
      <c r="Y19" s="1074"/>
      <c r="Z19" s="1075"/>
      <c r="AA19" s="1073" t="s">
        <v>659</v>
      </c>
      <c r="AB19" s="1074"/>
      <c r="AC19" s="1074"/>
      <c r="AD19" s="1074"/>
      <c r="AE19" s="1074"/>
      <c r="AF19" s="1845"/>
      <c r="AG19" s="758"/>
      <c r="AH19" s="2216"/>
      <c r="AI19" s="2217"/>
      <c r="AJ19" s="2217"/>
      <c r="AK19" s="2217"/>
      <c r="AL19" s="2217"/>
      <c r="AM19" s="2217"/>
      <c r="AN19" s="2217"/>
      <c r="AO19" s="2217"/>
      <c r="AP19" s="2217"/>
      <c r="AQ19" s="2217"/>
      <c r="AR19" s="2217"/>
      <c r="AS19" s="2217"/>
      <c r="AT19" s="2217"/>
      <c r="AU19" s="2217"/>
      <c r="AV19" s="2217"/>
      <c r="AW19" s="2217"/>
      <c r="AX19" s="2217"/>
      <c r="AY19" s="2217"/>
      <c r="AZ19" s="2217"/>
      <c r="BA19" s="2217"/>
      <c r="BB19" s="2217"/>
      <c r="BC19" s="2217"/>
      <c r="BD19" s="2217"/>
      <c r="BE19" s="2217"/>
      <c r="BF19" s="2217"/>
      <c r="BG19" s="2217"/>
      <c r="BH19" s="2217"/>
      <c r="BI19" s="2218"/>
      <c r="BJ19" s="458"/>
    </row>
    <row r="20" spans="1:71" s="438" customFormat="1" ht="112.05" customHeight="1">
      <c r="A20" s="1805"/>
      <c r="B20" s="2160"/>
      <c r="C20" s="2142"/>
      <c r="D20" s="2135" t="s">
        <v>638</v>
      </c>
      <c r="E20" s="2131" t="s">
        <v>639</v>
      </c>
      <c r="F20" s="2131" t="s">
        <v>655</v>
      </c>
      <c r="G20" s="2131" t="s">
        <v>1160</v>
      </c>
      <c r="H20" s="2131" t="s">
        <v>654</v>
      </c>
      <c r="I20" s="2131" t="s">
        <v>653</v>
      </c>
      <c r="J20" s="2131" t="s">
        <v>652</v>
      </c>
      <c r="K20" s="2131" t="s">
        <v>651</v>
      </c>
      <c r="L20" s="2131" t="s">
        <v>650</v>
      </c>
      <c r="M20" s="2131" t="s">
        <v>649</v>
      </c>
      <c r="N20" s="2131" t="s">
        <v>648</v>
      </c>
      <c r="O20" s="2131" t="s">
        <v>647</v>
      </c>
      <c r="P20" s="2131" t="s">
        <v>646</v>
      </c>
      <c r="Q20" s="2131" t="s">
        <v>645</v>
      </c>
      <c r="R20" s="2131" t="s">
        <v>644</v>
      </c>
      <c r="S20" s="2131" t="s">
        <v>643</v>
      </c>
      <c r="T20" s="2131" t="s">
        <v>642</v>
      </c>
      <c r="U20" s="2131" t="s">
        <v>641</v>
      </c>
      <c r="V20" s="2131" t="s">
        <v>640</v>
      </c>
      <c r="W20" s="2131" t="s">
        <v>1161</v>
      </c>
      <c r="X20" s="2131" t="s">
        <v>1162</v>
      </c>
      <c r="Y20" s="2131" t="s">
        <v>1163</v>
      </c>
      <c r="Z20" s="441" t="s">
        <v>1164</v>
      </c>
      <c r="AA20" s="821" t="s">
        <v>40</v>
      </c>
      <c r="AB20" s="696" t="s">
        <v>39</v>
      </c>
      <c r="AC20" s="696" t="s">
        <v>145</v>
      </c>
      <c r="AD20" s="696" t="s">
        <v>147</v>
      </c>
      <c r="AE20" s="9" t="s">
        <v>31</v>
      </c>
      <c r="AF20" s="1846"/>
      <c r="AG20" s="758"/>
      <c r="AH20" s="2216"/>
      <c r="AI20" s="2217"/>
      <c r="AJ20" s="2217"/>
      <c r="AK20" s="2217"/>
      <c r="AL20" s="2217"/>
      <c r="AM20" s="2217"/>
      <c r="AN20" s="2217"/>
      <c r="AO20" s="2217"/>
      <c r="AP20" s="2217"/>
      <c r="AQ20" s="2217"/>
      <c r="AR20" s="2217"/>
      <c r="AS20" s="2217"/>
      <c r="AT20" s="2217"/>
      <c r="AU20" s="2217"/>
      <c r="AV20" s="2217"/>
      <c r="AW20" s="2217"/>
      <c r="AX20" s="2217"/>
      <c r="AY20" s="2217"/>
      <c r="AZ20" s="2217"/>
      <c r="BA20" s="2217"/>
      <c r="BB20" s="2217"/>
      <c r="BC20" s="2217"/>
      <c r="BD20" s="2217"/>
      <c r="BE20" s="2217"/>
      <c r="BF20" s="2217"/>
      <c r="BG20" s="2217"/>
      <c r="BH20" s="2217"/>
      <c r="BI20" s="2218"/>
      <c r="BJ20" s="758"/>
    </row>
    <row r="21" spans="1:71" s="438" customFormat="1" ht="28.05" customHeight="1" thickBot="1">
      <c r="A21" s="1805"/>
      <c r="B21" s="2160"/>
      <c r="C21" s="2142"/>
      <c r="D21" s="2136"/>
      <c r="E21" s="2132"/>
      <c r="F21" s="2132"/>
      <c r="G21" s="2132"/>
      <c r="H21" s="2132"/>
      <c r="I21" s="2132"/>
      <c r="J21" s="2132"/>
      <c r="K21" s="2132"/>
      <c r="L21" s="2132"/>
      <c r="M21" s="2132"/>
      <c r="N21" s="2132"/>
      <c r="O21" s="2132"/>
      <c r="P21" s="2132"/>
      <c r="Q21" s="2132"/>
      <c r="R21" s="2132"/>
      <c r="S21" s="2132"/>
      <c r="T21" s="2132"/>
      <c r="U21" s="2132"/>
      <c r="V21" s="2132"/>
      <c r="W21" s="2132"/>
      <c r="X21" s="2132"/>
      <c r="Y21" s="2132"/>
      <c r="Z21" s="12"/>
      <c r="AA21" s="822" t="s">
        <v>146</v>
      </c>
      <c r="AB21" s="697" t="s">
        <v>146</v>
      </c>
      <c r="AC21" s="697" t="s">
        <v>146</v>
      </c>
      <c r="AD21" s="697" t="s">
        <v>146</v>
      </c>
      <c r="AE21" s="812" t="s">
        <v>146</v>
      </c>
      <c r="AF21" s="1846"/>
      <c r="AG21" s="758"/>
      <c r="AH21" s="2216"/>
      <c r="AI21" s="2217"/>
      <c r="AJ21" s="2217"/>
      <c r="AK21" s="2217"/>
      <c r="AL21" s="2217"/>
      <c r="AM21" s="2217"/>
      <c r="AN21" s="2217"/>
      <c r="AO21" s="2217"/>
      <c r="AP21" s="2217"/>
      <c r="AQ21" s="2217"/>
      <c r="AR21" s="2217"/>
      <c r="AS21" s="2217"/>
      <c r="AT21" s="2217"/>
      <c r="AU21" s="2217"/>
      <c r="AV21" s="2217"/>
      <c r="AW21" s="2217"/>
      <c r="AX21" s="2217"/>
      <c r="AY21" s="2217"/>
      <c r="AZ21" s="2217"/>
      <c r="BA21" s="2217"/>
      <c r="BB21" s="2217"/>
      <c r="BC21" s="2217"/>
      <c r="BD21" s="2217"/>
      <c r="BE21" s="2217"/>
      <c r="BF21" s="2217"/>
      <c r="BG21" s="2217"/>
      <c r="BH21" s="2217"/>
      <c r="BI21" s="2218"/>
      <c r="BJ21" s="758"/>
    </row>
    <row r="22" spans="1:71" s="438" customFormat="1" ht="31.95" customHeight="1" thickBot="1">
      <c r="A22" s="1805"/>
      <c r="B22" s="2160"/>
      <c r="C22" s="2141"/>
      <c r="D22" s="442">
        <f>4.5*(10^-3)</f>
        <v>4.5000000000000005E-3</v>
      </c>
      <c r="E22" s="443">
        <f>2.5*(10^-3)</f>
        <v>2.5000000000000001E-3</v>
      </c>
      <c r="F22" s="443">
        <f>8.4*(10^-6)</f>
        <v>8.3999999999999992E-6</v>
      </c>
      <c r="G22" s="443">
        <f>9.8*(10^-5)</f>
        <v>9.800000000000001E-5</v>
      </c>
      <c r="H22" s="443">
        <f>2.4*(10^-3)</f>
        <v>2.3999999999999998E-3</v>
      </c>
      <c r="I22" s="443">
        <f>1.3*(10^-2)</f>
        <v>1.3000000000000001E-2</v>
      </c>
      <c r="J22" s="443">
        <f>2.4*(10^-5)</f>
        <v>2.4000000000000001E-5</v>
      </c>
      <c r="K22" s="443">
        <f>2*(10^-4)</f>
        <v>2.0000000000000001E-4</v>
      </c>
      <c r="L22" s="443">
        <f>2.1*(10^-4)</f>
        <v>2.1000000000000001E-4</v>
      </c>
      <c r="M22" s="443">
        <f>7.5*(10^-6)</f>
        <v>7.4999999999999993E-6</v>
      </c>
      <c r="N22" s="443">
        <f>1.1*(10^-4)</f>
        <v>1.1000000000000002E-4</v>
      </c>
      <c r="O22" s="443">
        <f>3.9*(10^-4)</f>
        <v>3.8999999999999999E-4</v>
      </c>
      <c r="P22" s="443">
        <f>1.1*(10^-4)</f>
        <v>1.1000000000000002E-4</v>
      </c>
      <c r="Q22" s="443">
        <f>3.9*(10^-7)</f>
        <v>3.8999999999999997E-7</v>
      </c>
      <c r="R22" s="443">
        <f>2.9*(10^-6)</f>
        <v>2.8999999999999998E-6</v>
      </c>
      <c r="S22" s="443">
        <f>2*(10^-3)</f>
        <v>2E-3</v>
      </c>
      <c r="T22" s="443">
        <f>1.4*(10^-3)</f>
        <v>1.4E-3</v>
      </c>
      <c r="U22" s="443">
        <f>1.4*(10^-4)</f>
        <v>1.3999999999999999E-4</v>
      </c>
      <c r="V22" s="443">
        <f>2.5*(10^-4)</f>
        <v>2.5000000000000001E-4</v>
      </c>
      <c r="W22" s="443">
        <f>8.8*(10^-3)</f>
        <v>8.8000000000000005E-3</v>
      </c>
      <c r="X22" s="443">
        <f>7.5*(10^-3)</f>
        <v>7.4999999999999997E-3</v>
      </c>
      <c r="Y22" s="443">
        <f>3.2*(10^-5)</f>
        <v>3.2000000000000005E-5</v>
      </c>
      <c r="Z22" s="444">
        <f>1.4*(10^-2)</f>
        <v>1.3999999999999999E-2</v>
      </c>
      <c r="AA22" s="1840" t="s">
        <v>657</v>
      </c>
      <c r="AB22" s="1841"/>
      <c r="AC22" s="1841"/>
      <c r="AD22" s="2144"/>
      <c r="AE22" s="709">
        <f>SUM(AE26:AE133)</f>
        <v>0</v>
      </c>
      <c r="AF22" s="1846"/>
      <c r="AG22" s="758"/>
      <c r="AH22" s="2219"/>
      <c r="AI22" s="2220"/>
      <c r="AJ22" s="2220"/>
      <c r="AK22" s="2220"/>
      <c r="AL22" s="2220"/>
      <c r="AM22" s="2220"/>
      <c r="AN22" s="2220"/>
      <c r="AO22" s="2220"/>
      <c r="AP22" s="2220"/>
      <c r="AQ22" s="2220"/>
      <c r="AR22" s="2220"/>
      <c r="AS22" s="2220"/>
      <c r="AT22" s="2220"/>
      <c r="AU22" s="2220"/>
      <c r="AV22" s="2220"/>
      <c r="AW22" s="2220"/>
      <c r="AX22" s="2220"/>
      <c r="AY22" s="2220"/>
      <c r="AZ22" s="2220"/>
      <c r="BA22" s="2220"/>
      <c r="BB22" s="2220"/>
      <c r="BC22" s="2220"/>
      <c r="BD22" s="2220"/>
      <c r="BE22" s="2220"/>
      <c r="BF22" s="2220"/>
      <c r="BG22" s="2220"/>
      <c r="BH22" s="2220"/>
      <c r="BI22" s="2221"/>
      <c r="BJ22" s="758"/>
    </row>
    <row r="23" spans="1:71" s="438" customFormat="1" ht="28.5" customHeight="1" thickBot="1">
      <c r="A23" s="1805"/>
      <c r="B23" s="2160"/>
      <c r="C23" s="2141"/>
      <c r="D23" s="1204" t="s">
        <v>637</v>
      </c>
      <c r="E23" s="1205"/>
      <c r="F23" s="1205"/>
      <c r="G23" s="1205"/>
      <c r="H23" s="1205"/>
      <c r="I23" s="1205"/>
      <c r="J23" s="1205"/>
      <c r="K23" s="1205"/>
      <c r="L23" s="1205"/>
      <c r="M23" s="1205"/>
      <c r="N23" s="1205"/>
      <c r="O23" s="1205"/>
      <c r="P23" s="1205"/>
      <c r="Q23" s="1205"/>
      <c r="R23" s="1205"/>
      <c r="S23" s="1205"/>
      <c r="T23" s="1205"/>
      <c r="U23" s="1205"/>
      <c r="V23" s="1205"/>
      <c r="W23" s="1205"/>
      <c r="X23" s="1205"/>
      <c r="Y23" s="1205"/>
      <c r="Z23" s="1206"/>
      <c r="AA23" s="1232" t="s">
        <v>660</v>
      </c>
      <c r="AB23" s="1233"/>
      <c r="AC23" s="1233"/>
      <c r="AD23" s="1233"/>
      <c r="AE23" s="1233"/>
      <c r="AF23" s="1846"/>
      <c r="AG23" s="758"/>
      <c r="AH23" s="1464"/>
      <c r="AI23" s="2183"/>
      <c r="AJ23" s="2183"/>
      <c r="AK23" s="2183"/>
      <c r="AL23" s="2183"/>
      <c r="AM23" s="2183"/>
      <c r="AN23" s="2183"/>
      <c r="AO23" s="2183"/>
      <c r="AP23" s="2183"/>
      <c r="AQ23" s="2183"/>
      <c r="AR23" s="2183"/>
      <c r="AS23" s="2183"/>
      <c r="AT23" s="2183"/>
      <c r="AU23" s="2183"/>
      <c r="AV23" s="2183"/>
      <c r="AW23" s="2183"/>
      <c r="AX23" s="2183"/>
      <c r="AY23" s="2183"/>
      <c r="AZ23" s="2183"/>
      <c r="BA23" s="2183"/>
      <c r="BB23" s="2183"/>
      <c r="BC23" s="2183"/>
      <c r="BD23" s="2183"/>
      <c r="BE23" s="2183"/>
      <c r="BF23" s="2183"/>
      <c r="BG23" s="2183"/>
      <c r="BH23" s="2183"/>
      <c r="BI23" s="1467"/>
      <c r="BJ23" s="758"/>
    </row>
    <row r="24" spans="1:71" s="438" customFormat="1" ht="55.95" customHeight="1">
      <c r="A24" s="1805"/>
      <c r="B24" s="2160"/>
      <c r="C24" s="2141"/>
      <c r="D24" s="2156" t="s">
        <v>618</v>
      </c>
      <c r="E24" s="2154" t="s">
        <v>619</v>
      </c>
      <c r="F24" s="2154" t="s">
        <v>620</v>
      </c>
      <c r="G24" s="2154" t="s">
        <v>1165</v>
      </c>
      <c r="H24" s="2154" t="s">
        <v>621</v>
      </c>
      <c r="I24" s="2154" t="s">
        <v>622</v>
      </c>
      <c r="J24" s="2154" t="s">
        <v>623</v>
      </c>
      <c r="K24" s="2154" t="s">
        <v>624</v>
      </c>
      <c r="L24" s="2154" t="s">
        <v>625</v>
      </c>
      <c r="M24" s="2154" t="s">
        <v>626</v>
      </c>
      <c r="N24" s="2154" t="s">
        <v>627</v>
      </c>
      <c r="O24" s="2154" t="s">
        <v>628</v>
      </c>
      <c r="P24" s="2154" t="s">
        <v>629</v>
      </c>
      <c r="Q24" s="2154" t="s">
        <v>630</v>
      </c>
      <c r="R24" s="2154" t="s">
        <v>631</v>
      </c>
      <c r="S24" s="2154" t="s">
        <v>632</v>
      </c>
      <c r="T24" s="2154" t="s">
        <v>633</v>
      </c>
      <c r="U24" s="2154" t="s">
        <v>634</v>
      </c>
      <c r="V24" s="2154" t="s">
        <v>635</v>
      </c>
      <c r="W24" s="2154" t="s">
        <v>1166</v>
      </c>
      <c r="X24" s="2154" t="s">
        <v>1167</v>
      </c>
      <c r="Y24" s="2154" t="s">
        <v>1168</v>
      </c>
      <c r="Z24" s="2167" t="s">
        <v>1169</v>
      </c>
      <c r="AA24" s="821" t="s">
        <v>40</v>
      </c>
      <c r="AB24" s="696" t="s">
        <v>39</v>
      </c>
      <c r="AC24" s="696" t="s">
        <v>145</v>
      </c>
      <c r="AD24" s="696" t="s">
        <v>147</v>
      </c>
      <c r="AE24" s="9" t="s">
        <v>31</v>
      </c>
      <c r="AF24" s="1846"/>
      <c r="AG24" s="758"/>
      <c r="AH24" s="1494"/>
      <c r="AI24" s="2193" t="str">
        <f>B19</f>
        <v>شماره جريان</v>
      </c>
      <c r="AJ24" s="2157" t="s">
        <v>1408</v>
      </c>
      <c r="AK24" s="2162" t="s">
        <v>1384</v>
      </c>
      <c r="AL24" s="2162" t="s">
        <v>1385</v>
      </c>
      <c r="AM24" s="2162" t="s">
        <v>1386</v>
      </c>
      <c r="AN24" s="2162" t="s">
        <v>1387</v>
      </c>
      <c r="AO24" s="2162" t="s">
        <v>1388</v>
      </c>
      <c r="AP24" s="2162" t="s">
        <v>1389</v>
      </c>
      <c r="AQ24" s="2162" t="s">
        <v>1390</v>
      </c>
      <c r="AR24" s="2162" t="s">
        <v>1391</v>
      </c>
      <c r="AS24" s="2162" t="s">
        <v>1392</v>
      </c>
      <c r="AT24" s="2162" t="s">
        <v>1393</v>
      </c>
      <c r="AU24" s="2162" t="s">
        <v>1394</v>
      </c>
      <c r="AV24" s="2162" t="s">
        <v>1395</v>
      </c>
      <c r="AW24" s="2162" t="s">
        <v>1396</v>
      </c>
      <c r="AX24" s="2162" t="s">
        <v>1397</v>
      </c>
      <c r="AY24" s="2162" t="s">
        <v>1398</v>
      </c>
      <c r="AZ24" s="2162" t="s">
        <v>1399</v>
      </c>
      <c r="BA24" s="2162" t="s">
        <v>1400</v>
      </c>
      <c r="BB24" s="2162" t="s">
        <v>1401</v>
      </c>
      <c r="BC24" s="2162" t="s">
        <v>1402</v>
      </c>
      <c r="BD24" s="2162" t="s">
        <v>1403</v>
      </c>
      <c r="BE24" s="2162" t="s">
        <v>1404</v>
      </c>
      <c r="BF24" s="2162" t="s">
        <v>1405</v>
      </c>
      <c r="BG24" s="2195" t="s">
        <v>1406</v>
      </c>
      <c r="BH24" s="2197" t="s">
        <v>1407</v>
      </c>
      <c r="BI24" s="568"/>
      <c r="BJ24" s="758"/>
      <c r="BK24" s="722" t="s">
        <v>31</v>
      </c>
      <c r="BM24" s="722" t="s">
        <v>31</v>
      </c>
      <c r="BO24" s="1332" t="s">
        <v>1409</v>
      </c>
      <c r="BP24" s="1332"/>
      <c r="BQ24" s="1332"/>
    </row>
    <row r="25" spans="1:71" ht="49.95" customHeight="1" thickBot="1">
      <c r="A25" s="1805"/>
      <c r="B25" s="2161"/>
      <c r="C25" s="2143"/>
      <c r="D25" s="1934"/>
      <c r="E25" s="2155"/>
      <c r="F25" s="2155"/>
      <c r="G25" s="2155"/>
      <c r="H25" s="2155"/>
      <c r="I25" s="2155"/>
      <c r="J25" s="2155"/>
      <c r="K25" s="2155"/>
      <c r="L25" s="2155"/>
      <c r="M25" s="2155"/>
      <c r="N25" s="2155"/>
      <c r="O25" s="2155"/>
      <c r="P25" s="2155"/>
      <c r="Q25" s="2155"/>
      <c r="R25" s="2155"/>
      <c r="S25" s="2155"/>
      <c r="T25" s="2155"/>
      <c r="U25" s="2155"/>
      <c r="V25" s="2155"/>
      <c r="W25" s="2155"/>
      <c r="X25" s="2155"/>
      <c r="Y25" s="2155"/>
      <c r="Z25" s="1932"/>
      <c r="AA25" s="822" t="s">
        <v>146</v>
      </c>
      <c r="AB25" s="697" t="s">
        <v>146</v>
      </c>
      <c r="AC25" s="697" t="s">
        <v>146</v>
      </c>
      <c r="AD25" s="697" t="s">
        <v>146</v>
      </c>
      <c r="AE25" s="812" t="s">
        <v>146</v>
      </c>
      <c r="AF25" s="1846"/>
      <c r="AG25" s="758"/>
      <c r="AH25" s="1495"/>
      <c r="AI25" s="2194"/>
      <c r="AJ25" s="2158"/>
      <c r="AK25" s="2163"/>
      <c r="AL25" s="2163"/>
      <c r="AM25" s="2163"/>
      <c r="AN25" s="2163"/>
      <c r="AO25" s="2163"/>
      <c r="AP25" s="2163"/>
      <c r="AQ25" s="2163"/>
      <c r="AR25" s="2163"/>
      <c r="AS25" s="2163"/>
      <c r="AT25" s="2163"/>
      <c r="AU25" s="2163"/>
      <c r="AV25" s="2163"/>
      <c r="AW25" s="2163"/>
      <c r="AX25" s="2163"/>
      <c r="AY25" s="2163"/>
      <c r="AZ25" s="2163"/>
      <c r="BA25" s="2163"/>
      <c r="BB25" s="2163"/>
      <c r="BC25" s="2163"/>
      <c r="BD25" s="2163"/>
      <c r="BE25" s="2163"/>
      <c r="BF25" s="2163"/>
      <c r="BG25" s="2196"/>
      <c r="BH25" s="2187"/>
      <c r="BI25" s="569"/>
      <c r="BJ25" s="458"/>
      <c r="BK25" s="592" t="s">
        <v>1413</v>
      </c>
      <c r="BM25" s="592" t="s">
        <v>1286</v>
      </c>
      <c r="BO25" s="593" t="s">
        <v>1410</v>
      </c>
      <c r="BP25" s="593" t="s">
        <v>1411</v>
      </c>
      <c r="BQ25" s="593" t="s">
        <v>1409</v>
      </c>
      <c r="BR25" s="593" t="s">
        <v>1412</v>
      </c>
      <c r="BS25" s="213"/>
    </row>
    <row r="26" spans="1:71" ht="16.5" customHeight="1">
      <c r="A26" s="1805"/>
      <c r="B26" s="445"/>
      <c r="C26" s="446"/>
      <c r="D26" s="233"/>
      <c r="E26" s="233"/>
      <c r="F26" s="684"/>
      <c r="G26" s="684"/>
      <c r="H26" s="684"/>
      <c r="I26" s="684"/>
      <c r="J26" s="684"/>
      <c r="K26" s="684"/>
      <c r="L26" s="684"/>
      <c r="M26" s="684"/>
      <c r="N26" s="684"/>
      <c r="O26" s="684"/>
      <c r="P26" s="684"/>
      <c r="Q26" s="684"/>
      <c r="R26" s="684"/>
      <c r="S26" s="684"/>
      <c r="T26" s="684"/>
      <c r="U26" s="684"/>
      <c r="V26" s="684"/>
      <c r="W26" s="684"/>
      <c r="X26" s="684"/>
      <c r="Y26" s="684"/>
      <c r="Z26" s="684"/>
      <c r="AA26" s="2145" t="s">
        <v>657</v>
      </c>
      <c r="AB26" s="2146"/>
      <c r="AC26" s="2146"/>
      <c r="AD26" s="2147"/>
      <c r="AE26" s="709">
        <f>((D26*$D$22)+($E$22*E26)+($F$22*F26)+($G$22*G26)+($H$22*H26)+($I$22*I26)+($J$22*J26)+($K$22*K26)+($L$22*L26)+($M$22*M26)+($N$22*N26)+($O$22*O26)+($P$22*P26)+($Q$22*Q26)+($R$22*R26)+($S$22*S26)+($T$22*T26)+($U$22*U26)+($V$22*V26)+($W$22*W26)+($X$22*X26)+($Y$22*Y26)+($Z$22*Z26))*C26*8.76</f>
        <v>0</v>
      </c>
      <c r="AF26" s="1846"/>
      <c r="AG26" s="758"/>
      <c r="AH26" s="1495"/>
      <c r="AI26" s="825">
        <f>B26</f>
        <v>0</v>
      </c>
      <c r="AJ26" s="813"/>
      <c r="AK26" s="81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363"/>
      <c r="BH26" s="840" t="str">
        <f>BR26</f>
        <v/>
      </c>
      <c r="BI26" s="569"/>
      <c r="BJ26" s="458"/>
      <c r="BK26" s="592" t="str">
        <f>IF(OR(BH26="",AE26=""),"",BH26*AE26)</f>
        <v/>
      </c>
      <c r="BM26" s="592" t="str">
        <f>IF(BK26="","",BK26^2)</f>
        <v/>
      </c>
      <c r="BO26" s="592">
        <f xml:space="preserve"> SQRT(    ((AK26^2+40^2)*((D26*$D$22)^2))      +        ((40^2+AL26^2)*(($E$22*E26)^2))       +        ((40^2+AM26^2)*(($F$22*F26)^2))       +        ((40^2+AN26^2)*(($G$22*G26)^2))       +        ((40^2+AO26^2)*(($H$22*H26)^2))       +        ((40^2+AP26^2)*(($I$22*I26)^2))       +        ((40^2+AQ26^2)*(($J$22*J26)^2))       +       ((40^2+AR26^2)*(($K$22*K26)^2))       +        ((40^2+AS26^2)*(($L$22*L26)^2))       +        ((40^2+AT26^2)*(($M$22*M26)^2))       +        ((40^2+AU26^2)*(($N$22*N26)^2))       +        ((40^2+AV26^2)*(($O$22*O26)^2))       +        ((40^2+AW26^2)*(($P$22*P26)^2))       +        ((40^2+AX26^2)*(($Q$22*Q26)^2))       +       ((40^2+AY26^2)*(($R$22*R26)^2))       +        ((40^2+AZ26^2) *(($S$22*S26)^2))       +        ((40^2+BA26^2)*(($T$22*T26)^2))       +        ((40^2+BB26^2)*(($U$22*U26)^2))       +       ((40^2+BC26^2)*(($V$22*V26)^2))       +        ((40^2+BD26^2)*(($W$22*W26)^2))       +        ((40^2+BE26^2)*(($X$22*X26)^2))       +        ((40^2+BF26^2)*(($Y$22*Y26)^2))       +        ((40^2+BG26^2)*(($Z$22*Z26)^2))            )</f>
        <v>0</v>
      </c>
      <c r="BP26" s="592">
        <f>((D26*$D$22)+($E$22*E26)+($F$22*F26)+($G$22*G26)+($H$22*H26)+($I$22*I26)+($J$22*J26)+($K$22*K26)+($L$22*L26)+($M$22*M26)+($N$22*N26)+($O$22*O26)+($P$22*P26)+($Q$22*Q26)+($R$22*R26)+($S$22*S26)+($T$22*T26)+($U$22*U26)+($V$22*V26)+($W$22*W26)+($X$22*X26)+($Y$22*Y26)+($Z$22*Z26))</f>
        <v>0</v>
      </c>
      <c r="BQ26" s="592" t="str">
        <f>IF(OR(BP26=0,BP26=""),"",BO26/BP26)</f>
        <v/>
      </c>
      <c r="BR26" s="592" t="str">
        <f>IF(OR(BQ26="",AJ26=""),"",SQRT((BQ26)^2+(AJ26)^2))</f>
        <v/>
      </c>
    </row>
    <row r="27" spans="1:71" ht="16.5" customHeight="1">
      <c r="A27" s="1805"/>
      <c r="B27" s="622"/>
      <c r="C27" s="623"/>
      <c r="D27" s="620"/>
      <c r="E27" s="620"/>
      <c r="F27" s="620"/>
      <c r="G27" s="620"/>
      <c r="H27" s="620"/>
      <c r="I27" s="620"/>
      <c r="J27" s="620"/>
      <c r="K27" s="620"/>
      <c r="L27" s="620"/>
      <c r="M27" s="620"/>
      <c r="N27" s="620"/>
      <c r="O27" s="620"/>
      <c r="P27" s="620"/>
      <c r="Q27" s="620"/>
      <c r="R27" s="620"/>
      <c r="S27" s="620"/>
      <c r="T27" s="620"/>
      <c r="U27" s="620"/>
      <c r="V27" s="620"/>
      <c r="W27" s="620"/>
      <c r="X27" s="620"/>
      <c r="Y27" s="620"/>
      <c r="Z27" s="620"/>
      <c r="AA27" s="2145"/>
      <c r="AB27" s="2146"/>
      <c r="AC27" s="2146"/>
      <c r="AD27" s="2147"/>
      <c r="AE27" s="709">
        <f t="shared" ref="AE27:AE57" si="0">((D27*$D$22)+($E$22*E27)+($F$22*F27)+($G$22*G27)+($H$22*H27)+($I$22*I27)+($J$22*J27)+($K$22*K27)+($L$22*L27)+($M$22*M27)+($N$22*N27)+($O$22*O27)+($P$22*P27)+($Q$22*Q27)+($R$22*R27)+($S$22*S27)+($T$22*T27)+($U$22*U27)+($V$22*V27)+($W$22*W27)+($X$22*X27)+($Y$22*Y27)+($Z$22*Z27))*C27*8.76</f>
        <v>0</v>
      </c>
      <c r="AF27" s="1846"/>
      <c r="AG27" s="758"/>
      <c r="AH27" s="1495"/>
      <c r="AI27" s="654">
        <f t="shared" ref="AI27:AI90" si="1">B27</f>
        <v>0</v>
      </c>
      <c r="AJ27" s="618"/>
      <c r="AK27" s="618"/>
      <c r="AL27" s="619"/>
      <c r="AM27" s="620"/>
      <c r="AN27" s="620"/>
      <c r="AO27" s="620"/>
      <c r="AP27" s="620"/>
      <c r="AQ27" s="620"/>
      <c r="AR27" s="620"/>
      <c r="AS27" s="620"/>
      <c r="AT27" s="620"/>
      <c r="AU27" s="620"/>
      <c r="AV27" s="620"/>
      <c r="AW27" s="620"/>
      <c r="AX27" s="620"/>
      <c r="AY27" s="620"/>
      <c r="AZ27" s="620"/>
      <c r="BA27" s="620"/>
      <c r="BB27" s="620"/>
      <c r="BC27" s="620"/>
      <c r="BD27" s="620"/>
      <c r="BE27" s="620"/>
      <c r="BF27" s="620"/>
      <c r="BG27" s="621"/>
      <c r="BH27" s="840" t="str">
        <f t="shared" ref="BH27:BH90" si="2">BR27</f>
        <v/>
      </c>
      <c r="BI27" s="569"/>
      <c r="BJ27" s="458"/>
      <c r="BK27" s="592" t="str">
        <f t="shared" ref="BK27:BK90" si="3">IF(OR(BH27="",AE27=""),"",BH27*AE27)</f>
        <v/>
      </c>
      <c r="BM27" s="592" t="str">
        <f t="shared" ref="BM27:BM90" si="4">IF(BK27="","",BK27^2)</f>
        <v/>
      </c>
      <c r="BO27" s="592">
        <f t="shared" ref="BO27:BO90" si="5" xml:space="preserve"> SQRT(    ((AK27^2+40^2)*((D27*$D$22)^2))      +        ((40^2+AL27^2)*(($E$22*E27)^2))       +        ((40^2+AM27^2)*(($F$22*F27)^2))       +        ((40^2+AN27^2)*(($G$22*G27)^2))       +        ((40^2+AO27^2)*(($H$22*H27)^2))       +        ((40^2+AP27^2)*(($I$22*I27)^2))       +        ((40^2+AQ27^2)*(($J$22*J27)^2))       +       ((40^2+AR27^2)*(($K$22*K27)^2))       +        ((40^2+AS27^2)*(($L$22*L27)^2))       +        ((40^2+AT27^2)*(($M$22*M27)^2))       +        ((40^2+AU27^2)*(($N$22*N27)^2))       +        ((40^2+AV27^2)*(($O$22*O27)^2))       +        ((40^2+AW27^2)*(($P$22*P27)^2))       +        ((40^2+AX27^2)*(($Q$22*Q27)^2))       +       ((40^2+AY27^2)*(($R$22*R27)^2))       +        ((40^2+AZ27^2) *(($S$22*S27)^2))       +        ((40^2+BA27^2)*(($T$22*T27)^2))       +        ((40^2+BB27^2)*(($U$22*U27)^2))       +       ((40^2+BC27^2)*(($V$22*V27)^2))       +        ((40^2+BD27^2)*(($W$22*W27)^2))       +        ((40^2+BE27^2)*(($X$22*X27)^2))       +        ((40^2+BF27^2)*(($Y$22*Y27)^2))       +        ((40^2+BG27^2)*(($Z$22*Z27)^2))            )</f>
        <v>0</v>
      </c>
      <c r="BP27" s="592">
        <f t="shared" ref="BP27:BP90" si="6">((D27*$D$22)+($E$22*E27)+($F$22*F27)+($G$22*G27)+($H$22*H27)+($I$22*I27)+($J$22*J27)+($K$22*K27)+($L$22*L27)+($M$22*M27)+($N$22*N27)+($O$22*O27)+($P$22*P27)+($Q$22*Q27)+($R$22*R27)+($S$22*S27)+($T$22*T27)+($U$22*U27)+($V$22*V27)+($W$22*W27)+($X$22*X27)+($Y$22*Y27)+($Z$22*Z27))</f>
        <v>0</v>
      </c>
      <c r="BQ27" s="592" t="str">
        <f t="shared" ref="BQ27:BQ90" si="7">IF(OR(BP27=0,BP27=""),"",BO27/BP27)</f>
        <v/>
      </c>
      <c r="BR27" s="592" t="str">
        <f t="shared" ref="BR27:BR90" si="8">IF(OR(BQ27="",AJ27=""),"",SQRT((BQ27)^2+(AJ27)^2))</f>
        <v/>
      </c>
    </row>
    <row r="28" spans="1:71" ht="16.5" customHeight="1">
      <c r="A28" s="1805"/>
      <c r="B28" s="447"/>
      <c r="C28" s="448"/>
      <c r="D28" s="684"/>
      <c r="E28" s="684"/>
      <c r="F28" s="684"/>
      <c r="G28" s="684"/>
      <c r="H28" s="684"/>
      <c r="I28" s="684"/>
      <c r="J28" s="684"/>
      <c r="K28" s="684"/>
      <c r="L28" s="684"/>
      <c r="M28" s="684"/>
      <c r="N28" s="684"/>
      <c r="O28" s="684"/>
      <c r="P28" s="684"/>
      <c r="Q28" s="684"/>
      <c r="R28" s="684"/>
      <c r="S28" s="684"/>
      <c r="T28" s="684"/>
      <c r="U28" s="684"/>
      <c r="V28" s="684"/>
      <c r="W28" s="684"/>
      <c r="X28" s="684"/>
      <c r="Y28" s="684"/>
      <c r="Z28" s="684"/>
      <c r="AA28" s="2145"/>
      <c r="AB28" s="2146"/>
      <c r="AC28" s="2146"/>
      <c r="AD28" s="2147"/>
      <c r="AE28" s="709">
        <f t="shared" si="0"/>
        <v>0</v>
      </c>
      <c r="AF28" s="1846"/>
      <c r="AG28" s="758"/>
      <c r="AH28" s="1495"/>
      <c r="AI28" s="654">
        <f t="shared" si="1"/>
        <v>0</v>
      </c>
      <c r="AJ28" s="813"/>
      <c r="AK28" s="813"/>
      <c r="AL28" s="233"/>
      <c r="AM28" s="684"/>
      <c r="AN28" s="684"/>
      <c r="AO28" s="684"/>
      <c r="AP28" s="684"/>
      <c r="AQ28" s="684"/>
      <c r="AR28" s="684"/>
      <c r="AS28" s="684"/>
      <c r="AT28" s="684"/>
      <c r="AU28" s="684"/>
      <c r="AV28" s="684"/>
      <c r="AW28" s="684"/>
      <c r="AX28" s="684"/>
      <c r="AY28" s="684"/>
      <c r="AZ28" s="684"/>
      <c r="BA28" s="684"/>
      <c r="BB28" s="684"/>
      <c r="BC28" s="684"/>
      <c r="BD28" s="684"/>
      <c r="BE28" s="684"/>
      <c r="BF28" s="684"/>
      <c r="BG28" s="617"/>
      <c r="BH28" s="840" t="str">
        <f t="shared" si="2"/>
        <v/>
      </c>
      <c r="BI28" s="569"/>
      <c r="BJ28" s="458"/>
      <c r="BK28" s="592" t="str">
        <f t="shared" si="3"/>
        <v/>
      </c>
      <c r="BM28" s="592" t="str">
        <f t="shared" si="4"/>
        <v/>
      </c>
      <c r="BO28" s="592">
        <f t="shared" si="5"/>
        <v>0</v>
      </c>
      <c r="BP28" s="592">
        <f t="shared" si="6"/>
        <v>0</v>
      </c>
      <c r="BQ28" s="592" t="str">
        <f t="shared" si="7"/>
        <v/>
      </c>
      <c r="BR28" s="592" t="str">
        <f t="shared" si="8"/>
        <v/>
      </c>
    </row>
    <row r="29" spans="1:71" ht="16.5" customHeight="1">
      <c r="A29" s="1805"/>
      <c r="B29" s="622"/>
      <c r="C29" s="623"/>
      <c r="D29" s="620"/>
      <c r="E29" s="620"/>
      <c r="F29" s="620"/>
      <c r="G29" s="620"/>
      <c r="H29" s="620"/>
      <c r="I29" s="620"/>
      <c r="J29" s="620"/>
      <c r="K29" s="620"/>
      <c r="L29" s="620"/>
      <c r="M29" s="620"/>
      <c r="N29" s="620"/>
      <c r="O29" s="620"/>
      <c r="P29" s="620"/>
      <c r="Q29" s="620"/>
      <c r="R29" s="620"/>
      <c r="S29" s="620"/>
      <c r="T29" s="620"/>
      <c r="U29" s="620"/>
      <c r="V29" s="620"/>
      <c r="W29" s="620"/>
      <c r="X29" s="620"/>
      <c r="Y29" s="620"/>
      <c r="Z29" s="620"/>
      <c r="AA29" s="2145"/>
      <c r="AB29" s="2146"/>
      <c r="AC29" s="2146"/>
      <c r="AD29" s="2147"/>
      <c r="AE29" s="709">
        <f t="shared" si="0"/>
        <v>0</v>
      </c>
      <c r="AF29" s="1846"/>
      <c r="AG29" s="758"/>
      <c r="AH29" s="1495"/>
      <c r="AI29" s="654">
        <f t="shared" si="1"/>
        <v>0</v>
      </c>
      <c r="AJ29" s="618"/>
      <c r="AK29" s="618"/>
      <c r="AL29" s="619"/>
      <c r="AM29" s="620"/>
      <c r="AN29" s="620"/>
      <c r="AO29" s="620"/>
      <c r="AP29" s="620"/>
      <c r="AQ29" s="620"/>
      <c r="AR29" s="620"/>
      <c r="AS29" s="620"/>
      <c r="AT29" s="620"/>
      <c r="AU29" s="620"/>
      <c r="AV29" s="620"/>
      <c r="AW29" s="620"/>
      <c r="AX29" s="620"/>
      <c r="AY29" s="620"/>
      <c r="AZ29" s="620"/>
      <c r="BA29" s="620"/>
      <c r="BB29" s="620"/>
      <c r="BC29" s="620"/>
      <c r="BD29" s="620"/>
      <c r="BE29" s="620"/>
      <c r="BF29" s="620"/>
      <c r="BG29" s="621"/>
      <c r="BH29" s="840" t="str">
        <f t="shared" si="2"/>
        <v/>
      </c>
      <c r="BI29" s="569"/>
      <c r="BJ29" s="458"/>
      <c r="BK29" s="592" t="str">
        <f t="shared" si="3"/>
        <v/>
      </c>
      <c r="BM29" s="592" t="str">
        <f t="shared" si="4"/>
        <v/>
      </c>
      <c r="BO29" s="592">
        <f t="shared" si="5"/>
        <v>0</v>
      </c>
      <c r="BP29" s="592">
        <f t="shared" si="6"/>
        <v>0</v>
      </c>
      <c r="BQ29" s="592" t="str">
        <f t="shared" si="7"/>
        <v/>
      </c>
      <c r="BR29" s="592" t="str">
        <f t="shared" si="8"/>
        <v/>
      </c>
    </row>
    <row r="30" spans="1:71" ht="16.5" customHeight="1">
      <c r="A30" s="1805"/>
      <c r="B30" s="447"/>
      <c r="C30" s="448"/>
      <c r="D30" s="684"/>
      <c r="E30" s="684"/>
      <c r="F30" s="684"/>
      <c r="G30" s="684"/>
      <c r="H30" s="684"/>
      <c r="I30" s="684"/>
      <c r="J30" s="684"/>
      <c r="K30" s="684"/>
      <c r="L30" s="684"/>
      <c r="M30" s="684"/>
      <c r="N30" s="684"/>
      <c r="O30" s="684"/>
      <c r="P30" s="684"/>
      <c r="Q30" s="684"/>
      <c r="R30" s="684"/>
      <c r="S30" s="684"/>
      <c r="T30" s="684"/>
      <c r="U30" s="684"/>
      <c r="V30" s="684"/>
      <c r="W30" s="684"/>
      <c r="X30" s="684"/>
      <c r="Y30" s="684"/>
      <c r="Z30" s="684"/>
      <c r="AA30" s="2145"/>
      <c r="AB30" s="2146"/>
      <c r="AC30" s="2146"/>
      <c r="AD30" s="2147"/>
      <c r="AE30" s="709">
        <f t="shared" si="0"/>
        <v>0</v>
      </c>
      <c r="AF30" s="1846"/>
      <c r="AG30" s="758"/>
      <c r="AH30" s="1495"/>
      <c r="AI30" s="654">
        <f t="shared" si="1"/>
        <v>0</v>
      </c>
      <c r="AJ30" s="813"/>
      <c r="AK30" s="813"/>
      <c r="AL30" s="233"/>
      <c r="AM30" s="684"/>
      <c r="AN30" s="684"/>
      <c r="AO30" s="684"/>
      <c r="AP30" s="684"/>
      <c r="AQ30" s="684"/>
      <c r="AR30" s="684"/>
      <c r="AS30" s="684"/>
      <c r="AT30" s="684"/>
      <c r="AU30" s="684"/>
      <c r="AV30" s="684"/>
      <c r="AW30" s="684"/>
      <c r="AX30" s="684"/>
      <c r="AY30" s="684"/>
      <c r="AZ30" s="684"/>
      <c r="BA30" s="684"/>
      <c r="BB30" s="684"/>
      <c r="BC30" s="684"/>
      <c r="BD30" s="684"/>
      <c r="BE30" s="684"/>
      <c r="BF30" s="684"/>
      <c r="BG30" s="617"/>
      <c r="BH30" s="840" t="str">
        <f t="shared" si="2"/>
        <v/>
      </c>
      <c r="BI30" s="569"/>
      <c r="BJ30" s="458"/>
      <c r="BK30" s="592" t="str">
        <f t="shared" si="3"/>
        <v/>
      </c>
      <c r="BM30" s="592" t="str">
        <f t="shared" si="4"/>
        <v/>
      </c>
      <c r="BO30" s="592">
        <f t="shared" si="5"/>
        <v>0</v>
      </c>
      <c r="BP30" s="592">
        <f t="shared" si="6"/>
        <v>0</v>
      </c>
      <c r="BQ30" s="592" t="str">
        <f t="shared" si="7"/>
        <v/>
      </c>
      <c r="BR30" s="592" t="str">
        <f t="shared" si="8"/>
        <v/>
      </c>
    </row>
    <row r="31" spans="1:71" ht="16.5" customHeight="1">
      <c r="A31" s="1805"/>
      <c r="B31" s="622"/>
      <c r="C31" s="623"/>
      <c r="D31" s="620"/>
      <c r="E31" s="620"/>
      <c r="F31" s="620"/>
      <c r="G31" s="620"/>
      <c r="H31" s="620"/>
      <c r="I31" s="620"/>
      <c r="J31" s="620"/>
      <c r="K31" s="620"/>
      <c r="L31" s="620"/>
      <c r="M31" s="620"/>
      <c r="N31" s="620"/>
      <c r="O31" s="620"/>
      <c r="P31" s="620"/>
      <c r="Q31" s="620"/>
      <c r="R31" s="620"/>
      <c r="S31" s="620"/>
      <c r="T31" s="620"/>
      <c r="U31" s="620"/>
      <c r="V31" s="620"/>
      <c r="W31" s="620"/>
      <c r="X31" s="620"/>
      <c r="Y31" s="620"/>
      <c r="Z31" s="620"/>
      <c r="AA31" s="2145"/>
      <c r="AB31" s="2146"/>
      <c r="AC31" s="2146"/>
      <c r="AD31" s="2147"/>
      <c r="AE31" s="709">
        <f t="shared" si="0"/>
        <v>0</v>
      </c>
      <c r="AF31" s="1846"/>
      <c r="AG31" s="758"/>
      <c r="AH31" s="1495"/>
      <c r="AI31" s="654">
        <f t="shared" si="1"/>
        <v>0</v>
      </c>
      <c r="AJ31" s="618"/>
      <c r="AK31" s="618"/>
      <c r="AL31" s="619"/>
      <c r="AM31" s="620"/>
      <c r="AN31" s="620"/>
      <c r="AO31" s="620"/>
      <c r="AP31" s="620"/>
      <c r="AQ31" s="620"/>
      <c r="AR31" s="620"/>
      <c r="AS31" s="620"/>
      <c r="AT31" s="620"/>
      <c r="AU31" s="620"/>
      <c r="AV31" s="620"/>
      <c r="AW31" s="620"/>
      <c r="AX31" s="620"/>
      <c r="AY31" s="620"/>
      <c r="AZ31" s="620"/>
      <c r="BA31" s="620"/>
      <c r="BB31" s="620"/>
      <c r="BC31" s="620"/>
      <c r="BD31" s="620"/>
      <c r="BE31" s="620"/>
      <c r="BF31" s="620"/>
      <c r="BG31" s="621"/>
      <c r="BH31" s="840" t="str">
        <f t="shared" si="2"/>
        <v/>
      </c>
      <c r="BI31" s="569"/>
      <c r="BJ31" s="458"/>
      <c r="BK31" s="592" t="str">
        <f t="shared" si="3"/>
        <v/>
      </c>
      <c r="BM31" s="592" t="str">
        <f t="shared" si="4"/>
        <v/>
      </c>
      <c r="BO31" s="592">
        <f t="shared" si="5"/>
        <v>0</v>
      </c>
      <c r="BP31" s="592">
        <f t="shared" si="6"/>
        <v>0</v>
      </c>
      <c r="BQ31" s="592" t="str">
        <f t="shared" si="7"/>
        <v/>
      </c>
      <c r="BR31" s="592" t="str">
        <f t="shared" si="8"/>
        <v/>
      </c>
    </row>
    <row r="32" spans="1:71" ht="13.95" customHeight="1">
      <c r="A32" s="1805"/>
      <c r="B32" s="447"/>
      <c r="C32" s="448"/>
      <c r="D32" s="684"/>
      <c r="E32" s="684"/>
      <c r="F32" s="684"/>
      <c r="G32" s="684"/>
      <c r="H32" s="684"/>
      <c r="I32" s="684"/>
      <c r="J32" s="684"/>
      <c r="K32" s="684"/>
      <c r="L32" s="684"/>
      <c r="M32" s="684"/>
      <c r="N32" s="684"/>
      <c r="O32" s="684"/>
      <c r="P32" s="684"/>
      <c r="Q32" s="684"/>
      <c r="R32" s="684"/>
      <c r="S32" s="684"/>
      <c r="T32" s="684"/>
      <c r="U32" s="684"/>
      <c r="V32" s="684"/>
      <c r="W32" s="684"/>
      <c r="X32" s="684"/>
      <c r="Y32" s="684"/>
      <c r="Z32" s="684"/>
      <c r="AA32" s="2145"/>
      <c r="AB32" s="2146"/>
      <c r="AC32" s="2146"/>
      <c r="AD32" s="2147"/>
      <c r="AE32" s="709">
        <f t="shared" si="0"/>
        <v>0</v>
      </c>
      <c r="AF32" s="1846"/>
      <c r="AG32" s="758"/>
      <c r="AH32" s="1495"/>
      <c r="AI32" s="654">
        <f t="shared" si="1"/>
        <v>0</v>
      </c>
      <c r="AJ32" s="813"/>
      <c r="AK32" s="813"/>
      <c r="AL32" s="233"/>
      <c r="AM32" s="684"/>
      <c r="AN32" s="684"/>
      <c r="AO32" s="684"/>
      <c r="AP32" s="684"/>
      <c r="AQ32" s="684"/>
      <c r="AR32" s="684"/>
      <c r="AS32" s="684"/>
      <c r="AT32" s="684"/>
      <c r="AU32" s="684"/>
      <c r="AV32" s="684"/>
      <c r="AW32" s="684"/>
      <c r="AX32" s="684"/>
      <c r="AY32" s="684"/>
      <c r="AZ32" s="684"/>
      <c r="BA32" s="684"/>
      <c r="BB32" s="684"/>
      <c r="BC32" s="684"/>
      <c r="BD32" s="684"/>
      <c r="BE32" s="684"/>
      <c r="BF32" s="684"/>
      <c r="BG32" s="617"/>
      <c r="BH32" s="840" t="str">
        <f t="shared" si="2"/>
        <v/>
      </c>
      <c r="BI32" s="569"/>
      <c r="BJ32" s="458"/>
      <c r="BK32" s="592" t="str">
        <f t="shared" si="3"/>
        <v/>
      </c>
      <c r="BM32" s="592" t="str">
        <f t="shared" si="4"/>
        <v/>
      </c>
      <c r="BO32" s="592">
        <f t="shared" si="5"/>
        <v>0</v>
      </c>
      <c r="BP32" s="592">
        <f t="shared" si="6"/>
        <v>0</v>
      </c>
      <c r="BQ32" s="592" t="str">
        <f t="shared" si="7"/>
        <v/>
      </c>
      <c r="BR32" s="592" t="str">
        <f t="shared" si="8"/>
        <v/>
      </c>
    </row>
    <row r="33" spans="1:70" ht="13.95" customHeight="1">
      <c r="A33" s="1805"/>
      <c r="B33" s="622"/>
      <c r="C33" s="623"/>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2145"/>
      <c r="AB33" s="2146"/>
      <c r="AC33" s="2146"/>
      <c r="AD33" s="2147"/>
      <c r="AE33" s="709">
        <f t="shared" si="0"/>
        <v>0</v>
      </c>
      <c r="AF33" s="1846"/>
      <c r="AG33" s="758"/>
      <c r="AH33" s="1495"/>
      <c r="AI33" s="654">
        <f t="shared" si="1"/>
        <v>0</v>
      </c>
      <c r="AJ33" s="618"/>
      <c r="AK33" s="618"/>
      <c r="AL33" s="619"/>
      <c r="AM33" s="620"/>
      <c r="AN33" s="620"/>
      <c r="AO33" s="620"/>
      <c r="AP33" s="620"/>
      <c r="AQ33" s="620"/>
      <c r="AR33" s="620"/>
      <c r="AS33" s="620"/>
      <c r="AT33" s="620"/>
      <c r="AU33" s="620"/>
      <c r="AV33" s="620"/>
      <c r="AW33" s="620"/>
      <c r="AX33" s="620"/>
      <c r="AY33" s="620"/>
      <c r="AZ33" s="620"/>
      <c r="BA33" s="620"/>
      <c r="BB33" s="620"/>
      <c r="BC33" s="620"/>
      <c r="BD33" s="620"/>
      <c r="BE33" s="620"/>
      <c r="BF33" s="620"/>
      <c r="BG33" s="621"/>
      <c r="BH33" s="840" t="str">
        <f t="shared" si="2"/>
        <v/>
      </c>
      <c r="BI33" s="569"/>
      <c r="BJ33" s="458"/>
      <c r="BK33" s="592" t="str">
        <f t="shared" si="3"/>
        <v/>
      </c>
      <c r="BM33" s="592" t="str">
        <f t="shared" si="4"/>
        <v/>
      </c>
      <c r="BO33" s="592">
        <f t="shared" si="5"/>
        <v>0</v>
      </c>
      <c r="BP33" s="592">
        <f t="shared" si="6"/>
        <v>0</v>
      </c>
      <c r="BQ33" s="592" t="str">
        <f t="shared" si="7"/>
        <v/>
      </c>
      <c r="BR33" s="592" t="str">
        <f t="shared" si="8"/>
        <v/>
      </c>
    </row>
    <row r="34" spans="1:70" ht="13.95" customHeight="1">
      <c r="A34" s="1805"/>
      <c r="B34" s="447"/>
      <c r="C34" s="448"/>
      <c r="D34" s="684"/>
      <c r="E34" s="684"/>
      <c r="F34" s="684"/>
      <c r="G34" s="684"/>
      <c r="H34" s="684"/>
      <c r="I34" s="684"/>
      <c r="J34" s="684"/>
      <c r="K34" s="684"/>
      <c r="L34" s="684"/>
      <c r="M34" s="684"/>
      <c r="N34" s="684"/>
      <c r="O34" s="684"/>
      <c r="P34" s="684"/>
      <c r="Q34" s="684"/>
      <c r="R34" s="684"/>
      <c r="S34" s="684"/>
      <c r="T34" s="684"/>
      <c r="U34" s="684"/>
      <c r="V34" s="684"/>
      <c r="W34" s="684"/>
      <c r="X34" s="684"/>
      <c r="Y34" s="684"/>
      <c r="Z34" s="684"/>
      <c r="AA34" s="2145"/>
      <c r="AB34" s="2146"/>
      <c r="AC34" s="2146"/>
      <c r="AD34" s="2147"/>
      <c r="AE34" s="709">
        <f t="shared" si="0"/>
        <v>0</v>
      </c>
      <c r="AF34" s="1846"/>
      <c r="AG34" s="758"/>
      <c r="AH34" s="1495"/>
      <c r="AI34" s="654">
        <f t="shared" si="1"/>
        <v>0</v>
      </c>
      <c r="AJ34" s="813"/>
      <c r="AK34" s="813"/>
      <c r="AL34" s="233"/>
      <c r="AM34" s="684"/>
      <c r="AN34" s="684"/>
      <c r="AO34" s="684"/>
      <c r="AP34" s="684"/>
      <c r="AQ34" s="684"/>
      <c r="AR34" s="684"/>
      <c r="AS34" s="684"/>
      <c r="AT34" s="684"/>
      <c r="AU34" s="684"/>
      <c r="AV34" s="684"/>
      <c r="AW34" s="684"/>
      <c r="AX34" s="684"/>
      <c r="AY34" s="684"/>
      <c r="AZ34" s="684"/>
      <c r="BA34" s="684"/>
      <c r="BB34" s="684"/>
      <c r="BC34" s="684"/>
      <c r="BD34" s="684"/>
      <c r="BE34" s="684"/>
      <c r="BF34" s="684"/>
      <c r="BG34" s="617"/>
      <c r="BH34" s="840" t="str">
        <f t="shared" si="2"/>
        <v/>
      </c>
      <c r="BI34" s="569"/>
      <c r="BJ34" s="458"/>
      <c r="BK34" s="592" t="str">
        <f t="shared" si="3"/>
        <v/>
      </c>
      <c r="BM34" s="592" t="str">
        <f t="shared" si="4"/>
        <v/>
      </c>
      <c r="BO34" s="592">
        <f t="shared" si="5"/>
        <v>0</v>
      </c>
      <c r="BP34" s="592">
        <f t="shared" si="6"/>
        <v>0</v>
      </c>
      <c r="BQ34" s="592" t="str">
        <f t="shared" si="7"/>
        <v/>
      </c>
      <c r="BR34" s="592" t="str">
        <f t="shared" si="8"/>
        <v/>
      </c>
    </row>
    <row r="35" spans="1:70" ht="13.95" customHeight="1">
      <c r="A35" s="1805"/>
      <c r="B35" s="622"/>
      <c r="C35" s="623"/>
      <c r="D35" s="620"/>
      <c r="E35" s="620"/>
      <c r="F35" s="620"/>
      <c r="G35" s="620"/>
      <c r="H35" s="620"/>
      <c r="I35" s="620"/>
      <c r="J35" s="620"/>
      <c r="K35" s="620"/>
      <c r="L35" s="620"/>
      <c r="M35" s="620"/>
      <c r="N35" s="620"/>
      <c r="O35" s="620"/>
      <c r="P35" s="620"/>
      <c r="Q35" s="620"/>
      <c r="R35" s="620"/>
      <c r="S35" s="620"/>
      <c r="T35" s="620"/>
      <c r="U35" s="620"/>
      <c r="V35" s="620"/>
      <c r="W35" s="620"/>
      <c r="X35" s="620"/>
      <c r="Y35" s="620"/>
      <c r="Z35" s="620"/>
      <c r="AA35" s="2145"/>
      <c r="AB35" s="2146"/>
      <c r="AC35" s="2146"/>
      <c r="AD35" s="2147"/>
      <c r="AE35" s="709">
        <f t="shared" si="0"/>
        <v>0</v>
      </c>
      <c r="AF35" s="1846"/>
      <c r="AG35" s="758"/>
      <c r="AH35" s="1495"/>
      <c r="AI35" s="654">
        <f t="shared" si="1"/>
        <v>0</v>
      </c>
      <c r="AJ35" s="618"/>
      <c r="AK35" s="618"/>
      <c r="AL35" s="619"/>
      <c r="AM35" s="620"/>
      <c r="AN35" s="620"/>
      <c r="AO35" s="620"/>
      <c r="AP35" s="620"/>
      <c r="AQ35" s="620"/>
      <c r="AR35" s="620"/>
      <c r="AS35" s="620"/>
      <c r="AT35" s="620"/>
      <c r="AU35" s="620"/>
      <c r="AV35" s="620"/>
      <c r="AW35" s="620"/>
      <c r="AX35" s="620"/>
      <c r="AY35" s="620"/>
      <c r="AZ35" s="620"/>
      <c r="BA35" s="620"/>
      <c r="BB35" s="620"/>
      <c r="BC35" s="620"/>
      <c r="BD35" s="620"/>
      <c r="BE35" s="620"/>
      <c r="BF35" s="620"/>
      <c r="BG35" s="621"/>
      <c r="BH35" s="840" t="str">
        <f t="shared" si="2"/>
        <v/>
      </c>
      <c r="BI35" s="569"/>
      <c r="BJ35" s="458"/>
      <c r="BK35" s="592" t="str">
        <f t="shared" si="3"/>
        <v/>
      </c>
      <c r="BM35" s="592" t="str">
        <f t="shared" si="4"/>
        <v/>
      </c>
      <c r="BO35" s="592">
        <f t="shared" si="5"/>
        <v>0</v>
      </c>
      <c r="BP35" s="592">
        <f t="shared" si="6"/>
        <v>0</v>
      </c>
      <c r="BQ35" s="592" t="str">
        <f t="shared" si="7"/>
        <v/>
      </c>
      <c r="BR35" s="592" t="str">
        <f t="shared" si="8"/>
        <v/>
      </c>
    </row>
    <row r="36" spans="1:70" ht="13.95" customHeight="1">
      <c r="A36" s="1805"/>
      <c r="B36" s="447"/>
      <c r="C36" s="448"/>
      <c r="D36" s="684"/>
      <c r="E36" s="684"/>
      <c r="F36" s="684"/>
      <c r="G36" s="684"/>
      <c r="H36" s="684"/>
      <c r="I36" s="684"/>
      <c r="J36" s="684"/>
      <c r="K36" s="684"/>
      <c r="L36" s="684"/>
      <c r="M36" s="684"/>
      <c r="N36" s="684"/>
      <c r="O36" s="684"/>
      <c r="P36" s="684"/>
      <c r="Q36" s="684"/>
      <c r="R36" s="684"/>
      <c r="S36" s="684"/>
      <c r="T36" s="684"/>
      <c r="U36" s="684"/>
      <c r="V36" s="684"/>
      <c r="W36" s="684"/>
      <c r="X36" s="684"/>
      <c r="Y36" s="684"/>
      <c r="Z36" s="684"/>
      <c r="AA36" s="2145"/>
      <c r="AB36" s="2146"/>
      <c r="AC36" s="2146"/>
      <c r="AD36" s="2147"/>
      <c r="AE36" s="709">
        <f t="shared" si="0"/>
        <v>0</v>
      </c>
      <c r="AF36" s="1846"/>
      <c r="AG36" s="758"/>
      <c r="AH36" s="1495"/>
      <c r="AI36" s="654">
        <f t="shared" si="1"/>
        <v>0</v>
      </c>
      <c r="AJ36" s="813"/>
      <c r="AK36" s="813"/>
      <c r="AL36" s="233"/>
      <c r="AM36" s="684"/>
      <c r="AN36" s="684"/>
      <c r="AO36" s="684"/>
      <c r="AP36" s="684"/>
      <c r="AQ36" s="684"/>
      <c r="AR36" s="684"/>
      <c r="AS36" s="684"/>
      <c r="AT36" s="684"/>
      <c r="AU36" s="684"/>
      <c r="AV36" s="684"/>
      <c r="AW36" s="684"/>
      <c r="AX36" s="684"/>
      <c r="AY36" s="684"/>
      <c r="AZ36" s="684"/>
      <c r="BA36" s="684"/>
      <c r="BB36" s="684"/>
      <c r="BC36" s="684"/>
      <c r="BD36" s="684"/>
      <c r="BE36" s="684"/>
      <c r="BF36" s="684"/>
      <c r="BG36" s="617"/>
      <c r="BH36" s="840" t="str">
        <f t="shared" si="2"/>
        <v/>
      </c>
      <c r="BI36" s="569"/>
      <c r="BJ36" s="458"/>
      <c r="BK36" s="592" t="str">
        <f t="shared" si="3"/>
        <v/>
      </c>
      <c r="BM36" s="592" t="str">
        <f t="shared" si="4"/>
        <v/>
      </c>
      <c r="BO36" s="592">
        <f t="shared" si="5"/>
        <v>0</v>
      </c>
      <c r="BP36" s="592">
        <f t="shared" si="6"/>
        <v>0</v>
      </c>
      <c r="BQ36" s="592" t="str">
        <f t="shared" si="7"/>
        <v/>
      </c>
      <c r="BR36" s="592" t="str">
        <f t="shared" si="8"/>
        <v/>
      </c>
    </row>
    <row r="37" spans="1:70" ht="14.55" customHeight="1">
      <c r="A37" s="1805"/>
      <c r="B37" s="622"/>
      <c r="C37" s="623"/>
      <c r="D37" s="620"/>
      <c r="E37" s="620"/>
      <c r="F37" s="620"/>
      <c r="G37" s="620"/>
      <c r="H37" s="620"/>
      <c r="I37" s="620"/>
      <c r="J37" s="620"/>
      <c r="K37" s="620"/>
      <c r="L37" s="620"/>
      <c r="M37" s="620"/>
      <c r="N37" s="620"/>
      <c r="O37" s="620"/>
      <c r="P37" s="620"/>
      <c r="Q37" s="620"/>
      <c r="R37" s="620"/>
      <c r="S37" s="620"/>
      <c r="T37" s="620"/>
      <c r="U37" s="620"/>
      <c r="V37" s="620"/>
      <c r="W37" s="620"/>
      <c r="X37" s="620"/>
      <c r="Y37" s="620"/>
      <c r="Z37" s="620"/>
      <c r="AA37" s="2145"/>
      <c r="AB37" s="2146"/>
      <c r="AC37" s="2146"/>
      <c r="AD37" s="2147"/>
      <c r="AE37" s="709">
        <f t="shared" si="0"/>
        <v>0</v>
      </c>
      <c r="AF37" s="1846"/>
      <c r="AG37" s="758"/>
      <c r="AH37" s="1495"/>
      <c r="AI37" s="654">
        <f t="shared" si="1"/>
        <v>0</v>
      </c>
      <c r="AJ37" s="618"/>
      <c r="AK37" s="618"/>
      <c r="AL37" s="619"/>
      <c r="AM37" s="620"/>
      <c r="AN37" s="620"/>
      <c r="AO37" s="620"/>
      <c r="AP37" s="620"/>
      <c r="AQ37" s="620"/>
      <c r="AR37" s="620"/>
      <c r="AS37" s="620"/>
      <c r="AT37" s="620"/>
      <c r="AU37" s="620"/>
      <c r="AV37" s="620"/>
      <c r="AW37" s="620"/>
      <c r="AX37" s="620"/>
      <c r="AY37" s="620"/>
      <c r="AZ37" s="620"/>
      <c r="BA37" s="620"/>
      <c r="BB37" s="620"/>
      <c r="BC37" s="620"/>
      <c r="BD37" s="620"/>
      <c r="BE37" s="620"/>
      <c r="BF37" s="620"/>
      <c r="BG37" s="621"/>
      <c r="BH37" s="840" t="str">
        <f t="shared" si="2"/>
        <v/>
      </c>
      <c r="BI37" s="569"/>
      <c r="BJ37" s="458"/>
      <c r="BK37" s="592" t="str">
        <f t="shared" si="3"/>
        <v/>
      </c>
      <c r="BM37" s="592" t="str">
        <f t="shared" si="4"/>
        <v/>
      </c>
      <c r="BO37" s="592">
        <f t="shared" si="5"/>
        <v>0</v>
      </c>
      <c r="BP37" s="592">
        <f t="shared" si="6"/>
        <v>0</v>
      </c>
      <c r="BQ37" s="592" t="str">
        <f t="shared" si="7"/>
        <v/>
      </c>
      <c r="BR37" s="592" t="str">
        <f t="shared" si="8"/>
        <v/>
      </c>
    </row>
    <row r="38" spans="1:70" ht="13.95" customHeight="1">
      <c r="A38" s="1805"/>
      <c r="B38" s="447"/>
      <c r="C38" s="448"/>
      <c r="D38" s="684"/>
      <c r="E38" s="684"/>
      <c r="F38" s="684"/>
      <c r="G38" s="684"/>
      <c r="H38" s="684"/>
      <c r="I38" s="684"/>
      <c r="J38" s="684"/>
      <c r="K38" s="684"/>
      <c r="L38" s="684"/>
      <c r="M38" s="684"/>
      <c r="N38" s="684"/>
      <c r="O38" s="684"/>
      <c r="P38" s="684"/>
      <c r="Q38" s="684"/>
      <c r="R38" s="684"/>
      <c r="S38" s="684"/>
      <c r="T38" s="684"/>
      <c r="U38" s="684"/>
      <c r="V38" s="684"/>
      <c r="W38" s="684"/>
      <c r="X38" s="684"/>
      <c r="Y38" s="684"/>
      <c r="Z38" s="684"/>
      <c r="AA38" s="2145"/>
      <c r="AB38" s="2146"/>
      <c r="AC38" s="2146"/>
      <c r="AD38" s="2147"/>
      <c r="AE38" s="709">
        <f t="shared" si="0"/>
        <v>0</v>
      </c>
      <c r="AF38" s="1846"/>
      <c r="AG38" s="758"/>
      <c r="AH38" s="1495"/>
      <c r="AI38" s="654">
        <f t="shared" si="1"/>
        <v>0</v>
      </c>
      <c r="AJ38" s="813"/>
      <c r="AK38" s="813"/>
      <c r="AL38" s="233"/>
      <c r="AM38" s="684"/>
      <c r="AN38" s="684"/>
      <c r="AO38" s="684"/>
      <c r="AP38" s="684"/>
      <c r="AQ38" s="684"/>
      <c r="AR38" s="684"/>
      <c r="AS38" s="684"/>
      <c r="AT38" s="684"/>
      <c r="AU38" s="684"/>
      <c r="AV38" s="684"/>
      <c r="AW38" s="684"/>
      <c r="AX38" s="684"/>
      <c r="AY38" s="684"/>
      <c r="AZ38" s="684"/>
      <c r="BA38" s="684"/>
      <c r="BB38" s="684"/>
      <c r="BC38" s="684"/>
      <c r="BD38" s="684"/>
      <c r="BE38" s="684"/>
      <c r="BF38" s="684"/>
      <c r="BG38" s="617"/>
      <c r="BH38" s="840" t="str">
        <f t="shared" si="2"/>
        <v/>
      </c>
      <c r="BI38" s="569"/>
      <c r="BJ38" s="458"/>
      <c r="BK38" s="592" t="str">
        <f t="shared" si="3"/>
        <v/>
      </c>
      <c r="BM38" s="592" t="str">
        <f t="shared" si="4"/>
        <v/>
      </c>
      <c r="BO38" s="592">
        <f t="shared" si="5"/>
        <v>0</v>
      </c>
      <c r="BP38" s="592">
        <f t="shared" si="6"/>
        <v>0</v>
      </c>
      <c r="BQ38" s="592" t="str">
        <f t="shared" si="7"/>
        <v/>
      </c>
      <c r="BR38" s="592" t="str">
        <f t="shared" si="8"/>
        <v/>
      </c>
    </row>
    <row r="39" spans="1:70" ht="13.95" customHeight="1">
      <c r="A39" s="1805"/>
      <c r="B39" s="622"/>
      <c r="C39" s="623"/>
      <c r="D39" s="620"/>
      <c r="E39" s="620"/>
      <c r="F39" s="620"/>
      <c r="G39" s="620"/>
      <c r="H39" s="620"/>
      <c r="I39" s="620"/>
      <c r="J39" s="620"/>
      <c r="K39" s="620"/>
      <c r="L39" s="620"/>
      <c r="M39" s="620"/>
      <c r="N39" s="620"/>
      <c r="O39" s="620"/>
      <c r="P39" s="620"/>
      <c r="Q39" s="620"/>
      <c r="R39" s="620"/>
      <c r="S39" s="620"/>
      <c r="T39" s="620"/>
      <c r="U39" s="620"/>
      <c r="V39" s="620"/>
      <c r="W39" s="620"/>
      <c r="X39" s="620"/>
      <c r="Y39" s="620"/>
      <c r="Z39" s="620"/>
      <c r="AA39" s="2145"/>
      <c r="AB39" s="2146"/>
      <c r="AC39" s="2146"/>
      <c r="AD39" s="2147"/>
      <c r="AE39" s="709">
        <f t="shared" si="0"/>
        <v>0</v>
      </c>
      <c r="AF39" s="1846"/>
      <c r="AG39" s="758"/>
      <c r="AH39" s="1495"/>
      <c r="AI39" s="654">
        <f t="shared" si="1"/>
        <v>0</v>
      </c>
      <c r="AJ39" s="618"/>
      <c r="AK39" s="618"/>
      <c r="AL39" s="619"/>
      <c r="AM39" s="620"/>
      <c r="AN39" s="620"/>
      <c r="AO39" s="620"/>
      <c r="AP39" s="620"/>
      <c r="AQ39" s="620"/>
      <c r="AR39" s="620"/>
      <c r="AS39" s="620"/>
      <c r="AT39" s="620"/>
      <c r="AU39" s="620"/>
      <c r="AV39" s="620"/>
      <c r="AW39" s="620"/>
      <c r="AX39" s="620"/>
      <c r="AY39" s="620"/>
      <c r="AZ39" s="620"/>
      <c r="BA39" s="620"/>
      <c r="BB39" s="620"/>
      <c r="BC39" s="620"/>
      <c r="BD39" s="620"/>
      <c r="BE39" s="620"/>
      <c r="BF39" s="620"/>
      <c r="BG39" s="621"/>
      <c r="BH39" s="840" t="str">
        <f t="shared" si="2"/>
        <v/>
      </c>
      <c r="BI39" s="569"/>
      <c r="BJ39" s="458"/>
      <c r="BK39" s="592" t="str">
        <f t="shared" si="3"/>
        <v/>
      </c>
      <c r="BM39" s="592" t="str">
        <f t="shared" si="4"/>
        <v/>
      </c>
      <c r="BO39" s="592">
        <f t="shared" si="5"/>
        <v>0</v>
      </c>
      <c r="BP39" s="592">
        <f t="shared" si="6"/>
        <v>0</v>
      </c>
      <c r="BQ39" s="592" t="str">
        <f t="shared" si="7"/>
        <v/>
      </c>
      <c r="BR39" s="592" t="str">
        <f t="shared" si="8"/>
        <v/>
      </c>
    </row>
    <row r="40" spans="1:70" ht="13.95" customHeight="1">
      <c r="A40" s="1805"/>
      <c r="B40" s="447"/>
      <c r="C40" s="448"/>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2145"/>
      <c r="AB40" s="2146"/>
      <c r="AC40" s="2146"/>
      <c r="AD40" s="2147"/>
      <c r="AE40" s="709">
        <f t="shared" si="0"/>
        <v>0</v>
      </c>
      <c r="AF40" s="1846"/>
      <c r="AG40" s="758"/>
      <c r="AH40" s="1495"/>
      <c r="AI40" s="654">
        <f t="shared" si="1"/>
        <v>0</v>
      </c>
      <c r="AJ40" s="813"/>
      <c r="AK40" s="813"/>
      <c r="AL40" s="233"/>
      <c r="AM40" s="684"/>
      <c r="AN40" s="684"/>
      <c r="AO40" s="684"/>
      <c r="AP40" s="684"/>
      <c r="AQ40" s="684"/>
      <c r="AR40" s="684"/>
      <c r="AS40" s="684"/>
      <c r="AT40" s="684"/>
      <c r="AU40" s="684"/>
      <c r="AV40" s="684"/>
      <c r="AW40" s="684"/>
      <c r="AX40" s="684"/>
      <c r="AY40" s="684"/>
      <c r="AZ40" s="684"/>
      <c r="BA40" s="684"/>
      <c r="BB40" s="684"/>
      <c r="BC40" s="684"/>
      <c r="BD40" s="684"/>
      <c r="BE40" s="684"/>
      <c r="BF40" s="684"/>
      <c r="BG40" s="617"/>
      <c r="BH40" s="840" t="str">
        <f t="shared" si="2"/>
        <v/>
      </c>
      <c r="BI40" s="569"/>
      <c r="BJ40" s="458"/>
      <c r="BK40" s="592" t="str">
        <f t="shared" si="3"/>
        <v/>
      </c>
      <c r="BM40" s="592" t="str">
        <f t="shared" si="4"/>
        <v/>
      </c>
      <c r="BO40" s="592">
        <f t="shared" si="5"/>
        <v>0</v>
      </c>
      <c r="BP40" s="592">
        <f t="shared" si="6"/>
        <v>0</v>
      </c>
      <c r="BQ40" s="592" t="str">
        <f t="shared" si="7"/>
        <v/>
      </c>
      <c r="BR40" s="592" t="str">
        <f t="shared" si="8"/>
        <v/>
      </c>
    </row>
    <row r="41" spans="1:70" ht="13.95" customHeight="1">
      <c r="A41" s="1805"/>
      <c r="B41" s="622"/>
      <c r="C41" s="623"/>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2145"/>
      <c r="AB41" s="2146"/>
      <c r="AC41" s="2146"/>
      <c r="AD41" s="2147"/>
      <c r="AE41" s="709">
        <f t="shared" si="0"/>
        <v>0</v>
      </c>
      <c r="AF41" s="1846"/>
      <c r="AG41" s="758"/>
      <c r="AH41" s="1495"/>
      <c r="AI41" s="654">
        <f t="shared" si="1"/>
        <v>0</v>
      </c>
      <c r="AJ41" s="618"/>
      <c r="AK41" s="618"/>
      <c r="AL41" s="619"/>
      <c r="AM41" s="620"/>
      <c r="AN41" s="620"/>
      <c r="AO41" s="620"/>
      <c r="AP41" s="620"/>
      <c r="AQ41" s="620"/>
      <c r="AR41" s="620"/>
      <c r="AS41" s="620"/>
      <c r="AT41" s="620"/>
      <c r="AU41" s="620"/>
      <c r="AV41" s="620"/>
      <c r="AW41" s="620"/>
      <c r="AX41" s="620"/>
      <c r="AY41" s="620"/>
      <c r="AZ41" s="620"/>
      <c r="BA41" s="620"/>
      <c r="BB41" s="620"/>
      <c r="BC41" s="620"/>
      <c r="BD41" s="620"/>
      <c r="BE41" s="620"/>
      <c r="BF41" s="620"/>
      <c r="BG41" s="621"/>
      <c r="BH41" s="840" t="str">
        <f t="shared" si="2"/>
        <v/>
      </c>
      <c r="BI41" s="569"/>
      <c r="BJ41" s="458"/>
      <c r="BK41" s="592" t="str">
        <f t="shared" si="3"/>
        <v/>
      </c>
      <c r="BM41" s="592" t="str">
        <f t="shared" si="4"/>
        <v/>
      </c>
      <c r="BO41" s="592">
        <f t="shared" si="5"/>
        <v>0</v>
      </c>
      <c r="BP41" s="592">
        <f t="shared" si="6"/>
        <v>0</v>
      </c>
      <c r="BQ41" s="592" t="str">
        <f t="shared" si="7"/>
        <v/>
      </c>
      <c r="BR41" s="592" t="str">
        <f t="shared" si="8"/>
        <v/>
      </c>
    </row>
    <row r="42" spans="1:70" ht="13.95" customHeight="1">
      <c r="A42" s="1805"/>
      <c r="B42" s="447"/>
      <c r="C42" s="448"/>
      <c r="D42" s="684"/>
      <c r="E42" s="684"/>
      <c r="F42" s="684"/>
      <c r="G42" s="684"/>
      <c r="H42" s="684"/>
      <c r="I42" s="684"/>
      <c r="J42" s="684"/>
      <c r="K42" s="684"/>
      <c r="L42" s="684"/>
      <c r="M42" s="684"/>
      <c r="N42" s="684"/>
      <c r="O42" s="684"/>
      <c r="P42" s="684"/>
      <c r="Q42" s="684"/>
      <c r="R42" s="684"/>
      <c r="S42" s="684"/>
      <c r="T42" s="684"/>
      <c r="U42" s="684"/>
      <c r="V42" s="684"/>
      <c r="W42" s="684"/>
      <c r="X42" s="684"/>
      <c r="Y42" s="684"/>
      <c r="Z42" s="684"/>
      <c r="AA42" s="2145"/>
      <c r="AB42" s="2146"/>
      <c r="AC42" s="2146"/>
      <c r="AD42" s="2147"/>
      <c r="AE42" s="709">
        <f>((D42*$D$22)+($E$22*E42)+($F$22*F42)+($G$22*G42)+($H$22*H42)+($I$22*I42)+($J$22*J42)+($K$22*K42)+($L$22*L42)+($M$22*M42)+($N$22*N42)+($O$22*O42)+($P$22*P42)+($Q$22*Q42)+($R$22*R42)+($S$22*S42)+($T$22*T42)+($U$22*U42)+($V$22*V42)+($W$22*W42)+($X$22*X42)+($Y$22*Y42)+($Z$22*Z42))*C42*8.76</f>
        <v>0</v>
      </c>
      <c r="AF42" s="1846"/>
      <c r="AG42" s="758"/>
      <c r="AH42" s="1495"/>
      <c r="AI42" s="654">
        <f t="shared" si="1"/>
        <v>0</v>
      </c>
      <c r="AJ42" s="813"/>
      <c r="AK42" s="813"/>
      <c r="AL42" s="233"/>
      <c r="AM42" s="684"/>
      <c r="AN42" s="684"/>
      <c r="AO42" s="684"/>
      <c r="AP42" s="684"/>
      <c r="AQ42" s="684"/>
      <c r="AR42" s="684"/>
      <c r="AS42" s="684"/>
      <c r="AT42" s="684"/>
      <c r="AU42" s="684"/>
      <c r="AV42" s="684"/>
      <c r="AW42" s="684"/>
      <c r="AX42" s="684"/>
      <c r="AY42" s="684"/>
      <c r="AZ42" s="684"/>
      <c r="BA42" s="684"/>
      <c r="BB42" s="684"/>
      <c r="BC42" s="684"/>
      <c r="BD42" s="684"/>
      <c r="BE42" s="684"/>
      <c r="BF42" s="684"/>
      <c r="BG42" s="617"/>
      <c r="BH42" s="840" t="str">
        <f t="shared" si="2"/>
        <v/>
      </c>
      <c r="BI42" s="569"/>
      <c r="BJ42" s="458"/>
      <c r="BK42" s="592" t="str">
        <f t="shared" si="3"/>
        <v/>
      </c>
      <c r="BM42" s="592" t="str">
        <f t="shared" si="4"/>
        <v/>
      </c>
      <c r="BO42" s="592">
        <f t="shared" si="5"/>
        <v>0</v>
      </c>
      <c r="BP42" s="592">
        <f t="shared" si="6"/>
        <v>0</v>
      </c>
      <c r="BQ42" s="592" t="str">
        <f t="shared" si="7"/>
        <v/>
      </c>
      <c r="BR42" s="592" t="str">
        <f t="shared" si="8"/>
        <v/>
      </c>
    </row>
    <row r="43" spans="1:70" ht="14.55" customHeight="1">
      <c r="A43" s="1805"/>
      <c r="B43" s="622"/>
      <c r="C43" s="623"/>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2145"/>
      <c r="AB43" s="2146"/>
      <c r="AC43" s="2146"/>
      <c r="AD43" s="2147"/>
      <c r="AE43" s="709">
        <f t="shared" si="0"/>
        <v>0</v>
      </c>
      <c r="AF43" s="1846"/>
      <c r="AG43" s="758"/>
      <c r="AH43" s="1495"/>
      <c r="AI43" s="654">
        <f t="shared" si="1"/>
        <v>0</v>
      </c>
      <c r="AJ43" s="618"/>
      <c r="AK43" s="618"/>
      <c r="AL43" s="619"/>
      <c r="AM43" s="620"/>
      <c r="AN43" s="620"/>
      <c r="AO43" s="620"/>
      <c r="AP43" s="620"/>
      <c r="AQ43" s="620"/>
      <c r="AR43" s="620"/>
      <c r="AS43" s="620"/>
      <c r="AT43" s="620"/>
      <c r="AU43" s="620"/>
      <c r="AV43" s="620"/>
      <c r="AW43" s="620"/>
      <c r="AX43" s="620"/>
      <c r="AY43" s="620"/>
      <c r="AZ43" s="620"/>
      <c r="BA43" s="620"/>
      <c r="BB43" s="620"/>
      <c r="BC43" s="620"/>
      <c r="BD43" s="620"/>
      <c r="BE43" s="620"/>
      <c r="BF43" s="620"/>
      <c r="BG43" s="621"/>
      <c r="BH43" s="840" t="str">
        <f t="shared" si="2"/>
        <v/>
      </c>
      <c r="BI43" s="569"/>
      <c r="BJ43" s="458"/>
      <c r="BK43" s="592" t="str">
        <f t="shared" si="3"/>
        <v/>
      </c>
      <c r="BM43" s="592" t="str">
        <f t="shared" si="4"/>
        <v/>
      </c>
      <c r="BO43" s="592">
        <f t="shared" si="5"/>
        <v>0</v>
      </c>
      <c r="BP43" s="592">
        <f t="shared" si="6"/>
        <v>0</v>
      </c>
      <c r="BQ43" s="592" t="str">
        <f t="shared" si="7"/>
        <v/>
      </c>
      <c r="BR43" s="592" t="str">
        <f t="shared" si="8"/>
        <v/>
      </c>
    </row>
    <row r="44" spans="1:70" ht="13.95" customHeight="1">
      <c r="A44" s="1805"/>
      <c r="B44" s="447"/>
      <c r="C44" s="448"/>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2145"/>
      <c r="AB44" s="2146"/>
      <c r="AC44" s="2146"/>
      <c r="AD44" s="2147"/>
      <c r="AE44" s="709">
        <f t="shared" si="0"/>
        <v>0</v>
      </c>
      <c r="AF44" s="1846"/>
      <c r="AG44" s="758"/>
      <c r="AH44" s="1495"/>
      <c r="AI44" s="654">
        <f t="shared" si="1"/>
        <v>0</v>
      </c>
      <c r="AJ44" s="813"/>
      <c r="AK44" s="813"/>
      <c r="AL44" s="233"/>
      <c r="AM44" s="684"/>
      <c r="AN44" s="684"/>
      <c r="AO44" s="684"/>
      <c r="AP44" s="684"/>
      <c r="AQ44" s="684"/>
      <c r="AR44" s="684"/>
      <c r="AS44" s="684"/>
      <c r="AT44" s="684"/>
      <c r="AU44" s="684"/>
      <c r="AV44" s="684"/>
      <c r="AW44" s="684"/>
      <c r="AX44" s="684"/>
      <c r="AY44" s="684"/>
      <c r="AZ44" s="684"/>
      <c r="BA44" s="684"/>
      <c r="BB44" s="684"/>
      <c r="BC44" s="684"/>
      <c r="BD44" s="684"/>
      <c r="BE44" s="684"/>
      <c r="BF44" s="684"/>
      <c r="BG44" s="617"/>
      <c r="BH44" s="840" t="str">
        <f t="shared" si="2"/>
        <v/>
      </c>
      <c r="BI44" s="569"/>
      <c r="BJ44" s="458"/>
      <c r="BK44" s="592" t="str">
        <f t="shared" si="3"/>
        <v/>
      </c>
      <c r="BM44" s="592" t="str">
        <f t="shared" si="4"/>
        <v/>
      </c>
      <c r="BO44" s="592">
        <f t="shared" si="5"/>
        <v>0</v>
      </c>
      <c r="BP44" s="592">
        <f t="shared" si="6"/>
        <v>0</v>
      </c>
      <c r="BQ44" s="592" t="str">
        <f t="shared" si="7"/>
        <v/>
      </c>
      <c r="BR44" s="592" t="str">
        <f t="shared" si="8"/>
        <v/>
      </c>
    </row>
    <row r="45" spans="1:70" ht="13.95" customHeight="1">
      <c r="A45" s="1805"/>
      <c r="B45" s="622"/>
      <c r="C45" s="623"/>
      <c r="D45" s="620"/>
      <c r="E45" s="620"/>
      <c r="F45" s="620"/>
      <c r="G45" s="620"/>
      <c r="H45" s="620"/>
      <c r="I45" s="620"/>
      <c r="J45" s="620"/>
      <c r="K45" s="620"/>
      <c r="L45" s="620"/>
      <c r="M45" s="620"/>
      <c r="N45" s="620"/>
      <c r="O45" s="620"/>
      <c r="P45" s="620"/>
      <c r="Q45" s="620"/>
      <c r="R45" s="620"/>
      <c r="S45" s="620"/>
      <c r="T45" s="620"/>
      <c r="U45" s="620"/>
      <c r="V45" s="620"/>
      <c r="W45" s="620"/>
      <c r="X45" s="620"/>
      <c r="Y45" s="620"/>
      <c r="Z45" s="620"/>
      <c r="AA45" s="2145"/>
      <c r="AB45" s="2146"/>
      <c r="AC45" s="2146"/>
      <c r="AD45" s="2147"/>
      <c r="AE45" s="709">
        <f t="shared" si="0"/>
        <v>0</v>
      </c>
      <c r="AF45" s="1846"/>
      <c r="AG45" s="758"/>
      <c r="AH45" s="1495"/>
      <c r="AI45" s="654">
        <f t="shared" si="1"/>
        <v>0</v>
      </c>
      <c r="AJ45" s="618"/>
      <c r="AK45" s="618"/>
      <c r="AL45" s="619"/>
      <c r="AM45" s="620"/>
      <c r="AN45" s="620"/>
      <c r="AO45" s="620"/>
      <c r="AP45" s="620"/>
      <c r="AQ45" s="620"/>
      <c r="AR45" s="620"/>
      <c r="AS45" s="620"/>
      <c r="AT45" s="620"/>
      <c r="AU45" s="620"/>
      <c r="AV45" s="620"/>
      <c r="AW45" s="620"/>
      <c r="AX45" s="620"/>
      <c r="AY45" s="620"/>
      <c r="AZ45" s="620"/>
      <c r="BA45" s="620"/>
      <c r="BB45" s="620"/>
      <c r="BC45" s="620"/>
      <c r="BD45" s="620"/>
      <c r="BE45" s="620"/>
      <c r="BF45" s="620"/>
      <c r="BG45" s="621"/>
      <c r="BH45" s="840" t="str">
        <f t="shared" si="2"/>
        <v/>
      </c>
      <c r="BI45" s="569"/>
      <c r="BJ45" s="458"/>
      <c r="BK45" s="592" t="str">
        <f t="shared" si="3"/>
        <v/>
      </c>
      <c r="BM45" s="592" t="str">
        <f t="shared" si="4"/>
        <v/>
      </c>
      <c r="BO45" s="592">
        <f t="shared" si="5"/>
        <v>0</v>
      </c>
      <c r="BP45" s="592">
        <f t="shared" si="6"/>
        <v>0</v>
      </c>
      <c r="BQ45" s="592" t="str">
        <f t="shared" si="7"/>
        <v/>
      </c>
      <c r="BR45" s="592" t="str">
        <f t="shared" si="8"/>
        <v/>
      </c>
    </row>
    <row r="46" spans="1:70" ht="13.95" customHeight="1">
      <c r="A46" s="1805"/>
      <c r="B46" s="447"/>
      <c r="C46" s="448"/>
      <c r="D46" s="684"/>
      <c r="E46" s="684"/>
      <c r="F46" s="684"/>
      <c r="G46" s="684"/>
      <c r="H46" s="684"/>
      <c r="I46" s="684"/>
      <c r="J46" s="684"/>
      <c r="K46" s="684"/>
      <c r="L46" s="684"/>
      <c r="M46" s="684"/>
      <c r="N46" s="684"/>
      <c r="O46" s="684"/>
      <c r="P46" s="684"/>
      <c r="Q46" s="684"/>
      <c r="R46" s="684"/>
      <c r="S46" s="684"/>
      <c r="T46" s="684"/>
      <c r="U46" s="684"/>
      <c r="V46" s="684"/>
      <c r="W46" s="684"/>
      <c r="X46" s="684"/>
      <c r="Y46" s="684"/>
      <c r="Z46" s="684"/>
      <c r="AA46" s="2145"/>
      <c r="AB46" s="2146"/>
      <c r="AC46" s="2146"/>
      <c r="AD46" s="2147"/>
      <c r="AE46" s="709">
        <f t="shared" si="0"/>
        <v>0</v>
      </c>
      <c r="AF46" s="1846"/>
      <c r="AG46" s="758"/>
      <c r="AH46" s="1495"/>
      <c r="AI46" s="654">
        <f t="shared" si="1"/>
        <v>0</v>
      </c>
      <c r="AJ46" s="813"/>
      <c r="AK46" s="813"/>
      <c r="AL46" s="233"/>
      <c r="AM46" s="684"/>
      <c r="AN46" s="684"/>
      <c r="AO46" s="684"/>
      <c r="AP46" s="684"/>
      <c r="AQ46" s="684"/>
      <c r="AR46" s="684"/>
      <c r="AS46" s="684"/>
      <c r="AT46" s="684"/>
      <c r="AU46" s="684"/>
      <c r="AV46" s="684"/>
      <c r="AW46" s="684"/>
      <c r="AX46" s="684"/>
      <c r="AY46" s="684"/>
      <c r="AZ46" s="684"/>
      <c r="BA46" s="684"/>
      <c r="BB46" s="684"/>
      <c r="BC46" s="684"/>
      <c r="BD46" s="684"/>
      <c r="BE46" s="684"/>
      <c r="BF46" s="684"/>
      <c r="BG46" s="617"/>
      <c r="BH46" s="840" t="str">
        <f t="shared" si="2"/>
        <v/>
      </c>
      <c r="BI46" s="569"/>
      <c r="BJ46" s="458"/>
      <c r="BK46" s="592" t="str">
        <f t="shared" si="3"/>
        <v/>
      </c>
      <c r="BM46" s="592" t="str">
        <f t="shared" si="4"/>
        <v/>
      </c>
      <c r="BO46" s="592">
        <f t="shared" si="5"/>
        <v>0</v>
      </c>
      <c r="BP46" s="592">
        <f t="shared" si="6"/>
        <v>0</v>
      </c>
      <c r="BQ46" s="592" t="str">
        <f t="shared" si="7"/>
        <v/>
      </c>
      <c r="BR46" s="592" t="str">
        <f t="shared" si="8"/>
        <v/>
      </c>
    </row>
    <row r="47" spans="1:70" ht="13.95" customHeight="1">
      <c r="A47" s="1805"/>
      <c r="B47" s="622"/>
      <c r="C47" s="623"/>
      <c r="D47" s="620"/>
      <c r="E47" s="620"/>
      <c r="F47" s="620"/>
      <c r="G47" s="620"/>
      <c r="H47" s="620"/>
      <c r="I47" s="620"/>
      <c r="J47" s="620"/>
      <c r="K47" s="620"/>
      <c r="L47" s="620"/>
      <c r="M47" s="620"/>
      <c r="N47" s="620"/>
      <c r="O47" s="620"/>
      <c r="P47" s="620"/>
      <c r="Q47" s="620"/>
      <c r="R47" s="620"/>
      <c r="S47" s="620"/>
      <c r="T47" s="620"/>
      <c r="U47" s="620"/>
      <c r="V47" s="620"/>
      <c r="W47" s="620"/>
      <c r="X47" s="620"/>
      <c r="Y47" s="620"/>
      <c r="Z47" s="620"/>
      <c r="AA47" s="2145"/>
      <c r="AB47" s="2146"/>
      <c r="AC47" s="2146"/>
      <c r="AD47" s="2147"/>
      <c r="AE47" s="709">
        <f t="shared" si="0"/>
        <v>0</v>
      </c>
      <c r="AF47" s="1846"/>
      <c r="AG47" s="758"/>
      <c r="AH47" s="1495"/>
      <c r="AI47" s="654">
        <f t="shared" si="1"/>
        <v>0</v>
      </c>
      <c r="AJ47" s="618"/>
      <c r="AK47" s="618"/>
      <c r="AL47" s="619"/>
      <c r="AM47" s="620"/>
      <c r="AN47" s="620"/>
      <c r="AO47" s="620"/>
      <c r="AP47" s="620"/>
      <c r="AQ47" s="620"/>
      <c r="AR47" s="620"/>
      <c r="AS47" s="620"/>
      <c r="AT47" s="620"/>
      <c r="AU47" s="620"/>
      <c r="AV47" s="620"/>
      <c r="AW47" s="620"/>
      <c r="AX47" s="620"/>
      <c r="AY47" s="620"/>
      <c r="AZ47" s="620"/>
      <c r="BA47" s="620"/>
      <c r="BB47" s="620"/>
      <c r="BC47" s="620"/>
      <c r="BD47" s="620"/>
      <c r="BE47" s="620"/>
      <c r="BF47" s="620"/>
      <c r="BG47" s="621"/>
      <c r="BH47" s="840" t="str">
        <f t="shared" si="2"/>
        <v/>
      </c>
      <c r="BI47" s="569"/>
      <c r="BJ47" s="458"/>
      <c r="BK47" s="592" t="str">
        <f t="shared" si="3"/>
        <v/>
      </c>
      <c r="BM47" s="592" t="str">
        <f t="shared" si="4"/>
        <v/>
      </c>
      <c r="BO47" s="592">
        <f t="shared" si="5"/>
        <v>0</v>
      </c>
      <c r="BP47" s="592">
        <f t="shared" si="6"/>
        <v>0</v>
      </c>
      <c r="BQ47" s="592" t="str">
        <f t="shared" si="7"/>
        <v/>
      </c>
      <c r="BR47" s="592" t="str">
        <f t="shared" si="8"/>
        <v/>
      </c>
    </row>
    <row r="48" spans="1:70" ht="13.95" customHeight="1">
      <c r="A48" s="1805"/>
      <c r="B48" s="447"/>
      <c r="C48" s="448"/>
      <c r="D48" s="684"/>
      <c r="E48" s="684"/>
      <c r="F48" s="684"/>
      <c r="G48" s="684"/>
      <c r="H48" s="684"/>
      <c r="I48" s="684"/>
      <c r="J48" s="684"/>
      <c r="K48" s="684"/>
      <c r="L48" s="684"/>
      <c r="M48" s="684"/>
      <c r="N48" s="684"/>
      <c r="O48" s="684"/>
      <c r="P48" s="684"/>
      <c r="Q48" s="684"/>
      <c r="R48" s="684"/>
      <c r="S48" s="684"/>
      <c r="T48" s="684"/>
      <c r="U48" s="684"/>
      <c r="V48" s="684"/>
      <c r="W48" s="684"/>
      <c r="X48" s="684"/>
      <c r="Y48" s="684"/>
      <c r="Z48" s="684"/>
      <c r="AA48" s="2145"/>
      <c r="AB48" s="2146"/>
      <c r="AC48" s="2146"/>
      <c r="AD48" s="2147"/>
      <c r="AE48" s="709">
        <f t="shared" si="0"/>
        <v>0</v>
      </c>
      <c r="AF48" s="1846"/>
      <c r="AG48" s="758"/>
      <c r="AH48" s="1495"/>
      <c r="AI48" s="654">
        <f t="shared" si="1"/>
        <v>0</v>
      </c>
      <c r="AJ48" s="813"/>
      <c r="AK48" s="813"/>
      <c r="AL48" s="233"/>
      <c r="AM48" s="684"/>
      <c r="AN48" s="684"/>
      <c r="AO48" s="684"/>
      <c r="AP48" s="684"/>
      <c r="AQ48" s="684"/>
      <c r="AR48" s="684"/>
      <c r="AS48" s="684"/>
      <c r="AT48" s="684"/>
      <c r="AU48" s="684"/>
      <c r="AV48" s="684"/>
      <c r="AW48" s="684"/>
      <c r="AX48" s="684"/>
      <c r="AY48" s="684"/>
      <c r="AZ48" s="684"/>
      <c r="BA48" s="684"/>
      <c r="BB48" s="684"/>
      <c r="BC48" s="684"/>
      <c r="BD48" s="684"/>
      <c r="BE48" s="684"/>
      <c r="BF48" s="684"/>
      <c r="BG48" s="617"/>
      <c r="BH48" s="840" t="str">
        <f t="shared" si="2"/>
        <v/>
      </c>
      <c r="BI48" s="569"/>
      <c r="BJ48" s="458"/>
      <c r="BK48" s="592" t="str">
        <f t="shared" si="3"/>
        <v/>
      </c>
      <c r="BM48" s="592" t="str">
        <f t="shared" si="4"/>
        <v/>
      </c>
      <c r="BO48" s="592">
        <f t="shared" si="5"/>
        <v>0</v>
      </c>
      <c r="BP48" s="592">
        <f t="shared" si="6"/>
        <v>0</v>
      </c>
      <c r="BQ48" s="592" t="str">
        <f t="shared" si="7"/>
        <v/>
      </c>
      <c r="BR48" s="592" t="str">
        <f t="shared" si="8"/>
        <v/>
      </c>
    </row>
    <row r="49" spans="1:70" ht="14.55" customHeight="1">
      <c r="A49" s="1805"/>
      <c r="B49" s="622"/>
      <c r="C49" s="623"/>
      <c r="D49" s="620"/>
      <c r="E49" s="620"/>
      <c r="F49" s="620"/>
      <c r="G49" s="620"/>
      <c r="H49" s="620"/>
      <c r="I49" s="620"/>
      <c r="J49" s="620"/>
      <c r="K49" s="620"/>
      <c r="L49" s="620"/>
      <c r="M49" s="620"/>
      <c r="N49" s="620"/>
      <c r="O49" s="620"/>
      <c r="P49" s="620"/>
      <c r="Q49" s="620"/>
      <c r="R49" s="620"/>
      <c r="S49" s="620"/>
      <c r="T49" s="620"/>
      <c r="U49" s="620"/>
      <c r="V49" s="620"/>
      <c r="W49" s="620"/>
      <c r="X49" s="620"/>
      <c r="Y49" s="620"/>
      <c r="Z49" s="620"/>
      <c r="AA49" s="2145"/>
      <c r="AB49" s="2146"/>
      <c r="AC49" s="2146"/>
      <c r="AD49" s="2147"/>
      <c r="AE49" s="709">
        <f t="shared" si="0"/>
        <v>0</v>
      </c>
      <c r="AF49" s="1846"/>
      <c r="AG49" s="758"/>
      <c r="AH49" s="1495"/>
      <c r="AI49" s="654">
        <f t="shared" si="1"/>
        <v>0</v>
      </c>
      <c r="AJ49" s="618"/>
      <c r="AK49" s="618"/>
      <c r="AL49" s="619"/>
      <c r="AM49" s="620"/>
      <c r="AN49" s="620"/>
      <c r="AO49" s="620"/>
      <c r="AP49" s="620"/>
      <c r="AQ49" s="620"/>
      <c r="AR49" s="620"/>
      <c r="AS49" s="620"/>
      <c r="AT49" s="620"/>
      <c r="AU49" s="620"/>
      <c r="AV49" s="620"/>
      <c r="AW49" s="620"/>
      <c r="AX49" s="620"/>
      <c r="AY49" s="620"/>
      <c r="AZ49" s="620"/>
      <c r="BA49" s="620"/>
      <c r="BB49" s="620"/>
      <c r="BC49" s="620"/>
      <c r="BD49" s="620"/>
      <c r="BE49" s="620"/>
      <c r="BF49" s="620"/>
      <c r="BG49" s="621"/>
      <c r="BH49" s="840" t="str">
        <f t="shared" si="2"/>
        <v/>
      </c>
      <c r="BI49" s="569"/>
      <c r="BJ49" s="458"/>
      <c r="BK49" s="592" t="str">
        <f t="shared" si="3"/>
        <v/>
      </c>
      <c r="BM49" s="592" t="str">
        <f t="shared" si="4"/>
        <v/>
      </c>
      <c r="BO49" s="592">
        <f t="shared" si="5"/>
        <v>0</v>
      </c>
      <c r="BP49" s="592">
        <f t="shared" si="6"/>
        <v>0</v>
      </c>
      <c r="BQ49" s="592" t="str">
        <f t="shared" si="7"/>
        <v/>
      </c>
      <c r="BR49" s="592" t="str">
        <f t="shared" si="8"/>
        <v/>
      </c>
    </row>
    <row r="50" spans="1:70" ht="13.95" customHeight="1">
      <c r="A50" s="1805"/>
      <c r="B50" s="447"/>
      <c r="C50" s="448"/>
      <c r="D50" s="684"/>
      <c r="E50" s="684"/>
      <c r="F50" s="684"/>
      <c r="G50" s="684"/>
      <c r="H50" s="684"/>
      <c r="I50" s="684"/>
      <c r="J50" s="684"/>
      <c r="K50" s="684"/>
      <c r="L50" s="684"/>
      <c r="M50" s="684"/>
      <c r="N50" s="684"/>
      <c r="O50" s="684"/>
      <c r="P50" s="684"/>
      <c r="Q50" s="684"/>
      <c r="R50" s="684"/>
      <c r="S50" s="684"/>
      <c r="T50" s="684"/>
      <c r="U50" s="684"/>
      <c r="V50" s="684"/>
      <c r="W50" s="684"/>
      <c r="X50" s="684"/>
      <c r="Y50" s="684"/>
      <c r="Z50" s="684"/>
      <c r="AA50" s="2145"/>
      <c r="AB50" s="2146"/>
      <c r="AC50" s="2146"/>
      <c r="AD50" s="2147"/>
      <c r="AE50" s="709">
        <f t="shared" si="0"/>
        <v>0</v>
      </c>
      <c r="AF50" s="1846"/>
      <c r="AG50" s="758"/>
      <c r="AH50" s="1495"/>
      <c r="AI50" s="654">
        <f t="shared" si="1"/>
        <v>0</v>
      </c>
      <c r="AJ50" s="813"/>
      <c r="AK50" s="813"/>
      <c r="AL50" s="233"/>
      <c r="AM50" s="684"/>
      <c r="AN50" s="684"/>
      <c r="AO50" s="684"/>
      <c r="AP50" s="684"/>
      <c r="AQ50" s="684"/>
      <c r="AR50" s="684"/>
      <c r="AS50" s="684"/>
      <c r="AT50" s="684"/>
      <c r="AU50" s="684"/>
      <c r="AV50" s="684"/>
      <c r="AW50" s="684"/>
      <c r="AX50" s="684"/>
      <c r="AY50" s="684"/>
      <c r="AZ50" s="684"/>
      <c r="BA50" s="684"/>
      <c r="BB50" s="684"/>
      <c r="BC50" s="684"/>
      <c r="BD50" s="684"/>
      <c r="BE50" s="684"/>
      <c r="BF50" s="684"/>
      <c r="BG50" s="617"/>
      <c r="BH50" s="840" t="str">
        <f t="shared" si="2"/>
        <v/>
      </c>
      <c r="BI50" s="569"/>
      <c r="BJ50" s="458"/>
      <c r="BK50" s="592" t="str">
        <f t="shared" si="3"/>
        <v/>
      </c>
      <c r="BM50" s="592" t="str">
        <f t="shared" si="4"/>
        <v/>
      </c>
      <c r="BO50" s="592">
        <f t="shared" si="5"/>
        <v>0</v>
      </c>
      <c r="BP50" s="592">
        <f t="shared" si="6"/>
        <v>0</v>
      </c>
      <c r="BQ50" s="592" t="str">
        <f t="shared" si="7"/>
        <v/>
      </c>
      <c r="BR50" s="592" t="str">
        <f t="shared" si="8"/>
        <v/>
      </c>
    </row>
    <row r="51" spans="1:70" ht="13.95" customHeight="1">
      <c r="A51" s="1805"/>
      <c r="B51" s="622"/>
      <c r="C51" s="623"/>
      <c r="D51" s="620"/>
      <c r="E51" s="620"/>
      <c r="F51" s="620"/>
      <c r="G51" s="620"/>
      <c r="H51" s="620"/>
      <c r="I51" s="620"/>
      <c r="J51" s="620"/>
      <c r="K51" s="620"/>
      <c r="L51" s="620"/>
      <c r="M51" s="620"/>
      <c r="N51" s="620"/>
      <c r="O51" s="620"/>
      <c r="P51" s="620"/>
      <c r="Q51" s="620"/>
      <c r="R51" s="620"/>
      <c r="S51" s="620"/>
      <c r="T51" s="620"/>
      <c r="U51" s="620"/>
      <c r="V51" s="620"/>
      <c r="W51" s="620"/>
      <c r="X51" s="620"/>
      <c r="Y51" s="620"/>
      <c r="Z51" s="620"/>
      <c r="AA51" s="2145"/>
      <c r="AB51" s="2146"/>
      <c r="AC51" s="2146"/>
      <c r="AD51" s="2147"/>
      <c r="AE51" s="709">
        <f t="shared" si="0"/>
        <v>0</v>
      </c>
      <c r="AF51" s="1846"/>
      <c r="AG51" s="758"/>
      <c r="AH51" s="1495"/>
      <c r="AI51" s="654">
        <f t="shared" si="1"/>
        <v>0</v>
      </c>
      <c r="AJ51" s="618"/>
      <c r="AK51" s="618"/>
      <c r="AL51" s="619"/>
      <c r="AM51" s="620"/>
      <c r="AN51" s="620"/>
      <c r="AO51" s="620"/>
      <c r="AP51" s="620"/>
      <c r="AQ51" s="620"/>
      <c r="AR51" s="620"/>
      <c r="AS51" s="620"/>
      <c r="AT51" s="620"/>
      <c r="AU51" s="620"/>
      <c r="AV51" s="620"/>
      <c r="AW51" s="620"/>
      <c r="AX51" s="620"/>
      <c r="AY51" s="620"/>
      <c r="AZ51" s="620"/>
      <c r="BA51" s="620"/>
      <c r="BB51" s="620"/>
      <c r="BC51" s="620"/>
      <c r="BD51" s="620"/>
      <c r="BE51" s="620"/>
      <c r="BF51" s="620"/>
      <c r="BG51" s="621"/>
      <c r="BH51" s="840" t="str">
        <f t="shared" si="2"/>
        <v/>
      </c>
      <c r="BI51" s="569"/>
      <c r="BJ51" s="458"/>
      <c r="BK51" s="592" t="str">
        <f t="shared" si="3"/>
        <v/>
      </c>
      <c r="BM51" s="592" t="str">
        <f t="shared" si="4"/>
        <v/>
      </c>
      <c r="BO51" s="592">
        <f t="shared" si="5"/>
        <v>0</v>
      </c>
      <c r="BP51" s="592">
        <f t="shared" si="6"/>
        <v>0</v>
      </c>
      <c r="BQ51" s="592" t="str">
        <f t="shared" si="7"/>
        <v/>
      </c>
      <c r="BR51" s="592" t="str">
        <f t="shared" si="8"/>
        <v/>
      </c>
    </row>
    <row r="52" spans="1:70" ht="13.95" customHeight="1">
      <c r="A52" s="1805"/>
      <c r="B52" s="447"/>
      <c r="C52" s="448"/>
      <c r="D52" s="684"/>
      <c r="E52" s="684"/>
      <c r="F52" s="684"/>
      <c r="G52" s="684"/>
      <c r="H52" s="684"/>
      <c r="I52" s="684"/>
      <c r="J52" s="684"/>
      <c r="K52" s="684"/>
      <c r="L52" s="684"/>
      <c r="M52" s="684"/>
      <c r="N52" s="684"/>
      <c r="O52" s="684"/>
      <c r="P52" s="684"/>
      <c r="Q52" s="684"/>
      <c r="R52" s="684"/>
      <c r="S52" s="684"/>
      <c r="T52" s="684"/>
      <c r="U52" s="684"/>
      <c r="V52" s="684"/>
      <c r="W52" s="684"/>
      <c r="X52" s="684"/>
      <c r="Y52" s="684"/>
      <c r="Z52" s="684"/>
      <c r="AA52" s="2145"/>
      <c r="AB52" s="2146"/>
      <c r="AC52" s="2146"/>
      <c r="AD52" s="2147"/>
      <c r="AE52" s="709">
        <f t="shared" si="0"/>
        <v>0</v>
      </c>
      <c r="AF52" s="1846"/>
      <c r="AG52" s="758"/>
      <c r="AH52" s="1495"/>
      <c r="AI52" s="654">
        <f t="shared" si="1"/>
        <v>0</v>
      </c>
      <c r="AJ52" s="813"/>
      <c r="AK52" s="813"/>
      <c r="AL52" s="233"/>
      <c r="AM52" s="684"/>
      <c r="AN52" s="684"/>
      <c r="AO52" s="684"/>
      <c r="AP52" s="684"/>
      <c r="AQ52" s="684"/>
      <c r="AR52" s="684"/>
      <c r="AS52" s="684"/>
      <c r="AT52" s="684"/>
      <c r="AU52" s="684"/>
      <c r="AV52" s="684"/>
      <c r="AW52" s="684"/>
      <c r="AX52" s="684"/>
      <c r="AY52" s="684"/>
      <c r="AZ52" s="684"/>
      <c r="BA52" s="684"/>
      <c r="BB52" s="684"/>
      <c r="BC52" s="684"/>
      <c r="BD52" s="684"/>
      <c r="BE52" s="684"/>
      <c r="BF52" s="684"/>
      <c r="BG52" s="617"/>
      <c r="BH52" s="840" t="str">
        <f t="shared" si="2"/>
        <v/>
      </c>
      <c r="BI52" s="569"/>
      <c r="BJ52" s="458"/>
      <c r="BK52" s="592" t="str">
        <f t="shared" si="3"/>
        <v/>
      </c>
      <c r="BM52" s="592" t="str">
        <f t="shared" si="4"/>
        <v/>
      </c>
      <c r="BO52" s="592">
        <f t="shared" si="5"/>
        <v>0</v>
      </c>
      <c r="BP52" s="592">
        <f t="shared" si="6"/>
        <v>0</v>
      </c>
      <c r="BQ52" s="592" t="str">
        <f t="shared" si="7"/>
        <v/>
      </c>
      <c r="BR52" s="592" t="str">
        <f t="shared" si="8"/>
        <v/>
      </c>
    </row>
    <row r="53" spans="1:70" ht="13.95" customHeight="1">
      <c r="A53" s="1805"/>
      <c r="B53" s="622"/>
      <c r="C53" s="623"/>
      <c r="D53" s="620"/>
      <c r="E53" s="620"/>
      <c r="F53" s="620"/>
      <c r="G53" s="620"/>
      <c r="H53" s="620"/>
      <c r="I53" s="620"/>
      <c r="J53" s="620"/>
      <c r="K53" s="620"/>
      <c r="L53" s="620"/>
      <c r="M53" s="620"/>
      <c r="N53" s="620"/>
      <c r="O53" s="620"/>
      <c r="P53" s="620"/>
      <c r="Q53" s="620"/>
      <c r="R53" s="620"/>
      <c r="S53" s="620"/>
      <c r="T53" s="620"/>
      <c r="U53" s="620"/>
      <c r="V53" s="620"/>
      <c r="W53" s="620"/>
      <c r="X53" s="620"/>
      <c r="Y53" s="620"/>
      <c r="Z53" s="620"/>
      <c r="AA53" s="2145"/>
      <c r="AB53" s="2146"/>
      <c r="AC53" s="2146"/>
      <c r="AD53" s="2147"/>
      <c r="AE53" s="709">
        <f t="shared" si="0"/>
        <v>0</v>
      </c>
      <c r="AF53" s="1846"/>
      <c r="AG53" s="758"/>
      <c r="AH53" s="1495"/>
      <c r="AI53" s="654">
        <f t="shared" si="1"/>
        <v>0</v>
      </c>
      <c r="AJ53" s="618"/>
      <c r="AK53" s="618"/>
      <c r="AL53" s="619"/>
      <c r="AM53" s="620"/>
      <c r="AN53" s="620"/>
      <c r="AO53" s="620"/>
      <c r="AP53" s="620"/>
      <c r="AQ53" s="620"/>
      <c r="AR53" s="620"/>
      <c r="AS53" s="620"/>
      <c r="AT53" s="620"/>
      <c r="AU53" s="620"/>
      <c r="AV53" s="620"/>
      <c r="AW53" s="620"/>
      <c r="AX53" s="620"/>
      <c r="AY53" s="620"/>
      <c r="AZ53" s="620"/>
      <c r="BA53" s="620"/>
      <c r="BB53" s="620"/>
      <c r="BC53" s="620"/>
      <c r="BD53" s="620"/>
      <c r="BE53" s="620"/>
      <c r="BF53" s="620"/>
      <c r="BG53" s="621"/>
      <c r="BH53" s="840" t="str">
        <f t="shared" si="2"/>
        <v/>
      </c>
      <c r="BI53" s="569"/>
      <c r="BJ53" s="458"/>
      <c r="BK53" s="592" t="str">
        <f t="shared" si="3"/>
        <v/>
      </c>
      <c r="BM53" s="592" t="str">
        <f t="shared" si="4"/>
        <v/>
      </c>
      <c r="BO53" s="592">
        <f t="shared" si="5"/>
        <v>0</v>
      </c>
      <c r="BP53" s="592">
        <f t="shared" si="6"/>
        <v>0</v>
      </c>
      <c r="BQ53" s="592" t="str">
        <f t="shared" si="7"/>
        <v/>
      </c>
      <c r="BR53" s="592" t="str">
        <f t="shared" si="8"/>
        <v/>
      </c>
    </row>
    <row r="54" spans="1:70" ht="13.95" customHeight="1">
      <c r="A54" s="1805"/>
      <c r="B54" s="447"/>
      <c r="C54" s="448"/>
      <c r="D54" s="684"/>
      <c r="E54" s="684"/>
      <c r="F54" s="684"/>
      <c r="G54" s="684"/>
      <c r="H54" s="684"/>
      <c r="I54" s="684"/>
      <c r="J54" s="684"/>
      <c r="K54" s="684"/>
      <c r="L54" s="684"/>
      <c r="M54" s="684"/>
      <c r="N54" s="684"/>
      <c r="O54" s="684"/>
      <c r="P54" s="684"/>
      <c r="Q54" s="684"/>
      <c r="R54" s="684"/>
      <c r="S54" s="684"/>
      <c r="T54" s="684"/>
      <c r="U54" s="684"/>
      <c r="V54" s="684"/>
      <c r="W54" s="684"/>
      <c r="X54" s="684"/>
      <c r="Y54" s="684"/>
      <c r="Z54" s="684"/>
      <c r="AA54" s="2145"/>
      <c r="AB54" s="2146"/>
      <c r="AC54" s="2146"/>
      <c r="AD54" s="2147"/>
      <c r="AE54" s="709">
        <f t="shared" si="0"/>
        <v>0</v>
      </c>
      <c r="AF54" s="1846"/>
      <c r="AG54" s="758"/>
      <c r="AH54" s="1495"/>
      <c r="AI54" s="654">
        <f t="shared" si="1"/>
        <v>0</v>
      </c>
      <c r="AJ54" s="813"/>
      <c r="AK54" s="813"/>
      <c r="AL54" s="233"/>
      <c r="AM54" s="684"/>
      <c r="AN54" s="684"/>
      <c r="AO54" s="684"/>
      <c r="AP54" s="684"/>
      <c r="AQ54" s="684"/>
      <c r="AR54" s="684"/>
      <c r="AS54" s="684"/>
      <c r="AT54" s="684"/>
      <c r="AU54" s="684"/>
      <c r="AV54" s="684"/>
      <c r="AW54" s="684"/>
      <c r="AX54" s="684"/>
      <c r="AY54" s="684"/>
      <c r="AZ54" s="684"/>
      <c r="BA54" s="684"/>
      <c r="BB54" s="684"/>
      <c r="BC54" s="684"/>
      <c r="BD54" s="684"/>
      <c r="BE54" s="684"/>
      <c r="BF54" s="684"/>
      <c r="BG54" s="617"/>
      <c r="BH54" s="840" t="str">
        <f t="shared" si="2"/>
        <v/>
      </c>
      <c r="BI54" s="569"/>
      <c r="BJ54" s="458"/>
      <c r="BK54" s="592" t="str">
        <f t="shared" si="3"/>
        <v/>
      </c>
      <c r="BM54" s="592" t="str">
        <f t="shared" si="4"/>
        <v/>
      </c>
      <c r="BO54" s="592">
        <f t="shared" si="5"/>
        <v>0</v>
      </c>
      <c r="BP54" s="592">
        <f t="shared" si="6"/>
        <v>0</v>
      </c>
      <c r="BQ54" s="592" t="str">
        <f t="shared" si="7"/>
        <v/>
      </c>
      <c r="BR54" s="592" t="str">
        <f t="shared" si="8"/>
        <v/>
      </c>
    </row>
    <row r="55" spans="1:70" ht="14.55" customHeight="1">
      <c r="A55" s="1805"/>
      <c r="B55" s="622"/>
      <c r="C55" s="623"/>
      <c r="D55" s="620"/>
      <c r="E55" s="620"/>
      <c r="F55" s="620"/>
      <c r="G55" s="620"/>
      <c r="H55" s="620"/>
      <c r="I55" s="620"/>
      <c r="J55" s="620"/>
      <c r="K55" s="620"/>
      <c r="L55" s="620"/>
      <c r="M55" s="620"/>
      <c r="N55" s="620"/>
      <c r="O55" s="620"/>
      <c r="P55" s="620"/>
      <c r="Q55" s="620"/>
      <c r="R55" s="620"/>
      <c r="S55" s="620"/>
      <c r="T55" s="620"/>
      <c r="U55" s="620"/>
      <c r="V55" s="620"/>
      <c r="W55" s="620"/>
      <c r="X55" s="620"/>
      <c r="Y55" s="620"/>
      <c r="Z55" s="620"/>
      <c r="AA55" s="2145"/>
      <c r="AB55" s="2146"/>
      <c r="AC55" s="2146"/>
      <c r="AD55" s="2147"/>
      <c r="AE55" s="709">
        <f t="shared" si="0"/>
        <v>0</v>
      </c>
      <c r="AF55" s="1846"/>
      <c r="AG55" s="758"/>
      <c r="AH55" s="1495"/>
      <c r="AI55" s="654">
        <f t="shared" si="1"/>
        <v>0</v>
      </c>
      <c r="AJ55" s="618"/>
      <c r="AK55" s="618"/>
      <c r="AL55" s="619"/>
      <c r="AM55" s="620"/>
      <c r="AN55" s="620"/>
      <c r="AO55" s="620"/>
      <c r="AP55" s="620"/>
      <c r="AQ55" s="620"/>
      <c r="AR55" s="620"/>
      <c r="AS55" s="620"/>
      <c r="AT55" s="620"/>
      <c r="AU55" s="620"/>
      <c r="AV55" s="620"/>
      <c r="AW55" s="620"/>
      <c r="AX55" s="620"/>
      <c r="AY55" s="620"/>
      <c r="AZ55" s="620"/>
      <c r="BA55" s="620"/>
      <c r="BB55" s="620"/>
      <c r="BC55" s="620"/>
      <c r="BD55" s="620"/>
      <c r="BE55" s="620"/>
      <c r="BF55" s="620"/>
      <c r="BG55" s="621"/>
      <c r="BH55" s="840" t="str">
        <f t="shared" si="2"/>
        <v/>
      </c>
      <c r="BI55" s="569"/>
      <c r="BJ55" s="458"/>
      <c r="BK55" s="592" t="str">
        <f t="shared" si="3"/>
        <v/>
      </c>
      <c r="BM55" s="592" t="str">
        <f t="shared" si="4"/>
        <v/>
      </c>
      <c r="BO55" s="592">
        <f t="shared" si="5"/>
        <v>0</v>
      </c>
      <c r="BP55" s="592">
        <f t="shared" si="6"/>
        <v>0</v>
      </c>
      <c r="BQ55" s="592" t="str">
        <f t="shared" si="7"/>
        <v/>
      </c>
      <c r="BR55" s="592" t="str">
        <f t="shared" si="8"/>
        <v/>
      </c>
    </row>
    <row r="56" spans="1:70" ht="13.95" customHeight="1">
      <c r="A56" s="1805"/>
      <c r="B56" s="447"/>
      <c r="C56" s="448"/>
      <c r="D56" s="684"/>
      <c r="E56" s="684"/>
      <c r="F56" s="684"/>
      <c r="G56" s="684"/>
      <c r="H56" s="684"/>
      <c r="I56" s="684"/>
      <c r="J56" s="684"/>
      <c r="K56" s="684"/>
      <c r="L56" s="684"/>
      <c r="M56" s="684"/>
      <c r="N56" s="684"/>
      <c r="O56" s="684"/>
      <c r="P56" s="684"/>
      <c r="Q56" s="684"/>
      <c r="R56" s="684"/>
      <c r="S56" s="684"/>
      <c r="T56" s="684"/>
      <c r="U56" s="684"/>
      <c r="V56" s="684"/>
      <c r="W56" s="684"/>
      <c r="X56" s="684"/>
      <c r="Y56" s="684"/>
      <c r="Z56" s="684"/>
      <c r="AA56" s="2145"/>
      <c r="AB56" s="2146"/>
      <c r="AC56" s="2146"/>
      <c r="AD56" s="2147"/>
      <c r="AE56" s="709">
        <f t="shared" si="0"/>
        <v>0</v>
      </c>
      <c r="AF56" s="1846"/>
      <c r="AG56" s="758"/>
      <c r="AH56" s="1495"/>
      <c r="AI56" s="654">
        <f t="shared" si="1"/>
        <v>0</v>
      </c>
      <c r="AJ56" s="813"/>
      <c r="AK56" s="813"/>
      <c r="AL56" s="233"/>
      <c r="AM56" s="684"/>
      <c r="AN56" s="684"/>
      <c r="AO56" s="684"/>
      <c r="AP56" s="684"/>
      <c r="AQ56" s="684"/>
      <c r="AR56" s="684"/>
      <c r="AS56" s="684"/>
      <c r="AT56" s="684"/>
      <c r="AU56" s="684"/>
      <c r="AV56" s="684"/>
      <c r="AW56" s="684"/>
      <c r="AX56" s="684"/>
      <c r="AY56" s="684"/>
      <c r="AZ56" s="684"/>
      <c r="BA56" s="684"/>
      <c r="BB56" s="684"/>
      <c r="BC56" s="684"/>
      <c r="BD56" s="684"/>
      <c r="BE56" s="684"/>
      <c r="BF56" s="684"/>
      <c r="BG56" s="617"/>
      <c r="BH56" s="840" t="str">
        <f t="shared" si="2"/>
        <v/>
      </c>
      <c r="BI56" s="569"/>
      <c r="BJ56" s="458"/>
      <c r="BK56" s="592" t="str">
        <f t="shared" si="3"/>
        <v/>
      </c>
      <c r="BM56" s="592" t="str">
        <f t="shared" si="4"/>
        <v/>
      </c>
      <c r="BO56" s="592">
        <f t="shared" si="5"/>
        <v>0</v>
      </c>
      <c r="BP56" s="592">
        <f t="shared" si="6"/>
        <v>0</v>
      </c>
      <c r="BQ56" s="592" t="str">
        <f t="shared" si="7"/>
        <v/>
      </c>
      <c r="BR56" s="592" t="str">
        <f t="shared" si="8"/>
        <v/>
      </c>
    </row>
    <row r="57" spans="1:70" ht="13.95" customHeight="1">
      <c r="A57" s="1805"/>
      <c r="B57" s="622"/>
      <c r="C57" s="623"/>
      <c r="D57" s="620"/>
      <c r="E57" s="620"/>
      <c r="F57" s="620"/>
      <c r="G57" s="620"/>
      <c r="H57" s="620"/>
      <c r="I57" s="620"/>
      <c r="J57" s="620"/>
      <c r="K57" s="620"/>
      <c r="L57" s="620"/>
      <c r="M57" s="620"/>
      <c r="N57" s="620"/>
      <c r="O57" s="620"/>
      <c r="P57" s="620"/>
      <c r="Q57" s="620"/>
      <c r="R57" s="620"/>
      <c r="S57" s="620"/>
      <c r="T57" s="620"/>
      <c r="U57" s="620"/>
      <c r="V57" s="620"/>
      <c r="W57" s="620"/>
      <c r="X57" s="620"/>
      <c r="Y57" s="620"/>
      <c r="Z57" s="620"/>
      <c r="AA57" s="2145"/>
      <c r="AB57" s="2146"/>
      <c r="AC57" s="2146"/>
      <c r="AD57" s="2147"/>
      <c r="AE57" s="709">
        <f t="shared" si="0"/>
        <v>0</v>
      </c>
      <c r="AF57" s="1846"/>
      <c r="AG57" s="758"/>
      <c r="AH57" s="1495"/>
      <c r="AI57" s="654">
        <f t="shared" si="1"/>
        <v>0</v>
      </c>
      <c r="AJ57" s="618"/>
      <c r="AK57" s="618"/>
      <c r="AL57" s="619"/>
      <c r="AM57" s="620"/>
      <c r="AN57" s="620"/>
      <c r="AO57" s="620"/>
      <c r="AP57" s="620"/>
      <c r="AQ57" s="620"/>
      <c r="AR57" s="620"/>
      <c r="AS57" s="620"/>
      <c r="AT57" s="620"/>
      <c r="AU57" s="620"/>
      <c r="AV57" s="620"/>
      <c r="AW57" s="620"/>
      <c r="AX57" s="620"/>
      <c r="AY57" s="620"/>
      <c r="AZ57" s="620"/>
      <c r="BA57" s="620"/>
      <c r="BB57" s="620"/>
      <c r="BC57" s="620"/>
      <c r="BD57" s="620"/>
      <c r="BE57" s="620"/>
      <c r="BF57" s="620"/>
      <c r="BG57" s="621"/>
      <c r="BH57" s="840" t="str">
        <f t="shared" si="2"/>
        <v/>
      </c>
      <c r="BI57" s="569"/>
      <c r="BJ57" s="458"/>
      <c r="BK57" s="592" t="str">
        <f t="shared" si="3"/>
        <v/>
      </c>
      <c r="BM57" s="592" t="str">
        <f t="shared" si="4"/>
        <v/>
      </c>
      <c r="BO57" s="592">
        <f t="shared" si="5"/>
        <v>0</v>
      </c>
      <c r="BP57" s="592">
        <f t="shared" si="6"/>
        <v>0</v>
      </c>
      <c r="BQ57" s="592" t="str">
        <f t="shared" si="7"/>
        <v/>
      </c>
      <c r="BR57" s="592" t="str">
        <f t="shared" si="8"/>
        <v/>
      </c>
    </row>
    <row r="58" spans="1:70" ht="13.95" customHeight="1">
      <c r="A58" s="1805"/>
      <c r="B58" s="447"/>
      <c r="C58" s="448"/>
      <c r="D58" s="684"/>
      <c r="E58" s="684"/>
      <c r="F58" s="684"/>
      <c r="G58" s="684"/>
      <c r="H58" s="684"/>
      <c r="I58" s="684"/>
      <c r="J58" s="684"/>
      <c r="K58" s="684"/>
      <c r="L58" s="684"/>
      <c r="M58" s="684"/>
      <c r="N58" s="684"/>
      <c r="O58" s="684"/>
      <c r="P58" s="684"/>
      <c r="Q58" s="684"/>
      <c r="R58" s="684"/>
      <c r="S58" s="684"/>
      <c r="T58" s="684"/>
      <c r="U58" s="684"/>
      <c r="V58" s="684"/>
      <c r="W58" s="684"/>
      <c r="X58" s="684"/>
      <c r="Y58" s="684"/>
      <c r="Z58" s="684"/>
      <c r="AA58" s="2145"/>
      <c r="AB58" s="2146"/>
      <c r="AC58" s="2146"/>
      <c r="AD58" s="2147"/>
      <c r="AE58" s="709">
        <f t="shared" ref="AE58:AE89" si="9">((D58*$D$22)+($E$22*E58)+($F$22*F58)+($G$22*G58)+($H$22*H58)+($I$22*I58)+($J$22*J58)+($K$22*K58)+($L$22*L58)+($M$22*M58)+($N$22*N58)+($O$22*O58)+($P$22*P58)+($Q$22*Q58)+($R$22*R58)+($S$22*S58)+($T$22*T58)+($U$22*U58)+($V$22*V58)+($W$22*W58)+($X$22*X58)+($Y$22*Y58)+($Z$22*Z58))*C58*8.76</f>
        <v>0</v>
      </c>
      <c r="AF58" s="1846"/>
      <c r="AG58" s="758"/>
      <c r="AH58" s="1495"/>
      <c r="AI58" s="654">
        <f t="shared" si="1"/>
        <v>0</v>
      </c>
      <c r="AJ58" s="813"/>
      <c r="AK58" s="813"/>
      <c r="AL58" s="233"/>
      <c r="AM58" s="684"/>
      <c r="AN58" s="684"/>
      <c r="AO58" s="684"/>
      <c r="AP58" s="684"/>
      <c r="AQ58" s="684"/>
      <c r="AR58" s="684"/>
      <c r="AS58" s="684"/>
      <c r="AT58" s="684"/>
      <c r="AU58" s="684"/>
      <c r="AV58" s="684"/>
      <c r="AW58" s="684"/>
      <c r="AX58" s="684"/>
      <c r="AY58" s="684"/>
      <c r="AZ58" s="684"/>
      <c r="BA58" s="684"/>
      <c r="BB58" s="684"/>
      <c r="BC58" s="684"/>
      <c r="BD58" s="684"/>
      <c r="BE58" s="684"/>
      <c r="BF58" s="684"/>
      <c r="BG58" s="617"/>
      <c r="BH58" s="840" t="str">
        <f t="shared" si="2"/>
        <v/>
      </c>
      <c r="BI58" s="569"/>
      <c r="BJ58" s="458"/>
      <c r="BK58" s="592" t="str">
        <f t="shared" si="3"/>
        <v/>
      </c>
      <c r="BM58" s="592" t="str">
        <f t="shared" si="4"/>
        <v/>
      </c>
      <c r="BO58" s="592">
        <f t="shared" si="5"/>
        <v>0</v>
      </c>
      <c r="BP58" s="592">
        <f t="shared" si="6"/>
        <v>0</v>
      </c>
      <c r="BQ58" s="592" t="str">
        <f t="shared" si="7"/>
        <v/>
      </c>
      <c r="BR58" s="592" t="str">
        <f t="shared" si="8"/>
        <v/>
      </c>
    </row>
    <row r="59" spans="1:70" ht="13.95" customHeight="1">
      <c r="A59" s="1805"/>
      <c r="B59" s="622"/>
      <c r="C59" s="623"/>
      <c r="D59" s="620"/>
      <c r="E59" s="620"/>
      <c r="F59" s="620"/>
      <c r="G59" s="620"/>
      <c r="H59" s="620"/>
      <c r="I59" s="620"/>
      <c r="J59" s="620"/>
      <c r="K59" s="620"/>
      <c r="L59" s="620"/>
      <c r="M59" s="620"/>
      <c r="N59" s="620"/>
      <c r="O59" s="620"/>
      <c r="P59" s="620"/>
      <c r="Q59" s="620"/>
      <c r="R59" s="620"/>
      <c r="S59" s="620"/>
      <c r="T59" s="620"/>
      <c r="U59" s="620"/>
      <c r="V59" s="620"/>
      <c r="W59" s="620"/>
      <c r="X59" s="620"/>
      <c r="Y59" s="620"/>
      <c r="Z59" s="620"/>
      <c r="AA59" s="2145"/>
      <c r="AB59" s="2146"/>
      <c r="AC59" s="2146"/>
      <c r="AD59" s="2147"/>
      <c r="AE59" s="709">
        <f t="shared" si="9"/>
        <v>0</v>
      </c>
      <c r="AF59" s="1846"/>
      <c r="AG59" s="758"/>
      <c r="AH59" s="1495"/>
      <c r="AI59" s="654">
        <f t="shared" si="1"/>
        <v>0</v>
      </c>
      <c r="AJ59" s="618"/>
      <c r="AK59" s="618"/>
      <c r="AL59" s="619"/>
      <c r="AM59" s="620"/>
      <c r="AN59" s="620"/>
      <c r="AO59" s="620"/>
      <c r="AP59" s="620"/>
      <c r="AQ59" s="620"/>
      <c r="AR59" s="620"/>
      <c r="AS59" s="620"/>
      <c r="AT59" s="620"/>
      <c r="AU59" s="620"/>
      <c r="AV59" s="620"/>
      <c r="AW59" s="620"/>
      <c r="AX59" s="620"/>
      <c r="AY59" s="620"/>
      <c r="AZ59" s="620"/>
      <c r="BA59" s="620"/>
      <c r="BB59" s="620"/>
      <c r="BC59" s="620"/>
      <c r="BD59" s="620"/>
      <c r="BE59" s="620"/>
      <c r="BF59" s="620"/>
      <c r="BG59" s="621"/>
      <c r="BH59" s="840" t="str">
        <f t="shared" si="2"/>
        <v/>
      </c>
      <c r="BI59" s="569"/>
      <c r="BJ59" s="458"/>
      <c r="BK59" s="592" t="str">
        <f t="shared" si="3"/>
        <v/>
      </c>
      <c r="BM59" s="592" t="str">
        <f t="shared" si="4"/>
        <v/>
      </c>
      <c r="BO59" s="592">
        <f t="shared" si="5"/>
        <v>0</v>
      </c>
      <c r="BP59" s="592">
        <f t="shared" si="6"/>
        <v>0</v>
      </c>
      <c r="BQ59" s="592" t="str">
        <f t="shared" si="7"/>
        <v/>
      </c>
      <c r="BR59" s="592" t="str">
        <f t="shared" si="8"/>
        <v/>
      </c>
    </row>
    <row r="60" spans="1:70" ht="13.95" customHeight="1">
      <c r="A60" s="1805"/>
      <c r="B60" s="447"/>
      <c r="C60" s="448"/>
      <c r="D60" s="684"/>
      <c r="E60" s="684"/>
      <c r="F60" s="684"/>
      <c r="G60" s="684"/>
      <c r="H60" s="684"/>
      <c r="I60" s="684"/>
      <c r="J60" s="684"/>
      <c r="K60" s="684"/>
      <c r="L60" s="684"/>
      <c r="M60" s="684"/>
      <c r="N60" s="684"/>
      <c r="O60" s="684"/>
      <c r="P60" s="684"/>
      <c r="Q60" s="684"/>
      <c r="R60" s="684"/>
      <c r="S60" s="684"/>
      <c r="T60" s="684"/>
      <c r="U60" s="684"/>
      <c r="V60" s="684"/>
      <c r="W60" s="684"/>
      <c r="X60" s="684"/>
      <c r="Y60" s="684"/>
      <c r="Z60" s="684"/>
      <c r="AA60" s="2145"/>
      <c r="AB60" s="2146"/>
      <c r="AC60" s="2146"/>
      <c r="AD60" s="2147"/>
      <c r="AE60" s="709">
        <f t="shared" si="9"/>
        <v>0</v>
      </c>
      <c r="AF60" s="1846"/>
      <c r="AG60" s="758"/>
      <c r="AH60" s="1495"/>
      <c r="AI60" s="654">
        <f t="shared" si="1"/>
        <v>0</v>
      </c>
      <c r="AJ60" s="813"/>
      <c r="AK60" s="813"/>
      <c r="AL60" s="233"/>
      <c r="AM60" s="684"/>
      <c r="AN60" s="684"/>
      <c r="AO60" s="684"/>
      <c r="AP60" s="684"/>
      <c r="AQ60" s="684"/>
      <c r="AR60" s="684"/>
      <c r="AS60" s="684"/>
      <c r="AT60" s="684"/>
      <c r="AU60" s="684"/>
      <c r="AV60" s="684"/>
      <c r="AW60" s="684"/>
      <c r="AX60" s="684"/>
      <c r="AY60" s="684"/>
      <c r="AZ60" s="684"/>
      <c r="BA60" s="684"/>
      <c r="BB60" s="684"/>
      <c r="BC60" s="684"/>
      <c r="BD60" s="684"/>
      <c r="BE60" s="684"/>
      <c r="BF60" s="684"/>
      <c r="BG60" s="617"/>
      <c r="BH60" s="840" t="str">
        <f t="shared" si="2"/>
        <v/>
      </c>
      <c r="BI60" s="569"/>
      <c r="BJ60" s="458"/>
      <c r="BK60" s="592" t="str">
        <f t="shared" si="3"/>
        <v/>
      </c>
      <c r="BM60" s="592" t="str">
        <f t="shared" si="4"/>
        <v/>
      </c>
      <c r="BO60" s="592">
        <f t="shared" si="5"/>
        <v>0</v>
      </c>
      <c r="BP60" s="592">
        <f t="shared" si="6"/>
        <v>0</v>
      </c>
      <c r="BQ60" s="592" t="str">
        <f t="shared" si="7"/>
        <v/>
      </c>
      <c r="BR60" s="592" t="str">
        <f t="shared" si="8"/>
        <v/>
      </c>
    </row>
    <row r="61" spans="1:70" ht="13.95" customHeight="1">
      <c r="A61" s="1805"/>
      <c r="B61" s="622"/>
      <c r="C61" s="623"/>
      <c r="D61" s="620"/>
      <c r="E61" s="620"/>
      <c r="F61" s="620"/>
      <c r="G61" s="620"/>
      <c r="H61" s="620"/>
      <c r="I61" s="620"/>
      <c r="J61" s="620"/>
      <c r="K61" s="620"/>
      <c r="L61" s="620"/>
      <c r="M61" s="620"/>
      <c r="N61" s="620"/>
      <c r="O61" s="620"/>
      <c r="P61" s="620"/>
      <c r="Q61" s="620"/>
      <c r="R61" s="620"/>
      <c r="S61" s="620"/>
      <c r="T61" s="620"/>
      <c r="U61" s="620"/>
      <c r="V61" s="620"/>
      <c r="W61" s="620"/>
      <c r="X61" s="620"/>
      <c r="Y61" s="620"/>
      <c r="Z61" s="620"/>
      <c r="AA61" s="2145"/>
      <c r="AB61" s="2146"/>
      <c r="AC61" s="2146"/>
      <c r="AD61" s="2147"/>
      <c r="AE61" s="709">
        <f t="shared" si="9"/>
        <v>0</v>
      </c>
      <c r="AF61" s="1846"/>
      <c r="AG61" s="758"/>
      <c r="AH61" s="1495"/>
      <c r="AI61" s="654">
        <f t="shared" si="1"/>
        <v>0</v>
      </c>
      <c r="AJ61" s="618"/>
      <c r="AK61" s="618"/>
      <c r="AL61" s="619"/>
      <c r="AM61" s="620"/>
      <c r="AN61" s="620"/>
      <c r="AO61" s="620"/>
      <c r="AP61" s="620"/>
      <c r="AQ61" s="620"/>
      <c r="AR61" s="620"/>
      <c r="AS61" s="620"/>
      <c r="AT61" s="620"/>
      <c r="AU61" s="620"/>
      <c r="AV61" s="620"/>
      <c r="AW61" s="620"/>
      <c r="AX61" s="620"/>
      <c r="AY61" s="620"/>
      <c r="AZ61" s="620"/>
      <c r="BA61" s="620"/>
      <c r="BB61" s="620"/>
      <c r="BC61" s="620"/>
      <c r="BD61" s="620"/>
      <c r="BE61" s="620"/>
      <c r="BF61" s="620"/>
      <c r="BG61" s="621"/>
      <c r="BH61" s="840" t="str">
        <f t="shared" si="2"/>
        <v/>
      </c>
      <c r="BI61" s="569"/>
      <c r="BJ61" s="458"/>
      <c r="BK61" s="592" t="str">
        <f t="shared" si="3"/>
        <v/>
      </c>
      <c r="BM61" s="592" t="str">
        <f t="shared" si="4"/>
        <v/>
      </c>
      <c r="BO61" s="592">
        <f t="shared" si="5"/>
        <v>0</v>
      </c>
      <c r="BP61" s="592">
        <f t="shared" si="6"/>
        <v>0</v>
      </c>
      <c r="BQ61" s="592" t="str">
        <f t="shared" si="7"/>
        <v/>
      </c>
      <c r="BR61" s="592" t="str">
        <f t="shared" si="8"/>
        <v/>
      </c>
    </row>
    <row r="62" spans="1:70" ht="13.95" customHeight="1">
      <c r="A62" s="1805"/>
      <c r="B62" s="447"/>
      <c r="C62" s="448"/>
      <c r="D62" s="684"/>
      <c r="E62" s="684"/>
      <c r="F62" s="684"/>
      <c r="G62" s="684"/>
      <c r="H62" s="684"/>
      <c r="I62" s="684"/>
      <c r="J62" s="684"/>
      <c r="K62" s="684"/>
      <c r="L62" s="684"/>
      <c r="M62" s="684"/>
      <c r="N62" s="684"/>
      <c r="O62" s="684"/>
      <c r="P62" s="684"/>
      <c r="Q62" s="684"/>
      <c r="R62" s="684"/>
      <c r="S62" s="684"/>
      <c r="T62" s="684"/>
      <c r="U62" s="684"/>
      <c r="V62" s="684"/>
      <c r="W62" s="684"/>
      <c r="X62" s="684"/>
      <c r="Y62" s="684"/>
      <c r="Z62" s="684"/>
      <c r="AA62" s="2145"/>
      <c r="AB62" s="2146"/>
      <c r="AC62" s="2146"/>
      <c r="AD62" s="2147"/>
      <c r="AE62" s="709">
        <f t="shared" si="9"/>
        <v>0</v>
      </c>
      <c r="AF62" s="1846"/>
      <c r="AG62" s="758"/>
      <c r="AH62" s="1495"/>
      <c r="AI62" s="654">
        <f t="shared" si="1"/>
        <v>0</v>
      </c>
      <c r="AJ62" s="813"/>
      <c r="AK62" s="813"/>
      <c r="AL62" s="233"/>
      <c r="AM62" s="684"/>
      <c r="AN62" s="684"/>
      <c r="AO62" s="684"/>
      <c r="AP62" s="684"/>
      <c r="AQ62" s="684"/>
      <c r="AR62" s="684"/>
      <c r="AS62" s="684"/>
      <c r="AT62" s="684"/>
      <c r="AU62" s="684"/>
      <c r="AV62" s="684"/>
      <c r="AW62" s="684"/>
      <c r="AX62" s="684"/>
      <c r="AY62" s="684"/>
      <c r="AZ62" s="684"/>
      <c r="BA62" s="684"/>
      <c r="BB62" s="684"/>
      <c r="BC62" s="684"/>
      <c r="BD62" s="684"/>
      <c r="BE62" s="684"/>
      <c r="BF62" s="684"/>
      <c r="BG62" s="617"/>
      <c r="BH62" s="840" t="str">
        <f t="shared" si="2"/>
        <v/>
      </c>
      <c r="BI62" s="569"/>
      <c r="BJ62" s="458"/>
      <c r="BK62" s="592" t="str">
        <f t="shared" si="3"/>
        <v/>
      </c>
      <c r="BM62" s="592" t="str">
        <f t="shared" si="4"/>
        <v/>
      </c>
      <c r="BO62" s="592">
        <f t="shared" si="5"/>
        <v>0</v>
      </c>
      <c r="BP62" s="592">
        <f t="shared" si="6"/>
        <v>0</v>
      </c>
      <c r="BQ62" s="592" t="str">
        <f t="shared" si="7"/>
        <v/>
      </c>
      <c r="BR62" s="592" t="str">
        <f t="shared" si="8"/>
        <v/>
      </c>
    </row>
    <row r="63" spans="1:70" ht="13.95" customHeight="1">
      <c r="A63" s="1805"/>
      <c r="B63" s="622"/>
      <c r="C63" s="623"/>
      <c r="D63" s="620"/>
      <c r="E63" s="620"/>
      <c r="F63" s="620"/>
      <c r="G63" s="620"/>
      <c r="H63" s="620"/>
      <c r="I63" s="620"/>
      <c r="J63" s="620"/>
      <c r="K63" s="620"/>
      <c r="L63" s="620"/>
      <c r="M63" s="620"/>
      <c r="N63" s="620"/>
      <c r="O63" s="620"/>
      <c r="P63" s="620"/>
      <c r="Q63" s="620"/>
      <c r="R63" s="620"/>
      <c r="S63" s="620"/>
      <c r="T63" s="620"/>
      <c r="U63" s="620"/>
      <c r="V63" s="620"/>
      <c r="W63" s="620"/>
      <c r="X63" s="620"/>
      <c r="Y63" s="620"/>
      <c r="Z63" s="620"/>
      <c r="AA63" s="2145"/>
      <c r="AB63" s="2146"/>
      <c r="AC63" s="2146"/>
      <c r="AD63" s="2147"/>
      <c r="AE63" s="709">
        <f t="shared" si="9"/>
        <v>0</v>
      </c>
      <c r="AF63" s="1846"/>
      <c r="AG63" s="758"/>
      <c r="AH63" s="1495"/>
      <c r="AI63" s="654">
        <f t="shared" si="1"/>
        <v>0</v>
      </c>
      <c r="AJ63" s="618"/>
      <c r="AK63" s="618"/>
      <c r="AL63" s="619"/>
      <c r="AM63" s="620"/>
      <c r="AN63" s="620"/>
      <c r="AO63" s="620"/>
      <c r="AP63" s="620"/>
      <c r="AQ63" s="620"/>
      <c r="AR63" s="620"/>
      <c r="AS63" s="620"/>
      <c r="AT63" s="620"/>
      <c r="AU63" s="620"/>
      <c r="AV63" s="620"/>
      <c r="AW63" s="620"/>
      <c r="AX63" s="620"/>
      <c r="AY63" s="620"/>
      <c r="AZ63" s="620"/>
      <c r="BA63" s="620"/>
      <c r="BB63" s="620"/>
      <c r="BC63" s="620"/>
      <c r="BD63" s="620"/>
      <c r="BE63" s="620"/>
      <c r="BF63" s="620"/>
      <c r="BG63" s="621"/>
      <c r="BH63" s="840" t="str">
        <f t="shared" si="2"/>
        <v/>
      </c>
      <c r="BI63" s="569"/>
      <c r="BJ63" s="458"/>
      <c r="BK63" s="592" t="str">
        <f t="shared" si="3"/>
        <v/>
      </c>
      <c r="BM63" s="592" t="str">
        <f t="shared" si="4"/>
        <v/>
      </c>
      <c r="BO63" s="592">
        <f t="shared" si="5"/>
        <v>0</v>
      </c>
      <c r="BP63" s="592">
        <f t="shared" si="6"/>
        <v>0</v>
      </c>
      <c r="BQ63" s="592" t="str">
        <f t="shared" si="7"/>
        <v/>
      </c>
      <c r="BR63" s="592" t="str">
        <f t="shared" si="8"/>
        <v/>
      </c>
    </row>
    <row r="64" spans="1:70" ht="13.95" customHeight="1">
      <c r="A64" s="1805"/>
      <c r="B64" s="447"/>
      <c r="C64" s="448"/>
      <c r="D64" s="684"/>
      <c r="E64" s="684"/>
      <c r="F64" s="684"/>
      <c r="G64" s="684"/>
      <c r="H64" s="684"/>
      <c r="I64" s="684"/>
      <c r="J64" s="684"/>
      <c r="K64" s="684"/>
      <c r="L64" s="684"/>
      <c r="M64" s="684"/>
      <c r="N64" s="684"/>
      <c r="O64" s="684"/>
      <c r="P64" s="684"/>
      <c r="Q64" s="684"/>
      <c r="R64" s="684"/>
      <c r="S64" s="684"/>
      <c r="T64" s="684"/>
      <c r="U64" s="684"/>
      <c r="V64" s="684"/>
      <c r="W64" s="684"/>
      <c r="X64" s="684"/>
      <c r="Y64" s="684"/>
      <c r="Z64" s="684"/>
      <c r="AA64" s="2145"/>
      <c r="AB64" s="2146"/>
      <c r="AC64" s="2146"/>
      <c r="AD64" s="2147"/>
      <c r="AE64" s="709">
        <f t="shared" si="9"/>
        <v>0</v>
      </c>
      <c r="AF64" s="1846"/>
      <c r="AG64" s="758"/>
      <c r="AH64" s="1495"/>
      <c r="AI64" s="654">
        <f t="shared" si="1"/>
        <v>0</v>
      </c>
      <c r="AJ64" s="813"/>
      <c r="AK64" s="813"/>
      <c r="AL64" s="233"/>
      <c r="AM64" s="684"/>
      <c r="AN64" s="684"/>
      <c r="AO64" s="684"/>
      <c r="AP64" s="684"/>
      <c r="AQ64" s="684"/>
      <c r="AR64" s="684"/>
      <c r="AS64" s="684"/>
      <c r="AT64" s="684"/>
      <c r="AU64" s="684"/>
      <c r="AV64" s="684"/>
      <c r="AW64" s="684"/>
      <c r="AX64" s="684"/>
      <c r="AY64" s="684"/>
      <c r="AZ64" s="684"/>
      <c r="BA64" s="684"/>
      <c r="BB64" s="684"/>
      <c r="BC64" s="684"/>
      <c r="BD64" s="684"/>
      <c r="BE64" s="684"/>
      <c r="BF64" s="684"/>
      <c r="BG64" s="617"/>
      <c r="BH64" s="840" t="str">
        <f t="shared" si="2"/>
        <v/>
      </c>
      <c r="BI64" s="569"/>
      <c r="BJ64" s="458"/>
      <c r="BK64" s="592" t="str">
        <f t="shared" si="3"/>
        <v/>
      </c>
      <c r="BM64" s="592" t="str">
        <f t="shared" si="4"/>
        <v/>
      </c>
      <c r="BO64" s="592">
        <f t="shared" si="5"/>
        <v>0</v>
      </c>
      <c r="BP64" s="592">
        <f t="shared" si="6"/>
        <v>0</v>
      </c>
      <c r="BQ64" s="592" t="str">
        <f t="shared" si="7"/>
        <v/>
      </c>
      <c r="BR64" s="592" t="str">
        <f t="shared" si="8"/>
        <v/>
      </c>
    </row>
    <row r="65" spans="1:70" ht="13.95" customHeight="1">
      <c r="A65" s="1805"/>
      <c r="B65" s="622"/>
      <c r="C65" s="623"/>
      <c r="D65" s="620"/>
      <c r="E65" s="620"/>
      <c r="F65" s="620"/>
      <c r="G65" s="620"/>
      <c r="H65" s="620"/>
      <c r="I65" s="620"/>
      <c r="J65" s="620"/>
      <c r="K65" s="620"/>
      <c r="L65" s="620"/>
      <c r="M65" s="620"/>
      <c r="N65" s="620"/>
      <c r="O65" s="620"/>
      <c r="P65" s="620"/>
      <c r="Q65" s="620"/>
      <c r="R65" s="620"/>
      <c r="S65" s="620"/>
      <c r="T65" s="620"/>
      <c r="U65" s="620"/>
      <c r="V65" s="620"/>
      <c r="W65" s="620"/>
      <c r="X65" s="620"/>
      <c r="Y65" s="620"/>
      <c r="Z65" s="620"/>
      <c r="AA65" s="2145"/>
      <c r="AB65" s="2146"/>
      <c r="AC65" s="2146"/>
      <c r="AD65" s="2147"/>
      <c r="AE65" s="709">
        <f t="shared" si="9"/>
        <v>0</v>
      </c>
      <c r="AF65" s="1846"/>
      <c r="AG65" s="758"/>
      <c r="AH65" s="1495"/>
      <c r="AI65" s="654">
        <f t="shared" si="1"/>
        <v>0</v>
      </c>
      <c r="AJ65" s="618"/>
      <c r="AK65" s="618"/>
      <c r="AL65" s="619"/>
      <c r="AM65" s="620"/>
      <c r="AN65" s="620"/>
      <c r="AO65" s="620"/>
      <c r="AP65" s="620"/>
      <c r="AQ65" s="620"/>
      <c r="AR65" s="620"/>
      <c r="AS65" s="620"/>
      <c r="AT65" s="620"/>
      <c r="AU65" s="620"/>
      <c r="AV65" s="620"/>
      <c r="AW65" s="620"/>
      <c r="AX65" s="620"/>
      <c r="AY65" s="620"/>
      <c r="AZ65" s="620"/>
      <c r="BA65" s="620"/>
      <c r="BB65" s="620"/>
      <c r="BC65" s="620"/>
      <c r="BD65" s="620"/>
      <c r="BE65" s="620"/>
      <c r="BF65" s="620"/>
      <c r="BG65" s="621"/>
      <c r="BH65" s="840" t="str">
        <f t="shared" si="2"/>
        <v/>
      </c>
      <c r="BI65" s="569"/>
      <c r="BJ65" s="458"/>
      <c r="BK65" s="592" t="str">
        <f t="shared" si="3"/>
        <v/>
      </c>
      <c r="BM65" s="592" t="str">
        <f t="shared" si="4"/>
        <v/>
      </c>
      <c r="BO65" s="592">
        <f t="shared" si="5"/>
        <v>0</v>
      </c>
      <c r="BP65" s="592">
        <f t="shared" si="6"/>
        <v>0</v>
      </c>
      <c r="BQ65" s="592" t="str">
        <f t="shared" si="7"/>
        <v/>
      </c>
      <c r="BR65" s="592" t="str">
        <f t="shared" si="8"/>
        <v/>
      </c>
    </row>
    <row r="66" spans="1:70" ht="13.95" customHeight="1">
      <c r="A66" s="1805"/>
      <c r="B66" s="447"/>
      <c r="C66" s="448"/>
      <c r="D66" s="684"/>
      <c r="E66" s="684"/>
      <c r="F66" s="684"/>
      <c r="G66" s="684"/>
      <c r="H66" s="684"/>
      <c r="I66" s="684"/>
      <c r="J66" s="684"/>
      <c r="K66" s="684"/>
      <c r="L66" s="684"/>
      <c r="M66" s="684"/>
      <c r="N66" s="684"/>
      <c r="O66" s="684"/>
      <c r="P66" s="684"/>
      <c r="Q66" s="684"/>
      <c r="R66" s="684"/>
      <c r="S66" s="684"/>
      <c r="T66" s="684"/>
      <c r="U66" s="684"/>
      <c r="V66" s="684"/>
      <c r="W66" s="684"/>
      <c r="X66" s="684"/>
      <c r="Y66" s="684"/>
      <c r="Z66" s="684"/>
      <c r="AA66" s="2145"/>
      <c r="AB66" s="2146"/>
      <c r="AC66" s="2146"/>
      <c r="AD66" s="2147"/>
      <c r="AE66" s="709">
        <f t="shared" si="9"/>
        <v>0</v>
      </c>
      <c r="AF66" s="1846"/>
      <c r="AG66" s="758"/>
      <c r="AH66" s="1495"/>
      <c r="AI66" s="654">
        <f t="shared" si="1"/>
        <v>0</v>
      </c>
      <c r="AJ66" s="813"/>
      <c r="AK66" s="813"/>
      <c r="AL66" s="233"/>
      <c r="AM66" s="684"/>
      <c r="AN66" s="684"/>
      <c r="AO66" s="684"/>
      <c r="AP66" s="684"/>
      <c r="AQ66" s="684"/>
      <c r="AR66" s="684"/>
      <c r="AS66" s="684"/>
      <c r="AT66" s="684"/>
      <c r="AU66" s="684"/>
      <c r="AV66" s="684"/>
      <c r="AW66" s="684"/>
      <c r="AX66" s="684"/>
      <c r="AY66" s="684"/>
      <c r="AZ66" s="684"/>
      <c r="BA66" s="684"/>
      <c r="BB66" s="684"/>
      <c r="BC66" s="684"/>
      <c r="BD66" s="684"/>
      <c r="BE66" s="684"/>
      <c r="BF66" s="684"/>
      <c r="BG66" s="617"/>
      <c r="BH66" s="840" t="str">
        <f t="shared" si="2"/>
        <v/>
      </c>
      <c r="BI66" s="569"/>
      <c r="BJ66" s="458"/>
      <c r="BK66" s="592" t="str">
        <f t="shared" si="3"/>
        <v/>
      </c>
      <c r="BM66" s="592" t="str">
        <f t="shared" si="4"/>
        <v/>
      </c>
      <c r="BO66" s="592">
        <f t="shared" si="5"/>
        <v>0</v>
      </c>
      <c r="BP66" s="592">
        <f t="shared" si="6"/>
        <v>0</v>
      </c>
      <c r="BQ66" s="592" t="str">
        <f t="shared" si="7"/>
        <v/>
      </c>
      <c r="BR66" s="592" t="str">
        <f t="shared" si="8"/>
        <v/>
      </c>
    </row>
    <row r="67" spans="1:70" ht="13.95" customHeight="1">
      <c r="A67" s="1805"/>
      <c r="B67" s="622"/>
      <c r="C67" s="623"/>
      <c r="D67" s="620"/>
      <c r="E67" s="620"/>
      <c r="F67" s="620"/>
      <c r="G67" s="620"/>
      <c r="H67" s="620"/>
      <c r="I67" s="620"/>
      <c r="J67" s="620"/>
      <c r="K67" s="620"/>
      <c r="L67" s="620"/>
      <c r="M67" s="620"/>
      <c r="N67" s="620"/>
      <c r="O67" s="620"/>
      <c r="P67" s="620"/>
      <c r="Q67" s="620"/>
      <c r="R67" s="620"/>
      <c r="S67" s="620"/>
      <c r="T67" s="620"/>
      <c r="U67" s="620"/>
      <c r="V67" s="620"/>
      <c r="W67" s="620"/>
      <c r="X67" s="620"/>
      <c r="Y67" s="620"/>
      <c r="Z67" s="620"/>
      <c r="AA67" s="2145"/>
      <c r="AB67" s="2146"/>
      <c r="AC67" s="2146"/>
      <c r="AD67" s="2147"/>
      <c r="AE67" s="709">
        <f t="shared" si="9"/>
        <v>0</v>
      </c>
      <c r="AF67" s="1846"/>
      <c r="AG67" s="758"/>
      <c r="AH67" s="1495"/>
      <c r="AI67" s="654">
        <f t="shared" si="1"/>
        <v>0</v>
      </c>
      <c r="AJ67" s="618"/>
      <c r="AK67" s="618"/>
      <c r="AL67" s="619"/>
      <c r="AM67" s="620"/>
      <c r="AN67" s="620"/>
      <c r="AO67" s="620"/>
      <c r="AP67" s="620"/>
      <c r="AQ67" s="620"/>
      <c r="AR67" s="620"/>
      <c r="AS67" s="620"/>
      <c r="AT67" s="620"/>
      <c r="AU67" s="620"/>
      <c r="AV67" s="620"/>
      <c r="AW67" s="620"/>
      <c r="AX67" s="620"/>
      <c r="AY67" s="620"/>
      <c r="AZ67" s="620"/>
      <c r="BA67" s="620"/>
      <c r="BB67" s="620"/>
      <c r="BC67" s="620"/>
      <c r="BD67" s="620"/>
      <c r="BE67" s="620"/>
      <c r="BF67" s="620"/>
      <c r="BG67" s="621"/>
      <c r="BH67" s="840" t="str">
        <f t="shared" si="2"/>
        <v/>
      </c>
      <c r="BI67" s="569"/>
      <c r="BJ67" s="458"/>
      <c r="BK67" s="592" t="str">
        <f t="shared" si="3"/>
        <v/>
      </c>
      <c r="BM67" s="592" t="str">
        <f t="shared" si="4"/>
        <v/>
      </c>
      <c r="BO67" s="592">
        <f t="shared" si="5"/>
        <v>0</v>
      </c>
      <c r="BP67" s="592">
        <f t="shared" si="6"/>
        <v>0</v>
      </c>
      <c r="BQ67" s="592" t="str">
        <f t="shared" si="7"/>
        <v/>
      </c>
      <c r="BR67" s="592" t="str">
        <f t="shared" si="8"/>
        <v/>
      </c>
    </row>
    <row r="68" spans="1:70" ht="13.95" customHeight="1">
      <c r="A68" s="1805"/>
      <c r="B68" s="447"/>
      <c r="C68" s="448"/>
      <c r="D68" s="684"/>
      <c r="E68" s="684"/>
      <c r="F68" s="684"/>
      <c r="G68" s="684"/>
      <c r="H68" s="684"/>
      <c r="I68" s="684"/>
      <c r="J68" s="684"/>
      <c r="K68" s="684"/>
      <c r="L68" s="684"/>
      <c r="M68" s="684"/>
      <c r="N68" s="684"/>
      <c r="O68" s="684"/>
      <c r="P68" s="684"/>
      <c r="Q68" s="684"/>
      <c r="R68" s="684"/>
      <c r="S68" s="684"/>
      <c r="T68" s="684"/>
      <c r="U68" s="684"/>
      <c r="V68" s="684"/>
      <c r="W68" s="684"/>
      <c r="X68" s="684"/>
      <c r="Y68" s="684"/>
      <c r="Z68" s="684"/>
      <c r="AA68" s="2145"/>
      <c r="AB68" s="2146"/>
      <c r="AC68" s="2146"/>
      <c r="AD68" s="2147"/>
      <c r="AE68" s="709">
        <f t="shared" si="9"/>
        <v>0</v>
      </c>
      <c r="AF68" s="1846"/>
      <c r="AG68" s="758"/>
      <c r="AH68" s="1495"/>
      <c r="AI68" s="654">
        <f t="shared" si="1"/>
        <v>0</v>
      </c>
      <c r="AJ68" s="813"/>
      <c r="AK68" s="813"/>
      <c r="AL68" s="233"/>
      <c r="AM68" s="684"/>
      <c r="AN68" s="684"/>
      <c r="AO68" s="684"/>
      <c r="AP68" s="684"/>
      <c r="AQ68" s="684"/>
      <c r="AR68" s="684"/>
      <c r="AS68" s="684"/>
      <c r="AT68" s="684"/>
      <c r="AU68" s="684"/>
      <c r="AV68" s="684"/>
      <c r="AW68" s="684"/>
      <c r="AX68" s="684"/>
      <c r="AY68" s="684"/>
      <c r="AZ68" s="684"/>
      <c r="BA68" s="684"/>
      <c r="BB68" s="684"/>
      <c r="BC68" s="684"/>
      <c r="BD68" s="684"/>
      <c r="BE68" s="684"/>
      <c r="BF68" s="684"/>
      <c r="BG68" s="617"/>
      <c r="BH68" s="840" t="str">
        <f t="shared" si="2"/>
        <v/>
      </c>
      <c r="BI68" s="569"/>
      <c r="BJ68" s="458"/>
      <c r="BK68" s="592" t="str">
        <f t="shared" si="3"/>
        <v/>
      </c>
      <c r="BM68" s="592" t="str">
        <f t="shared" si="4"/>
        <v/>
      </c>
      <c r="BO68" s="592">
        <f t="shared" si="5"/>
        <v>0</v>
      </c>
      <c r="BP68" s="592">
        <f t="shared" si="6"/>
        <v>0</v>
      </c>
      <c r="BQ68" s="592" t="str">
        <f t="shared" si="7"/>
        <v/>
      </c>
      <c r="BR68" s="592" t="str">
        <f t="shared" si="8"/>
        <v/>
      </c>
    </row>
    <row r="69" spans="1:70" ht="13.95" customHeight="1">
      <c r="A69" s="1805"/>
      <c r="B69" s="622"/>
      <c r="C69" s="623"/>
      <c r="D69" s="620"/>
      <c r="E69" s="620"/>
      <c r="F69" s="620"/>
      <c r="G69" s="620"/>
      <c r="H69" s="620"/>
      <c r="I69" s="620"/>
      <c r="J69" s="620"/>
      <c r="K69" s="620"/>
      <c r="L69" s="620"/>
      <c r="M69" s="620"/>
      <c r="N69" s="620"/>
      <c r="O69" s="620"/>
      <c r="P69" s="620"/>
      <c r="Q69" s="620"/>
      <c r="R69" s="620"/>
      <c r="S69" s="620"/>
      <c r="T69" s="620"/>
      <c r="U69" s="620"/>
      <c r="V69" s="620"/>
      <c r="W69" s="620"/>
      <c r="X69" s="620"/>
      <c r="Y69" s="620"/>
      <c r="Z69" s="620"/>
      <c r="AA69" s="2145"/>
      <c r="AB69" s="2146"/>
      <c r="AC69" s="2146"/>
      <c r="AD69" s="2147"/>
      <c r="AE69" s="709">
        <f t="shared" si="9"/>
        <v>0</v>
      </c>
      <c r="AF69" s="1846"/>
      <c r="AG69" s="758"/>
      <c r="AH69" s="1495"/>
      <c r="AI69" s="654">
        <f t="shared" si="1"/>
        <v>0</v>
      </c>
      <c r="AJ69" s="618"/>
      <c r="AK69" s="618"/>
      <c r="AL69" s="619"/>
      <c r="AM69" s="620"/>
      <c r="AN69" s="620"/>
      <c r="AO69" s="620"/>
      <c r="AP69" s="620"/>
      <c r="AQ69" s="620"/>
      <c r="AR69" s="620"/>
      <c r="AS69" s="620"/>
      <c r="AT69" s="620"/>
      <c r="AU69" s="620"/>
      <c r="AV69" s="620"/>
      <c r="AW69" s="620"/>
      <c r="AX69" s="620"/>
      <c r="AY69" s="620"/>
      <c r="AZ69" s="620"/>
      <c r="BA69" s="620"/>
      <c r="BB69" s="620"/>
      <c r="BC69" s="620"/>
      <c r="BD69" s="620"/>
      <c r="BE69" s="620"/>
      <c r="BF69" s="620"/>
      <c r="BG69" s="621"/>
      <c r="BH69" s="840" t="str">
        <f t="shared" si="2"/>
        <v/>
      </c>
      <c r="BI69" s="569"/>
      <c r="BJ69" s="458"/>
      <c r="BK69" s="592" t="str">
        <f t="shared" si="3"/>
        <v/>
      </c>
      <c r="BM69" s="592" t="str">
        <f t="shared" si="4"/>
        <v/>
      </c>
      <c r="BO69" s="592">
        <f t="shared" si="5"/>
        <v>0</v>
      </c>
      <c r="BP69" s="592">
        <f t="shared" si="6"/>
        <v>0</v>
      </c>
      <c r="BQ69" s="592" t="str">
        <f t="shared" si="7"/>
        <v/>
      </c>
      <c r="BR69" s="592" t="str">
        <f t="shared" si="8"/>
        <v/>
      </c>
    </row>
    <row r="70" spans="1:70" ht="13.95" customHeight="1">
      <c r="A70" s="1805"/>
      <c r="B70" s="447"/>
      <c r="C70" s="448"/>
      <c r="D70" s="684"/>
      <c r="E70" s="684"/>
      <c r="F70" s="684"/>
      <c r="G70" s="684"/>
      <c r="H70" s="684"/>
      <c r="I70" s="684"/>
      <c r="J70" s="684"/>
      <c r="K70" s="684"/>
      <c r="L70" s="684"/>
      <c r="M70" s="684"/>
      <c r="N70" s="684"/>
      <c r="O70" s="684"/>
      <c r="P70" s="684"/>
      <c r="Q70" s="684"/>
      <c r="R70" s="684"/>
      <c r="S70" s="684"/>
      <c r="T70" s="684"/>
      <c r="U70" s="684"/>
      <c r="V70" s="684"/>
      <c r="W70" s="684"/>
      <c r="X70" s="684"/>
      <c r="Y70" s="684"/>
      <c r="Z70" s="684"/>
      <c r="AA70" s="2145"/>
      <c r="AB70" s="2146"/>
      <c r="AC70" s="2146"/>
      <c r="AD70" s="2147"/>
      <c r="AE70" s="709">
        <f t="shared" si="9"/>
        <v>0</v>
      </c>
      <c r="AF70" s="1846"/>
      <c r="AG70" s="758"/>
      <c r="AH70" s="1495"/>
      <c r="AI70" s="654">
        <f t="shared" si="1"/>
        <v>0</v>
      </c>
      <c r="AJ70" s="813"/>
      <c r="AK70" s="813"/>
      <c r="AL70" s="233"/>
      <c r="AM70" s="684"/>
      <c r="AN70" s="684"/>
      <c r="AO70" s="684"/>
      <c r="AP70" s="684"/>
      <c r="AQ70" s="684"/>
      <c r="AR70" s="684"/>
      <c r="AS70" s="684"/>
      <c r="AT70" s="684"/>
      <c r="AU70" s="684"/>
      <c r="AV70" s="684"/>
      <c r="AW70" s="684"/>
      <c r="AX70" s="684"/>
      <c r="AY70" s="684"/>
      <c r="AZ70" s="684"/>
      <c r="BA70" s="684"/>
      <c r="BB70" s="684"/>
      <c r="BC70" s="684"/>
      <c r="BD70" s="684"/>
      <c r="BE70" s="684"/>
      <c r="BF70" s="684"/>
      <c r="BG70" s="617"/>
      <c r="BH70" s="840" t="str">
        <f t="shared" si="2"/>
        <v/>
      </c>
      <c r="BI70" s="569"/>
      <c r="BJ70" s="458"/>
      <c r="BK70" s="592" t="str">
        <f t="shared" si="3"/>
        <v/>
      </c>
      <c r="BM70" s="592" t="str">
        <f t="shared" si="4"/>
        <v/>
      </c>
      <c r="BO70" s="592">
        <f t="shared" si="5"/>
        <v>0</v>
      </c>
      <c r="BP70" s="592">
        <f t="shared" si="6"/>
        <v>0</v>
      </c>
      <c r="BQ70" s="592" t="str">
        <f t="shared" si="7"/>
        <v/>
      </c>
      <c r="BR70" s="592" t="str">
        <f t="shared" si="8"/>
        <v/>
      </c>
    </row>
    <row r="71" spans="1:70" ht="13.95" customHeight="1">
      <c r="A71" s="1805"/>
      <c r="B71" s="622"/>
      <c r="C71" s="623"/>
      <c r="D71" s="620"/>
      <c r="E71" s="620"/>
      <c r="F71" s="620"/>
      <c r="G71" s="620"/>
      <c r="H71" s="620"/>
      <c r="I71" s="620"/>
      <c r="J71" s="620"/>
      <c r="K71" s="620"/>
      <c r="L71" s="620"/>
      <c r="M71" s="620"/>
      <c r="N71" s="620"/>
      <c r="O71" s="620"/>
      <c r="P71" s="620"/>
      <c r="Q71" s="620"/>
      <c r="R71" s="620"/>
      <c r="S71" s="620"/>
      <c r="T71" s="620"/>
      <c r="U71" s="620"/>
      <c r="V71" s="620"/>
      <c r="W71" s="620"/>
      <c r="X71" s="620"/>
      <c r="Y71" s="620"/>
      <c r="Z71" s="620"/>
      <c r="AA71" s="2145"/>
      <c r="AB71" s="2146"/>
      <c r="AC71" s="2146"/>
      <c r="AD71" s="2147"/>
      <c r="AE71" s="709">
        <f t="shared" si="9"/>
        <v>0</v>
      </c>
      <c r="AF71" s="1846"/>
      <c r="AG71" s="758"/>
      <c r="AH71" s="1495"/>
      <c r="AI71" s="654">
        <f t="shared" si="1"/>
        <v>0</v>
      </c>
      <c r="AJ71" s="618"/>
      <c r="AK71" s="618"/>
      <c r="AL71" s="619"/>
      <c r="AM71" s="620"/>
      <c r="AN71" s="620"/>
      <c r="AO71" s="620"/>
      <c r="AP71" s="620"/>
      <c r="AQ71" s="620"/>
      <c r="AR71" s="620"/>
      <c r="AS71" s="620"/>
      <c r="AT71" s="620"/>
      <c r="AU71" s="620"/>
      <c r="AV71" s="620"/>
      <c r="AW71" s="620"/>
      <c r="AX71" s="620"/>
      <c r="AY71" s="620"/>
      <c r="AZ71" s="620"/>
      <c r="BA71" s="620"/>
      <c r="BB71" s="620"/>
      <c r="BC71" s="620"/>
      <c r="BD71" s="620"/>
      <c r="BE71" s="620"/>
      <c r="BF71" s="620"/>
      <c r="BG71" s="621"/>
      <c r="BH71" s="840" t="str">
        <f t="shared" si="2"/>
        <v/>
      </c>
      <c r="BI71" s="569"/>
      <c r="BJ71" s="458"/>
      <c r="BK71" s="592" t="str">
        <f t="shared" si="3"/>
        <v/>
      </c>
      <c r="BM71" s="592" t="str">
        <f t="shared" si="4"/>
        <v/>
      </c>
      <c r="BO71" s="592">
        <f t="shared" si="5"/>
        <v>0</v>
      </c>
      <c r="BP71" s="592">
        <f t="shared" si="6"/>
        <v>0</v>
      </c>
      <c r="BQ71" s="592" t="str">
        <f t="shared" si="7"/>
        <v/>
      </c>
      <c r="BR71" s="592" t="str">
        <f t="shared" si="8"/>
        <v/>
      </c>
    </row>
    <row r="72" spans="1:70" ht="13.95" customHeight="1">
      <c r="A72" s="1805"/>
      <c r="B72" s="447"/>
      <c r="C72" s="448"/>
      <c r="D72" s="684"/>
      <c r="E72" s="684"/>
      <c r="F72" s="684"/>
      <c r="G72" s="684"/>
      <c r="H72" s="684"/>
      <c r="I72" s="684"/>
      <c r="J72" s="684"/>
      <c r="K72" s="684"/>
      <c r="L72" s="684"/>
      <c r="M72" s="684"/>
      <c r="N72" s="684"/>
      <c r="O72" s="684"/>
      <c r="P72" s="684"/>
      <c r="Q72" s="684"/>
      <c r="R72" s="684"/>
      <c r="S72" s="684"/>
      <c r="T72" s="684"/>
      <c r="U72" s="684"/>
      <c r="V72" s="684"/>
      <c r="W72" s="684"/>
      <c r="X72" s="684"/>
      <c r="Y72" s="684"/>
      <c r="Z72" s="684"/>
      <c r="AA72" s="2145"/>
      <c r="AB72" s="2146"/>
      <c r="AC72" s="2146"/>
      <c r="AD72" s="2147"/>
      <c r="AE72" s="709">
        <f t="shared" si="9"/>
        <v>0</v>
      </c>
      <c r="AF72" s="1846"/>
      <c r="AG72" s="758"/>
      <c r="AH72" s="1495"/>
      <c r="AI72" s="654">
        <f t="shared" si="1"/>
        <v>0</v>
      </c>
      <c r="AJ72" s="813"/>
      <c r="AK72" s="813"/>
      <c r="AL72" s="233"/>
      <c r="AM72" s="684"/>
      <c r="AN72" s="684"/>
      <c r="AO72" s="684"/>
      <c r="AP72" s="684"/>
      <c r="AQ72" s="684"/>
      <c r="AR72" s="684"/>
      <c r="AS72" s="684"/>
      <c r="AT72" s="684"/>
      <c r="AU72" s="684"/>
      <c r="AV72" s="684"/>
      <c r="AW72" s="684"/>
      <c r="AX72" s="684"/>
      <c r="AY72" s="684"/>
      <c r="AZ72" s="684"/>
      <c r="BA72" s="684"/>
      <c r="BB72" s="684"/>
      <c r="BC72" s="684"/>
      <c r="BD72" s="684"/>
      <c r="BE72" s="684"/>
      <c r="BF72" s="684"/>
      <c r="BG72" s="617"/>
      <c r="BH72" s="840" t="str">
        <f t="shared" si="2"/>
        <v/>
      </c>
      <c r="BI72" s="569"/>
      <c r="BJ72" s="458"/>
      <c r="BK72" s="592" t="str">
        <f t="shared" si="3"/>
        <v/>
      </c>
      <c r="BM72" s="592" t="str">
        <f t="shared" si="4"/>
        <v/>
      </c>
      <c r="BO72" s="592">
        <f t="shared" si="5"/>
        <v>0</v>
      </c>
      <c r="BP72" s="592">
        <f t="shared" si="6"/>
        <v>0</v>
      </c>
      <c r="BQ72" s="592" t="str">
        <f t="shared" si="7"/>
        <v/>
      </c>
      <c r="BR72" s="592" t="str">
        <f t="shared" si="8"/>
        <v/>
      </c>
    </row>
    <row r="73" spans="1:70" ht="13.95" customHeight="1">
      <c r="A73" s="1805"/>
      <c r="B73" s="622"/>
      <c r="C73" s="623"/>
      <c r="D73" s="620"/>
      <c r="E73" s="620"/>
      <c r="F73" s="620"/>
      <c r="G73" s="620"/>
      <c r="H73" s="620"/>
      <c r="I73" s="620"/>
      <c r="J73" s="620"/>
      <c r="K73" s="620"/>
      <c r="L73" s="620"/>
      <c r="M73" s="620"/>
      <c r="N73" s="620"/>
      <c r="O73" s="620"/>
      <c r="P73" s="620"/>
      <c r="Q73" s="620"/>
      <c r="R73" s="620"/>
      <c r="S73" s="620"/>
      <c r="T73" s="620"/>
      <c r="U73" s="620"/>
      <c r="V73" s="620"/>
      <c r="W73" s="620"/>
      <c r="X73" s="620"/>
      <c r="Y73" s="620"/>
      <c r="Z73" s="620"/>
      <c r="AA73" s="2145"/>
      <c r="AB73" s="2146"/>
      <c r="AC73" s="2146"/>
      <c r="AD73" s="2147"/>
      <c r="AE73" s="709">
        <f t="shared" si="9"/>
        <v>0</v>
      </c>
      <c r="AF73" s="1846"/>
      <c r="AG73" s="758"/>
      <c r="AH73" s="1495"/>
      <c r="AI73" s="654">
        <f t="shared" si="1"/>
        <v>0</v>
      </c>
      <c r="AJ73" s="618"/>
      <c r="AK73" s="618"/>
      <c r="AL73" s="619"/>
      <c r="AM73" s="620"/>
      <c r="AN73" s="620"/>
      <c r="AO73" s="620"/>
      <c r="AP73" s="620"/>
      <c r="AQ73" s="620"/>
      <c r="AR73" s="620"/>
      <c r="AS73" s="620"/>
      <c r="AT73" s="620"/>
      <c r="AU73" s="620"/>
      <c r="AV73" s="620"/>
      <c r="AW73" s="620"/>
      <c r="AX73" s="620"/>
      <c r="AY73" s="620"/>
      <c r="AZ73" s="620"/>
      <c r="BA73" s="620"/>
      <c r="BB73" s="620"/>
      <c r="BC73" s="620"/>
      <c r="BD73" s="620"/>
      <c r="BE73" s="620"/>
      <c r="BF73" s="620"/>
      <c r="BG73" s="621"/>
      <c r="BH73" s="840" t="str">
        <f t="shared" si="2"/>
        <v/>
      </c>
      <c r="BI73" s="569"/>
      <c r="BJ73" s="458"/>
      <c r="BK73" s="592" t="str">
        <f t="shared" si="3"/>
        <v/>
      </c>
      <c r="BM73" s="592" t="str">
        <f t="shared" si="4"/>
        <v/>
      </c>
      <c r="BO73" s="592">
        <f t="shared" si="5"/>
        <v>0</v>
      </c>
      <c r="BP73" s="592">
        <f t="shared" si="6"/>
        <v>0</v>
      </c>
      <c r="BQ73" s="592" t="str">
        <f t="shared" si="7"/>
        <v/>
      </c>
      <c r="BR73" s="592" t="str">
        <f t="shared" si="8"/>
        <v/>
      </c>
    </row>
    <row r="74" spans="1:70" ht="13.95" customHeight="1">
      <c r="A74" s="1805"/>
      <c r="B74" s="447"/>
      <c r="C74" s="448"/>
      <c r="D74" s="684"/>
      <c r="E74" s="684"/>
      <c r="F74" s="684"/>
      <c r="G74" s="684"/>
      <c r="H74" s="684"/>
      <c r="I74" s="684"/>
      <c r="J74" s="684"/>
      <c r="K74" s="684"/>
      <c r="L74" s="684"/>
      <c r="M74" s="684"/>
      <c r="N74" s="684"/>
      <c r="O74" s="684"/>
      <c r="P74" s="684"/>
      <c r="Q74" s="684"/>
      <c r="R74" s="684"/>
      <c r="S74" s="684"/>
      <c r="T74" s="684"/>
      <c r="U74" s="684"/>
      <c r="V74" s="684"/>
      <c r="W74" s="684"/>
      <c r="X74" s="684"/>
      <c r="Y74" s="684"/>
      <c r="Z74" s="684"/>
      <c r="AA74" s="2145"/>
      <c r="AB74" s="2146"/>
      <c r="AC74" s="2146"/>
      <c r="AD74" s="2147"/>
      <c r="AE74" s="709">
        <f t="shared" si="9"/>
        <v>0</v>
      </c>
      <c r="AF74" s="1846"/>
      <c r="AG74" s="758"/>
      <c r="AH74" s="1495"/>
      <c r="AI74" s="654">
        <f t="shared" si="1"/>
        <v>0</v>
      </c>
      <c r="AJ74" s="813"/>
      <c r="AK74" s="813"/>
      <c r="AL74" s="233"/>
      <c r="AM74" s="684"/>
      <c r="AN74" s="684"/>
      <c r="AO74" s="684"/>
      <c r="AP74" s="684"/>
      <c r="AQ74" s="684"/>
      <c r="AR74" s="684"/>
      <c r="AS74" s="684"/>
      <c r="AT74" s="684"/>
      <c r="AU74" s="684"/>
      <c r="AV74" s="684"/>
      <c r="AW74" s="684"/>
      <c r="AX74" s="684"/>
      <c r="AY74" s="684"/>
      <c r="AZ74" s="684"/>
      <c r="BA74" s="684"/>
      <c r="BB74" s="684"/>
      <c r="BC74" s="684"/>
      <c r="BD74" s="684"/>
      <c r="BE74" s="684"/>
      <c r="BF74" s="684"/>
      <c r="BG74" s="617"/>
      <c r="BH74" s="840" t="str">
        <f t="shared" si="2"/>
        <v/>
      </c>
      <c r="BI74" s="569"/>
      <c r="BJ74" s="458"/>
      <c r="BK74" s="592" t="str">
        <f t="shared" si="3"/>
        <v/>
      </c>
      <c r="BM74" s="592" t="str">
        <f t="shared" si="4"/>
        <v/>
      </c>
      <c r="BO74" s="592">
        <f t="shared" si="5"/>
        <v>0</v>
      </c>
      <c r="BP74" s="592">
        <f t="shared" si="6"/>
        <v>0</v>
      </c>
      <c r="BQ74" s="592" t="str">
        <f t="shared" si="7"/>
        <v/>
      </c>
      <c r="BR74" s="592" t="str">
        <f t="shared" si="8"/>
        <v/>
      </c>
    </row>
    <row r="75" spans="1:70" ht="13.95" customHeight="1">
      <c r="A75" s="1805"/>
      <c r="B75" s="622"/>
      <c r="C75" s="623"/>
      <c r="D75" s="620"/>
      <c r="E75" s="620"/>
      <c r="F75" s="620"/>
      <c r="G75" s="620"/>
      <c r="H75" s="620"/>
      <c r="I75" s="620"/>
      <c r="J75" s="620"/>
      <c r="K75" s="620"/>
      <c r="L75" s="620"/>
      <c r="M75" s="620"/>
      <c r="N75" s="620"/>
      <c r="O75" s="620"/>
      <c r="P75" s="620"/>
      <c r="Q75" s="620"/>
      <c r="R75" s="620"/>
      <c r="S75" s="620"/>
      <c r="T75" s="620"/>
      <c r="U75" s="620"/>
      <c r="V75" s="620"/>
      <c r="W75" s="620"/>
      <c r="X75" s="620"/>
      <c r="Y75" s="620"/>
      <c r="Z75" s="620"/>
      <c r="AA75" s="2145"/>
      <c r="AB75" s="2146"/>
      <c r="AC75" s="2146"/>
      <c r="AD75" s="2147"/>
      <c r="AE75" s="709">
        <f t="shared" si="9"/>
        <v>0</v>
      </c>
      <c r="AF75" s="1846"/>
      <c r="AG75" s="758"/>
      <c r="AH75" s="1495"/>
      <c r="AI75" s="654">
        <f t="shared" si="1"/>
        <v>0</v>
      </c>
      <c r="AJ75" s="618"/>
      <c r="AK75" s="618"/>
      <c r="AL75" s="619"/>
      <c r="AM75" s="620"/>
      <c r="AN75" s="620"/>
      <c r="AO75" s="620"/>
      <c r="AP75" s="620"/>
      <c r="AQ75" s="620"/>
      <c r="AR75" s="620"/>
      <c r="AS75" s="620"/>
      <c r="AT75" s="620"/>
      <c r="AU75" s="620"/>
      <c r="AV75" s="620"/>
      <c r="AW75" s="620"/>
      <c r="AX75" s="620"/>
      <c r="AY75" s="620"/>
      <c r="AZ75" s="620"/>
      <c r="BA75" s="620"/>
      <c r="BB75" s="620"/>
      <c r="BC75" s="620"/>
      <c r="BD75" s="620"/>
      <c r="BE75" s="620"/>
      <c r="BF75" s="620"/>
      <c r="BG75" s="621"/>
      <c r="BH75" s="840" t="str">
        <f t="shared" si="2"/>
        <v/>
      </c>
      <c r="BI75" s="569"/>
      <c r="BJ75" s="458"/>
      <c r="BK75" s="592" t="str">
        <f t="shared" si="3"/>
        <v/>
      </c>
      <c r="BM75" s="592" t="str">
        <f t="shared" si="4"/>
        <v/>
      </c>
      <c r="BO75" s="592">
        <f t="shared" si="5"/>
        <v>0</v>
      </c>
      <c r="BP75" s="592">
        <f t="shared" si="6"/>
        <v>0</v>
      </c>
      <c r="BQ75" s="592" t="str">
        <f t="shared" si="7"/>
        <v/>
      </c>
      <c r="BR75" s="592" t="str">
        <f t="shared" si="8"/>
        <v/>
      </c>
    </row>
    <row r="76" spans="1:70" ht="13.95" customHeight="1">
      <c r="A76" s="1805"/>
      <c r="B76" s="447"/>
      <c r="C76" s="448"/>
      <c r="D76" s="684"/>
      <c r="E76" s="684"/>
      <c r="F76" s="684"/>
      <c r="G76" s="684"/>
      <c r="H76" s="684"/>
      <c r="I76" s="684"/>
      <c r="J76" s="684"/>
      <c r="K76" s="684"/>
      <c r="L76" s="684"/>
      <c r="M76" s="684"/>
      <c r="N76" s="684"/>
      <c r="O76" s="684"/>
      <c r="P76" s="684"/>
      <c r="Q76" s="684"/>
      <c r="R76" s="684"/>
      <c r="S76" s="684"/>
      <c r="T76" s="684"/>
      <c r="U76" s="684"/>
      <c r="V76" s="684"/>
      <c r="W76" s="684"/>
      <c r="X76" s="684"/>
      <c r="Y76" s="684"/>
      <c r="Z76" s="684"/>
      <c r="AA76" s="2145"/>
      <c r="AB76" s="2146"/>
      <c r="AC76" s="2146"/>
      <c r="AD76" s="2147"/>
      <c r="AE76" s="709">
        <f t="shared" si="9"/>
        <v>0</v>
      </c>
      <c r="AF76" s="1846"/>
      <c r="AG76" s="758"/>
      <c r="AH76" s="1495"/>
      <c r="AI76" s="654">
        <f t="shared" si="1"/>
        <v>0</v>
      </c>
      <c r="AJ76" s="813"/>
      <c r="AK76" s="813"/>
      <c r="AL76" s="233"/>
      <c r="AM76" s="684"/>
      <c r="AN76" s="684"/>
      <c r="AO76" s="684"/>
      <c r="AP76" s="684"/>
      <c r="AQ76" s="684"/>
      <c r="AR76" s="684"/>
      <c r="AS76" s="684"/>
      <c r="AT76" s="684"/>
      <c r="AU76" s="684"/>
      <c r="AV76" s="684"/>
      <c r="AW76" s="684"/>
      <c r="AX76" s="684"/>
      <c r="AY76" s="684"/>
      <c r="AZ76" s="684"/>
      <c r="BA76" s="684"/>
      <c r="BB76" s="684"/>
      <c r="BC76" s="684"/>
      <c r="BD76" s="684"/>
      <c r="BE76" s="684"/>
      <c r="BF76" s="684"/>
      <c r="BG76" s="617"/>
      <c r="BH76" s="840" t="str">
        <f t="shared" si="2"/>
        <v/>
      </c>
      <c r="BI76" s="569"/>
      <c r="BJ76" s="458"/>
      <c r="BK76" s="592" t="str">
        <f t="shared" si="3"/>
        <v/>
      </c>
      <c r="BM76" s="592" t="str">
        <f t="shared" si="4"/>
        <v/>
      </c>
      <c r="BO76" s="592">
        <f t="shared" si="5"/>
        <v>0</v>
      </c>
      <c r="BP76" s="592">
        <f t="shared" si="6"/>
        <v>0</v>
      </c>
      <c r="BQ76" s="592" t="str">
        <f t="shared" si="7"/>
        <v/>
      </c>
      <c r="BR76" s="592" t="str">
        <f t="shared" si="8"/>
        <v/>
      </c>
    </row>
    <row r="77" spans="1:70" ht="13.95" customHeight="1">
      <c r="A77" s="1805"/>
      <c r="B77" s="622"/>
      <c r="C77" s="623"/>
      <c r="D77" s="620"/>
      <c r="E77" s="620"/>
      <c r="F77" s="620"/>
      <c r="G77" s="620"/>
      <c r="H77" s="620"/>
      <c r="I77" s="620"/>
      <c r="J77" s="620"/>
      <c r="K77" s="620"/>
      <c r="L77" s="620"/>
      <c r="M77" s="620"/>
      <c r="N77" s="620"/>
      <c r="O77" s="620"/>
      <c r="P77" s="620"/>
      <c r="Q77" s="620"/>
      <c r="R77" s="620"/>
      <c r="S77" s="620"/>
      <c r="T77" s="620"/>
      <c r="U77" s="620"/>
      <c r="V77" s="620"/>
      <c r="W77" s="620"/>
      <c r="X77" s="620"/>
      <c r="Y77" s="620"/>
      <c r="Z77" s="620"/>
      <c r="AA77" s="2145"/>
      <c r="AB77" s="2146"/>
      <c r="AC77" s="2146"/>
      <c r="AD77" s="2147"/>
      <c r="AE77" s="709">
        <f t="shared" si="9"/>
        <v>0</v>
      </c>
      <c r="AF77" s="1846"/>
      <c r="AG77" s="758"/>
      <c r="AH77" s="1495"/>
      <c r="AI77" s="654">
        <f t="shared" si="1"/>
        <v>0</v>
      </c>
      <c r="AJ77" s="618"/>
      <c r="AK77" s="618"/>
      <c r="AL77" s="619"/>
      <c r="AM77" s="620"/>
      <c r="AN77" s="620"/>
      <c r="AO77" s="620"/>
      <c r="AP77" s="620"/>
      <c r="AQ77" s="620"/>
      <c r="AR77" s="620"/>
      <c r="AS77" s="620"/>
      <c r="AT77" s="620"/>
      <c r="AU77" s="620"/>
      <c r="AV77" s="620"/>
      <c r="AW77" s="620"/>
      <c r="AX77" s="620"/>
      <c r="AY77" s="620"/>
      <c r="AZ77" s="620"/>
      <c r="BA77" s="620"/>
      <c r="BB77" s="620"/>
      <c r="BC77" s="620"/>
      <c r="BD77" s="620"/>
      <c r="BE77" s="620"/>
      <c r="BF77" s="620"/>
      <c r="BG77" s="621"/>
      <c r="BH77" s="840" t="str">
        <f t="shared" si="2"/>
        <v/>
      </c>
      <c r="BI77" s="569"/>
      <c r="BJ77" s="458"/>
      <c r="BK77" s="592" t="str">
        <f t="shared" si="3"/>
        <v/>
      </c>
      <c r="BM77" s="592" t="str">
        <f t="shared" si="4"/>
        <v/>
      </c>
      <c r="BO77" s="592">
        <f t="shared" si="5"/>
        <v>0</v>
      </c>
      <c r="BP77" s="592">
        <f t="shared" si="6"/>
        <v>0</v>
      </c>
      <c r="BQ77" s="592" t="str">
        <f t="shared" si="7"/>
        <v/>
      </c>
      <c r="BR77" s="592" t="str">
        <f t="shared" si="8"/>
        <v/>
      </c>
    </row>
    <row r="78" spans="1:70" ht="13.95" customHeight="1">
      <c r="A78" s="1805"/>
      <c r="B78" s="447"/>
      <c r="C78" s="448"/>
      <c r="D78" s="684"/>
      <c r="E78" s="684"/>
      <c r="F78" s="684"/>
      <c r="G78" s="684"/>
      <c r="H78" s="684"/>
      <c r="I78" s="684"/>
      <c r="J78" s="684"/>
      <c r="K78" s="684"/>
      <c r="L78" s="684"/>
      <c r="M78" s="684"/>
      <c r="N78" s="684"/>
      <c r="O78" s="684"/>
      <c r="P78" s="684"/>
      <c r="Q78" s="684"/>
      <c r="R78" s="684"/>
      <c r="S78" s="684"/>
      <c r="T78" s="684"/>
      <c r="U78" s="684"/>
      <c r="V78" s="684"/>
      <c r="W78" s="684"/>
      <c r="X78" s="684"/>
      <c r="Y78" s="684"/>
      <c r="Z78" s="684"/>
      <c r="AA78" s="2145"/>
      <c r="AB78" s="2146"/>
      <c r="AC78" s="2146"/>
      <c r="AD78" s="2147"/>
      <c r="AE78" s="709">
        <f t="shared" si="9"/>
        <v>0</v>
      </c>
      <c r="AF78" s="1846"/>
      <c r="AG78" s="758"/>
      <c r="AH78" s="1495"/>
      <c r="AI78" s="654">
        <f t="shared" si="1"/>
        <v>0</v>
      </c>
      <c r="AJ78" s="813"/>
      <c r="AK78" s="813"/>
      <c r="AL78" s="233"/>
      <c r="AM78" s="684"/>
      <c r="AN78" s="684"/>
      <c r="AO78" s="684"/>
      <c r="AP78" s="684"/>
      <c r="AQ78" s="684"/>
      <c r="AR78" s="684"/>
      <c r="AS78" s="684"/>
      <c r="AT78" s="684"/>
      <c r="AU78" s="684"/>
      <c r="AV78" s="684"/>
      <c r="AW78" s="684"/>
      <c r="AX78" s="684"/>
      <c r="AY78" s="684"/>
      <c r="AZ78" s="684"/>
      <c r="BA78" s="684"/>
      <c r="BB78" s="684"/>
      <c r="BC78" s="684"/>
      <c r="BD78" s="684"/>
      <c r="BE78" s="684"/>
      <c r="BF78" s="684"/>
      <c r="BG78" s="617"/>
      <c r="BH78" s="840" t="str">
        <f t="shared" si="2"/>
        <v/>
      </c>
      <c r="BI78" s="569"/>
      <c r="BJ78" s="458"/>
      <c r="BK78" s="592" t="str">
        <f t="shared" si="3"/>
        <v/>
      </c>
      <c r="BM78" s="592" t="str">
        <f t="shared" si="4"/>
        <v/>
      </c>
      <c r="BO78" s="592">
        <f t="shared" si="5"/>
        <v>0</v>
      </c>
      <c r="BP78" s="592">
        <f t="shared" si="6"/>
        <v>0</v>
      </c>
      <c r="BQ78" s="592" t="str">
        <f t="shared" si="7"/>
        <v/>
      </c>
      <c r="BR78" s="592" t="str">
        <f t="shared" si="8"/>
        <v/>
      </c>
    </row>
    <row r="79" spans="1:70" ht="13.95" customHeight="1">
      <c r="A79" s="1805"/>
      <c r="B79" s="622"/>
      <c r="C79" s="623"/>
      <c r="D79" s="620"/>
      <c r="E79" s="620"/>
      <c r="F79" s="620"/>
      <c r="G79" s="620"/>
      <c r="H79" s="620"/>
      <c r="I79" s="620"/>
      <c r="J79" s="620"/>
      <c r="K79" s="620"/>
      <c r="L79" s="620"/>
      <c r="M79" s="620"/>
      <c r="N79" s="620"/>
      <c r="O79" s="620"/>
      <c r="P79" s="620"/>
      <c r="Q79" s="620"/>
      <c r="R79" s="620"/>
      <c r="S79" s="620"/>
      <c r="T79" s="620"/>
      <c r="U79" s="620"/>
      <c r="V79" s="620"/>
      <c r="W79" s="620"/>
      <c r="X79" s="620"/>
      <c r="Y79" s="620"/>
      <c r="Z79" s="620"/>
      <c r="AA79" s="2145"/>
      <c r="AB79" s="2146"/>
      <c r="AC79" s="2146"/>
      <c r="AD79" s="2147"/>
      <c r="AE79" s="709">
        <f t="shared" si="9"/>
        <v>0</v>
      </c>
      <c r="AF79" s="1846"/>
      <c r="AG79" s="758"/>
      <c r="AH79" s="1495"/>
      <c r="AI79" s="654">
        <f t="shared" si="1"/>
        <v>0</v>
      </c>
      <c r="AJ79" s="618"/>
      <c r="AK79" s="618"/>
      <c r="AL79" s="619"/>
      <c r="AM79" s="620"/>
      <c r="AN79" s="620"/>
      <c r="AO79" s="620"/>
      <c r="AP79" s="620"/>
      <c r="AQ79" s="620"/>
      <c r="AR79" s="620"/>
      <c r="AS79" s="620"/>
      <c r="AT79" s="620"/>
      <c r="AU79" s="620"/>
      <c r="AV79" s="620"/>
      <c r="AW79" s="620"/>
      <c r="AX79" s="620"/>
      <c r="AY79" s="620"/>
      <c r="AZ79" s="620"/>
      <c r="BA79" s="620"/>
      <c r="BB79" s="620"/>
      <c r="BC79" s="620"/>
      <c r="BD79" s="620"/>
      <c r="BE79" s="620"/>
      <c r="BF79" s="620"/>
      <c r="BG79" s="621"/>
      <c r="BH79" s="840" t="str">
        <f t="shared" si="2"/>
        <v/>
      </c>
      <c r="BI79" s="569"/>
      <c r="BJ79" s="458"/>
      <c r="BK79" s="592" t="str">
        <f t="shared" si="3"/>
        <v/>
      </c>
      <c r="BM79" s="592" t="str">
        <f t="shared" si="4"/>
        <v/>
      </c>
      <c r="BO79" s="592">
        <f t="shared" si="5"/>
        <v>0</v>
      </c>
      <c r="BP79" s="592">
        <f t="shared" si="6"/>
        <v>0</v>
      </c>
      <c r="BQ79" s="592" t="str">
        <f t="shared" si="7"/>
        <v/>
      </c>
      <c r="BR79" s="592" t="str">
        <f t="shared" si="8"/>
        <v/>
      </c>
    </row>
    <row r="80" spans="1:70" ht="13.95" customHeight="1">
      <c r="A80" s="1805"/>
      <c r="B80" s="447"/>
      <c r="C80" s="448"/>
      <c r="D80" s="684"/>
      <c r="E80" s="684"/>
      <c r="F80" s="684"/>
      <c r="G80" s="684"/>
      <c r="H80" s="684"/>
      <c r="I80" s="684"/>
      <c r="J80" s="684"/>
      <c r="K80" s="684"/>
      <c r="L80" s="684"/>
      <c r="M80" s="684"/>
      <c r="N80" s="684"/>
      <c r="O80" s="684"/>
      <c r="P80" s="684"/>
      <c r="Q80" s="684"/>
      <c r="R80" s="684"/>
      <c r="S80" s="684"/>
      <c r="T80" s="684"/>
      <c r="U80" s="684"/>
      <c r="V80" s="684"/>
      <c r="W80" s="684"/>
      <c r="X80" s="684"/>
      <c r="Y80" s="684"/>
      <c r="Z80" s="684"/>
      <c r="AA80" s="2145"/>
      <c r="AB80" s="2146"/>
      <c r="AC80" s="2146"/>
      <c r="AD80" s="2147"/>
      <c r="AE80" s="709">
        <f t="shared" si="9"/>
        <v>0</v>
      </c>
      <c r="AF80" s="1846"/>
      <c r="AG80" s="758"/>
      <c r="AH80" s="1495"/>
      <c r="AI80" s="654">
        <f t="shared" si="1"/>
        <v>0</v>
      </c>
      <c r="AJ80" s="813"/>
      <c r="AK80" s="813"/>
      <c r="AL80" s="233"/>
      <c r="AM80" s="684"/>
      <c r="AN80" s="684"/>
      <c r="AO80" s="684"/>
      <c r="AP80" s="684"/>
      <c r="AQ80" s="684"/>
      <c r="AR80" s="684"/>
      <c r="AS80" s="684"/>
      <c r="AT80" s="684"/>
      <c r="AU80" s="684"/>
      <c r="AV80" s="684"/>
      <c r="AW80" s="684"/>
      <c r="AX80" s="684"/>
      <c r="AY80" s="684"/>
      <c r="AZ80" s="684"/>
      <c r="BA80" s="684"/>
      <c r="BB80" s="684"/>
      <c r="BC80" s="684"/>
      <c r="BD80" s="684"/>
      <c r="BE80" s="684"/>
      <c r="BF80" s="684"/>
      <c r="BG80" s="617"/>
      <c r="BH80" s="840" t="str">
        <f t="shared" si="2"/>
        <v/>
      </c>
      <c r="BI80" s="569"/>
      <c r="BJ80" s="458"/>
      <c r="BK80" s="592" t="str">
        <f t="shared" si="3"/>
        <v/>
      </c>
      <c r="BM80" s="592" t="str">
        <f t="shared" si="4"/>
        <v/>
      </c>
      <c r="BO80" s="592">
        <f t="shared" si="5"/>
        <v>0</v>
      </c>
      <c r="BP80" s="592">
        <f t="shared" si="6"/>
        <v>0</v>
      </c>
      <c r="BQ80" s="592" t="str">
        <f t="shared" si="7"/>
        <v/>
      </c>
      <c r="BR80" s="592" t="str">
        <f t="shared" si="8"/>
        <v/>
      </c>
    </row>
    <row r="81" spans="1:70" ht="13.95" customHeight="1">
      <c r="A81" s="1805"/>
      <c r="B81" s="622"/>
      <c r="C81" s="623"/>
      <c r="D81" s="620"/>
      <c r="E81" s="620"/>
      <c r="F81" s="620"/>
      <c r="G81" s="620"/>
      <c r="H81" s="620"/>
      <c r="I81" s="620"/>
      <c r="J81" s="620"/>
      <c r="K81" s="620"/>
      <c r="L81" s="620"/>
      <c r="M81" s="620"/>
      <c r="N81" s="620"/>
      <c r="O81" s="620"/>
      <c r="P81" s="620"/>
      <c r="Q81" s="620"/>
      <c r="R81" s="620"/>
      <c r="S81" s="620"/>
      <c r="T81" s="620"/>
      <c r="U81" s="620"/>
      <c r="V81" s="620"/>
      <c r="W81" s="620"/>
      <c r="X81" s="620"/>
      <c r="Y81" s="620"/>
      <c r="Z81" s="620"/>
      <c r="AA81" s="2145"/>
      <c r="AB81" s="2146"/>
      <c r="AC81" s="2146"/>
      <c r="AD81" s="2147"/>
      <c r="AE81" s="709">
        <f t="shared" si="9"/>
        <v>0</v>
      </c>
      <c r="AF81" s="1846"/>
      <c r="AG81" s="758"/>
      <c r="AH81" s="1495"/>
      <c r="AI81" s="654">
        <f t="shared" si="1"/>
        <v>0</v>
      </c>
      <c r="AJ81" s="618"/>
      <c r="AK81" s="618"/>
      <c r="AL81" s="619"/>
      <c r="AM81" s="620"/>
      <c r="AN81" s="620"/>
      <c r="AO81" s="620"/>
      <c r="AP81" s="620"/>
      <c r="AQ81" s="620"/>
      <c r="AR81" s="620"/>
      <c r="AS81" s="620"/>
      <c r="AT81" s="620"/>
      <c r="AU81" s="620"/>
      <c r="AV81" s="620"/>
      <c r="AW81" s="620"/>
      <c r="AX81" s="620"/>
      <c r="AY81" s="620"/>
      <c r="AZ81" s="620"/>
      <c r="BA81" s="620"/>
      <c r="BB81" s="620"/>
      <c r="BC81" s="620"/>
      <c r="BD81" s="620"/>
      <c r="BE81" s="620"/>
      <c r="BF81" s="620"/>
      <c r="BG81" s="621"/>
      <c r="BH81" s="840" t="str">
        <f t="shared" si="2"/>
        <v/>
      </c>
      <c r="BI81" s="569"/>
      <c r="BJ81" s="458"/>
      <c r="BK81" s="592" t="str">
        <f t="shared" si="3"/>
        <v/>
      </c>
      <c r="BM81" s="592" t="str">
        <f t="shared" si="4"/>
        <v/>
      </c>
      <c r="BO81" s="592">
        <f t="shared" si="5"/>
        <v>0</v>
      </c>
      <c r="BP81" s="592">
        <f t="shared" si="6"/>
        <v>0</v>
      </c>
      <c r="BQ81" s="592" t="str">
        <f t="shared" si="7"/>
        <v/>
      </c>
      <c r="BR81" s="592" t="str">
        <f t="shared" si="8"/>
        <v/>
      </c>
    </row>
    <row r="82" spans="1:70" ht="13.95" customHeight="1">
      <c r="A82" s="1805"/>
      <c r="B82" s="447"/>
      <c r="C82" s="448"/>
      <c r="D82" s="684"/>
      <c r="E82" s="684"/>
      <c r="F82" s="684"/>
      <c r="G82" s="684"/>
      <c r="H82" s="684"/>
      <c r="I82" s="684"/>
      <c r="J82" s="684"/>
      <c r="K82" s="684"/>
      <c r="L82" s="684"/>
      <c r="M82" s="684"/>
      <c r="N82" s="684"/>
      <c r="O82" s="684"/>
      <c r="P82" s="684"/>
      <c r="Q82" s="684"/>
      <c r="R82" s="684"/>
      <c r="S82" s="684"/>
      <c r="T82" s="684"/>
      <c r="U82" s="684"/>
      <c r="V82" s="684"/>
      <c r="W82" s="684"/>
      <c r="X82" s="684"/>
      <c r="Y82" s="684"/>
      <c r="Z82" s="684"/>
      <c r="AA82" s="2145"/>
      <c r="AB82" s="2146"/>
      <c r="AC82" s="2146"/>
      <c r="AD82" s="2147"/>
      <c r="AE82" s="709">
        <f t="shared" si="9"/>
        <v>0</v>
      </c>
      <c r="AF82" s="1846"/>
      <c r="AG82" s="758"/>
      <c r="AH82" s="1495"/>
      <c r="AI82" s="654">
        <f t="shared" si="1"/>
        <v>0</v>
      </c>
      <c r="AJ82" s="813"/>
      <c r="AK82" s="813"/>
      <c r="AL82" s="233"/>
      <c r="AM82" s="684"/>
      <c r="AN82" s="684"/>
      <c r="AO82" s="684"/>
      <c r="AP82" s="684"/>
      <c r="AQ82" s="684"/>
      <c r="AR82" s="684"/>
      <c r="AS82" s="684"/>
      <c r="AT82" s="684"/>
      <c r="AU82" s="684"/>
      <c r="AV82" s="684"/>
      <c r="AW82" s="684"/>
      <c r="AX82" s="684"/>
      <c r="AY82" s="684"/>
      <c r="AZ82" s="684"/>
      <c r="BA82" s="684"/>
      <c r="BB82" s="684"/>
      <c r="BC82" s="684"/>
      <c r="BD82" s="684"/>
      <c r="BE82" s="684"/>
      <c r="BF82" s="684"/>
      <c r="BG82" s="617"/>
      <c r="BH82" s="840" t="str">
        <f t="shared" si="2"/>
        <v/>
      </c>
      <c r="BI82" s="569"/>
      <c r="BJ82" s="458"/>
      <c r="BK82" s="592" t="str">
        <f t="shared" si="3"/>
        <v/>
      </c>
      <c r="BM82" s="592" t="str">
        <f t="shared" si="4"/>
        <v/>
      </c>
      <c r="BO82" s="592">
        <f t="shared" si="5"/>
        <v>0</v>
      </c>
      <c r="BP82" s="592">
        <f t="shared" si="6"/>
        <v>0</v>
      </c>
      <c r="BQ82" s="592" t="str">
        <f t="shared" si="7"/>
        <v/>
      </c>
      <c r="BR82" s="592" t="str">
        <f t="shared" si="8"/>
        <v/>
      </c>
    </row>
    <row r="83" spans="1:70" ht="13.95" customHeight="1">
      <c r="A83" s="1805"/>
      <c r="B83" s="622"/>
      <c r="C83" s="623"/>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2145"/>
      <c r="AB83" s="2146"/>
      <c r="AC83" s="2146"/>
      <c r="AD83" s="2147"/>
      <c r="AE83" s="709">
        <f t="shared" si="9"/>
        <v>0</v>
      </c>
      <c r="AF83" s="1846"/>
      <c r="AG83" s="758"/>
      <c r="AH83" s="1495"/>
      <c r="AI83" s="654">
        <f t="shared" si="1"/>
        <v>0</v>
      </c>
      <c r="AJ83" s="618"/>
      <c r="AK83" s="618"/>
      <c r="AL83" s="619"/>
      <c r="AM83" s="620"/>
      <c r="AN83" s="620"/>
      <c r="AO83" s="620"/>
      <c r="AP83" s="620"/>
      <c r="AQ83" s="620"/>
      <c r="AR83" s="620"/>
      <c r="AS83" s="620"/>
      <c r="AT83" s="620"/>
      <c r="AU83" s="620"/>
      <c r="AV83" s="620"/>
      <c r="AW83" s="620"/>
      <c r="AX83" s="620"/>
      <c r="AY83" s="620"/>
      <c r="AZ83" s="620"/>
      <c r="BA83" s="620"/>
      <c r="BB83" s="620"/>
      <c r="BC83" s="620"/>
      <c r="BD83" s="620"/>
      <c r="BE83" s="620"/>
      <c r="BF83" s="620"/>
      <c r="BG83" s="621"/>
      <c r="BH83" s="840" t="str">
        <f t="shared" si="2"/>
        <v/>
      </c>
      <c r="BI83" s="569"/>
      <c r="BJ83" s="458"/>
      <c r="BK83" s="592" t="str">
        <f t="shared" si="3"/>
        <v/>
      </c>
      <c r="BM83" s="592" t="str">
        <f t="shared" si="4"/>
        <v/>
      </c>
      <c r="BO83" s="592">
        <f t="shared" si="5"/>
        <v>0</v>
      </c>
      <c r="BP83" s="592">
        <f t="shared" si="6"/>
        <v>0</v>
      </c>
      <c r="BQ83" s="592" t="str">
        <f t="shared" si="7"/>
        <v/>
      </c>
      <c r="BR83" s="592" t="str">
        <f t="shared" si="8"/>
        <v/>
      </c>
    </row>
    <row r="84" spans="1:70" ht="13.95" customHeight="1">
      <c r="A84" s="1805"/>
      <c r="B84" s="447"/>
      <c r="C84" s="448"/>
      <c r="D84" s="684"/>
      <c r="E84" s="684"/>
      <c r="F84" s="684"/>
      <c r="G84" s="684"/>
      <c r="H84" s="684"/>
      <c r="I84" s="684"/>
      <c r="J84" s="684"/>
      <c r="K84" s="684"/>
      <c r="L84" s="684"/>
      <c r="M84" s="684"/>
      <c r="N84" s="684"/>
      <c r="O84" s="684"/>
      <c r="P84" s="684"/>
      <c r="Q84" s="684"/>
      <c r="R84" s="684"/>
      <c r="S84" s="684"/>
      <c r="T84" s="684"/>
      <c r="U84" s="684"/>
      <c r="V84" s="684"/>
      <c r="W84" s="684"/>
      <c r="X84" s="684"/>
      <c r="Y84" s="684"/>
      <c r="Z84" s="684"/>
      <c r="AA84" s="2145"/>
      <c r="AB84" s="2146"/>
      <c r="AC84" s="2146"/>
      <c r="AD84" s="2147"/>
      <c r="AE84" s="709">
        <f t="shared" si="9"/>
        <v>0</v>
      </c>
      <c r="AF84" s="1846"/>
      <c r="AG84" s="758"/>
      <c r="AH84" s="1495"/>
      <c r="AI84" s="654">
        <f t="shared" si="1"/>
        <v>0</v>
      </c>
      <c r="AJ84" s="813"/>
      <c r="AK84" s="813"/>
      <c r="AL84" s="233"/>
      <c r="AM84" s="684"/>
      <c r="AN84" s="684"/>
      <c r="AO84" s="684"/>
      <c r="AP84" s="684"/>
      <c r="AQ84" s="684"/>
      <c r="AR84" s="684"/>
      <c r="AS84" s="684"/>
      <c r="AT84" s="684"/>
      <c r="AU84" s="684"/>
      <c r="AV84" s="684"/>
      <c r="AW84" s="684"/>
      <c r="AX84" s="684"/>
      <c r="AY84" s="684"/>
      <c r="AZ84" s="684"/>
      <c r="BA84" s="684"/>
      <c r="BB84" s="684"/>
      <c r="BC84" s="684"/>
      <c r="BD84" s="684"/>
      <c r="BE84" s="684"/>
      <c r="BF84" s="684"/>
      <c r="BG84" s="617"/>
      <c r="BH84" s="840" t="str">
        <f t="shared" si="2"/>
        <v/>
      </c>
      <c r="BI84" s="569"/>
      <c r="BJ84" s="458"/>
      <c r="BK84" s="592" t="str">
        <f t="shared" si="3"/>
        <v/>
      </c>
      <c r="BM84" s="592" t="str">
        <f t="shared" si="4"/>
        <v/>
      </c>
      <c r="BO84" s="592">
        <f t="shared" si="5"/>
        <v>0</v>
      </c>
      <c r="BP84" s="592">
        <f t="shared" si="6"/>
        <v>0</v>
      </c>
      <c r="BQ84" s="592" t="str">
        <f t="shared" si="7"/>
        <v/>
      </c>
      <c r="BR84" s="592" t="str">
        <f t="shared" si="8"/>
        <v/>
      </c>
    </row>
    <row r="85" spans="1:70" ht="13.95" customHeight="1">
      <c r="A85" s="1805"/>
      <c r="B85" s="622"/>
      <c r="C85" s="623"/>
      <c r="D85" s="620"/>
      <c r="E85" s="620"/>
      <c r="F85" s="620"/>
      <c r="G85" s="620"/>
      <c r="H85" s="620"/>
      <c r="I85" s="620"/>
      <c r="J85" s="620"/>
      <c r="K85" s="620"/>
      <c r="L85" s="620"/>
      <c r="M85" s="620"/>
      <c r="N85" s="620"/>
      <c r="O85" s="620"/>
      <c r="P85" s="620"/>
      <c r="Q85" s="620"/>
      <c r="R85" s="620"/>
      <c r="S85" s="620"/>
      <c r="T85" s="620"/>
      <c r="U85" s="620"/>
      <c r="V85" s="620"/>
      <c r="W85" s="620"/>
      <c r="X85" s="620"/>
      <c r="Y85" s="620"/>
      <c r="Z85" s="620"/>
      <c r="AA85" s="2145"/>
      <c r="AB85" s="2146"/>
      <c r="AC85" s="2146"/>
      <c r="AD85" s="2147"/>
      <c r="AE85" s="709">
        <f t="shared" si="9"/>
        <v>0</v>
      </c>
      <c r="AF85" s="1846"/>
      <c r="AG85" s="758"/>
      <c r="AH85" s="1495"/>
      <c r="AI85" s="654">
        <f t="shared" si="1"/>
        <v>0</v>
      </c>
      <c r="AJ85" s="618"/>
      <c r="AK85" s="618"/>
      <c r="AL85" s="619"/>
      <c r="AM85" s="620"/>
      <c r="AN85" s="620"/>
      <c r="AO85" s="620"/>
      <c r="AP85" s="620"/>
      <c r="AQ85" s="620"/>
      <c r="AR85" s="620"/>
      <c r="AS85" s="620"/>
      <c r="AT85" s="620"/>
      <c r="AU85" s="620"/>
      <c r="AV85" s="620"/>
      <c r="AW85" s="620"/>
      <c r="AX85" s="620"/>
      <c r="AY85" s="620"/>
      <c r="AZ85" s="620"/>
      <c r="BA85" s="620"/>
      <c r="BB85" s="620"/>
      <c r="BC85" s="620"/>
      <c r="BD85" s="620"/>
      <c r="BE85" s="620"/>
      <c r="BF85" s="620"/>
      <c r="BG85" s="621"/>
      <c r="BH85" s="840" t="str">
        <f t="shared" si="2"/>
        <v/>
      </c>
      <c r="BI85" s="569"/>
      <c r="BJ85" s="458"/>
      <c r="BK85" s="592" t="str">
        <f t="shared" si="3"/>
        <v/>
      </c>
      <c r="BM85" s="592" t="str">
        <f t="shared" si="4"/>
        <v/>
      </c>
      <c r="BO85" s="592">
        <f t="shared" si="5"/>
        <v>0</v>
      </c>
      <c r="BP85" s="592">
        <f t="shared" si="6"/>
        <v>0</v>
      </c>
      <c r="BQ85" s="592" t="str">
        <f t="shared" si="7"/>
        <v/>
      </c>
      <c r="BR85" s="592" t="str">
        <f t="shared" si="8"/>
        <v/>
      </c>
    </row>
    <row r="86" spans="1:70" ht="13.95" customHeight="1">
      <c r="A86" s="1805"/>
      <c r="B86" s="447"/>
      <c r="C86" s="448"/>
      <c r="D86" s="684"/>
      <c r="E86" s="684"/>
      <c r="F86" s="684"/>
      <c r="G86" s="684"/>
      <c r="H86" s="684"/>
      <c r="I86" s="684"/>
      <c r="J86" s="684"/>
      <c r="K86" s="684"/>
      <c r="L86" s="684"/>
      <c r="M86" s="684"/>
      <c r="N86" s="684"/>
      <c r="O86" s="684"/>
      <c r="P86" s="684"/>
      <c r="Q86" s="684"/>
      <c r="R86" s="684"/>
      <c r="S86" s="684"/>
      <c r="T86" s="684"/>
      <c r="U86" s="684"/>
      <c r="V86" s="684"/>
      <c r="W86" s="684"/>
      <c r="X86" s="684"/>
      <c r="Y86" s="684"/>
      <c r="Z86" s="684"/>
      <c r="AA86" s="2145"/>
      <c r="AB86" s="2146"/>
      <c r="AC86" s="2146"/>
      <c r="AD86" s="2147"/>
      <c r="AE86" s="709">
        <f t="shared" si="9"/>
        <v>0</v>
      </c>
      <c r="AF86" s="1846"/>
      <c r="AG86" s="758"/>
      <c r="AH86" s="1495"/>
      <c r="AI86" s="654">
        <f t="shared" si="1"/>
        <v>0</v>
      </c>
      <c r="AJ86" s="813"/>
      <c r="AK86" s="813"/>
      <c r="AL86" s="233"/>
      <c r="AM86" s="684"/>
      <c r="AN86" s="684"/>
      <c r="AO86" s="684"/>
      <c r="AP86" s="684"/>
      <c r="AQ86" s="684"/>
      <c r="AR86" s="684"/>
      <c r="AS86" s="684"/>
      <c r="AT86" s="684"/>
      <c r="AU86" s="684"/>
      <c r="AV86" s="684"/>
      <c r="AW86" s="684"/>
      <c r="AX86" s="684"/>
      <c r="AY86" s="684"/>
      <c r="AZ86" s="684"/>
      <c r="BA86" s="684"/>
      <c r="BB86" s="684"/>
      <c r="BC86" s="684"/>
      <c r="BD86" s="684"/>
      <c r="BE86" s="684"/>
      <c r="BF86" s="684"/>
      <c r="BG86" s="617"/>
      <c r="BH86" s="840" t="str">
        <f t="shared" si="2"/>
        <v/>
      </c>
      <c r="BI86" s="569"/>
      <c r="BJ86" s="458"/>
      <c r="BK86" s="592" t="str">
        <f t="shared" si="3"/>
        <v/>
      </c>
      <c r="BM86" s="592" t="str">
        <f t="shared" si="4"/>
        <v/>
      </c>
      <c r="BO86" s="592">
        <f t="shared" si="5"/>
        <v>0</v>
      </c>
      <c r="BP86" s="592">
        <f t="shared" si="6"/>
        <v>0</v>
      </c>
      <c r="BQ86" s="592" t="str">
        <f t="shared" si="7"/>
        <v/>
      </c>
      <c r="BR86" s="592" t="str">
        <f t="shared" si="8"/>
        <v/>
      </c>
    </row>
    <row r="87" spans="1:70" ht="13.95" customHeight="1">
      <c r="A87" s="1805"/>
      <c r="B87" s="622"/>
      <c r="C87" s="623"/>
      <c r="D87" s="620"/>
      <c r="E87" s="620"/>
      <c r="F87" s="620"/>
      <c r="G87" s="620"/>
      <c r="H87" s="620"/>
      <c r="I87" s="620"/>
      <c r="J87" s="620"/>
      <c r="K87" s="620"/>
      <c r="L87" s="620"/>
      <c r="M87" s="620"/>
      <c r="N87" s="620"/>
      <c r="O87" s="620"/>
      <c r="P87" s="620"/>
      <c r="Q87" s="620"/>
      <c r="R87" s="620"/>
      <c r="S87" s="620"/>
      <c r="T87" s="620"/>
      <c r="U87" s="620"/>
      <c r="V87" s="620"/>
      <c r="W87" s="620"/>
      <c r="X87" s="620"/>
      <c r="Y87" s="620"/>
      <c r="Z87" s="620"/>
      <c r="AA87" s="2145"/>
      <c r="AB87" s="2146"/>
      <c r="AC87" s="2146"/>
      <c r="AD87" s="2147"/>
      <c r="AE87" s="709">
        <f t="shared" si="9"/>
        <v>0</v>
      </c>
      <c r="AF87" s="1846"/>
      <c r="AG87" s="758"/>
      <c r="AH87" s="1495"/>
      <c r="AI87" s="654">
        <f t="shared" si="1"/>
        <v>0</v>
      </c>
      <c r="AJ87" s="618"/>
      <c r="AK87" s="618"/>
      <c r="AL87" s="619"/>
      <c r="AM87" s="620"/>
      <c r="AN87" s="620"/>
      <c r="AO87" s="620"/>
      <c r="AP87" s="620"/>
      <c r="AQ87" s="620"/>
      <c r="AR87" s="620"/>
      <c r="AS87" s="620"/>
      <c r="AT87" s="620"/>
      <c r="AU87" s="620"/>
      <c r="AV87" s="620"/>
      <c r="AW87" s="620"/>
      <c r="AX87" s="620"/>
      <c r="AY87" s="620"/>
      <c r="AZ87" s="620"/>
      <c r="BA87" s="620"/>
      <c r="BB87" s="620"/>
      <c r="BC87" s="620"/>
      <c r="BD87" s="620"/>
      <c r="BE87" s="620"/>
      <c r="BF87" s="620"/>
      <c r="BG87" s="621"/>
      <c r="BH87" s="840" t="str">
        <f t="shared" si="2"/>
        <v/>
      </c>
      <c r="BI87" s="569"/>
      <c r="BJ87" s="458"/>
      <c r="BK87" s="592" t="str">
        <f t="shared" si="3"/>
        <v/>
      </c>
      <c r="BM87" s="592" t="str">
        <f t="shared" si="4"/>
        <v/>
      </c>
      <c r="BO87" s="592">
        <f t="shared" si="5"/>
        <v>0</v>
      </c>
      <c r="BP87" s="592">
        <f t="shared" si="6"/>
        <v>0</v>
      </c>
      <c r="BQ87" s="592" t="str">
        <f t="shared" si="7"/>
        <v/>
      </c>
      <c r="BR87" s="592" t="str">
        <f t="shared" si="8"/>
        <v/>
      </c>
    </row>
    <row r="88" spans="1:70" ht="13.95" customHeight="1">
      <c r="A88" s="1805"/>
      <c r="B88" s="447"/>
      <c r="C88" s="448"/>
      <c r="D88" s="684"/>
      <c r="E88" s="684"/>
      <c r="F88" s="684"/>
      <c r="G88" s="684"/>
      <c r="H88" s="684"/>
      <c r="I88" s="684"/>
      <c r="J88" s="684"/>
      <c r="K88" s="684"/>
      <c r="L88" s="684"/>
      <c r="M88" s="684"/>
      <c r="N88" s="684"/>
      <c r="O88" s="684"/>
      <c r="P88" s="684"/>
      <c r="Q88" s="684"/>
      <c r="R88" s="684"/>
      <c r="S88" s="684"/>
      <c r="T88" s="684"/>
      <c r="U88" s="684"/>
      <c r="V88" s="684"/>
      <c r="W88" s="684"/>
      <c r="X88" s="684"/>
      <c r="Y88" s="684"/>
      <c r="Z88" s="684"/>
      <c r="AA88" s="2145"/>
      <c r="AB88" s="2146"/>
      <c r="AC88" s="2146"/>
      <c r="AD88" s="2147"/>
      <c r="AE88" s="709">
        <f t="shared" si="9"/>
        <v>0</v>
      </c>
      <c r="AF88" s="1846"/>
      <c r="AG88" s="758"/>
      <c r="AH88" s="1495"/>
      <c r="AI88" s="654">
        <f t="shared" si="1"/>
        <v>0</v>
      </c>
      <c r="AJ88" s="813"/>
      <c r="AK88" s="813"/>
      <c r="AL88" s="233"/>
      <c r="AM88" s="684"/>
      <c r="AN88" s="684"/>
      <c r="AO88" s="684"/>
      <c r="AP88" s="684"/>
      <c r="AQ88" s="684"/>
      <c r="AR88" s="684"/>
      <c r="AS88" s="684"/>
      <c r="AT88" s="684"/>
      <c r="AU88" s="684"/>
      <c r="AV88" s="684"/>
      <c r="AW88" s="684"/>
      <c r="AX88" s="684"/>
      <c r="AY88" s="684"/>
      <c r="AZ88" s="684"/>
      <c r="BA88" s="684"/>
      <c r="BB88" s="684"/>
      <c r="BC88" s="684"/>
      <c r="BD88" s="684"/>
      <c r="BE88" s="684"/>
      <c r="BF88" s="684"/>
      <c r="BG88" s="617"/>
      <c r="BH88" s="840" t="str">
        <f t="shared" si="2"/>
        <v/>
      </c>
      <c r="BI88" s="569"/>
      <c r="BJ88" s="458"/>
      <c r="BK88" s="592" t="str">
        <f t="shared" si="3"/>
        <v/>
      </c>
      <c r="BM88" s="592" t="str">
        <f t="shared" si="4"/>
        <v/>
      </c>
      <c r="BO88" s="592">
        <f t="shared" si="5"/>
        <v>0</v>
      </c>
      <c r="BP88" s="592">
        <f t="shared" si="6"/>
        <v>0</v>
      </c>
      <c r="BQ88" s="592" t="str">
        <f t="shared" si="7"/>
        <v/>
      </c>
      <c r="BR88" s="592" t="str">
        <f t="shared" si="8"/>
        <v/>
      </c>
    </row>
    <row r="89" spans="1:70" ht="13.95" customHeight="1">
      <c r="A89" s="1805"/>
      <c r="B89" s="622"/>
      <c r="C89" s="623"/>
      <c r="D89" s="620"/>
      <c r="E89" s="620"/>
      <c r="F89" s="620"/>
      <c r="G89" s="620"/>
      <c r="H89" s="620"/>
      <c r="I89" s="620"/>
      <c r="J89" s="620"/>
      <c r="K89" s="620"/>
      <c r="L89" s="620"/>
      <c r="M89" s="620"/>
      <c r="N89" s="620"/>
      <c r="O89" s="620"/>
      <c r="P89" s="620"/>
      <c r="Q89" s="620"/>
      <c r="R89" s="620"/>
      <c r="S89" s="620"/>
      <c r="T89" s="620"/>
      <c r="U89" s="620"/>
      <c r="V89" s="620"/>
      <c r="W89" s="620"/>
      <c r="X89" s="620"/>
      <c r="Y89" s="620"/>
      <c r="Z89" s="620"/>
      <c r="AA89" s="2145"/>
      <c r="AB89" s="2146"/>
      <c r="AC89" s="2146"/>
      <c r="AD89" s="2147"/>
      <c r="AE89" s="709">
        <f t="shared" si="9"/>
        <v>0</v>
      </c>
      <c r="AF89" s="1846"/>
      <c r="AG89" s="758"/>
      <c r="AH89" s="1495"/>
      <c r="AI89" s="654">
        <f t="shared" si="1"/>
        <v>0</v>
      </c>
      <c r="AJ89" s="618"/>
      <c r="AK89" s="618"/>
      <c r="AL89" s="619"/>
      <c r="AM89" s="620"/>
      <c r="AN89" s="620"/>
      <c r="AO89" s="620"/>
      <c r="AP89" s="620"/>
      <c r="AQ89" s="620"/>
      <c r="AR89" s="620"/>
      <c r="AS89" s="620"/>
      <c r="AT89" s="620"/>
      <c r="AU89" s="620"/>
      <c r="AV89" s="620"/>
      <c r="AW89" s="620"/>
      <c r="AX89" s="620"/>
      <c r="AY89" s="620"/>
      <c r="AZ89" s="620"/>
      <c r="BA89" s="620"/>
      <c r="BB89" s="620"/>
      <c r="BC89" s="620"/>
      <c r="BD89" s="620"/>
      <c r="BE89" s="620"/>
      <c r="BF89" s="620"/>
      <c r="BG89" s="621"/>
      <c r="BH89" s="840" t="str">
        <f t="shared" si="2"/>
        <v/>
      </c>
      <c r="BI89" s="569"/>
      <c r="BJ89" s="458"/>
      <c r="BK89" s="592" t="str">
        <f t="shared" si="3"/>
        <v/>
      </c>
      <c r="BM89" s="592" t="str">
        <f t="shared" si="4"/>
        <v/>
      </c>
      <c r="BO89" s="592">
        <f t="shared" si="5"/>
        <v>0</v>
      </c>
      <c r="BP89" s="592">
        <f t="shared" si="6"/>
        <v>0</v>
      </c>
      <c r="BQ89" s="592" t="str">
        <f t="shared" si="7"/>
        <v/>
      </c>
      <c r="BR89" s="592" t="str">
        <f t="shared" si="8"/>
        <v/>
      </c>
    </row>
    <row r="90" spans="1:70" ht="13.95" customHeight="1">
      <c r="A90" s="1805"/>
      <c r="B90" s="447"/>
      <c r="C90" s="448"/>
      <c r="D90" s="684"/>
      <c r="E90" s="684"/>
      <c r="F90" s="684"/>
      <c r="G90" s="684"/>
      <c r="H90" s="684"/>
      <c r="I90" s="684"/>
      <c r="J90" s="684"/>
      <c r="K90" s="684"/>
      <c r="L90" s="684"/>
      <c r="M90" s="684"/>
      <c r="N90" s="684"/>
      <c r="O90" s="684"/>
      <c r="P90" s="684"/>
      <c r="Q90" s="684"/>
      <c r="R90" s="684"/>
      <c r="S90" s="684"/>
      <c r="T90" s="684"/>
      <c r="U90" s="684"/>
      <c r="V90" s="684"/>
      <c r="W90" s="684"/>
      <c r="X90" s="684"/>
      <c r="Y90" s="684"/>
      <c r="Z90" s="684"/>
      <c r="AA90" s="2145"/>
      <c r="AB90" s="2146"/>
      <c r="AC90" s="2146"/>
      <c r="AD90" s="2147"/>
      <c r="AE90" s="709">
        <f t="shared" ref="AE90:AE121" si="10">((D90*$D$22)+($E$22*E90)+($F$22*F90)+($G$22*G90)+($H$22*H90)+($I$22*I90)+($J$22*J90)+($K$22*K90)+($L$22*L90)+($M$22*M90)+($N$22*N90)+($O$22*O90)+($P$22*P90)+($Q$22*Q90)+($R$22*R90)+($S$22*S90)+($T$22*T90)+($U$22*U90)+($V$22*V90)+($W$22*W90)+($X$22*X90)+($Y$22*Y90)+($Z$22*Z90))*C90*8.76</f>
        <v>0</v>
      </c>
      <c r="AF90" s="1846"/>
      <c r="AG90" s="758"/>
      <c r="AH90" s="1495"/>
      <c r="AI90" s="654">
        <f t="shared" si="1"/>
        <v>0</v>
      </c>
      <c r="AJ90" s="813"/>
      <c r="AK90" s="813"/>
      <c r="AL90" s="233"/>
      <c r="AM90" s="684"/>
      <c r="AN90" s="684"/>
      <c r="AO90" s="684"/>
      <c r="AP90" s="684"/>
      <c r="AQ90" s="684"/>
      <c r="AR90" s="684"/>
      <c r="AS90" s="684"/>
      <c r="AT90" s="684"/>
      <c r="AU90" s="684"/>
      <c r="AV90" s="684"/>
      <c r="AW90" s="684"/>
      <c r="AX90" s="684"/>
      <c r="AY90" s="684"/>
      <c r="AZ90" s="684"/>
      <c r="BA90" s="684"/>
      <c r="BB90" s="684"/>
      <c r="BC90" s="684"/>
      <c r="BD90" s="684"/>
      <c r="BE90" s="684"/>
      <c r="BF90" s="684"/>
      <c r="BG90" s="617"/>
      <c r="BH90" s="840" t="str">
        <f t="shared" si="2"/>
        <v/>
      </c>
      <c r="BI90" s="569"/>
      <c r="BJ90" s="458"/>
      <c r="BK90" s="592" t="str">
        <f t="shared" si="3"/>
        <v/>
      </c>
      <c r="BM90" s="592" t="str">
        <f t="shared" si="4"/>
        <v/>
      </c>
      <c r="BO90" s="592">
        <f t="shared" si="5"/>
        <v>0</v>
      </c>
      <c r="BP90" s="592">
        <f t="shared" si="6"/>
        <v>0</v>
      </c>
      <c r="BQ90" s="592" t="str">
        <f t="shared" si="7"/>
        <v/>
      </c>
      <c r="BR90" s="592" t="str">
        <f t="shared" si="8"/>
        <v/>
      </c>
    </row>
    <row r="91" spans="1:70" ht="13.95" customHeight="1">
      <c r="A91" s="1805"/>
      <c r="B91" s="622"/>
      <c r="C91" s="623"/>
      <c r="D91" s="620"/>
      <c r="E91" s="620"/>
      <c r="F91" s="620"/>
      <c r="G91" s="620"/>
      <c r="H91" s="620"/>
      <c r="I91" s="620"/>
      <c r="J91" s="620"/>
      <c r="K91" s="620"/>
      <c r="L91" s="620"/>
      <c r="M91" s="620"/>
      <c r="N91" s="620"/>
      <c r="O91" s="620"/>
      <c r="P91" s="620"/>
      <c r="Q91" s="620"/>
      <c r="R91" s="620"/>
      <c r="S91" s="620"/>
      <c r="T91" s="620"/>
      <c r="U91" s="620"/>
      <c r="V91" s="620"/>
      <c r="W91" s="620"/>
      <c r="X91" s="620"/>
      <c r="Y91" s="620"/>
      <c r="Z91" s="620"/>
      <c r="AA91" s="2145"/>
      <c r="AB91" s="2146"/>
      <c r="AC91" s="2146"/>
      <c r="AD91" s="2147"/>
      <c r="AE91" s="709">
        <f t="shared" si="10"/>
        <v>0</v>
      </c>
      <c r="AF91" s="1846"/>
      <c r="AG91" s="758"/>
      <c r="AH91" s="1495"/>
      <c r="AI91" s="654">
        <f t="shared" ref="AI91:AI133" si="11">B91</f>
        <v>0</v>
      </c>
      <c r="AJ91" s="618"/>
      <c r="AK91" s="618"/>
      <c r="AL91" s="619"/>
      <c r="AM91" s="620"/>
      <c r="AN91" s="620"/>
      <c r="AO91" s="620"/>
      <c r="AP91" s="620"/>
      <c r="AQ91" s="620"/>
      <c r="AR91" s="620"/>
      <c r="AS91" s="620"/>
      <c r="AT91" s="620"/>
      <c r="AU91" s="620"/>
      <c r="AV91" s="620"/>
      <c r="AW91" s="620"/>
      <c r="AX91" s="620"/>
      <c r="AY91" s="620"/>
      <c r="AZ91" s="620"/>
      <c r="BA91" s="620"/>
      <c r="BB91" s="620"/>
      <c r="BC91" s="620"/>
      <c r="BD91" s="620"/>
      <c r="BE91" s="620"/>
      <c r="BF91" s="620"/>
      <c r="BG91" s="621"/>
      <c r="BH91" s="840" t="str">
        <f t="shared" ref="BH91:BH133" si="12">BR91</f>
        <v/>
      </c>
      <c r="BI91" s="569"/>
      <c r="BJ91" s="458"/>
      <c r="BK91" s="592" t="str">
        <f t="shared" ref="BK91:BK133" si="13">IF(OR(BH91="",AE91=""),"",BH91*AE91)</f>
        <v/>
      </c>
      <c r="BM91" s="592" t="str">
        <f t="shared" ref="BM91:BM133" si="14">IF(BK91="","",BK91^2)</f>
        <v/>
      </c>
      <c r="BO91" s="592">
        <f t="shared" ref="BO91:BO133" si="15" xml:space="preserve"> SQRT(    ((AK91^2+40^2)*((D91*$D$22)^2))      +        ((40^2+AL91^2)*(($E$22*E91)^2))       +        ((40^2+AM91^2)*(($F$22*F91)^2))       +        ((40^2+AN91^2)*(($G$22*G91)^2))       +        ((40^2+AO91^2)*(($H$22*H91)^2))       +        ((40^2+AP91^2)*(($I$22*I91)^2))       +        ((40^2+AQ91^2)*(($J$22*J91)^2))       +       ((40^2+AR91^2)*(($K$22*K91)^2))       +        ((40^2+AS91^2)*(($L$22*L91)^2))       +        ((40^2+AT91^2)*(($M$22*M91)^2))       +        ((40^2+AU91^2)*(($N$22*N91)^2))       +        ((40^2+AV91^2)*(($O$22*O91)^2))       +        ((40^2+AW91^2)*(($P$22*P91)^2))       +        ((40^2+AX91^2)*(($Q$22*Q91)^2))       +       ((40^2+AY91^2)*(($R$22*R91)^2))       +        ((40^2+AZ91^2) *(($S$22*S91)^2))       +        ((40^2+BA91^2)*(($T$22*T91)^2))       +        ((40^2+BB91^2)*(($U$22*U91)^2))       +       ((40^2+BC91^2)*(($V$22*V91)^2))       +        ((40^2+BD91^2)*(($W$22*W91)^2))       +        ((40^2+BE91^2)*(($X$22*X91)^2))       +        ((40^2+BF91^2)*(($Y$22*Y91)^2))       +        ((40^2+BG91^2)*(($Z$22*Z91)^2))            )</f>
        <v>0</v>
      </c>
      <c r="BP91" s="592">
        <f t="shared" ref="BP91:BP133" si="16">((D91*$D$22)+($E$22*E91)+($F$22*F91)+($G$22*G91)+($H$22*H91)+($I$22*I91)+($J$22*J91)+($K$22*K91)+($L$22*L91)+($M$22*M91)+($N$22*N91)+($O$22*O91)+($P$22*P91)+($Q$22*Q91)+($R$22*R91)+($S$22*S91)+($T$22*T91)+($U$22*U91)+($V$22*V91)+($W$22*W91)+($X$22*X91)+($Y$22*Y91)+($Z$22*Z91))</f>
        <v>0</v>
      </c>
      <c r="BQ91" s="592" t="str">
        <f t="shared" ref="BQ91:BQ133" si="17">IF(OR(BP91=0,BP91=""),"",BO91/BP91)</f>
        <v/>
      </c>
      <c r="BR91" s="592" t="str">
        <f t="shared" ref="BR91:BR133" si="18">IF(OR(BQ91="",AJ91=""),"",SQRT((BQ91)^2+(AJ91)^2))</f>
        <v/>
      </c>
    </row>
    <row r="92" spans="1:70" ht="13.95" customHeight="1">
      <c r="A92" s="1805"/>
      <c r="B92" s="447"/>
      <c r="C92" s="448"/>
      <c r="D92" s="684"/>
      <c r="E92" s="684"/>
      <c r="F92" s="684"/>
      <c r="G92" s="684"/>
      <c r="H92" s="684"/>
      <c r="I92" s="684"/>
      <c r="J92" s="684"/>
      <c r="K92" s="684"/>
      <c r="L92" s="684"/>
      <c r="M92" s="684"/>
      <c r="N92" s="684"/>
      <c r="O92" s="684"/>
      <c r="P92" s="684"/>
      <c r="Q92" s="684"/>
      <c r="R92" s="684"/>
      <c r="S92" s="684"/>
      <c r="T92" s="684"/>
      <c r="U92" s="684"/>
      <c r="V92" s="684"/>
      <c r="W92" s="684"/>
      <c r="X92" s="684"/>
      <c r="Y92" s="684"/>
      <c r="Z92" s="684"/>
      <c r="AA92" s="2145"/>
      <c r="AB92" s="2146"/>
      <c r="AC92" s="2146"/>
      <c r="AD92" s="2147"/>
      <c r="AE92" s="709">
        <f t="shared" si="10"/>
        <v>0</v>
      </c>
      <c r="AF92" s="1846"/>
      <c r="AG92" s="758"/>
      <c r="AH92" s="1495"/>
      <c r="AI92" s="654">
        <f t="shared" si="11"/>
        <v>0</v>
      </c>
      <c r="AJ92" s="813"/>
      <c r="AK92" s="813"/>
      <c r="AL92" s="233"/>
      <c r="AM92" s="684"/>
      <c r="AN92" s="684"/>
      <c r="AO92" s="684"/>
      <c r="AP92" s="684"/>
      <c r="AQ92" s="684"/>
      <c r="AR92" s="684"/>
      <c r="AS92" s="684"/>
      <c r="AT92" s="684"/>
      <c r="AU92" s="684"/>
      <c r="AV92" s="684"/>
      <c r="AW92" s="684"/>
      <c r="AX92" s="684"/>
      <c r="AY92" s="684"/>
      <c r="AZ92" s="684"/>
      <c r="BA92" s="684"/>
      <c r="BB92" s="684"/>
      <c r="BC92" s="684"/>
      <c r="BD92" s="684"/>
      <c r="BE92" s="684"/>
      <c r="BF92" s="684"/>
      <c r="BG92" s="617"/>
      <c r="BH92" s="840" t="str">
        <f t="shared" si="12"/>
        <v/>
      </c>
      <c r="BI92" s="569"/>
      <c r="BJ92" s="458"/>
      <c r="BK92" s="592" t="str">
        <f t="shared" si="13"/>
        <v/>
      </c>
      <c r="BM92" s="592" t="str">
        <f t="shared" si="14"/>
        <v/>
      </c>
      <c r="BO92" s="592">
        <f t="shared" si="15"/>
        <v>0</v>
      </c>
      <c r="BP92" s="592">
        <f t="shared" si="16"/>
        <v>0</v>
      </c>
      <c r="BQ92" s="592" t="str">
        <f t="shared" si="17"/>
        <v/>
      </c>
      <c r="BR92" s="592" t="str">
        <f t="shared" si="18"/>
        <v/>
      </c>
    </row>
    <row r="93" spans="1:70" ht="13.95" customHeight="1">
      <c r="A93" s="1805"/>
      <c r="B93" s="622"/>
      <c r="C93" s="623"/>
      <c r="D93" s="620"/>
      <c r="E93" s="620"/>
      <c r="F93" s="620"/>
      <c r="G93" s="620"/>
      <c r="H93" s="620"/>
      <c r="I93" s="620"/>
      <c r="J93" s="620"/>
      <c r="K93" s="620"/>
      <c r="L93" s="620"/>
      <c r="M93" s="620"/>
      <c r="N93" s="620"/>
      <c r="O93" s="620"/>
      <c r="P93" s="620"/>
      <c r="Q93" s="620"/>
      <c r="R93" s="620"/>
      <c r="S93" s="620"/>
      <c r="T93" s="620"/>
      <c r="U93" s="620"/>
      <c r="V93" s="620"/>
      <c r="W93" s="620"/>
      <c r="X93" s="620"/>
      <c r="Y93" s="620"/>
      <c r="Z93" s="620"/>
      <c r="AA93" s="2145"/>
      <c r="AB93" s="2146"/>
      <c r="AC93" s="2146"/>
      <c r="AD93" s="2147"/>
      <c r="AE93" s="709">
        <f t="shared" si="10"/>
        <v>0</v>
      </c>
      <c r="AF93" s="1846"/>
      <c r="AG93" s="758"/>
      <c r="AH93" s="1495"/>
      <c r="AI93" s="654">
        <f t="shared" si="11"/>
        <v>0</v>
      </c>
      <c r="AJ93" s="618"/>
      <c r="AK93" s="618"/>
      <c r="AL93" s="619"/>
      <c r="AM93" s="620"/>
      <c r="AN93" s="620"/>
      <c r="AO93" s="620"/>
      <c r="AP93" s="620"/>
      <c r="AQ93" s="620"/>
      <c r="AR93" s="620"/>
      <c r="AS93" s="620"/>
      <c r="AT93" s="620"/>
      <c r="AU93" s="620"/>
      <c r="AV93" s="620"/>
      <c r="AW93" s="620"/>
      <c r="AX93" s="620"/>
      <c r="AY93" s="620"/>
      <c r="AZ93" s="620"/>
      <c r="BA93" s="620"/>
      <c r="BB93" s="620"/>
      <c r="BC93" s="620"/>
      <c r="BD93" s="620"/>
      <c r="BE93" s="620"/>
      <c r="BF93" s="620"/>
      <c r="BG93" s="621"/>
      <c r="BH93" s="840" t="str">
        <f t="shared" si="12"/>
        <v/>
      </c>
      <c r="BI93" s="569"/>
      <c r="BJ93" s="458"/>
      <c r="BK93" s="592" t="str">
        <f t="shared" si="13"/>
        <v/>
      </c>
      <c r="BM93" s="592" t="str">
        <f t="shared" si="14"/>
        <v/>
      </c>
      <c r="BO93" s="592">
        <f t="shared" si="15"/>
        <v>0</v>
      </c>
      <c r="BP93" s="592">
        <f t="shared" si="16"/>
        <v>0</v>
      </c>
      <c r="BQ93" s="592" t="str">
        <f t="shared" si="17"/>
        <v/>
      </c>
      <c r="BR93" s="592" t="str">
        <f t="shared" si="18"/>
        <v/>
      </c>
    </row>
    <row r="94" spans="1:70" ht="13.95" customHeight="1">
      <c r="A94" s="1805"/>
      <c r="B94" s="447"/>
      <c r="C94" s="448"/>
      <c r="D94" s="684"/>
      <c r="E94" s="684"/>
      <c r="F94" s="684"/>
      <c r="G94" s="684"/>
      <c r="H94" s="684"/>
      <c r="I94" s="684"/>
      <c r="J94" s="684"/>
      <c r="K94" s="684"/>
      <c r="L94" s="684"/>
      <c r="M94" s="684"/>
      <c r="N94" s="684"/>
      <c r="O94" s="684"/>
      <c r="P94" s="684"/>
      <c r="Q94" s="684"/>
      <c r="R94" s="684"/>
      <c r="S94" s="684"/>
      <c r="T94" s="684"/>
      <c r="U94" s="684"/>
      <c r="V94" s="684"/>
      <c r="W94" s="684"/>
      <c r="X94" s="684"/>
      <c r="Y94" s="684"/>
      <c r="Z94" s="684"/>
      <c r="AA94" s="2145"/>
      <c r="AB94" s="2146"/>
      <c r="AC94" s="2146"/>
      <c r="AD94" s="2147"/>
      <c r="AE94" s="709">
        <f t="shared" si="10"/>
        <v>0</v>
      </c>
      <c r="AF94" s="1846"/>
      <c r="AG94" s="758"/>
      <c r="AH94" s="1495"/>
      <c r="AI94" s="654">
        <f t="shared" si="11"/>
        <v>0</v>
      </c>
      <c r="AJ94" s="813"/>
      <c r="AK94" s="813"/>
      <c r="AL94" s="233"/>
      <c r="AM94" s="684"/>
      <c r="AN94" s="684"/>
      <c r="AO94" s="684"/>
      <c r="AP94" s="684"/>
      <c r="AQ94" s="684"/>
      <c r="AR94" s="684"/>
      <c r="AS94" s="684"/>
      <c r="AT94" s="684"/>
      <c r="AU94" s="684"/>
      <c r="AV94" s="684"/>
      <c r="AW94" s="684"/>
      <c r="AX94" s="684"/>
      <c r="AY94" s="684"/>
      <c r="AZ94" s="684"/>
      <c r="BA94" s="684"/>
      <c r="BB94" s="684"/>
      <c r="BC94" s="684"/>
      <c r="BD94" s="684"/>
      <c r="BE94" s="684"/>
      <c r="BF94" s="684"/>
      <c r="BG94" s="617"/>
      <c r="BH94" s="840" t="str">
        <f t="shared" si="12"/>
        <v/>
      </c>
      <c r="BI94" s="569"/>
      <c r="BJ94" s="458"/>
      <c r="BK94" s="592" t="str">
        <f t="shared" si="13"/>
        <v/>
      </c>
      <c r="BM94" s="592" t="str">
        <f t="shared" si="14"/>
        <v/>
      </c>
      <c r="BO94" s="592">
        <f t="shared" si="15"/>
        <v>0</v>
      </c>
      <c r="BP94" s="592">
        <f t="shared" si="16"/>
        <v>0</v>
      </c>
      <c r="BQ94" s="592" t="str">
        <f t="shared" si="17"/>
        <v/>
      </c>
      <c r="BR94" s="592" t="str">
        <f t="shared" si="18"/>
        <v/>
      </c>
    </row>
    <row r="95" spans="1:70" ht="13.95" customHeight="1">
      <c r="A95" s="1805"/>
      <c r="B95" s="622"/>
      <c r="C95" s="623"/>
      <c r="D95" s="620"/>
      <c r="E95" s="620"/>
      <c r="F95" s="620"/>
      <c r="G95" s="620"/>
      <c r="H95" s="620"/>
      <c r="I95" s="620"/>
      <c r="J95" s="620"/>
      <c r="K95" s="620"/>
      <c r="L95" s="620"/>
      <c r="M95" s="620"/>
      <c r="N95" s="620"/>
      <c r="O95" s="620"/>
      <c r="P95" s="620"/>
      <c r="Q95" s="620"/>
      <c r="R95" s="620"/>
      <c r="S95" s="620"/>
      <c r="T95" s="620"/>
      <c r="U95" s="620"/>
      <c r="V95" s="620"/>
      <c r="W95" s="620"/>
      <c r="X95" s="620"/>
      <c r="Y95" s="620"/>
      <c r="Z95" s="620"/>
      <c r="AA95" s="2145"/>
      <c r="AB95" s="2146"/>
      <c r="AC95" s="2146"/>
      <c r="AD95" s="2147"/>
      <c r="AE95" s="709">
        <f t="shared" si="10"/>
        <v>0</v>
      </c>
      <c r="AF95" s="1846"/>
      <c r="AG95" s="758"/>
      <c r="AH95" s="1495"/>
      <c r="AI95" s="654">
        <f t="shared" si="11"/>
        <v>0</v>
      </c>
      <c r="AJ95" s="618"/>
      <c r="AK95" s="618"/>
      <c r="AL95" s="619"/>
      <c r="AM95" s="620"/>
      <c r="AN95" s="620"/>
      <c r="AO95" s="620"/>
      <c r="AP95" s="620"/>
      <c r="AQ95" s="620"/>
      <c r="AR95" s="620"/>
      <c r="AS95" s="620"/>
      <c r="AT95" s="620"/>
      <c r="AU95" s="620"/>
      <c r="AV95" s="620"/>
      <c r="AW95" s="620"/>
      <c r="AX95" s="620"/>
      <c r="AY95" s="620"/>
      <c r="AZ95" s="620"/>
      <c r="BA95" s="620"/>
      <c r="BB95" s="620"/>
      <c r="BC95" s="620"/>
      <c r="BD95" s="620"/>
      <c r="BE95" s="620"/>
      <c r="BF95" s="620"/>
      <c r="BG95" s="621"/>
      <c r="BH95" s="840" t="str">
        <f t="shared" si="12"/>
        <v/>
      </c>
      <c r="BI95" s="569"/>
      <c r="BJ95" s="458"/>
      <c r="BK95" s="592" t="str">
        <f t="shared" si="13"/>
        <v/>
      </c>
      <c r="BM95" s="592" t="str">
        <f t="shared" si="14"/>
        <v/>
      </c>
      <c r="BO95" s="592">
        <f t="shared" si="15"/>
        <v>0</v>
      </c>
      <c r="BP95" s="592">
        <f t="shared" si="16"/>
        <v>0</v>
      </c>
      <c r="BQ95" s="592" t="str">
        <f t="shared" si="17"/>
        <v/>
      </c>
      <c r="BR95" s="592" t="str">
        <f t="shared" si="18"/>
        <v/>
      </c>
    </row>
    <row r="96" spans="1:70" ht="13.95" customHeight="1">
      <c r="A96" s="1805"/>
      <c r="B96" s="447"/>
      <c r="C96" s="448"/>
      <c r="D96" s="684"/>
      <c r="E96" s="684"/>
      <c r="F96" s="684"/>
      <c r="G96" s="684"/>
      <c r="H96" s="684"/>
      <c r="I96" s="684"/>
      <c r="J96" s="684"/>
      <c r="K96" s="684"/>
      <c r="L96" s="684"/>
      <c r="M96" s="684"/>
      <c r="N96" s="684"/>
      <c r="O96" s="684"/>
      <c r="P96" s="684"/>
      <c r="Q96" s="684"/>
      <c r="R96" s="684"/>
      <c r="S96" s="684"/>
      <c r="T96" s="684"/>
      <c r="U96" s="684"/>
      <c r="V96" s="684"/>
      <c r="W96" s="684"/>
      <c r="X96" s="684"/>
      <c r="Y96" s="684"/>
      <c r="Z96" s="684"/>
      <c r="AA96" s="2145"/>
      <c r="AB96" s="2146"/>
      <c r="AC96" s="2146"/>
      <c r="AD96" s="2147"/>
      <c r="AE96" s="709">
        <f t="shared" si="10"/>
        <v>0</v>
      </c>
      <c r="AF96" s="1846"/>
      <c r="AG96" s="758"/>
      <c r="AH96" s="1495"/>
      <c r="AI96" s="654">
        <f t="shared" si="11"/>
        <v>0</v>
      </c>
      <c r="AJ96" s="813"/>
      <c r="AK96" s="813"/>
      <c r="AL96" s="233"/>
      <c r="AM96" s="684"/>
      <c r="AN96" s="684"/>
      <c r="AO96" s="684"/>
      <c r="AP96" s="684"/>
      <c r="AQ96" s="684"/>
      <c r="AR96" s="684"/>
      <c r="AS96" s="684"/>
      <c r="AT96" s="684"/>
      <c r="AU96" s="684"/>
      <c r="AV96" s="684"/>
      <c r="AW96" s="684"/>
      <c r="AX96" s="684"/>
      <c r="AY96" s="684"/>
      <c r="AZ96" s="684"/>
      <c r="BA96" s="684"/>
      <c r="BB96" s="684"/>
      <c r="BC96" s="684"/>
      <c r="BD96" s="684"/>
      <c r="BE96" s="684"/>
      <c r="BF96" s="684"/>
      <c r="BG96" s="617"/>
      <c r="BH96" s="840" t="str">
        <f t="shared" si="12"/>
        <v/>
      </c>
      <c r="BI96" s="569"/>
      <c r="BJ96" s="458"/>
      <c r="BK96" s="592" t="str">
        <f t="shared" si="13"/>
        <v/>
      </c>
      <c r="BM96" s="592" t="str">
        <f t="shared" si="14"/>
        <v/>
      </c>
      <c r="BO96" s="592">
        <f t="shared" si="15"/>
        <v>0</v>
      </c>
      <c r="BP96" s="592">
        <f t="shared" si="16"/>
        <v>0</v>
      </c>
      <c r="BQ96" s="592" t="str">
        <f t="shared" si="17"/>
        <v/>
      </c>
      <c r="BR96" s="592" t="str">
        <f t="shared" si="18"/>
        <v/>
      </c>
    </row>
    <row r="97" spans="1:70" ht="14.55" customHeight="1">
      <c r="A97" s="1805"/>
      <c r="B97" s="622"/>
      <c r="C97" s="623"/>
      <c r="D97" s="620"/>
      <c r="E97" s="620"/>
      <c r="F97" s="620"/>
      <c r="G97" s="620"/>
      <c r="H97" s="620"/>
      <c r="I97" s="620"/>
      <c r="J97" s="620"/>
      <c r="K97" s="620"/>
      <c r="L97" s="620"/>
      <c r="M97" s="620"/>
      <c r="N97" s="620"/>
      <c r="O97" s="620"/>
      <c r="P97" s="620"/>
      <c r="Q97" s="620"/>
      <c r="R97" s="620"/>
      <c r="S97" s="620"/>
      <c r="T97" s="620"/>
      <c r="U97" s="620"/>
      <c r="V97" s="620"/>
      <c r="W97" s="620"/>
      <c r="X97" s="620"/>
      <c r="Y97" s="620"/>
      <c r="Z97" s="620"/>
      <c r="AA97" s="2145"/>
      <c r="AB97" s="2146"/>
      <c r="AC97" s="2146"/>
      <c r="AD97" s="2147"/>
      <c r="AE97" s="709">
        <f t="shared" si="10"/>
        <v>0</v>
      </c>
      <c r="AF97" s="1846"/>
      <c r="AG97" s="758"/>
      <c r="AH97" s="1495"/>
      <c r="AI97" s="654">
        <f t="shared" si="11"/>
        <v>0</v>
      </c>
      <c r="AJ97" s="618"/>
      <c r="AK97" s="618"/>
      <c r="AL97" s="619"/>
      <c r="AM97" s="620"/>
      <c r="AN97" s="620"/>
      <c r="AO97" s="620"/>
      <c r="AP97" s="620"/>
      <c r="AQ97" s="620"/>
      <c r="AR97" s="620"/>
      <c r="AS97" s="620"/>
      <c r="AT97" s="620"/>
      <c r="AU97" s="620"/>
      <c r="AV97" s="620"/>
      <c r="AW97" s="620"/>
      <c r="AX97" s="620"/>
      <c r="AY97" s="620"/>
      <c r="AZ97" s="620"/>
      <c r="BA97" s="620"/>
      <c r="BB97" s="620"/>
      <c r="BC97" s="620"/>
      <c r="BD97" s="620"/>
      <c r="BE97" s="620"/>
      <c r="BF97" s="620"/>
      <c r="BG97" s="621"/>
      <c r="BH97" s="840" t="str">
        <f t="shared" si="12"/>
        <v/>
      </c>
      <c r="BI97" s="569"/>
      <c r="BJ97" s="458"/>
      <c r="BK97" s="592" t="str">
        <f t="shared" si="13"/>
        <v/>
      </c>
      <c r="BM97" s="592" t="str">
        <f t="shared" si="14"/>
        <v/>
      </c>
      <c r="BO97" s="592">
        <f t="shared" si="15"/>
        <v>0</v>
      </c>
      <c r="BP97" s="592">
        <f t="shared" si="16"/>
        <v>0</v>
      </c>
      <c r="BQ97" s="592" t="str">
        <f t="shared" si="17"/>
        <v/>
      </c>
      <c r="BR97" s="592" t="str">
        <f t="shared" si="18"/>
        <v/>
      </c>
    </row>
    <row r="98" spans="1:70" ht="13.95" customHeight="1">
      <c r="A98" s="1805"/>
      <c r="B98" s="447"/>
      <c r="C98" s="448"/>
      <c r="D98" s="684"/>
      <c r="E98" s="684"/>
      <c r="F98" s="684"/>
      <c r="G98" s="684"/>
      <c r="H98" s="684"/>
      <c r="I98" s="684"/>
      <c r="J98" s="684"/>
      <c r="K98" s="684"/>
      <c r="L98" s="684"/>
      <c r="M98" s="684"/>
      <c r="N98" s="684"/>
      <c r="O98" s="684"/>
      <c r="P98" s="684"/>
      <c r="Q98" s="684"/>
      <c r="R98" s="684"/>
      <c r="S98" s="684"/>
      <c r="T98" s="684"/>
      <c r="U98" s="684"/>
      <c r="V98" s="684"/>
      <c r="W98" s="684"/>
      <c r="X98" s="684"/>
      <c r="Y98" s="684"/>
      <c r="Z98" s="684"/>
      <c r="AA98" s="2145"/>
      <c r="AB98" s="2146"/>
      <c r="AC98" s="2146"/>
      <c r="AD98" s="2147"/>
      <c r="AE98" s="709">
        <f t="shared" si="10"/>
        <v>0</v>
      </c>
      <c r="AF98" s="1846"/>
      <c r="AG98" s="758"/>
      <c r="AH98" s="1495"/>
      <c r="AI98" s="654">
        <f t="shared" si="11"/>
        <v>0</v>
      </c>
      <c r="AJ98" s="813"/>
      <c r="AK98" s="813"/>
      <c r="AL98" s="233"/>
      <c r="AM98" s="684"/>
      <c r="AN98" s="684"/>
      <c r="AO98" s="684"/>
      <c r="AP98" s="684"/>
      <c r="AQ98" s="684"/>
      <c r="AR98" s="684"/>
      <c r="AS98" s="684"/>
      <c r="AT98" s="684"/>
      <c r="AU98" s="684"/>
      <c r="AV98" s="684"/>
      <c r="AW98" s="684"/>
      <c r="AX98" s="684"/>
      <c r="AY98" s="684"/>
      <c r="AZ98" s="684"/>
      <c r="BA98" s="684"/>
      <c r="BB98" s="684"/>
      <c r="BC98" s="684"/>
      <c r="BD98" s="684"/>
      <c r="BE98" s="684"/>
      <c r="BF98" s="684"/>
      <c r="BG98" s="617"/>
      <c r="BH98" s="840" t="str">
        <f t="shared" si="12"/>
        <v/>
      </c>
      <c r="BI98" s="569"/>
      <c r="BJ98" s="458"/>
      <c r="BK98" s="592" t="str">
        <f t="shared" si="13"/>
        <v/>
      </c>
      <c r="BM98" s="592" t="str">
        <f t="shared" si="14"/>
        <v/>
      </c>
      <c r="BO98" s="592">
        <f t="shared" si="15"/>
        <v>0</v>
      </c>
      <c r="BP98" s="592">
        <f t="shared" si="16"/>
        <v>0</v>
      </c>
      <c r="BQ98" s="592" t="str">
        <f t="shared" si="17"/>
        <v/>
      </c>
      <c r="BR98" s="592" t="str">
        <f t="shared" si="18"/>
        <v/>
      </c>
    </row>
    <row r="99" spans="1:70" ht="13.95" customHeight="1">
      <c r="A99" s="1805"/>
      <c r="B99" s="622"/>
      <c r="C99" s="623"/>
      <c r="D99" s="620"/>
      <c r="E99" s="620"/>
      <c r="F99" s="620"/>
      <c r="G99" s="620"/>
      <c r="H99" s="620"/>
      <c r="I99" s="620"/>
      <c r="J99" s="620"/>
      <c r="K99" s="620"/>
      <c r="L99" s="620"/>
      <c r="M99" s="620"/>
      <c r="N99" s="620"/>
      <c r="O99" s="620"/>
      <c r="P99" s="620"/>
      <c r="Q99" s="620"/>
      <c r="R99" s="620"/>
      <c r="S99" s="620"/>
      <c r="T99" s="620"/>
      <c r="U99" s="620"/>
      <c r="V99" s="620"/>
      <c r="W99" s="620"/>
      <c r="X99" s="620"/>
      <c r="Y99" s="620"/>
      <c r="Z99" s="620"/>
      <c r="AA99" s="2145"/>
      <c r="AB99" s="2146"/>
      <c r="AC99" s="2146"/>
      <c r="AD99" s="2147"/>
      <c r="AE99" s="709">
        <f t="shared" si="10"/>
        <v>0</v>
      </c>
      <c r="AF99" s="1846"/>
      <c r="AG99" s="758"/>
      <c r="AH99" s="1495"/>
      <c r="AI99" s="654">
        <f t="shared" si="11"/>
        <v>0</v>
      </c>
      <c r="AJ99" s="618"/>
      <c r="AK99" s="618"/>
      <c r="AL99" s="619"/>
      <c r="AM99" s="620"/>
      <c r="AN99" s="620"/>
      <c r="AO99" s="620"/>
      <c r="AP99" s="620"/>
      <c r="AQ99" s="620"/>
      <c r="AR99" s="620"/>
      <c r="AS99" s="620"/>
      <c r="AT99" s="620"/>
      <c r="AU99" s="620"/>
      <c r="AV99" s="620"/>
      <c r="AW99" s="620"/>
      <c r="AX99" s="620"/>
      <c r="AY99" s="620"/>
      <c r="AZ99" s="620"/>
      <c r="BA99" s="620"/>
      <c r="BB99" s="620"/>
      <c r="BC99" s="620"/>
      <c r="BD99" s="620"/>
      <c r="BE99" s="620"/>
      <c r="BF99" s="620"/>
      <c r="BG99" s="621"/>
      <c r="BH99" s="840" t="str">
        <f t="shared" si="12"/>
        <v/>
      </c>
      <c r="BI99" s="569"/>
      <c r="BJ99" s="458"/>
      <c r="BK99" s="592" t="str">
        <f t="shared" si="13"/>
        <v/>
      </c>
      <c r="BM99" s="592" t="str">
        <f t="shared" si="14"/>
        <v/>
      </c>
      <c r="BO99" s="592">
        <f t="shared" si="15"/>
        <v>0</v>
      </c>
      <c r="BP99" s="592">
        <f t="shared" si="16"/>
        <v>0</v>
      </c>
      <c r="BQ99" s="592" t="str">
        <f t="shared" si="17"/>
        <v/>
      </c>
      <c r="BR99" s="592" t="str">
        <f t="shared" si="18"/>
        <v/>
      </c>
    </row>
    <row r="100" spans="1:70" ht="13.95" customHeight="1">
      <c r="A100" s="1805"/>
      <c r="B100" s="447"/>
      <c r="C100" s="448"/>
      <c r="D100" s="684"/>
      <c r="E100" s="684"/>
      <c r="F100" s="684"/>
      <c r="G100" s="684"/>
      <c r="H100" s="684"/>
      <c r="I100" s="684"/>
      <c r="J100" s="684"/>
      <c r="K100" s="684"/>
      <c r="L100" s="684"/>
      <c r="M100" s="684"/>
      <c r="N100" s="684"/>
      <c r="O100" s="684"/>
      <c r="P100" s="684"/>
      <c r="Q100" s="684"/>
      <c r="R100" s="684"/>
      <c r="S100" s="684"/>
      <c r="T100" s="684"/>
      <c r="U100" s="684"/>
      <c r="V100" s="684"/>
      <c r="W100" s="684"/>
      <c r="X100" s="684"/>
      <c r="Y100" s="684"/>
      <c r="Z100" s="684"/>
      <c r="AA100" s="2145"/>
      <c r="AB100" s="2146"/>
      <c r="AC100" s="2146"/>
      <c r="AD100" s="2147"/>
      <c r="AE100" s="709">
        <f t="shared" si="10"/>
        <v>0</v>
      </c>
      <c r="AF100" s="1846"/>
      <c r="AG100" s="758"/>
      <c r="AH100" s="1495"/>
      <c r="AI100" s="654">
        <f t="shared" si="11"/>
        <v>0</v>
      </c>
      <c r="AJ100" s="813"/>
      <c r="AK100" s="813"/>
      <c r="AL100" s="233"/>
      <c r="AM100" s="684"/>
      <c r="AN100" s="684"/>
      <c r="AO100" s="684"/>
      <c r="AP100" s="684"/>
      <c r="AQ100" s="684"/>
      <c r="AR100" s="684"/>
      <c r="AS100" s="684"/>
      <c r="AT100" s="684"/>
      <c r="AU100" s="684"/>
      <c r="AV100" s="684"/>
      <c r="AW100" s="684"/>
      <c r="AX100" s="684"/>
      <c r="AY100" s="684"/>
      <c r="AZ100" s="684"/>
      <c r="BA100" s="684"/>
      <c r="BB100" s="684"/>
      <c r="BC100" s="684"/>
      <c r="BD100" s="684"/>
      <c r="BE100" s="684"/>
      <c r="BF100" s="684"/>
      <c r="BG100" s="617"/>
      <c r="BH100" s="840" t="str">
        <f t="shared" si="12"/>
        <v/>
      </c>
      <c r="BI100" s="569"/>
      <c r="BJ100" s="458"/>
      <c r="BK100" s="592" t="str">
        <f t="shared" si="13"/>
        <v/>
      </c>
      <c r="BM100" s="592" t="str">
        <f t="shared" si="14"/>
        <v/>
      </c>
      <c r="BO100" s="592">
        <f t="shared" si="15"/>
        <v>0</v>
      </c>
      <c r="BP100" s="592">
        <f t="shared" si="16"/>
        <v>0</v>
      </c>
      <c r="BQ100" s="592" t="str">
        <f t="shared" si="17"/>
        <v/>
      </c>
      <c r="BR100" s="592" t="str">
        <f t="shared" si="18"/>
        <v/>
      </c>
    </row>
    <row r="101" spans="1:70" ht="13.95" customHeight="1">
      <c r="A101" s="1805"/>
      <c r="B101" s="622"/>
      <c r="C101" s="623"/>
      <c r="D101" s="620"/>
      <c r="E101" s="620"/>
      <c r="F101" s="620"/>
      <c r="G101" s="620"/>
      <c r="H101" s="620"/>
      <c r="I101" s="620"/>
      <c r="J101" s="620"/>
      <c r="K101" s="620"/>
      <c r="L101" s="620"/>
      <c r="M101" s="620"/>
      <c r="N101" s="620"/>
      <c r="O101" s="620"/>
      <c r="P101" s="620"/>
      <c r="Q101" s="620"/>
      <c r="R101" s="620"/>
      <c r="S101" s="620"/>
      <c r="T101" s="620"/>
      <c r="U101" s="620"/>
      <c r="V101" s="620"/>
      <c r="W101" s="620"/>
      <c r="X101" s="620"/>
      <c r="Y101" s="620"/>
      <c r="Z101" s="620"/>
      <c r="AA101" s="2145"/>
      <c r="AB101" s="2146"/>
      <c r="AC101" s="2146"/>
      <c r="AD101" s="2147"/>
      <c r="AE101" s="709">
        <f t="shared" si="10"/>
        <v>0</v>
      </c>
      <c r="AF101" s="1846"/>
      <c r="AG101" s="758"/>
      <c r="AH101" s="1495"/>
      <c r="AI101" s="654">
        <f t="shared" si="11"/>
        <v>0</v>
      </c>
      <c r="AJ101" s="618"/>
      <c r="AK101" s="618"/>
      <c r="AL101" s="619"/>
      <c r="AM101" s="620"/>
      <c r="AN101" s="620"/>
      <c r="AO101" s="620"/>
      <c r="AP101" s="620"/>
      <c r="AQ101" s="620"/>
      <c r="AR101" s="620"/>
      <c r="AS101" s="620"/>
      <c r="AT101" s="620"/>
      <c r="AU101" s="620"/>
      <c r="AV101" s="620"/>
      <c r="AW101" s="620"/>
      <c r="AX101" s="620"/>
      <c r="AY101" s="620"/>
      <c r="AZ101" s="620"/>
      <c r="BA101" s="620"/>
      <c r="BB101" s="620"/>
      <c r="BC101" s="620"/>
      <c r="BD101" s="620"/>
      <c r="BE101" s="620"/>
      <c r="BF101" s="620"/>
      <c r="BG101" s="621"/>
      <c r="BH101" s="840" t="str">
        <f t="shared" si="12"/>
        <v/>
      </c>
      <c r="BI101" s="569"/>
      <c r="BJ101" s="458"/>
      <c r="BK101" s="592" t="str">
        <f t="shared" si="13"/>
        <v/>
      </c>
      <c r="BM101" s="592" t="str">
        <f t="shared" si="14"/>
        <v/>
      </c>
      <c r="BO101" s="592">
        <f t="shared" si="15"/>
        <v>0</v>
      </c>
      <c r="BP101" s="592">
        <f t="shared" si="16"/>
        <v>0</v>
      </c>
      <c r="BQ101" s="592" t="str">
        <f t="shared" si="17"/>
        <v/>
      </c>
      <c r="BR101" s="592" t="str">
        <f t="shared" si="18"/>
        <v/>
      </c>
    </row>
    <row r="102" spans="1:70" ht="13.95" customHeight="1">
      <c r="A102" s="1805"/>
      <c r="B102" s="447"/>
      <c r="C102" s="448"/>
      <c r="D102" s="684"/>
      <c r="E102" s="684"/>
      <c r="F102" s="684"/>
      <c r="G102" s="684"/>
      <c r="H102" s="684"/>
      <c r="I102" s="684"/>
      <c r="J102" s="684"/>
      <c r="K102" s="684"/>
      <c r="L102" s="684"/>
      <c r="M102" s="684"/>
      <c r="N102" s="684"/>
      <c r="O102" s="684"/>
      <c r="P102" s="684"/>
      <c r="Q102" s="684"/>
      <c r="R102" s="684"/>
      <c r="S102" s="684"/>
      <c r="T102" s="684"/>
      <c r="U102" s="684"/>
      <c r="V102" s="684"/>
      <c r="W102" s="684"/>
      <c r="X102" s="684"/>
      <c r="Y102" s="684"/>
      <c r="Z102" s="684"/>
      <c r="AA102" s="2145"/>
      <c r="AB102" s="2146"/>
      <c r="AC102" s="2146"/>
      <c r="AD102" s="2147"/>
      <c r="AE102" s="709">
        <f t="shared" si="10"/>
        <v>0</v>
      </c>
      <c r="AF102" s="1846"/>
      <c r="AG102" s="758"/>
      <c r="AH102" s="1495"/>
      <c r="AI102" s="654">
        <f t="shared" si="11"/>
        <v>0</v>
      </c>
      <c r="AJ102" s="813"/>
      <c r="AK102" s="813"/>
      <c r="AL102" s="233"/>
      <c r="AM102" s="684"/>
      <c r="AN102" s="684"/>
      <c r="AO102" s="684"/>
      <c r="AP102" s="684"/>
      <c r="AQ102" s="684"/>
      <c r="AR102" s="684"/>
      <c r="AS102" s="684"/>
      <c r="AT102" s="684"/>
      <c r="AU102" s="684"/>
      <c r="AV102" s="684"/>
      <c r="AW102" s="684"/>
      <c r="AX102" s="684"/>
      <c r="AY102" s="684"/>
      <c r="AZ102" s="684"/>
      <c r="BA102" s="684"/>
      <c r="BB102" s="684"/>
      <c r="BC102" s="684"/>
      <c r="BD102" s="684"/>
      <c r="BE102" s="684"/>
      <c r="BF102" s="684"/>
      <c r="BG102" s="617"/>
      <c r="BH102" s="840" t="str">
        <f t="shared" si="12"/>
        <v/>
      </c>
      <c r="BI102" s="569"/>
      <c r="BJ102" s="458"/>
      <c r="BK102" s="592" t="str">
        <f t="shared" si="13"/>
        <v/>
      </c>
      <c r="BM102" s="592" t="str">
        <f t="shared" si="14"/>
        <v/>
      </c>
      <c r="BO102" s="592">
        <f t="shared" si="15"/>
        <v>0</v>
      </c>
      <c r="BP102" s="592">
        <f t="shared" si="16"/>
        <v>0</v>
      </c>
      <c r="BQ102" s="592" t="str">
        <f t="shared" si="17"/>
        <v/>
      </c>
      <c r="BR102" s="592" t="str">
        <f t="shared" si="18"/>
        <v/>
      </c>
    </row>
    <row r="103" spans="1:70" ht="13.95" customHeight="1">
      <c r="A103" s="1805"/>
      <c r="B103" s="622"/>
      <c r="C103" s="623"/>
      <c r="D103" s="620"/>
      <c r="E103" s="620"/>
      <c r="F103" s="620"/>
      <c r="G103" s="620"/>
      <c r="H103" s="620"/>
      <c r="I103" s="620"/>
      <c r="J103" s="620"/>
      <c r="K103" s="620"/>
      <c r="L103" s="620"/>
      <c r="M103" s="620"/>
      <c r="N103" s="620"/>
      <c r="O103" s="620"/>
      <c r="P103" s="620"/>
      <c r="Q103" s="620"/>
      <c r="R103" s="620"/>
      <c r="S103" s="620"/>
      <c r="T103" s="620"/>
      <c r="U103" s="620"/>
      <c r="V103" s="620"/>
      <c r="W103" s="620"/>
      <c r="X103" s="620"/>
      <c r="Y103" s="620"/>
      <c r="Z103" s="620"/>
      <c r="AA103" s="2145"/>
      <c r="AB103" s="2146"/>
      <c r="AC103" s="2146"/>
      <c r="AD103" s="2147"/>
      <c r="AE103" s="709">
        <f t="shared" si="10"/>
        <v>0</v>
      </c>
      <c r="AF103" s="1846"/>
      <c r="AG103" s="758"/>
      <c r="AH103" s="1495"/>
      <c r="AI103" s="654">
        <f t="shared" si="11"/>
        <v>0</v>
      </c>
      <c r="AJ103" s="618"/>
      <c r="AK103" s="618"/>
      <c r="AL103" s="619"/>
      <c r="AM103" s="620"/>
      <c r="AN103" s="620"/>
      <c r="AO103" s="620"/>
      <c r="AP103" s="620"/>
      <c r="AQ103" s="620"/>
      <c r="AR103" s="620"/>
      <c r="AS103" s="620"/>
      <c r="AT103" s="620"/>
      <c r="AU103" s="620"/>
      <c r="AV103" s="620"/>
      <c r="AW103" s="620"/>
      <c r="AX103" s="620"/>
      <c r="AY103" s="620"/>
      <c r="AZ103" s="620"/>
      <c r="BA103" s="620"/>
      <c r="BB103" s="620"/>
      <c r="BC103" s="620"/>
      <c r="BD103" s="620"/>
      <c r="BE103" s="620"/>
      <c r="BF103" s="620"/>
      <c r="BG103" s="621"/>
      <c r="BH103" s="840" t="str">
        <f t="shared" si="12"/>
        <v/>
      </c>
      <c r="BI103" s="569"/>
      <c r="BJ103" s="458"/>
      <c r="BK103" s="592" t="str">
        <f t="shared" si="13"/>
        <v/>
      </c>
      <c r="BM103" s="592" t="str">
        <f t="shared" si="14"/>
        <v/>
      </c>
      <c r="BO103" s="592">
        <f t="shared" si="15"/>
        <v>0</v>
      </c>
      <c r="BP103" s="592">
        <f t="shared" si="16"/>
        <v>0</v>
      </c>
      <c r="BQ103" s="592" t="str">
        <f t="shared" si="17"/>
        <v/>
      </c>
      <c r="BR103" s="592" t="str">
        <f t="shared" si="18"/>
        <v/>
      </c>
    </row>
    <row r="104" spans="1:70" ht="13.95" customHeight="1">
      <c r="A104" s="1805"/>
      <c r="B104" s="447"/>
      <c r="C104" s="448"/>
      <c r="D104" s="684"/>
      <c r="E104" s="684"/>
      <c r="F104" s="684"/>
      <c r="G104" s="684"/>
      <c r="H104" s="684"/>
      <c r="I104" s="684"/>
      <c r="J104" s="684"/>
      <c r="K104" s="684"/>
      <c r="L104" s="684"/>
      <c r="M104" s="684"/>
      <c r="N104" s="684"/>
      <c r="O104" s="684"/>
      <c r="P104" s="684"/>
      <c r="Q104" s="684"/>
      <c r="R104" s="684"/>
      <c r="S104" s="684"/>
      <c r="T104" s="684"/>
      <c r="U104" s="684"/>
      <c r="V104" s="684"/>
      <c r="W104" s="684"/>
      <c r="X104" s="684"/>
      <c r="Y104" s="684"/>
      <c r="Z104" s="684"/>
      <c r="AA104" s="2145"/>
      <c r="AB104" s="2146"/>
      <c r="AC104" s="2146"/>
      <c r="AD104" s="2147"/>
      <c r="AE104" s="709">
        <f t="shared" si="10"/>
        <v>0</v>
      </c>
      <c r="AF104" s="1846"/>
      <c r="AG104" s="758"/>
      <c r="AH104" s="1495"/>
      <c r="AI104" s="654">
        <f t="shared" si="11"/>
        <v>0</v>
      </c>
      <c r="AJ104" s="813"/>
      <c r="AK104" s="813"/>
      <c r="AL104" s="233"/>
      <c r="AM104" s="684"/>
      <c r="AN104" s="684"/>
      <c r="AO104" s="684"/>
      <c r="AP104" s="684"/>
      <c r="AQ104" s="684"/>
      <c r="AR104" s="684"/>
      <c r="AS104" s="684"/>
      <c r="AT104" s="684"/>
      <c r="AU104" s="684"/>
      <c r="AV104" s="684"/>
      <c r="AW104" s="684"/>
      <c r="AX104" s="684"/>
      <c r="AY104" s="684"/>
      <c r="AZ104" s="684"/>
      <c r="BA104" s="684"/>
      <c r="BB104" s="684"/>
      <c r="BC104" s="684"/>
      <c r="BD104" s="684"/>
      <c r="BE104" s="684"/>
      <c r="BF104" s="684"/>
      <c r="BG104" s="617"/>
      <c r="BH104" s="840" t="str">
        <f t="shared" si="12"/>
        <v/>
      </c>
      <c r="BI104" s="569"/>
      <c r="BJ104" s="458"/>
      <c r="BK104" s="592" t="str">
        <f t="shared" si="13"/>
        <v/>
      </c>
      <c r="BM104" s="592" t="str">
        <f t="shared" si="14"/>
        <v/>
      </c>
      <c r="BO104" s="592">
        <f t="shared" si="15"/>
        <v>0</v>
      </c>
      <c r="BP104" s="592">
        <f t="shared" si="16"/>
        <v>0</v>
      </c>
      <c r="BQ104" s="592" t="str">
        <f t="shared" si="17"/>
        <v/>
      </c>
      <c r="BR104" s="592" t="str">
        <f t="shared" si="18"/>
        <v/>
      </c>
    </row>
    <row r="105" spans="1:70" ht="13.95" customHeight="1">
      <c r="A105" s="1805"/>
      <c r="B105" s="622"/>
      <c r="C105" s="623"/>
      <c r="D105" s="620"/>
      <c r="E105" s="620"/>
      <c r="F105" s="620"/>
      <c r="G105" s="620"/>
      <c r="H105" s="620"/>
      <c r="I105" s="620"/>
      <c r="J105" s="620"/>
      <c r="K105" s="620"/>
      <c r="L105" s="620"/>
      <c r="M105" s="620"/>
      <c r="N105" s="620"/>
      <c r="O105" s="620"/>
      <c r="P105" s="620"/>
      <c r="Q105" s="620"/>
      <c r="R105" s="620"/>
      <c r="S105" s="620"/>
      <c r="T105" s="620"/>
      <c r="U105" s="620"/>
      <c r="V105" s="620"/>
      <c r="W105" s="620"/>
      <c r="X105" s="620"/>
      <c r="Y105" s="620"/>
      <c r="Z105" s="620"/>
      <c r="AA105" s="2145"/>
      <c r="AB105" s="2146"/>
      <c r="AC105" s="2146"/>
      <c r="AD105" s="2147"/>
      <c r="AE105" s="709">
        <f t="shared" si="10"/>
        <v>0</v>
      </c>
      <c r="AF105" s="1846"/>
      <c r="AG105" s="758"/>
      <c r="AH105" s="1495"/>
      <c r="AI105" s="654">
        <f t="shared" si="11"/>
        <v>0</v>
      </c>
      <c r="AJ105" s="618"/>
      <c r="AK105" s="618"/>
      <c r="AL105" s="619"/>
      <c r="AM105" s="620"/>
      <c r="AN105" s="620"/>
      <c r="AO105" s="620"/>
      <c r="AP105" s="620"/>
      <c r="AQ105" s="620"/>
      <c r="AR105" s="620"/>
      <c r="AS105" s="620"/>
      <c r="AT105" s="620"/>
      <c r="AU105" s="620"/>
      <c r="AV105" s="620"/>
      <c r="AW105" s="620"/>
      <c r="AX105" s="620"/>
      <c r="AY105" s="620"/>
      <c r="AZ105" s="620"/>
      <c r="BA105" s="620"/>
      <c r="BB105" s="620"/>
      <c r="BC105" s="620"/>
      <c r="BD105" s="620"/>
      <c r="BE105" s="620"/>
      <c r="BF105" s="620"/>
      <c r="BG105" s="621"/>
      <c r="BH105" s="840" t="str">
        <f t="shared" si="12"/>
        <v/>
      </c>
      <c r="BI105" s="569"/>
      <c r="BJ105" s="458"/>
      <c r="BK105" s="592" t="str">
        <f t="shared" si="13"/>
        <v/>
      </c>
      <c r="BM105" s="592" t="str">
        <f t="shared" si="14"/>
        <v/>
      </c>
      <c r="BO105" s="592">
        <f t="shared" si="15"/>
        <v>0</v>
      </c>
      <c r="BP105" s="592">
        <f t="shared" si="16"/>
        <v>0</v>
      </c>
      <c r="BQ105" s="592" t="str">
        <f t="shared" si="17"/>
        <v/>
      </c>
      <c r="BR105" s="592" t="str">
        <f t="shared" si="18"/>
        <v/>
      </c>
    </row>
    <row r="106" spans="1:70" ht="13.95" customHeight="1">
      <c r="A106" s="1805"/>
      <c r="B106" s="447"/>
      <c r="C106" s="448"/>
      <c r="D106" s="684"/>
      <c r="E106" s="684"/>
      <c r="F106" s="684"/>
      <c r="G106" s="684"/>
      <c r="H106" s="684"/>
      <c r="I106" s="684"/>
      <c r="J106" s="684"/>
      <c r="K106" s="684"/>
      <c r="L106" s="684"/>
      <c r="M106" s="684"/>
      <c r="N106" s="684"/>
      <c r="O106" s="684"/>
      <c r="P106" s="684"/>
      <c r="Q106" s="684"/>
      <c r="R106" s="684"/>
      <c r="S106" s="684"/>
      <c r="T106" s="684"/>
      <c r="U106" s="684"/>
      <c r="V106" s="684"/>
      <c r="W106" s="684"/>
      <c r="X106" s="684"/>
      <c r="Y106" s="684"/>
      <c r="Z106" s="684"/>
      <c r="AA106" s="2145"/>
      <c r="AB106" s="2146"/>
      <c r="AC106" s="2146"/>
      <c r="AD106" s="2147"/>
      <c r="AE106" s="709">
        <f t="shared" si="10"/>
        <v>0</v>
      </c>
      <c r="AF106" s="1846"/>
      <c r="AG106" s="758"/>
      <c r="AH106" s="1495"/>
      <c r="AI106" s="654">
        <f t="shared" si="11"/>
        <v>0</v>
      </c>
      <c r="AJ106" s="813"/>
      <c r="AK106" s="813"/>
      <c r="AL106" s="233"/>
      <c r="AM106" s="684"/>
      <c r="AN106" s="684"/>
      <c r="AO106" s="684"/>
      <c r="AP106" s="684"/>
      <c r="AQ106" s="684"/>
      <c r="AR106" s="684"/>
      <c r="AS106" s="684"/>
      <c r="AT106" s="684"/>
      <c r="AU106" s="684"/>
      <c r="AV106" s="684"/>
      <c r="AW106" s="684"/>
      <c r="AX106" s="684"/>
      <c r="AY106" s="684"/>
      <c r="AZ106" s="684"/>
      <c r="BA106" s="684"/>
      <c r="BB106" s="684"/>
      <c r="BC106" s="684"/>
      <c r="BD106" s="684"/>
      <c r="BE106" s="684"/>
      <c r="BF106" s="684"/>
      <c r="BG106" s="617"/>
      <c r="BH106" s="840" t="str">
        <f t="shared" si="12"/>
        <v/>
      </c>
      <c r="BI106" s="569"/>
      <c r="BJ106" s="458"/>
      <c r="BK106" s="592" t="str">
        <f t="shared" si="13"/>
        <v/>
      </c>
      <c r="BM106" s="592" t="str">
        <f t="shared" si="14"/>
        <v/>
      </c>
      <c r="BO106" s="592">
        <f t="shared" si="15"/>
        <v>0</v>
      </c>
      <c r="BP106" s="592">
        <f t="shared" si="16"/>
        <v>0</v>
      </c>
      <c r="BQ106" s="592" t="str">
        <f t="shared" si="17"/>
        <v/>
      </c>
      <c r="BR106" s="592" t="str">
        <f t="shared" si="18"/>
        <v/>
      </c>
    </row>
    <row r="107" spans="1:70" ht="13.95" customHeight="1">
      <c r="A107" s="1805"/>
      <c r="B107" s="622"/>
      <c r="C107" s="623"/>
      <c r="D107" s="620"/>
      <c r="E107" s="620"/>
      <c r="F107" s="620"/>
      <c r="G107" s="620"/>
      <c r="H107" s="620"/>
      <c r="I107" s="620"/>
      <c r="J107" s="620"/>
      <c r="K107" s="620"/>
      <c r="L107" s="620"/>
      <c r="M107" s="620"/>
      <c r="N107" s="620"/>
      <c r="O107" s="620"/>
      <c r="P107" s="620"/>
      <c r="Q107" s="620"/>
      <c r="R107" s="620"/>
      <c r="S107" s="620"/>
      <c r="T107" s="620"/>
      <c r="U107" s="620"/>
      <c r="V107" s="620"/>
      <c r="W107" s="620"/>
      <c r="X107" s="620"/>
      <c r="Y107" s="620"/>
      <c r="Z107" s="620"/>
      <c r="AA107" s="2145"/>
      <c r="AB107" s="2146"/>
      <c r="AC107" s="2146"/>
      <c r="AD107" s="2147"/>
      <c r="AE107" s="709">
        <f t="shared" si="10"/>
        <v>0</v>
      </c>
      <c r="AF107" s="1846"/>
      <c r="AG107" s="758"/>
      <c r="AH107" s="1495"/>
      <c r="AI107" s="654">
        <f t="shared" si="11"/>
        <v>0</v>
      </c>
      <c r="AJ107" s="618"/>
      <c r="AK107" s="618"/>
      <c r="AL107" s="619"/>
      <c r="AM107" s="620"/>
      <c r="AN107" s="620"/>
      <c r="AO107" s="620"/>
      <c r="AP107" s="620"/>
      <c r="AQ107" s="620"/>
      <c r="AR107" s="620"/>
      <c r="AS107" s="620"/>
      <c r="AT107" s="620"/>
      <c r="AU107" s="620"/>
      <c r="AV107" s="620"/>
      <c r="AW107" s="620"/>
      <c r="AX107" s="620"/>
      <c r="AY107" s="620"/>
      <c r="AZ107" s="620"/>
      <c r="BA107" s="620"/>
      <c r="BB107" s="620"/>
      <c r="BC107" s="620"/>
      <c r="BD107" s="620"/>
      <c r="BE107" s="620"/>
      <c r="BF107" s="620"/>
      <c r="BG107" s="621"/>
      <c r="BH107" s="840" t="str">
        <f t="shared" si="12"/>
        <v/>
      </c>
      <c r="BI107" s="569"/>
      <c r="BJ107" s="458"/>
      <c r="BK107" s="592" t="str">
        <f t="shared" si="13"/>
        <v/>
      </c>
      <c r="BM107" s="592" t="str">
        <f t="shared" si="14"/>
        <v/>
      </c>
      <c r="BO107" s="592">
        <f t="shared" si="15"/>
        <v>0</v>
      </c>
      <c r="BP107" s="592">
        <f t="shared" si="16"/>
        <v>0</v>
      </c>
      <c r="BQ107" s="592" t="str">
        <f t="shared" si="17"/>
        <v/>
      </c>
      <c r="BR107" s="592" t="str">
        <f t="shared" si="18"/>
        <v/>
      </c>
    </row>
    <row r="108" spans="1:70" ht="13.95" customHeight="1">
      <c r="A108" s="1805"/>
      <c r="B108" s="447"/>
      <c r="C108" s="448"/>
      <c r="D108" s="684"/>
      <c r="E108" s="684"/>
      <c r="F108" s="684"/>
      <c r="G108" s="684"/>
      <c r="H108" s="684"/>
      <c r="I108" s="684"/>
      <c r="J108" s="684"/>
      <c r="K108" s="684"/>
      <c r="L108" s="684"/>
      <c r="M108" s="684"/>
      <c r="N108" s="684"/>
      <c r="O108" s="684"/>
      <c r="P108" s="684"/>
      <c r="Q108" s="684"/>
      <c r="R108" s="684"/>
      <c r="S108" s="684"/>
      <c r="T108" s="684"/>
      <c r="U108" s="684"/>
      <c r="V108" s="684"/>
      <c r="W108" s="684"/>
      <c r="X108" s="684"/>
      <c r="Y108" s="684"/>
      <c r="Z108" s="684"/>
      <c r="AA108" s="2145"/>
      <c r="AB108" s="2146"/>
      <c r="AC108" s="2146"/>
      <c r="AD108" s="2147"/>
      <c r="AE108" s="709">
        <f t="shared" si="10"/>
        <v>0</v>
      </c>
      <c r="AF108" s="1846"/>
      <c r="AG108" s="758"/>
      <c r="AH108" s="1495"/>
      <c r="AI108" s="654">
        <f t="shared" si="11"/>
        <v>0</v>
      </c>
      <c r="AJ108" s="813"/>
      <c r="AK108" s="813"/>
      <c r="AL108" s="233"/>
      <c r="AM108" s="684"/>
      <c r="AN108" s="684"/>
      <c r="AO108" s="684"/>
      <c r="AP108" s="684"/>
      <c r="AQ108" s="684"/>
      <c r="AR108" s="684"/>
      <c r="AS108" s="684"/>
      <c r="AT108" s="684"/>
      <c r="AU108" s="684"/>
      <c r="AV108" s="684"/>
      <c r="AW108" s="684"/>
      <c r="AX108" s="684"/>
      <c r="AY108" s="684"/>
      <c r="AZ108" s="684"/>
      <c r="BA108" s="684"/>
      <c r="BB108" s="684"/>
      <c r="BC108" s="684"/>
      <c r="BD108" s="684"/>
      <c r="BE108" s="684"/>
      <c r="BF108" s="684"/>
      <c r="BG108" s="617"/>
      <c r="BH108" s="840" t="str">
        <f t="shared" si="12"/>
        <v/>
      </c>
      <c r="BI108" s="569"/>
      <c r="BJ108" s="458"/>
      <c r="BK108" s="592" t="str">
        <f t="shared" si="13"/>
        <v/>
      </c>
      <c r="BM108" s="592" t="str">
        <f t="shared" si="14"/>
        <v/>
      </c>
      <c r="BO108" s="592">
        <f t="shared" si="15"/>
        <v>0</v>
      </c>
      <c r="BP108" s="592">
        <f t="shared" si="16"/>
        <v>0</v>
      </c>
      <c r="BQ108" s="592" t="str">
        <f t="shared" si="17"/>
        <v/>
      </c>
      <c r="BR108" s="592" t="str">
        <f t="shared" si="18"/>
        <v/>
      </c>
    </row>
    <row r="109" spans="1:70" ht="13.95" customHeight="1">
      <c r="A109" s="1805"/>
      <c r="B109" s="622"/>
      <c r="C109" s="623"/>
      <c r="D109" s="620"/>
      <c r="E109" s="620"/>
      <c r="F109" s="620"/>
      <c r="G109" s="620"/>
      <c r="H109" s="620"/>
      <c r="I109" s="620"/>
      <c r="J109" s="620"/>
      <c r="K109" s="620"/>
      <c r="L109" s="620"/>
      <c r="M109" s="620"/>
      <c r="N109" s="620"/>
      <c r="O109" s="620"/>
      <c r="P109" s="620"/>
      <c r="Q109" s="620"/>
      <c r="R109" s="620"/>
      <c r="S109" s="620"/>
      <c r="T109" s="620"/>
      <c r="U109" s="620"/>
      <c r="V109" s="620"/>
      <c r="W109" s="620"/>
      <c r="X109" s="620"/>
      <c r="Y109" s="620"/>
      <c r="Z109" s="620"/>
      <c r="AA109" s="2145"/>
      <c r="AB109" s="2146"/>
      <c r="AC109" s="2146"/>
      <c r="AD109" s="2147"/>
      <c r="AE109" s="709">
        <f t="shared" si="10"/>
        <v>0</v>
      </c>
      <c r="AF109" s="1846"/>
      <c r="AG109" s="758"/>
      <c r="AH109" s="1495"/>
      <c r="AI109" s="654">
        <f t="shared" si="11"/>
        <v>0</v>
      </c>
      <c r="AJ109" s="618"/>
      <c r="AK109" s="618"/>
      <c r="AL109" s="619"/>
      <c r="AM109" s="620"/>
      <c r="AN109" s="620"/>
      <c r="AO109" s="620"/>
      <c r="AP109" s="620"/>
      <c r="AQ109" s="620"/>
      <c r="AR109" s="620"/>
      <c r="AS109" s="620"/>
      <c r="AT109" s="620"/>
      <c r="AU109" s="620"/>
      <c r="AV109" s="620"/>
      <c r="AW109" s="620"/>
      <c r="AX109" s="620"/>
      <c r="AY109" s="620"/>
      <c r="AZ109" s="620"/>
      <c r="BA109" s="620"/>
      <c r="BB109" s="620"/>
      <c r="BC109" s="620"/>
      <c r="BD109" s="620"/>
      <c r="BE109" s="620"/>
      <c r="BF109" s="620"/>
      <c r="BG109" s="621"/>
      <c r="BH109" s="840" t="str">
        <f t="shared" si="12"/>
        <v/>
      </c>
      <c r="BI109" s="569"/>
      <c r="BJ109" s="458"/>
      <c r="BK109" s="592" t="str">
        <f t="shared" si="13"/>
        <v/>
      </c>
      <c r="BM109" s="592" t="str">
        <f t="shared" si="14"/>
        <v/>
      </c>
      <c r="BO109" s="592">
        <f t="shared" si="15"/>
        <v>0</v>
      </c>
      <c r="BP109" s="592">
        <f t="shared" si="16"/>
        <v>0</v>
      </c>
      <c r="BQ109" s="592" t="str">
        <f t="shared" si="17"/>
        <v/>
      </c>
      <c r="BR109" s="592" t="str">
        <f t="shared" si="18"/>
        <v/>
      </c>
    </row>
    <row r="110" spans="1:70" ht="13.95" customHeight="1">
      <c r="A110" s="1805"/>
      <c r="B110" s="447"/>
      <c r="C110" s="448"/>
      <c r="D110" s="684"/>
      <c r="E110" s="684"/>
      <c r="F110" s="684"/>
      <c r="G110" s="684"/>
      <c r="H110" s="684"/>
      <c r="I110" s="684"/>
      <c r="J110" s="684"/>
      <c r="K110" s="684"/>
      <c r="L110" s="684"/>
      <c r="M110" s="684"/>
      <c r="N110" s="684"/>
      <c r="O110" s="684"/>
      <c r="P110" s="684"/>
      <c r="Q110" s="684"/>
      <c r="R110" s="684"/>
      <c r="S110" s="684"/>
      <c r="T110" s="684"/>
      <c r="U110" s="684"/>
      <c r="V110" s="684"/>
      <c r="W110" s="684"/>
      <c r="X110" s="684"/>
      <c r="Y110" s="684"/>
      <c r="Z110" s="684"/>
      <c r="AA110" s="2145"/>
      <c r="AB110" s="2146"/>
      <c r="AC110" s="2146"/>
      <c r="AD110" s="2147"/>
      <c r="AE110" s="709">
        <f t="shared" si="10"/>
        <v>0</v>
      </c>
      <c r="AF110" s="1846"/>
      <c r="AG110" s="758"/>
      <c r="AH110" s="1495"/>
      <c r="AI110" s="654">
        <f t="shared" si="11"/>
        <v>0</v>
      </c>
      <c r="AJ110" s="813"/>
      <c r="AK110" s="813"/>
      <c r="AL110" s="233"/>
      <c r="AM110" s="684"/>
      <c r="AN110" s="684"/>
      <c r="AO110" s="684"/>
      <c r="AP110" s="684"/>
      <c r="AQ110" s="684"/>
      <c r="AR110" s="684"/>
      <c r="AS110" s="684"/>
      <c r="AT110" s="684"/>
      <c r="AU110" s="684"/>
      <c r="AV110" s="684"/>
      <c r="AW110" s="684"/>
      <c r="AX110" s="684"/>
      <c r="AY110" s="684"/>
      <c r="AZ110" s="684"/>
      <c r="BA110" s="684"/>
      <c r="BB110" s="684"/>
      <c r="BC110" s="684"/>
      <c r="BD110" s="684"/>
      <c r="BE110" s="684"/>
      <c r="BF110" s="684"/>
      <c r="BG110" s="617"/>
      <c r="BH110" s="840" t="str">
        <f t="shared" si="12"/>
        <v/>
      </c>
      <c r="BI110" s="569"/>
      <c r="BJ110" s="458"/>
      <c r="BK110" s="592" t="str">
        <f t="shared" si="13"/>
        <v/>
      </c>
      <c r="BM110" s="592" t="str">
        <f t="shared" si="14"/>
        <v/>
      </c>
      <c r="BO110" s="592">
        <f t="shared" si="15"/>
        <v>0</v>
      </c>
      <c r="BP110" s="592">
        <f t="shared" si="16"/>
        <v>0</v>
      </c>
      <c r="BQ110" s="592" t="str">
        <f t="shared" si="17"/>
        <v/>
      </c>
      <c r="BR110" s="592" t="str">
        <f t="shared" si="18"/>
        <v/>
      </c>
    </row>
    <row r="111" spans="1:70" ht="13.95" customHeight="1">
      <c r="A111" s="1805"/>
      <c r="B111" s="622"/>
      <c r="C111" s="623"/>
      <c r="D111" s="620"/>
      <c r="E111" s="620"/>
      <c r="F111" s="620"/>
      <c r="G111" s="620"/>
      <c r="H111" s="620"/>
      <c r="I111" s="620"/>
      <c r="J111" s="620"/>
      <c r="K111" s="620"/>
      <c r="L111" s="620"/>
      <c r="M111" s="620"/>
      <c r="N111" s="620"/>
      <c r="O111" s="620"/>
      <c r="P111" s="620"/>
      <c r="Q111" s="620"/>
      <c r="R111" s="620"/>
      <c r="S111" s="620"/>
      <c r="T111" s="620"/>
      <c r="U111" s="620"/>
      <c r="V111" s="620"/>
      <c r="W111" s="620"/>
      <c r="X111" s="620"/>
      <c r="Y111" s="620"/>
      <c r="Z111" s="620"/>
      <c r="AA111" s="2145"/>
      <c r="AB111" s="2146"/>
      <c r="AC111" s="2146"/>
      <c r="AD111" s="2147"/>
      <c r="AE111" s="709">
        <f t="shared" si="10"/>
        <v>0</v>
      </c>
      <c r="AF111" s="1846"/>
      <c r="AG111" s="758"/>
      <c r="AH111" s="1495"/>
      <c r="AI111" s="654">
        <f t="shared" si="11"/>
        <v>0</v>
      </c>
      <c r="AJ111" s="618"/>
      <c r="AK111" s="618"/>
      <c r="AL111" s="619"/>
      <c r="AM111" s="620"/>
      <c r="AN111" s="620"/>
      <c r="AO111" s="620"/>
      <c r="AP111" s="620"/>
      <c r="AQ111" s="620"/>
      <c r="AR111" s="620"/>
      <c r="AS111" s="620"/>
      <c r="AT111" s="620"/>
      <c r="AU111" s="620"/>
      <c r="AV111" s="620"/>
      <c r="AW111" s="620"/>
      <c r="AX111" s="620"/>
      <c r="AY111" s="620"/>
      <c r="AZ111" s="620"/>
      <c r="BA111" s="620"/>
      <c r="BB111" s="620"/>
      <c r="BC111" s="620"/>
      <c r="BD111" s="620"/>
      <c r="BE111" s="620"/>
      <c r="BF111" s="620"/>
      <c r="BG111" s="621"/>
      <c r="BH111" s="840" t="str">
        <f t="shared" si="12"/>
        <v/>
      </c>
      <c r="BI111" s="569"/>
      <c r="BJ111" s="458"/>
      <c r="BK111" s="592" t="str">
        <f t="shared" si="13"/>
        <v/>
      </c>
      <c r="BM111" s="592" t="str">
        <f t="shared" si="14"/>
        <v/>
      </c>
      <c r="BO111" s="592">
        <f t="shared" si="15"/>
        <v>0</v>
      </c>
      <c r="BP111" s="592">
        <f t="shared" si="16"/>
        <v>0</v>
      </c>
      <c r="BQ111" s="592" t="str">
        <f t="shared" si="17"/>
        <v/>
      </c>
      <c r="BR111" s="592" t="str">
        <f t="shared" si="18"/>
        <v/>
      </c>
    </row>
    <row r="112" spans="1:70" ht="13.95" customHeight="1">
      <c r="A112" s="1805"/>
      <c r="B112" s="447"/>
      <c r="C112" s="448"/>
      <c r="D112" s="684"/>
      <c r="E112" s="684"/>
      <c r="F112" s="684"/>
      <c r="G112" s="684"/>
      <c r="H112" s="684"/>
      <c r="I112" s="684"/>
      <c r="J112" s="684"/>
      <c r="K112" s="684"/>
      <c r="L112" s="684"/>
      <c r="M112" s="684"/>
      <c r="N112" s="684"/>
      <c r="O112" s="684"/>
      <c r="P112" s="684"/>
      <c r="Q112" s="684"/>
      <c r="R112" s="684"/>
      <c r="S112" s="684"/>
      <c r="T112" s="684"/>
      <c r="U112" s="684"/>
      <c r="V112" s="684"/>
      <c r="W112" s="684"/>
      <c r="X112" s="684"/>
      <c r="Y112" s="684"/>
      <c r="Z112" s="684"/>
      <c r="AA112" s="2145"/>
      <c r="AB112" s="2146"/>
      <c r="AC112" s="2146"/>
      <c r="AD112" s="2147"/>
      <c r="AE112" s="709">
        <f t="shared" si="10"/>
        <v>0</v>
      </c>
      <c r="AF112" s="1846"/>
      <c r="AG112" s="758"/>
      <c r="AH112" s="1495"/>
      <c r="AI112" s="654">
        <f t="shared" si="11"/>
        <v>0</v>
      </c>
      <c r="AJ112" s="813"/>
      <c r="AK112" s="813"/>
      <c r="AL112" s="233"/>
      <c r="AM112" s="684"/>
      <c r="AN112" s="684"/>
      <c r="AO112" s="684"/>
      <c r="AP112" s="684"/>
      <c r="AQ112" s="684"/>
      <c r="AR112" s="684"/>
      <c r="AS112" s="684"/>
      <c r="AT112" s="684"/>
      <c r="AU112" s="684"/>
      <c r="AV112" s="684"/>
      <c r="AW112" s="684"/>
      <c r="AX112" s="684"/>
      <c r="AY112" s="684"/>
      <c r="AZ112" s="684"/>
      <c r="BA112" s="684"/>
      <c r="BB112" s="684"/>
      <c r="BC112" s="684"/>
      <c r="BD112" s="684"/>
      <c r="BE112" s="684"/>
      <c r="BF112" s="684"/>
      <c r="BG112" s="617"/>
      <c r="BH112" s="840" t="str">
        <f t="shared" si="12"/>
        <v/>
      </c>
      <c r="BI112" s="569"/>
      <c r="BJ112" s="458"/>
      <c r="BK112" s="592" t="str">
        <f t="shared" si="13"/>
        <v/>
      </c>
      <c r="BM112" s="592" t="str">
        <f t="shared" si="14"/>
        <v/>
      </c>
      <c r="BO112" s="592">
        <f t="shared" si="15"/>
        <v>0</v>
      </c>
      <c r="BP112" s="592">
        <f t="shared" si="16"/>
        <v>0</v>
      </c>
      <c r="BQ112" s="592" t="str">
        <f t="shared" si="17"/>
        <v/>
      </c>
      <c r="BR112" s="592" t="str">
        <f t="shared" si="18"/>
        <v/>
      </c>
    </row>
    <row r="113" spans="1:70" ht="13.95" customHeight="1">
      <c r="A113" s="1805"/>
      <c r="B113" s="622"/>
      <c r="C113" s="623"/>
      <c r="D113" s="620"/>
      <c r="E113" s="620"/>
      <c r="F113" s="620"/>
      <c r="G113" s="620"/>
      <c r="H113" s="620"/>
      <c r="I113" s="620"/>
      <c r="J113" s="620"/>
      <c r="K113" s="620"/>
      <c r="L113" s="620"/>
      <c r="M113" s="620"/>
      <c r="N113" s="620"/>
      <c r="O113" s="620"/>
      <c r="P113" s="620"/>
      <c r="Q113" s="620"/>
      <c r="R113" s="620"/>
      <c r="S113" s="620"/>
      <c r="T113" s="620"/>
      <c r="U113" s="620"/>
      <c r="V113" s="620"/>
      <c r="W113" s="620"/>
      <c r="X113" s="620"/>
      <c r="Y113" s="620"/>
      <c r="Z113" s="620"/>
      <c r="AA113" s="2145"/>
      <c r="AB113" s="2146"/>
      <c r="AC113" s="2146"/>
      <c r="AD113" s="2147"/>
      <c r="AE113" s="709">
        <f t="shared" si="10"/>
        <v>0</v>
      </c>
      <c r="AF113" s="1846"/>
      <c r="AG113" s="758"/>
      <c r="AH113" s="1495"/>
      <c r="AI113" s="654">
        <f t="shared" si="11"/>
        <v>0</v>
      </c>
      <c r="AJ113" s="618"/>
      <c r="AK113" s="618"/>
      <c r="AL113" s="619"/>
      <c r="AM113" s="620"/>
      <c r="AN113" s="620"/>
      <c r="AO113" s="620"/>
      <c r="AP113" s="620"/>
      <c r="AQ113" s="620"/>
      <c r="AR113" s="620"/>
      <c r="AS113" s="620"/>
      <c r="AT113" s="620"/>
      <c r="AU113" s="620"/>
      <c r="AV113" s="620"/>
      <c r="AW113" s="620"/>
      <c r="AX113" s="620"/>
      <c r="AY113" s="620"/>
      <c r="AZ113" s="620"/>
      <c r="BA113" s="620"/>
      <c r="BB113" s="620"/>
      <c r="BC113" s="620"/>
      <c r="BD113" s="620"/>
      <c r="BE113" s="620"/>
      <c r="BF113" s="620"/>
      <c r="BG113" s="621"/>
      <c r="BH113" s="840" t="str">
        <f t="shared" si="12"/>
        <v/>
      </c>
      <c r="BI113" s="569"/>
      <c r="BJ113" s="458"/>
      <c r="BK113" s="592" t="str">
        <f t="shared" si="13"/>
        <v/>
      </c>
      <c r="BM113" s="592" t="str">
        <f t="shared" si="14"/>
        <v/>
      </c>
      <c r="BO113" s="592">
        <f t="shared" si="15"/>
        <v>0</v>
      </c>
      <c r="BP113" s="592">
        <f t="shared" si="16"/>
        <v>0</v>
      </c>
      <c r="BQ113" s="592" t="str">
        <f t="shared" si="17"/>
        <v/>
      </c>
      <c r="BR113" s="592" t="str">
        <f t="shared" si="18"/>
        <v/>
      </c>
    </row>
    <row r="114" spans="1:70" ht="13.95" customHeight="1">
      <c r="A114" s="1805"/>
      <c r="B114" s="447"/>
      <c r="C114" s="448"/>
      <c r="D114" s="684"/>
      <c r="E114" s="684"/>
      <c r="F114" s="684"/>
      <c r="G114" s="684"/>
      <c r="H114" s="684"/>
      <c r="I114" s="684"/>
      <c r="J114" s="684"/>
      <c r="K114" s="684"/>
      <c r="L114" s="684"/>
      <c r="M114" s="684"/>
      <c r="N114" s="684"/>
      <c r="O114" s="684"/>
      <c r="P114" s="684"/>
      <c r="Q114" s="684"/>
      <c r="R114" s="684"/>
      <c r="S114" s="684"/>
      <c r="T114" s="684"/>
      <c r="U114" s="684"/>
      <c r="V114" s="684"/>
      <c r="W114" s="684"/>
      <c r="X114" s="684"/>
      <c r="Y114" s="684"/>
      <c r="Z114" s="684"/>
      <c r="AA114" s="2145"/>
      <c r="AB114" s="2146"/>
      <c r="AC114" s="2146"/>
      <c r="AD114" s="2147"/>
      <c r="AE114" s="709">
        <f t="shared" si="10"/>
        <v>0</v>
      </c>
      <c r="AF114" s="1846"/>
      <c r="AG114" s="758"/>
      <c r="AH114" s="1495"/>
      <c r="AI114" s="654">
        <f t="shared" si="11"/>
        <v>0</v>
      </c>
      <c r="AJ114" s="813"/>
      <c r="AK114" s="813"/>
      <c r="AL114" s="233"/>
      <c r="AM114" s="684"/>
      <c r="AN114" s="684"/>
      <c r="AO114" s="684"/>
      <c r="AP114" s="684"/>
      <c r="AQ114" s="684"/>
      <c r="AR114" s="684"/>
      <c r="AS114" s="684"/>
      <c r="AT114" s="684"/>
      <c r="AU114" s="684"/>
      <c r="AV114" s="684"/>
      <c r="AW114" s="684"/>
      <c r="AX114" s="684"/>
      <c r="AY114" s="684"/>
      <c r="AZ114" s="684"/>
      <c r="BA114" s="684"/>
      <c r="BB114" s="684"/>
      <c r="BC114" s="684"/>
      <c r="BD114" s="684"/>
      <c r="BE114" s="684"/>
      <c r="BF114" s="684"/>
      <c r="BG114" s="617"/>
      <c r="BH114" s="840" t="str">
        <f t="shared" si="12"/>
        <v/>
      </c>
      <c r="BI114" s="569"/>
      <c r="BJ114" s="458"/>
      <c r="BK114" s="592" t="str">
        <f t="shared" si="13"/>
        <v/>
      </c>
      <c r="BM114" s="592" t="str">
        <f t="shared" si="14"/>
        <v/>
      </c>
      <c r="BO114" s="592">
        <f t="shared" si="15"/>
        <v>0</v>
      </c>
      <c r="BP114" s="592">
        <f t="shared" si="16"/>
        <v>0</v>
      </c>
      <c r="BQ114" s="592" t="str">
        <f t="shared" si="17"/>
        <v/>
      </c>
      <c r="BR114" s="592" t="str">
        <f t="shared" si="18"/>
        <v/>
      </c>
    </row>
    <row r="115" spans="1:70" ht="13.95" customHeight="1">
      <c r="A115" s="1805"/>
      <c r="B115" s="622"/>
      <c r="C115" s="623"/>
      <c r="D115" s="620"/>
      <c r="E115" s="620"/>
      <c r="F115" s="620"/>
      <c r="G115" s="620"/>
      <c r="H115" s="620"/>
      <c r="I115" s="620"/>
      <c r="J115" s="620"/>
      <c r="K115" s="620"/>
      <c r="L115" s="620"/>
      <c r="M115" s="620"/>
      <c r="N115" s="620"/>
      <c r="O115" s="620"/>
      <c r="P115" s="620"/>
      <c r="Q115" s="620"/>
      <c r="R115" s="620"/>
      <c r="S115" s="620"/>
      <c r="T115" s="620"/>
      <c r="U115" s="620"/>
      <c r="V115" s="620"/>
      <c r="W115" s="620"/>
      <c r="X115" s="620"/>
      <c r="Y115" s="620"/>
      <c r="Z115" s="620"/>
      <c r="AA115" s="2145"/>
      <c r="AB115" s="2146"/>
      <c r="AC115" s="2146"/>
      <c r="AD115" s="2147"/>
      <c r="AE115" s="709">
        <f t="shared" si="10"/>
        <v>0</v>
      </c>
      <c r="AF115" s="1846"/>
      <c r="AG115" s="758"/>
      <c r="AH115" s="1495"/>
      <c r="AI115" s="654">
        <f t="shared" si="11"/>
        <v>0</v>
      </c>
      <c r="AJ115" s="618"/>
      <c r="AK115" s="618"/>
      <c r="AL115" s="619"/>
      <c r="AM115" s="620"/>
      <c r="AN115" s="620"/>
      <c r="AO115" s="620"/>
      <c r="AP115" s="620"/>
      <c r="AQ115" s="620"/>
      <c r="AR115" s="620"/>
      <c r="AS115" s="620"/>
      <c r="AT115" s="620"/>
      <c r="AU115" s="620"/>
      <c r="AV115" s="620"/>
      <c r="AW115" s="620"/>
      <c r="AX115" s="620"/>
      <c r="AY115" s="620"/>
      <c r="AZ115" s="620"/>
      <c r="BA115" s="620"/>
      <c r="BB115" s="620"/>
      <c r="BC115" s="620"/>
      <c r="BD115" s="620"/>
      <c r="BE115" s="620"/>
      <c r="BF115" s="620"/>
      <c r="BG115" s="621"/>
      <c r="BH115" s="840" t="str">
        <f t="shared" si="12"/>
        <v/>
      </c>
      <c r="BI115" s="569"/>
      <c r="BJ115" s="458"/>
      <c r="BK115" s="592" t="str">
        <f t="shared" si="13"/>
        <v/>
      </c>
      <c r="BM115" s="592" t="str">
        <f t="shared" si="14"/>
        <v/>
      </c>
      <c r="BO115" s="592">
        <f t="shared" si="15"/>
        <v>0</v>
      </c>
      <c r="BP115" s="592">
        <f t="shared" si="16"/>
        <v>0</v>
      </c>
      <c r="BQ115" s="592" t="str">
        <f t="shared" si="17"/>
        <v/>
      </c>
      <c r="BR115" s="592" t="str">
        <f t="shared" si="18"/>
        <v/>
      </c>
    </row>
    <row r="116" spans="1:70" ht="13.95" customHeight="1">
      <c r="A116" s="1805"/>
      <c r="B116" s="447"/>
      <c r="C116" s="448"/>
      <c r="D116" s="684"/>
      <c r="E116" s="684"/>
      <c r="F116" s="684"/>
      <c r="G116" s="684"/>
      <c r="H116" s="684"/>
      <c r="I116" s="684"/>
      <c r="J116" s="684"/>
      <c r="K116" s="684"/>
      <c r="L116" s="684"/>
      <c r="M116" s="684"/>
      <c r="N116" s="684"/>
      <c r="O116" s="684"/>
      <c r="P116" s="684"/>
      <c r="Q116" s="684"/>
      <c r="R116" s="684"/>
      <c r="S116" s="684"/>
      <c r="T116" s="684"/>
      <c r="U116" s="684"/>
      <c r="V116" s="684"/>
      <c r="W116" s="684"/>
      <c r="X116" s="684"/>
      <c r="Y116" s="684"/>
      <c r="Z116" s="684"/>
      <c r="AA116" s="2145"/>
      <c r="AB116" s="2146"/>
      <c r="AC116" s="2146"/>
      <c r="AD116" s="2147"/>
      <c r="AE116" s="709">
        <f t="shared" si="10"/>
        <v>0</v>
      </c>
      <c r="AF116" s="1846"/>
      <c r="AG116" s="758"/>
      <c r="AH116" s="1495"/>
      <c r="AI116" s="654">
        <f t="shared" si="11"/>
        <v>0</v>
      </c>
      <c r="AJ116" s="813"/>
      <c r="AK116" s="813"/>
      <c r="AL116" s="233"/>
      <c r="AM116" s="684"/>
      <c r="AN116" s="684"/>
      <c r="AO116" s="684"/>
      <c r="AP116" s="684"/>
      <c r="AQ116" s="684"/>
      <c r="AR116" s="684"/>
      <c r="AS116" s="684"/>
      <c r="AT116" s="684"/>
      <c r="AU116" s="684"/>
      <c r="AV116" s="684"/>
      <c r="AW116" s="684"/>
      <c r="AX116" s="684"/>
      <c r="AY116" s="684"/>
      <c r="AZ116" s="684"/>
      <c r="BA116" s="684"/>
      <c r="BB116" s="684"/>
      <c r="BC116" s="684"/>
      <c r="BD116" s="684"/>
      <c r="BE116" s="684"/>
      <c r="BF116" s="684"/>
      <c r="BG116" s="617"/>
      <c r="BH116" s="840" t="str">
        <f t="shared" si="12"/>
        <v/>
      </c>
      <c r="BI116" s="569"/>
      <c r="BJ116" s="458"/>
      <c r="BK116" s="592" t="str">
        <f t="shared" si="13"/>
        <v/>
      </c>
      <c r="BM116" s="592" t="str">
        <f t="shared" si="14"/>
        <v/>
      </c>
      <c r="BO116" s="592">
        <f t="shared" si="15"/>
        <v>0</v>
      </c>
      <c r="BP116" s="592">
        <f t="shared" si="16"/>
        <v>0</v>
      </c>
      <c r="BQ116" s="592" t="str">
        <f t="shared" si="17"/>
        <v/>
      </c>
      <c r="BR116" s="592" t="str">
        <f t="shared" si="18"/>
        <v/>
      </c>
    </row>
    <row r="117" spans="1:70" ht="13.95" customHeight="1">
      <c r="A117" s="1805"/>
      <c r="B117" s="622"/>
      <c r="C117" s="623"/>
      <c r="D117" s="620"/>
      <c r="E117" s="620"/>
      <c r="F117" s="620"/>
      <c r="G117" s="620"/>
      <c r="H117" s="620"/>
      <c r="I117" s="620"/>
      <c r="J117" s="620"/>
      <c r="K117" s="620"/>
      <c r="L117" s="620"/>
      <c r="M117" s="620"/>
      <c r="N117" s="620"/>
      <c r="O117" s="620"/>
      <c r="P117" s="620"/>
      <c r="Q117" s="620"/>
      <c r="R117" s="620"/>
      <c r="S117" s="620"/>
      <c r="T117" s="620"/>
      <c r="U117" s="620"/>
      <c r="V117" s="620"/>
      <c r="W117" s="620"/>
      <c r="X117" s="620"/>
      <c r="Y117" s="620"/>
      <c r="Z117" s="620"/>
      <c r="AA117" s="2145"/>
      <c r="AB117" s="2146"/>
      <c r="AC117" s="2146"/>
      <c r="AD117" s="2147"/>
      <c r="AE117" s="709">
        <f t="shared" si="10"/>
        <v>0</v>
      </c>
      <c r="AF117" s="1846"/>
      <c r="AG117" s="758"/>
      <c r="AH117" s="1495"/>
      <c r="AI117" s="654">
        <f t="shared" si="11"/>
        <v>0</v>
      </c>
      <c r="AJ117" s="618"/>
      <c r="AK117" s="618"/>
      <c r="AL117" s="619"/>
      <c r="AM117" s="620"/>
      <c r="AN117" s="620"/>
      <c r="AO117" s="620"/>
      <c r="AP117" s="620"/>
      <c r="AQ117" s="620"/>
      <c r="AR117" s="620"/>
      <c r="AS117" s="620"/>
      <c r="AT117" s="620"/>
      <c r="AU117" s="620"/>
      <c r="AV117" s="620"/>
      <c r="AW117" s="620"/>
      <c r="AX117" s="620"/>
      <c r="AY117" s="620"/>
      <c r="AZ117" s="620"/>
      <c r="BA117" s="620"/>
      <c r="BB117" s="620"/>
      <c r="BC117" s="620"/>
      <c r="BD117" s="620"/>
      <c r="BE117" s="620"/>
      <c r="BF117" s="620"/>
      <c r="BG117" s="621"/>
      <c r="BH117" s="840" t="str">
        <f t="shared" si="12"/>
        <v/>
      </c>
      <c r="BI117" s="569"/>
      <c r="BJ117" s="458"/>
      <c r="BK117" s="592" t="str">
        <f t="shared" si="13"/>
        <v/>
      </c>
      <c r="BM117" s="592" t="str">
        <f t="shared" si="14"/>
        <v/>
      </c>
      <c r="BO117" s="592">
        <f t="shared" si="15"/>
        <v>0</v>
      </c>
      <c r="BP117" s="592">
        <f t="shared" si="16"/>
        <v>0</v>
      </c>
      <c r="BQ117" s="592" t="str">
        <f t="shared" si="17"/>
        <v/>
      </c>
      <c r="BR117" s="592" t="str">
        <f t="shared" si="18"/>
        <v/>
      </c>
    </row>
    <row r="118" spans="1:70" ht="13.95" customHeight="1">
      <c r="A118" s="1805"/>
      <c r="B118" s="447"/>
      <c r="C118" s="448"/>
      <c r="D118" s="684"/>
      <c r="E118" s="684"/>
      <c r="F118" s="684"/>
      <c r="G118" s="684"/>
      <c r="H118" s="684"/>
      <c r="I118" s="684"/>
      <c r="J118" s="684"/>
      <c r="K118" s="684"/>
      <c r="L118" s="684"/>
      <c r="M118" s="684"/>
      <c r="N118" s="684"/>
      <c r="O118" s="684"/>
      <c r="P118" s="684"/>
      <c r="Q118" s="684"/>
      <c r="R118" s="684"/>
      <c r="S118" s="684"/>
      <c r="T118" s="684"/>
      <c r="U118" s="684"/>
      <c r="V118" s="684"/>
      <c r="W118" s="684"/>
      <c r="X118" s="684"/>
      <c r="Y118" s="684"/>
      <c r="Z118" s="684"/>
      <c r="AA118" s="2145"/>
      <c r="AB118" s="2146"/>
      <c r="AC118" s="2146"/>
      <c r="AD118" s="2147"/>
      <c r="AE118" s="709">
        <f t="shared" si="10"/>
        <v>0</v>
      </c>
      <c r="AF118" s="1846"/>
      <c r="AG118" s="758"/>
      <c r="AH118" s="1495"/>
      <c r="AI118" s="654">
        <f t="shared" si="11"/>
        <v>0</v>
      </c>
      <c r="AJ118" s="813"/>
      <c r="AK118" s="813"/>
      <c r="AL118" s="233"/>
      <c r="AM118" s="684"/>
      <c r="AN118" s="684"/>
      <c r="AO118" s="684"/>
      <c r="AP118" s="684"/>
      <c r="AQ118" s="684"/>
      <c r="AR118" s="684"/>
      <c r="AS118" s="684"/>
      <c r="AT118" s="684"/>
      <c r="AU118" s="684"/>
      <c r="AV118" s="684"/>
      <c r="AW118" s="684"/>
      <c r="AX118" s="684"/>
      <c r="AY118" s="684"/>
      <c r="AZ118" s="684"/>
      <c r="BA118" s="684"/>
      <c r="BB118" s="684"/>
      <c r="BC118" s="684"/>
      <c r="BD118" s="684"/>
      <c r="BE118" s="684"/>
      <c r="BF118" s="684"/>
      <c r="BG118" s="617"/>
      <c r="BH118" s="840" t="str">
        <f t="shared" si="12"/>
        <v/>
      </c>
      <c r="BI118" s="569"/>
      <c r="BJ118" s="458"/>
      <c r="BK118" s="592" t="str">
        <f t="shared" si="13"/>
        <v/>
      </c>
      <c r="BM118" s="592" t="str">
        <f t="shared" si="14"/>
        <v/>
      </c>
      <c r="BO118" s="592">
        <f t="shared" si="15"/>
        <v>0</v>
      </c>
      <c r="BP118" s="592">
        <f t="shared" si="16"/>
        <v>0</v>
      </c>
      <c r="BQ118" s="592" t="str">
        <f t="shared" si="17"/>
        <v/>
      </c>
      <c r="BR118" s="592" t="str">
        <f t="shared" si="18"/>
        <v/>
      </c>
    </row>
    <row r="119" spans="1:70" ht="13.95" customHeight="1">
      <c r="A119" s="1805"/>
      <c r="B119" s="622"/>
      <c r="C119" s="623"/>
      <c r="D119" s="620"/>
      <c r="E119" s="620"/>
      <c r="F119" s="620"/>
      <c r="G119" s="620"/>
      <c r="H119" s="620"/>
      <c r="I119" s="620"/>
      <c r="J119" s="620"/>
      <c r="K119" s="620"/>
      <c r="L119" s="620"/>
      <c r="M119" s="620"/>
      <c r="N119" s="620"/>
      <c r="O119" s="620"/>
      <c r="P119" s="620"/>
      <c r="Q119" s="620"/>
      <c r="R119" s="620"/>
      <c r="S119" s="620"/>
      <c r="T119" s="620"/>
      <c r="U119" s="620"/>
      <c r="V119" s="620"/>
      <c r="W119" s="620"/>
      <c r="X119" s="620"/>
      <c r="Y119" s="620"/>
      <c r="Z119" s="620"/>
      <c r="AA119" s="2145"/>
      <c r="AB119" s="2146"/>
      <c r="AC119" s="2146"/>
      <c r="AD119" s="2147"/>
      <c r="AE119" s="709">
        <f t="shared" si="10"/>
        <v>0</v>
      </c>
      <c r="AF119" s="1846"/>
      <c r="AG119" s="758"/>
      <c r="AH119" s="1495"/>
      <c r="AI119" s="654">
        <f t="shared" si="11"/>
        <v>0</v>
      </c>
      <c r="AJ119" s="618"/>
      <c r="AK119" s="618"/>
      <c r="AL119" s="619"/>
      <c r="AM119" s="620"/>
      <c r="AN119" s="620"/>
      <c r="AO119" s="620"/>
      <c r="AP119" s="620"/>
      <c r="AQ119" s="620"/>
      <c r="AR119" s="620"/>
      <c r="AS119" s="620"/>
      <c r="AT119" s="620"/>
      <c r="AU119" s="620"/>
      <c r="AV119" s="620"/>
      <c r="AW119" s="620"/>
      <c r="AX119" s="620"/>
      <c r="AY119" s="620"/>
      <c r="AZ119" s="620"/>
      <c r="BA119" s="620"/>
      <c r="BB119" s="620"/>
      <c r="BC119" s="620"/>
      <c r="BD119" s="620"/>
      <c r="BE119" s="620"/>
      <c r="BF119" s="620"/>
      <c r="BG119" s="621"/>
      <c r="BH119" s="840" t="str">
        <f t="shared" si="12"/>
        <v/>
      </c>
      <c r="BI119" s="569"/>
      <c r="BJ119" s="458"/>
      <c r="BK119" s="592" t="str">
        <f t="shared" si="13"/>
        <v/>
      </c>
      <c r="BM119" s="592" t="str">
        <f t="shared" si="14"/>
        <v/>
      </c>
      <c r="BO119" s="592">
        <f t="shared" si="15"/>
        <v>0</v>
      </c>
      <c r="BP119" s="592">
        <f t="shared" si="16"/>
        <v>0</v>
      </c>
      <c r="BQ119" s="592" t="str">
        <f t="shared" si="17"/>
        <v/>
      </c>
      <c r="BR119" s="592" t="str">
        <f t="shared" si="18"/>
        <v/>
      </c>
    </row>
    <row r="120" spans="1:70" ht="13.95" customHeight="1">
      <c r="A120" s="1805"/>
      <c r="B120" s="447"/>
      <c r="C120" s="448"/>
      <c r="D120" s="684"/>
      <c r="E120" s="684"/>
      <c r="F120" s="684"/>
      <c r="G120" s="684"/>
      <c r="H120" s="684"/>
      <c r="I120" s="684"/>
      <c r="J120" s="684"/>
      <c r="K120" s="684"/>
      <c r="L120" s="684"/>
      <c r="M120" s="684"/>
      <c r="N120" s="684"/>
      <c r="O120" s="684"/>
      <c r="P120" s="684"/>
      <c r="Q120" s="684"/>
      <c r="R120" s="684"/>
      <c r="S120" s="684"/>
      <c r="T120" s="684"/>
      <c r="U120" s="684"/>
      <c r="V120" s="684"/>
      <c r="W120" s="684"/>
      <c r="X120" s="684"/>
      <c r="Y120" s="684"/>
      <c r="Z120" s="684"/>
      <c r="AA120" s="2145"/>
      <c r="AB120" s="2146"/>
      <c r="AC120" s="2146"/>
      <c r="AD120" s="2147"/>
      <c r="AE120" s="709">
        <f t="shared" si="10"/>
        <v>0</v>
      </c>
      <c r="AF120" s="1846"/>
      <c r="AG120" s="758"/>
      <c r="AH120" s="1495"/>
      <c r="AI120" s="654">
        <f t="shared" si="11"/>
        <v>0</v>
      </c>
      <c r="AJ120" s="813"/>
      <c r="AK120" s="813"/>
      <c r="AL120" s="233"/>
      <c r="AM120" s="684"/>
      <c r="AN120" s="684"/>
      <c r="AO120" s="684"/>
      <c r="AP120" s="684"/>
      <c r="AQ120" s="684"/>
      <c r="AR120" s="684"/>
      <c r="AS120" s="684"/>
      <c r="AT120" s="684"/>
      <c r="AU120" s="684"/>
      <c r="AV120" s="684"/>
      <c r="AW120" s="684"/>
      <c r="AX120" s="684"/>
      <c r="AY120" s="684"/>
      <c r="AZ120" s="684"/>
      <c r="BA120" s="684"/>
      <c r="BB120" s="684"/>
      <c r="BC120" s="684"/>
      <c r="BD120" s="684"/>
      <c r="BE120" s="684"/>
      <c r="BF120" s="684"/>
      <c r="BG120" s="617"/>
      <c r="BH120" s="840" t="str">
        <f t="shared" si="12"/>
        <v/>
      </c>
      <c r="BI120" s="569"/>
      <c r="BJ120" s="458"/>
      <c r="BK120" s="592" t="str">
        <f t="shared" si="13"/>
        <v/>
      </c>
      <c r="BM120" s="592" t="str">
        <f t="shared" si="14"/>
        <v/>
      </c>
      <c r="BO120" s="592">
        <f t="shared" si="15"/>
        <v>0</v>
      </c>
      <c r="BP120" s="592">
        <f t="shared" si="16"/>
        <v>0</v>
      </c>
      <c r="BQ120" s="592" t="str">
        <f t="shared" si="17"/>
        <v/>
      </c>
      <c r="BR120" s="592" t="str">
        <f t="shared" si="18"/>
        <v/>
      </c>
    </row>
    <row r="121" spans="1:70" ht="13.95" customHeight="1">
      <c r="A121" s="1805"/>
      <c r="B121" s="622"/>
      <c r="C121" s="623"/>
      <c r="D121" s="620"/>
      <c r="E121" s="620"/>
      <c r="F121" s="620"/>
      <c r="G121" s="620"/>
      <c r="H121" s="620"/>
      <c r="I121" s="620"/>
      <c r="J121" s="620"/>
      <c r="K121" s="620"/>
      <c r="L121" s="620"/>
      <c r="M121" s="620"/>
      <c r="N121" s="620"/>
      <c r="O121" s="620"/>
      <c r="P121" s="620"/>
      <c r="Q121" s="620"/>
      <c r="R121" s="620"/>
      <c r="S121" s="620"/>
      <c r="T121" s="620"/>
      <c r="U121" s="620"/>
      <c r="V121" s="620"/>
      <c r="W121" s="620"/>
      <c r="X121" s="620"/>
      <c r="Y121" s="620"/>
      <c r="Z121" s="620"/>
      <c r="AA121" s="2145"/>
      <c r="AB121" s="2146"/>
      <c r="AC121" s="2146"/>
      <c r="AD121" s="2147"/>
      <c r="AE121" s="709">
        <f t="shared" si="10"/>
        <v>0</v>
      </c>
      <c r="AF121" s="1846"/>
      <c r="AG121" s="758"/>
      <c r="AH121" s="1495"/>
      <c r="AI121" s="654">
        <f t="shared" si="11"/>
        <v>0</v>
      </c>
      <c r="AJ121" s="618"/>
      <c r="AK121" s="618"/>
      <c r="AL121" s="619"/>
      <c r="AM121" s="620"/>
      <c r="AN121" s="620"/>
      <c r="AO121" s="620"/>
      <c r="AP121" s="620"/>
      <c r="AQ121" s="620"/>
      <c r="AR121" s="620"/>
      <c r="AS121" s="620"/>
      <c r="AT121" s="620"/>
      <c r="AU121" s="620"/>
      <c r="AV121" s="620"/>
      <c r="AW121" s="620"/>
      <c r="AX121" s="620"/>
      <c r="AY121" s="620"/>
      <c r="AZ121" s="620"/>
      <c r="BA121" s="620"/>
      <c r="BB121" s="620"/>
      <c r="BC121" s="620"/>
      <c r="BD121" s="620"/>
      <c r="BE121" s="620"/>
      <c r="BF121" s="620"/>
      <c r="BG121" s="621"/>
      <c r="BH121" s="840" t="str">
        <f t="shared" si="12"/>
        <v/>
      </c>
      <c r="BI121" s="569"/>
      <c r="BJ121" s="458"/>
      <c r="BK121" s="592" t="str">
        <f t="shared" si="13"/>
        <v/>
      </c>
      <c r="BM121" s="592" t="str">
        <f t="shared" si="14"/>
        <v/>
      </c>
      <c r="BO121" s="592">
        <f t="shared" si="15"/>
        <v>0</v>
      </c>
      <c r="BP121" s="592">
        <f t="shared" si="16"/>
        <v>0</v>
      </c>
      <c r="BQ121" s="592" t="str">
        <f t="shared" si="17"/>
        <v/>
      </c>
      <c r="BR121" s="592" t="str">
        <f t="shared" si="18"/>
        <v/>
      </c>
    </row>
    <row r="122" spans="1:70" ht="13.95" customHeight="1">
      <c r="A122" s="1805"/>
      <c r="B122" s="447"/>
      <c r="C122" s="448"/>
      <c r="D122" s="684"/>
      <c r="E122" s="684"/>
      <c r="F122" s="684"/>
      <c r="G122" s="684"/>
      <c r="H122" s="684"/>
      <c r="I122" s="684"/>
      <c r="J122" s="684"/>
      <c r="K122" s="684"/>
      <c r="L122" s="684"/>
      <c r="M122" s="684"/>
      <c r="N122" s="684"/>
      <c r="O122" s="684"/>
      <c r="P122" s="684"/>
      <c r="Q122" s="684"/>
      <c r="R122" s="684"/>
      <c r="S122" s="684"/>
      <c r="T122" s="684"/>
      <c r="U122" s="684"/>
      <c r="V122" s="684"/>
      <c r="W122" s="684"/>
      <c r="X122" s="684"/>
      <c r="Y122" s="684"/>
      <c r="Z122" s="684"/>
      <c r="AA122" s="2145"/>
      <c r="AB122" s="2146"/>
      <c r="AC122" s="2146"/>
      <c r="AD122" s="2147"/>
      <c r="AE122" s="709">
        <f t="shared" ref="AE122:AE133" si="19">((D122*$D$22)+($E$22*E122)+($F$22*F122)+($G$22*G122)+($H$22*H122)+($I$22*I122)+($J$22*J122)+($K$22*K122)+($L$22*L122)+($M$22*M122)+($N$22*N122)+($O$22*O122)+($P$22*P122)+($Q$22*Q122)+($R$22*R122)+($S$22*S122)+($T$22*T122)+($U$22*U122)+($V$22*V122)+($W$22*W122)+($X$22*X122)+($Y$22*Y122)+($Z$22*Z122))*C122*8.76</f>
        <v>0</v>
      </c>
      <c r="AF122" s="1846"/>
      <c r="AG122" s="758"/>
      <c r="AH122" s="1495"/>
      <c r="AI122" s="654">
        <f t="shared" si="11"/>
        <v>0</v>
      </c>
      <c r="AJ122" s="813"/>
      <c r="AK122" s="813"/>
      <c r="AL122" s="233"/>
      <c r="AM122" s="684"/>
      <c r="AN122" s="684"/>
      <c r="AO122" s="684"/>
      <c r="AP122" s="684"/>
      <c r="AQ122" s="684"/>
      <c r="AR122" s="684"/>
      <c r="AS122" s="684"/>
      <c r="AT122" s="684"/>
      <c r="AU122" s="684"/>
      <c r="AV122" s="684"/>
      <c r="AW122" s="684"/>
      <c r="AX122" s="684"/>
      <c r="AY122" s="684"/>
      <c r="AZ122" s="684"/>
      <c r="BA122" s="684"/>
      <c r="BB122" s="684"/>
      <c r="BC122" s="684"/>
      <c r="BD122" s="684"/>
      <c r="BE122" s="684"/>
      <c r="BF122" s="684"/>
      <c r="BG122" s="617"/>
      <c r="BH122" s="840" t="str">
        <f t="shared" si="12"/>
        <v/>
      </c>
      <c r="BI122" s="569"/>
      <c r="BJ122" s="458"/>
      <c r="BK122" s="592" t="str">
        <f t="shared" si="13"/>
        <v/>
      </c>
      <c r="BM122" s="592" t="str">
        <f t="shared" si="14"/>
        <v/>
      </c>
      <c r="BO122" s="592">
        <f t="shared" si="15"/>
        <v>0</v>
      </c>
      <c r="BP122" s="592">
        <f t="shared" si="16"/>
        <v>0</v>
      </c>
      <c r="BQ122" s="592" t="str">
        <f t="shared" si="17"/>
        <v/>
      </c>
      <c r="BR122" s="592" t="str">
        <f t="shared" si="18"/>
        <v/>
      </c>
    </row>
    <row r="123" spans="1:70" ht="13.95" customHeight="1">
      <c r="A123" s="1805"/>
      <c r="B123" s="622"/>
      <c r="C123" s="623"/>
      <c r="D123" s="620"/>
      <c r="E123" s="620"/>
      <c r="F123" s="620"/>
      <c r="G123" s="620"/>
      <c r="H123" s="620"/>
      <c r="I123" s="620"/>
      <c r="J123" s="620"/>
      <c r="K123" s="620"/>
      <c r="L123" s="620"/>
      <c r="M123" s="620"/>
      <c r="N123" s="620"/>
      <c r="O123" s="620"/>
      <c r="P123" s="620"/>
      <c r="Q123" s="620"/>
      <c r="R123" s="620"/>
      <c r="S123" s="620"/>
      <c r="T123" s="620"/>
      <c r="U123" s="620"/>
      <c r="V123" s="620"/>
      <c r="W123" s="620"/>
      <c r="X123" s="620"/>
      <c r="Y123" s="620"/>
      <c r="Z123" s="620"/>
      <c r="AA123" s="2145"/>
      <c r="AB123" s="2146"/>
      <c r="AC123" s="2146"/>
      <c r="AD123" s="2147"/>
      <c r="AE123" s="709">
        <f t="shared" si="19"/>
        <v>0</v>
      </c>
      <c r="AF123" s="1846"/>
      <c r="AG123" s="758"/>
      <c r="AH123" s="1495"/>
      <c r="AI123" s="654">
        <f t="shared" si="11"/>
        <v>0</v>
      </c>
      <c r="AJ123" s="618"/>
      <c r="AK123" s="618"/>
      <c r="AL123" s="619"/>
      <c r="AM123" s="620"/>
      <c r="AN123" s="620"/>
      <c r="AO123" s="620"/>
      <c r="AP123" s="620"/>
      <c r="AQ123" s="620"/>
      <c r="AR123" s="620"/>
      <c r="AS123" s="620"/>
      <c r="AT123" s="620"/>
      <c r="AU123" s="620"/>
      <c r="AV123" s="620"/>
      <c r="AW123" s="620"/>
      <c r="AX123" s="620"/>
      <c r="AY123" s="620"/>
      <c r="AZ123" s="620"/>
      <c r="BA123" s="620"/>
      <c r="BB123" s="620"/>
      <c r="BC123" s="620"/>
      <c r="BD123" s="620"/>
      <c r="BE123" s="620"/>
      <c r="BF123" s="620"/>
      <c r="BG123" s="621"/>
      <c r="BH123" s="840" t="str">
        <f t="shared" si="12"/>
        <v/>
      </c>
      <c r="BI123" s="569"/>
      <c r="BJ123" s="458"/>
      <c r="BK123" s="592" t="str">
        <f t="shared" si="13"/>
        <v/>
      </c>
      <c r="BM123" s="592" t="str">
        <f t="shared" si="14"/>
        <v/>
      </c>
      <c r="BO123" s="592">
        <f t="shared" si="15"/>
        <v>0</v>
      </c>
      <c r="BP123" s="592">
        <f t="shared" si="16"/>
        <v>0</v>
      </c>
      <c r="BQ123" s="592" t="str">
        <f t="shared" si="17"/>
        <v/>
      </c>
      <c r="BR123" s="592" t="str">
        <f t="shared" si="18"/>
        <v/>
      </c>
    </row>
    <row r="124" spans="1:70" ht="13.95" customHeight="1">
      <c r="A124" s="1805"/>
      <c r="B124" s="447"/>
      <c r="C124" s="448"/>
      <c r="D124" s="684"/>
      <c r="E124" s="684"/>
      <c r="F124" s="684"/>
      <c r="G124" s="684"/>
      <c r="H124" s="684"/>
      <c r="I124" s="684"/>
      <c r="J124" s="684"/>
      <c r="K124" s="684"/>
      <c r="L124" s="684"/>
      <c r="M124" s="684"/>
      <c r="N124" s="684"/>
      <c r="O124" s="684"/>
      <c r="P124" s="684"/>
      <c r="Q124" s="684"/>
      <c r="R124" s="684"/>
      <c r="S124" s="684"/>
      <c r="T124" s="684"/>
      <c r="U124" s="684"/>
      <c r="V124" s="684"/>
      <c r="W124" s="684"/>
      <c r="X124" s="684"/>
      <c r="Y124" s="684"/>
      <c r="Z124" s="684"/>
      <c r="AA124" s="2145"/>
      <c r="AB124" s="2146"/>
      <c r="AC124" s="2146"/>
      <c r="AD124" s="2147"/>
      <c r="AE124" s="709">
        <f t="shared" si="19"/>
        <v>0</v>
      </c>
      <c r="AF124" s="1846"/>
      <c r="AG124" s="758"/>
      <c r="AH124" s="1495"/>
      <c r="AI124" s="654">
        <f t="shared" si="11"/>
        <v>0</v>
      </c>
      <c r="AJ124" s="813"/>
      <c r="AK124" s="813"/>
      <c r="AL124" s="233"/>
      <c r="AM124" s="684"/>
      <c r="AN124" s="684"/>
      <c r="AO124" s="684"/>
      <c r="AP124" s="684"/>
      <c r="AQ124" s="684"/>
      <c r="AR124" s="684"/>
      <c r="AS124" s="684"/>
      <c r="AT124" s="684"/>
      <c r="AU124" s="684"/>
      <c r="AV124" s="684"/>
      <c r="AW124" s="684"/>
      <c r="AX124" s="684"/>
      <c r="AY124" s="684"/>
      <c r="AZ124" s="684"/>
      <c r="BA124" s="684"/>
      <c r="BB124" s="684"/>
      <c r="BC124" s="684"/>
      <c r="BD124" s="684"/>
      <c r="BE124" s="684"/>
      <c r="BF124" s="684"/>
      <c r="BG124" s="617"/>
      <c r="BH124" s="840" t="str">
        <f t="shared" si="12"/>
        <v/>
      </c>
      <c r="BI124" s="569"/>
      <c r="BJ124" s="458"/>
      <c r="BK124" s="592" t="str">
        <f t="shared" si="13"/>
        <v/>
      </c>
      <c r="BM124" s="592" t="str">
        <f t="shared" si="14"/>
        <v/>
      </c>
      <c r="BO124" s="592">
        <f t="shared" si="15"/>
        <v>0</v>
      </c>
      <c r="BP124" s="592">
        <f t="shared" si="16"/>
        <v>0</v>
      </c>
      <c r="BQ124" s="592" t="str">
        <f t="shared" si="17"/>
        <v/>
      </c>
      <c r="BR124" s="592" t="str">
        <f t="shared" si="18"/>
        <v/>
      </c>
    </row>
    <row r="125" spans="1:70" ht="13.95" customHeight="1">
      <c r="A125" s="1805"/>
      <c r="B125" s="622"/>
      <c r="C125" s="623"/>
      <c r="D125" s="620"/>
      <c r="E125" s="620"/>
      <c r="F125" s="620"/>
      <c r="G125" s="620"/>
      <c r="H125" s="620"/>
      <c r="I125" s="620"/>
      <c r="J125" s="620"/>
      <c r="K125" s="620"/>
      <c r="L125" s="620"/>
      <c r="M125" s="620"/>
      <c r="N125" s="620"/>
      <c r="O125" s="620"/>
      <c r="P125" s="620"/>
      <c r="Q125" s="620"/>
      <c r="R125" s="620"/>
      <c r="S125" s="620"/>
      <c r="T125" s="620"/>
      <c r="U125" s="620"/>
      <c r="V125" s="620"/>
      <c r="W125" s="620"/>
      <c r="X125" s="620"/>
      <c r="Y125" s="620"/>
      <c r="Z125" s="620"/>
      <c r="AA125" s="2145"/>
      <c r="AB125" s="2146"/>
      <c r="AC125" s="2146"/>
      <c r="AD125" s="2147"/>
      <c r="AE125" s="709">
        <f t="shared" si="19"/>
        <v>0</v>
      </c>
      <c r="AF125" s="1846"/>
      <c r="AG125" s="758"/>
      <c r="AH125" s="1495"/>
      <c r="AI125" s="654">
        <f t="shared" si="11"/>
        <v>0</v>
      </c>
      <c r="AJ125" s="618"/>
      <c r="AK125" s="618"/>
      <c r="AL125" s="619"/>
      <c r="AM125" s="620"/>
      <c r="AN125" s="620"/>
      <c r="AO125" s="620"/>
      <c r="AP125" s="620"/>
      <c r="AQ125" s="620"/>
      <c r="AR125" s="620"/>
      <c r="AS125" s="620"/>
      <c r="AT125" s="620"/>
      <c r="AU125" s="620"/>
      <c r="AV125" s="620"/>
      <c r="AW125" s="620"/>
      <c r="AX125" s="620"/>
      <c r="AY125" s="620"/>
      <c r="AZ125" s="620"/>
      <c r="BA125" s="620"/>
      <c r="BB125" s="620"/>
      <c r="BC125" s="620"/>
      <c r="BD125" s="620"/>
      <c r="BE125" s="620"/>
      <c r="BF125" s="620"/>
      <c r="BG125" s="621"/>
      <c r="BH125" s="840" t="str">
        <f t="shared" si="12"/>
        <v/>
      </c>
      <c r="BI125" s="569"/>
      <c r="BJ125" s="458"/>
      <c r="BK125" s="592" t="str">
        <f t="shared" si="13"/>
        <v/>
      </c>
      <c r="BM125" s="592" t="str">
        <f t="shared" si="14"/>
        <v/>
      </c>
      <c r="BO125" s="592">
        <f t="shared" si="15"/>
        <v>0</v>
      </c>
      <c r="BP125" s="592">
        <f t="shared" si="16"/>
        <v>0</v>
      </c>
      <c r="BQ125" s="592" t="str">
        <f t="shared" si="17"/>
        <v/>
      </c>
      <c r="BR125" s="592" t="str">
        <f t="shared" si="18"/>
        <v/>
      </c>
    </row>
    <row r="126" spans="1:70" ht="13.95" customHeight="1">
      <c r="A126" s="1805"/>
      <c r="B126" s="447"/>
      <c r="C126" s="448"/>
      <c r="D126" s="684"/>
      <c r="E126" s="684"/>
      <c r="F126" s="684"/>
      <c r="G126" s="684"/>
      <c r="H126" s="684"/>
      <c r="I126" s="684"/>
      <c r="J126" s="684"/>
      <c r="K126" s="684"/>
      <c r="L126" s="684"/>
      <c r="M126" s="684"/>
      <c r="N126" s="684"/>
      <c r="O126" s="684"/>
      <c r="P126" s="684"/>
      <c r="Q126" s="684"/>
      <c r="R126" s="684"/>
      <c r="S126" s="684"/>
      <c r="T126" s="684"/>
      <c r="U126" s="684"/>
      <c r="V126" s="684"/>
      <c r="W126" s="684"/>
      <c r="X126" s="684"/>
      <c r="Y126" s="684"/>
      <c r="Z126" s="684"/>
      <c r="AA126" s="2145"/>
      <c r="AB126" s="2146"/>
      <c r="AC126" s="2146"/>
      <c r="AD126" s="2147"/>
      <c r="AE126" s="709">
        <f t="shared" si="19"/>
        <v>0</v>
      </c>
      <c r="AF126" s="1846"/>
      <c r="AG126" s="758"/>
      <c r="AH126" s="1495"/>
      <c r="AI126" s="654">
        <f t="shared" si="11"/>
        <v>0</v>
      </c>
      <c r="AJ126" s="813"/>
      <c r="AK126" s="813"/>
      <c r="AL126" s="233"/>
      <c r="AM126" s="684"/>
      <c r="AN126" s="684"/>
      <c r="AO126" s="684"/>
      <c r="AP126" s="684"/>
      <c r="AQ126" s="684"/>
      <c r="AR126" s="684"/>
      <c r="AS126" s="684"/>
      <c r="AT126" s="684"/>
      <c r="AU126" s="684"/>
      <c r="AV126" s="684"/>
      <c r="AW126" s="684"/>
      <c r="AX126" s="684"/>
      <c r="AY126" s="684"/>
      <c r="AZ126" s="684"/>
      <c r="BA126" s="684"/>
      <c r="BB126" s="684"/>
      <c r="BC126" s="684"/>
      <c r="BD126" s="684"/>
      <c r="BE126" s="684"/>
      <c r="BF126" s="684"/>
      <c r="BG126" s="617"/>
      <c r="BH126" s="840" t="str">
        <f t="shared" si="12"/>
        <v/>
      </c>
      <c r="BI126" s="569"/>
      <c r="BJ126" s="458"/>
      <c r="BK126" s="592" t="str">
        <f t="shared" si="13"/>
        <v/>
      </c>
      <c r="BM126" s="592" t="str">
        <f t="shared" si="14"/>
        <v/>
      </c>
      <c r="BO126" s="592">
        <f t="shared" si="15"/>
        <v>0</v>
      </c>
      <c r="BP126" s="592">
        <f t="shared" si="16"/>
        <v>0</v>
      </c>
      <c r="BQ126" s="592" t="str">
        <f t="shared" si="17"/>
        <v/>
      </c>
      <c r="BR126" s="592" t="str">
        <f t="shared" si="18"/>
        <v/>
      </c>
    </row>
    <row r="127" spans="1:70" ht="13.95" customHeight="1">
      <c r="A127" s="1805"/>
      <c r="B127" s="622"/>
      <c r="C127" s="623"/>
      <c r="D127" s="620"/>
      <c r="E127" s="620"/>
      <c r="F127" s="620"/>
      <c r="G127" s="620"/>
      <c r="H127" s="620"/>
      <c r="I127" s="620"/>
      <c r="J127" s="620"/>
      <c r="K127" s="620"/>
      <c r="L127" s="620"/>
      <c r="M127" s="620"/>
      <c r="N127" s="620"/>
      <c r="O127" s="620"/>
      <c r="P127" s="620"/>
      <c r="Q127" s="620"/>
      <c r="R127" s="620"/>
      <c r="S127" s="620"/>
      <c r="T127" s="620"/>
      <c r="U127" s="620"/>
      <c r="V127" s="620"/>
      <c r="W127" s="620"/>
      <c r="X127" s="620"/>
      <c r="Y127" s="620"/>
      <c r="Z127" s="620"/>
      <c r="AA127" s="2145"/>
      <c r="AB127" s="2146"/>
      <c r="AC127" s="2146"/>
      <c r="AD127" s="2147"/>
      <c r="AE127" s="709">
        <f t="shared" si="19"/>
        <v>0</v>
      </c>
      <c r="AF127" s="1846"/>
      <c r="AG127" s="758"/>
      <c r="AH127" s="1495"/>
      <c r="AI127" s="654">
        <f t="shared" si="11"/>
        <v>0</v>
      </c>
      <c r="AJ127" s="618"/>
      <c r="AK127" s="618"/>
      <c r="AL127" s="619"/>
      <c r="AM127" s="620"/>
      <c r="AN127" s="620"/>
      <c r="AO127" s="620"/>
      <c r="AP127" s="620"/>
      <c r="AQ127" s="620"/>
      <c r="AR127" s="620"/>
      <c r="AS127" s="620"/>
      <c r="AT127" s="620"/>
      <c r="AU127" s="620"/>
      <c r="AV127" s="620"/>
      <c r="AW127" s="620"/>
      <c r="AX127" s="620"/>
      <c r="AY127" s="620"/>
      <c r="AZ127" s="620"/>
      <c r="BA127" s="620"/>
      <c r="BB127" s="620"/>
      <c r="BC127" s="620"/>
      <c r="BD127" s="620"/>
      <c r="BE127" s="620"/>
      <c r="BF127" s="620"/>
      <c r="BG127" s="621"/>
      <c r="BH127" s="840" t="str">
        <f t="shared" si="12"/>
        <v/>
      </c>
      <c r="BI127" s="569"/>
      <c r="BJ127" s="458"/>
      <c r="BK127" s="592" t="str">
        <f t="shared" si="13"/>
        <v/>
      </c>
      <c r="BM127" s="592" t="str">
        <f t="shared" si="14"/>
        <v/>
      </c>
      <c r="BO127" s="592">
        <f t="shared" si="15"/>
        <v>0</v>
      </c>
      <c r="BP127" s="592">
        <f t="shared" si="16"/>
        <v>0</v>
      </c>
      <c r="BQ127" s="592" t="str">
        <f t="shared" si="17"/>
        <v/>
      </c>
      <c r="BR127" s="592" t="str">
        <f t="shared" si="18"/>
        <v/>
      </c>
    </row>
    <row r="128" spans="1:70" ht="13.95" customHeight="1">
      <c r="A128" s="1805"/>
      <c r="B128" s="447"/>
      <c r="C128" s="448"/>
      <c r="D128" s="684"/>
      <c r="E128" s="684"/>
      <c r="F128" s="684"/>
      <c r="G128" s="684"/>
      <c r="H128" s="684"/>
      <c r="I128" s="684"/>
      <c r="J128" s="684"/>
      <c r="K128" s="684"/>
      <c r="L128" s="684"/>
      <c r="M128" s="684"/>
      <c r="N128" s="684"/>
      <c r="O128" s="684"/>
      <c r="P128" s="684"/>
      <c r="Q128" s="684"/>
      <c r="R128" s="684"/>
      <c r="S128" s="684"/>
      <c r="T128" s="684"/>
      <c r="U128" s="684"/>
      <c r="V128" s="684"/>
      <c r="W128" s="684"/>
      <c r="X128" s="684"/>
      <c r="Y128" s="684"/>
      <c r="Z128" s="684"/>
      <c r="AA128" s="2145"/>
      <c r="AB128" s="2146"/>
      <c r="AC128" s="2146"/>
      <c r="AD128" s="2147"/>
      <c r="AE128" s="709">
        <f t="shared" si="19"/>
        <v>0</v>
      </c>
      <c r="AF128" s="1846"/>
      <c r="AG128" s="758"/>
      <c r="AH128" s="1495"/>
      <c r="AI128" s="654">
        <f t="shared" si="11"/>
        <v>0</v>
      </c>
      <c r="AJ128" s="813"/>
      <c r="AK128" s="813"/>
      <c r="AL128" s="233"/>
      <c r="AM128" s="684"/>
      <c r="AN128" s="684"/>
      <c r="AO128" s="684"/>
      <c r="AP128" s="684"/>
      <c r="AQ128" s="684"/>
      <c r="AR128" s="684"/>
      <c r="AS128" s="684"/>
      <c r="AT128" s="684"/>
      <c r="AU128" s="684"/>
      <c r="AV128" s="684"/>
      <c r="AW128" s="684"/>
      <c r="AX128" s="684"/>
      <c r="AY128" s="684"/>
      <c r="AZ128" s="684"/>
      <c r="BA128" s="684"/>
      <c r="BB128" s="684"/>
      <c r="BC128" s="684"/>
      <c r="BD128" s="684"/>
      <c r="BE128" s="684"/>
      <c r="BF128" s="684"/>
      <c r="BG128" s="617"/>
      <c r="BH128" s="840" t="str">
        <f t="shared" si="12"/>
        <v/>
      </c>
      <c r="BI128" s="569"/>
      <c r="BJ128" s="458"/>
      <c r="BK128" s="592" t="str">
        <f t="shared" si="13"/>
        <v/>
      </c>
      <c r="BM128" s="592" t="str">
        <f t="shared" si="14"/>
        <v/>
      </c>
      <c r="BO128" s="592">
        <f t="shared" si="15"/>
        <v>0</v>
      </c>
      <c r="BP128" s="592">
        <f t="shared" si="16"/>
        <v>0</v>
      </c>
      <c r="BQ128" s="592" t="str">
        <f t="shared" si="17"/>
        <v/>
      </c>
      <c r="BR128" s="592" t="str">
        <f t="shared" si="18"/>
        <v/>
      </c>
    </row>
    <row r="129" spans="1:70" ht="13.95" customHeight="1">
      <c r="A129" s="1805"/>
      <c r="B129" s="622"/>
      <c r="C129" s="623"/>
      <c r="D129" s="620"/>
      <c r="E129" s="620"/>
      <c r="F129" s="620"/>
      <c r="G129" s="620"/>
      <c r="H129" s="620"/>
      <c r="I129" s="620"/>
      <c r="J129" s="620"/>
      <c r="K129" s="620"/>
      <c r="L129" s="620"/>
      <c r="M129" s="620"/>
      <c r="N129" s="620"/>
      <c r="O129" s="620"/>
      <c r="P129" s="620"/>
      <c r="Q129" s="620"/>
      <c r="R129" s="620"/>
      <c r="S129" s="620"/>
      <c r="T129" s="620"/>
      <c r="U129" s="620"/>
      <c r="V129" s="620"/>
      <c r="W129" s="620"/>
      <c r="X129" s="620"/>
      <c r="Y129" s="620"/>
      <c r="Z129" s="620"/>
      <c r="AA129" s="2145"/>
      <c r="AB129" s="2146"/>
      <c r="AC129" s="2146"/>
      <c r="AD129" s="2147"/>
      <c r="AE129" s="709">
        <f t="shared" si="19"/>
        <v>0</v>
      </c>
      <c r="AF129" s="1846"/>
      <c r="AG129" s="758"/>
      <c r="AH129" s="1495"/>
      <c r="AI129" s="654">
        <f t="shared" si="11"/>
        <v>0</v>
      </c>
      <c r="AJ129" s="618"/>
      <c r="AK129" s="618"/>
      <c r="AL129" s="619"/>
      <c r="AM129" s="620"/>
      <c r="AN129" s="620"/>
      <c r="AO129" s="620"/>
      <c r="AP129" s="620"/>
      <c r="AQ129" s="620"/>
      <c r="AR129" s="620"/>
      <c r="AS129" s="620"/>
      <c r="AT129" s="620"/>
      <c r="AU129" s="620"/>
      <c r="AV129" s="620"/>
      <c r="AW129" s="620"/>
      <c r="AX129" s="620"/>
      <c r="AY129" s="620"/>
      <c r="AZ129" s="620"/>
      <c r="BA129" s="620"/>
      <c r="BB129" s="620"/>
      <c r="BC129" s="620"/>
      <c r="BD129" s="620"/>
      <c r="BE129" s="620"/>
      <c r="BF129" s="620"/>
      <c r="BG129" s="621"/>
      <c r="BH129" s="840" t="str">
        <f t="shared" si="12"/>
        <v/>
      </c>
      <c r="BI129" s="569"/>
      <c r="BJ129" s="458"/>
      <c r="BK129" s="592" t="str">
        <f t="shared" si="13"/>
        <v/>
      </c>
      <c r="BM129" s="592" t="str">
        <f t="shared" si="14"/>
        <v/>
      </c>
      <c r="BO129" s="592">
        <f t="shared" si="15"/>
        <v>0</v>
      </c>
      <c r="BP129" s="592">
        <f t="shared" si="16"/>
        <v>0</v>
      </c>
      <c r="BQ129" s="592" t="str">
        <f t="shared" si="17"/>
        <v/>
      </c>
      <c r="BR129" s="592" t="str">
        <f t="shared" si="18"/>
        <v/>
      </c>
    </row>
    <row r="130" spans="1:70" ht="13.95" customHeight="1">
      <c r="A130" s="1805"/>
      <c r="B130" s="447"/>
      <c r="C130" s="448"/>
      <c r="D130" s="684"/>
      <c r="E130" s="684"/>
      <c r="F130" s="684"/>
      <c r="G130" s="684"/>
      <c r="H130" s="684"/>
      <c r="I130" s="684"/>
      <c r="J130" s="684"/>
      <c r="K130" s="684"/>
      <c r="L130" s="684"/>
      <c r="M130" s="684"/>
      <c r="N130" s="684"/>
      <c r="O130" s="684"/>
      <c r="P130" s="684"/>
      <c r="Q130" s="684"/>
      <c r="R130" s="684"/>
      <c r="S130" s="684"/>
      <c r="T130" s="684"/>
      <c r="U130" s="684"/>
      <c r="V130" s="684"/>
      <c r="W130" s="684"/>
      <c r="X130" s="684"/>
      <c r="Y130" s="684"/>
      <c r="Z130" s="684"/>
      <c r="AA130" s="2145"/>
      <c r="AB130" s="2146"/>
      <c r="AC130" s="2146"/>
      <c r="AD130" s="2147"/>
      <c r="AE130" s="709">
        <f t="shared" si="19"/>
        <v>0</v>
      </c>
      <c r="AF130" s="1846"/>
      <c r="AG130" s="758"/>
      <c r="AH130" s="1495"/>
      <c r="AI130" s="654">
        <f t="shared" si="11"/>
        <v>0</v>
      </c>
      <c r="AJ130" s="813"/>
      <c r="AK130" s="813"/>
      <c r="AL130" s="233"/>
      <c r="AM130" s="684"/>
      <c r="AN130" s="684"/>
      <c r="AO130" s="684"/>
      <c r="AP130" s="684"/>
      <c r="AQ130" s="684"/>
      <c r="AR130" s="684"/>
      <c r="AS130" s="684"/>
      <c r="AT130" s="684"/>
      <c r="AU130" s="684"/>
      <c r="AV130" s="684"/>
      <c r="AW130" s="684"/>
      <c r="AX130" s="684"/>
      <c r="AY130" s="684"/>
      <c r="AZ130" s="684"/>
      <c r="BA130" s="684"/>
      <c r="BB130" s="684"/>
      <c r="BC130" s="684"/>
      <c r="BD130" s="684"/>
      <c r="BE130" s="684"/>
      <c r="BF130" s="684"/>
      <c r="BG130" s="617"/>
      <c r="BH130" s="840" t="str">
        <f t="shared" si="12"/>
        <v/>
      </c>
      <c r="BI130" s="569"/>
      <c r="BJ130" s="458"/>
      <c r="BK130" s="592" t="str">
        <f t="shared" si="13"/>
        <v/>
      </c>
      <c r="BM130" s="592" t="str">
        <f t="shared" si="14"/>
        <v/>
      </c>
      <c r="BO130" s="592">
        <f t="shared" si="15"/>
        <v>0</v>
      </c>
      <c r="BP130" s="592">
        <f t="shared" si="16"/>
        <v>0</v>
      </c>
      <c r="BQ130" s="592" t="str">
        <f t="shared" si="17"/>
        <v/>
      </c>
      <c r="BR130" s="592" t="str">
        <f t="shared" si="18"/>
        <v/>
      </c>
    </row>
    <row r="131" spans="1:70" ht="13.95" customHeight="1">
      <c r="A131" s="1805"/>
      <c r="B131" s="622"/>
      <c r="C131" s="623"/>
      <c r="D131" s="620"/>
      <c r="E131" s="620"/>
      <c r="F131" s="620"/>
      <c r="G131" s="620"/>
      <c r="H131" s="620"/>
      <c r="I131" s="620"/>
      <c r="J131" s="620"/>
      <c r="K131" s="620"/>
      <c r="L131" s="620"/>
      <c r="M131" s="620"/>
      <c r="N131" s="620"/>
      <c r="O131" s="620"/>
      <c r="P131" s="620"/>
      <c r="Q131" s="620"/>
      <c r="R131" s="620"/>
      <c r="S131" s="620"/>
      <c r="T131" s="620"/>
      <c r="U131" s="620"/>
      <c r="V131" s="620"/>
      <c r="W131" s="620"/>
      <c r="X131" s="620"/>
      <c r="Y131" s="620"/>
      <c r="Z131" s="620"/>
      <c r="AA131" s="2145"/>
      <c r="AB131" s="2146"/>
      <c r="AC131" s="2146"/>
      <c r="AD131" s="2147"/>
      <c r="AE131" s="709">
        <f t="shared" si="19"/>
        <v>0</v>
      </c>
      <c r="AF131" s="1846"/>
      <c r="AG131" s="758"/>
      <c r="AH131" s="1495"/>
      <c r="AI131" s="654">
        <f t="shared" si="11"/>
        <v>0</v>
      </c>
      <c r="AJ131" s="618"/>
      <c r="AK131" s="618"/>
      <c r="AL131" s="619"/>
      <c r="AM131" s="620"/>
      <c r="AN131" s="620"/>
      <c r="AO131" s="620"/>
      <c r="AP131" s="620"/>
      <c r="AQ131" s="620"/>
      <c r="AR131" s="620"/>
      <c r="AS131" s="620"/>
      <c r="AT131" s="620"/>
      <c r="AU131" s="620"/>
      <c r="AV131" s="620"/>
      <c r="AW131" s="620"/>
      <c r="AX131" s="620"/>
      <c r="AY131" s="620"/>
      <c r="AZ131" s="620"/>
      <c r="BA131" s="620"/>
      <c r="BB131" s="620"/>
      <c r="BC131" s="620"/>
      <c r="BD131" s="620"/>
      <c r="BE131" s="620"/>
      <c r="BF131" s="620"/>
      <c r="BG131" s="621"/>
      <c r="BH131" s="840" t="str">
        <f t="shared" si="12"/>
        <v/>
      </c>
      <c r="BI131" s="569"/>
      <c r="BJ131" s="458"/>
      <c r="BK131" s="592" t="str">
        <f t="shared" si="13"/>
        <v/>
      </c>
      <c r="BM131" s="592" t="str">
        <f t="shared" si="14"/>
        <v/>
      </c>
      <c r="BO131" s="592">
        <f t="shared" si="15"/>
        <v>0</v>
      </c>
      <c r="BP131" s="592">
        <f t="shared" si="16"/>
        <v>0</v>
      </c>
      <c r="BQ131" s="592" t="str">
        <f t="shared" si="17"/>
        <v/>
      </c>
      <c r="BR131" s="592" t="str">
        <f t="shared" si="18"/>
        <v/>
      </c>
    </row>
    <row r="132" spans="1:70" ht="13.95" customHeight="1">
      <c r="A132" s="1805"/>
      <c r="B132" s="447"/>
      <c r="C132" s="448"/>
      <c r="D132" s="684"/>
      <c r="E132" s="684"/>
      <c r="F132" s="684"/>
      <c r="G132" s="684"/>
      <c r="H132" s="684"/>
      <c r="I132" s="684"/>
      <c r="J132" s="684"/>
      <c r="K132" s="684"/>
      <c r="L132" s="684"/>
      <c r="M132" s="684"/>
      <c r="N132" s="684"/>
      <c r="O132" s="684"/>
      <c r="P132" s="684"/>
      <c r="Q132" s="684"/>
      <c r="R132" s="684"/>
      <c r="S132" s="684"/>
      <c r="T132" s="684"/>
      <c r="U132" s="684"/>
      <c r="V132" s="684"/>
      <c r="W132" s="684"/>
      <c r="X132" s="684"/>
      <c r="Y132" s="684"/>
      <c r="Z132" s="684"/>
      <c r="AA132" s="2145"/>
      <c r="AB132" s="2146"/>
      <c r="AC132" s="2146"/>
      <c r="AD132" s="2147"/>
      <c r="AE132" s="709">
        <f t="shared" si="19"/>
        <v>0</v>
      </c>
      <c r="AF132" s="1846"/>
      <c r="AG132" s="758"/>
      <c r="AH132" s="1495"/>
      <c r="AI132" s="654">
        <f t="shared" si="11"/>
        <v>0</v>
      </c>
      <c r="AJ132" s="813"/>
      <c r="AK132" s="813"/>
      <c r="AL132" s="233"/>
      <c r="AM132" s="684"/>
      <c r="AN132" s="684"/>
      <c r="AO132" s="684"/>
      <c r="AP132" s="684"/>
      <c r="AQ132" s="684"/>
      <c r="AR132" s="684"/>
      <c r="AS132" s="684"/>
      <c r="AT132" s="684"/>
      <c r="AU132" s="684"/>
      <c r="AV132" s="684"/>
      <c r="AW132" s="684"/>
      <c r="AX132" s="684"/>
      <c r="AY132" s="684"/>
      <c r="AZ132" s="684"/>
      <c r="BA132" s="684"/>
      <c r="BB132" s="684"/>
      <c r="BC132" s="684"/>
      <c r="BD132" s="684"/>
      <c r="BE132" s="684"/>
      <c r="BF132" s="684"/>
      <c r="BG132" s="617"/>
      <c r="BH132" s="840" t="str">
        <f t="shared" si="12"/>
        <v/>
      </c>
      <c r="BI132" s="569"/>
      <c r="BJ132" s="458"/>
      <c r="BK132" s="592" t="str">
        <f t="shared" si="13"/>
        <v/>
      </c>
      <c r="BM132" s="592" t="str">
        <f t="shared" si="14"/>
        <v/>
      </c>
      <c r="BO132" s="592">
        <f t="shared" si="15"/>
        <v>0</v>
      </c>
      <c r="BP132" s="592">
        <f t="shared" si="16"/>
        <v>0</v>
      </c>
      <c r="BQ132" s="592" t="str">
        <f t="shared" si="17"/>
        <v/>
      </c>
      <c r="BR132" s="592" t="str">
        <f t="shared" si="18"/>
        <v/>
      </c>
    </row>
    <row r="133" spans="1:70" ht="13.95" customHeight="1" thickBot="1">
      <c r="A133" s="1806"/>
      <c r="B133" s="622"/>
      <c r="C133" s="623"/>
      <c r="D133" s="620"/>
      <c r="E133" s="620"/>
      <c r="F133" s="620"/>
      <c r="G133" s="620"/>
      <c r="H133" s="620"/>
      <c r="I133" s="620"/>
      <c r="J133" s="620"/>
      <c r="K133" s="620"/>
      <c r="L133" s="620"/>
      <c r="M133" s="620"/>
      <c r="N133" s="620"/>
      <c r="O133" s="620"/>
      <c r="P133" s="620"/>
      <c r="Q133" s="620"/>
      <c r="R133" s="620"/>
      <c r="S133" s="620"/>
      <c r="T133" s="620"/>
      <c r="U133" s="620"/>
      <c r="V133" s="620"/>
      <c r="W133" s="620"/>
      <c r="X133" s="620"/>
      <c r="Y133" s="620"/>
      <c r="Z133" s="620"/>
      <c r="AA133" s="2148"/>
      <c r="AB133" s="2149"/>
      <c r="AC133" s="2149"/>
      <c r="AD133" s="2150"/>
      <c r="AE133" s="709">
        <f t="shared" si="19"/>
        <v>0</v>
      </c>
      <c r="AF133" s="1847"/>
      <c r="AG133" s="758"/>
      <c r="AH133" s="1496"/>
      <c r="AI133" s="654">
        <f t="shared" si="11"/>
        <v>0</v>
      </c>
      <c r="AJ133" s="618"/>
      <c r="AK133" s="618"/>
      <c r="AL133" s="619"/>
      <c r="AM133" s="620"/>
      <c r="AN133" s="620"/>
      <c r="AO133" s="620"/>
      <c r="AP133" s="620"/>
      <c r="AQ133" s="620"/>
      <c r="AR133" s="620"/>
      <c r="AS133" s="620"/>
      <c r="AT133" s="620"/>
      <c r="AU133" s="620"/>
      <c r="AV133" s="620"/>
      <c r="AW133" s="620"/>
      <c r="AX133" s="620"/>
      <c r="AY133" s="620"/>
      <c r="AZ133" s="620"/>
      <c r="BA133" s="620"/>
      <c r="BB133" s="620"/>
      <c r="BC133" s="620"/>
      <c r="BD133" s="620"/>
      <c r="BE133" s="620"/>
      <c r="BF133" s="620"/>
      <c r="BG133" s="621"/>
      <c r="BH133" s="840" t="str">
        <f t="shared" si="12"/>
        <v/>
      </c>
      <c r="BI133" s="569"/>
      <c r="BJ133" s="458"/>
      <c r="BK133" s="592" t="str">
        <f t="shared" si="13"/>
        <v/>
      </c>
      <c r="BM133" s="592" t="str">
        <f t="shared" si="14"/>
        <v/>
      </c>
      <c r="BO133" s="592">
        <f t="shared" si="15"/>
        <v>0</v>
      </c>
      <c r="BP133" s="592">
        <f t="shared" si="16"/>
        <v>0</v>
      </c>
      <c r="BQ133" s="592" t="str">
        <f t="shared" si="17"/>
        <v/>
      </c>
      <c r="BR133" s="592" t="str">
        <f t="shared" si="18"/>
        <v/>
      </c>
    </row>
    <row r="134" spans="1:70" ht="30" customHeight="1" thickBot="1">
      <c r="A134" s="1065"/>
      <c r="B134" s="1066"/>
      <c r="C134" s="1066"/>
      <c r="D134" s="1066"/>
      <c r="E134" s="1066"/>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7"/>
      <c r="AG134" s="758"/>
      <c r="AH134" s="1464"/>
      <c r="AI134" s="1466"/>
      <c r="AJ134" s="1466"/>
      <c r="AK134" s="1466"/>
      <c r="AL134" s="1466"/>
      <c r="AM134" s="1466"/>
      <c r="AN134" s="1466"/>
      <c r="AO134" s="1466"/>
      <c r="AP134" s="1466"/>
      <c r="AQ134" s="1466"/>
      <c r="AR134" s="1466"/>
      <c r="AS134" s="1466"/>
      <c r="AT134" s="1466"/>
      <c r="AU134" s="1466"/>
      <c r="AV134" s="1466"/>
      <c r="AW134" s="1466"/>
      <c r="AX134" s="1466"/>
      <c r="AY134" s="1466"/>
      <c r="AZ134" s="1466"/>
      <c r="BA134" s="1466"/>
      <c r="BB134" s="1466"/>
      <c r="BC134" s="1466"/>
      <c r="BD134" s="1466"/>
      <c r="BE134" s="1466"/>
      <c r="BF134" s="1466"/>
      <c r="BG134" s="1466"/>
      <c r="BH134" s="1466"/>
      <c r="BI134" s="1467"/>
      <c r="BJ134" s="458"/>
    </row>
    <row r="135" spans="1:70" ht="18.45" hidden="1" customHeight="1">
      <c r="A135" s="759"/>
      <c r="B135" s="759"/>
      <c r="C135" s="759"/>
      <c r="D135" s="759"/>
      <c r="E135" s="759"/>
      <c r="F135" s="759"/>
      <c r="G135" s="759"/>
      <c r="H135" s="759"/>
      <c r="I135" s="759"/>
      <c r="J135" s="759"/>
      <c r="K135" s="759"/>
      <c r="L135" s="759"/>
      <c r="M135" s="759"/>
      <c r="N135" s="759"/>
      <c r="O135" s="759"/>
      <c r="P135" s="759"/>
      <c r="Q135" s="759"/>
      <c r="R135" s="759"/>
      <c r="S135" s="759"/>
      <c r="T135" s="759"/>
      <c r="U135" s="759"/>
      <c r="V135" s="759"/>
      <c r="W135" s="759"/>
      <c r="X135" s="759"/>
      <c r="Y135" s="759"/>
      <c r="Z135" s="759"/>
      <c r="AA135" s="759"/>
      <c r="AB135" s="811"/>
      <c r="AC135" s="811"/>
      <c r="AD135" s="811"/>
      <c r="AE135" s="811"/>
      <c r="AF135" s="449"/>
      <c r="AG135" s="758"/>
      <c r="BJ135" s="458"/>
    </row>
    <row r="136" spans="1:70" ht="18.45" hidden="1" customHeight="1">
      <c r="A136" s="759"/>
      <c r="B136" s="759"/>
      <c r="C136" s="759"/>
      <c r="D136" s="759"/>
      <c r="E136" s="759"/>
      <c r="F136" s="759"/>
      <c r="G136" s="759"/>
      <c r="H136" s="759"/>
      <c r="I136" s="759"/>
      <c r="J136" s="759"/>
      <c r="K136" s="759"/>
      <c r="L136" s="759"/>
      <c r="M136" s="759"/>
      <c r="N136" s="759"/>
      <c r="O136" s="759"/>
      <c r="P136" s="759"/>
      <c r="Q136" s="759"/>
      <c r="R136" s="759"/>
      <c r="S136" s="759"/>
      <c r="T136" s="759"/>
      <c r="U136" s="759"/>
      <c r="V136" s="759"/>
      <c r="W136" s="759"/>
      <c r="X136" s="759"/>
      <c r="Y136" s="759"/>
      <c r="Z136" s="759"/>
      <c r="AA136" s="759"/>
      <c r="AB136" s="811"/>
      <c r="AC136" s="811"/>
      <c r="AD136" s="811"/>
      <c r="AE136" s="811"/>
      <c r="AF136" s="449"/>
      <c r="AG136" s="758"/>
      <c r="BJ136" s="458"/>
    </row>
    <row r="137" spans="1:70" ht="18.45" hidden="1" customHeight="1">
      <c r="A137" s="759"/>
      <c r="B137" s="759"/>
      <c r="C137" s="759"/>
      <c r="D137" s="759"/>
      <c r="E137" s="759"/>
      <c r="F137" s="759"/>
      <c r="G137" s="759"/>
      <c r="H137" s="759"/>
      <c r="I137" s="759"/>
      <c r="J137" s="759"/>
      <c r="K137" s="759"/>
      <c r="L137" s="759"/>
      <c r="M137" s="759"/>
      <c r="N137" s="759"/>
      <c r="O137" s="759"/>
      <c r="P137" s="759"/>
      <c r="Q137" s="759"/>
      <c r="R137" s="759"/>
      <c r="S137" s="759"/>
      <c r="T137" s="759"/>
      <c r="U137" s="759"/>
      <c r="V137" s="759"/>
      <c r="W137" s="759"/>
      <c r="X137" s="759"/>
      <c r="Y137" s="759"/>
      <c r="Z137" s="759"/>
      <c r="AA137" s="759"/>
      <c r="AB137" s="811"/>
      <c r="AC137" s="811"/>
      <c r="AD137" s="811"/>
      <c r="AE137" s="811"/>
      <c r="AF137" s="449"/>
      <c r="AG137" s="758"/>
      <c r="BJ137" s="458"/>
    </row>
    <row r="138" spans="1:70" ht="18.45" customHeight="1">
      <c r="A138" s="1795"/>
      <c r="B138" s="1795"/>
      <c r="C138" s="1795"/>
      <c r="D138" s="1795"/>
      <c r="E138" s="1795"/>
      <c r="F138" s="1795"/>
      <c r="G138" s="1795"/>
      <c r="H138" s="1795"/>
      <c r="I138" s="1795"/>
      <c r="J138" s="1795"/>
      <c r="K138" s="1795"/>
      <c r="L138" s="1795"/>
      <c r="M138" s="1795"/>
      <c r="N138" s="1795"/>
      <c r="O138" s="1795"/>
      <c r="P138" s="1795"/>
      <c r="Q138" s="1795"/>
      <c r="R138" s="1795"/>
      <c r="S138" s="1795"/>
      <c r="T138" s="1795"/>
      <c r="U138" s="1795"/>
      <c r="V138" s="1795"/>
      <c r="W138" s="1795"/>
      <c r="X138" s="1795"/>
      <c r="Y138" s="1795"/>
      <c r="Z138" s="1795"/>
      <c r="AA138" s="1795"/>
      <c r="AB138" s="1795"/>
      <c r="AC138" s="1795"/>
      <c r="AD138" s="1795"/>
      <c r="AE138" s="1795"/>
      <c r="AF138" s="1795"/>
      <c r="AG138" s="758"/>
      <c r="AH138" s="458"/>
      <c r="AI138" s="458"/>
      <c r="AJ138" s="458"/>
      <c r="AK138" s="458"/>
      <c r="AL138" s="458"/>
      <c r="AM138" s="458"/>
      <c r="AN138" s="458"/>
      <c r="AO138" s="458"/>
      <c r="AP138" s="458"/>
      <c r="AQ138" s="758"/>
      <c r="AR138" s="758"/>
      <c r="AS138" s="758"/>
      <c r="AT138" s="758"/>
      <c r="AU138" s="758"/>
      <c r="AV138" s="758"/>
      <c r="AW138" s="758"/>
      <c r="AX138" s="758"/>
      <c r="AY138" s="758"/>
      <c r="AZ138" s="458"/>
      <c r="BA138" s="458"/>
      <c r="BB138" s="458"/>
      <c r="BC138" s="458"/>
      <c r="BD138" s="458"/>
      <c r="BE138" s="458"/>
      <c r="BF138" s="458"/>
      <c r="BG138" s="458"/>
      <c r="BH138" s="458"/>
      <c r="BI138" s="458"/>
      <c r="BJ138" s="458"/>
    </row>
    <row r="139" spans="1:70" ht="18.45" customHeight="1">
      <c r="A139" s="1795"/>
      <c r="B139" s="1795"/>
      <c r="C139" s="1795"/>
      <c r="D139" s="1795"/>
      <c r="E139" s="1795"/>
      <c r="F139" s="1795"/>
      <c r="G139" s="1795"/>
      <c r="H139" s="1795"/>
      <c r="I139" s="1795"/>
      <c r="J139" s="1795"/>
      <c r="K139" s="1795"/>
      <c r="L139" s="1795"/>
      <c r="M139" s="1795"/>
      <c r="N139" s="1795"/>
      <c r="O139" s="1795"/>
      <c r="P139" s="1795"/>
      <c r="Q139" s="1795"/>
      <c r="R139" s="1795"/>
      <c r="S139" s="1795"/>
      <c r="T139" s="1795"/>
      <c r="U139" s="1795"/>
      <c r="V139" s="1795"/>
      <c r="W139" s="1795"/>
      <c r="X139" s="1795"/>
      <c r="Y139" s="1795"/>
      <c r="Z139" s="1795"/>
      <c r="AA139" s="1795"/>
      <c r="AB139" s="1795"/>
      <c r="AC139" s="1795"/>
      <c r="AD139" s="1795"/>
      <c r="AE139" s="1795"/>
      <c r="AF139" s="1795"/>
      <c r="AG139" s="758"/>
      <c r="AH139" s="458"/>
      <c r="AI139" s="458"/>
      <c r="AJ139" s="458"/>
      <c r="AK139" s="458"/>
      <c r="AL139" s="458"/>
      <c r="AM139" s="458"/>
      <c r="AN139" s="458"/>
      <c r="AO139" s="458"/>
      <c r="AP139" s="458"/>
      <c r="AQ139" s="758"/>
      <c r="AR139" s="758"/>
      <c r="AS139" s="758"/>
      <c r="AT139" s="758"/>
      <c r="AU139" s="758"/>
      <c r="AV139" s="758"/>
      <c r="AW139" s="758"/>
      <c r="AX139" s="758"/>
      <c r="AY139" s="758"/>
      <c r="AZ139" s="458"/>
      <c r="BA139" s="458"/>
      <c r="BB139" s="458"/>
      <c r="BC139" s="458"/>
      <c r="BD139" s="458"/>
      <c r="BE139" s="458"/>
      <c r="BF139" s="458"/>
      <c r="BG139" s="458"/>
      <c r="BH139" s="458"/>
      <c r="BI139" s="458"/>
      <c r="BJ139" s="458"/>
    </row>
    <row r="140" spans="1:70" ht="18.45" customHeight="1" thickBot="1">
      <c r="A140" s="1795"/>
      <c r="B140" s="1795"/>
      <c r="C140" s="1795"/>
      <c r="D140" s="1795"/>
      <c r="E140" s="1795"/>
      <c r="F140" s="1795"/>
      <c r="G140" s="1795"/>
      <c r="H140" s="1795"/>
      <c r="I140" s="1795"/>
      <c r="J140" s="1795"/>
      <c r="K140" s="1795"/>
      <c r="L140" s="1795"/>
      <c r="M140" s="1795"/>
      <c r="N140" s="1795"/>
      <c r="O140" s="1795"/>
      <c r="P140" s="1795"/>
      <c r="Q140" s="1795"/>
      <c r="R140" s="1795"/>
      <c r="S140" s="1795"/>
      <c r="T140" s="1795"/>
      <c r="U140" s="1795"/>
      <c r="V140" s="1795"/>
      <c r="W140" s="1795"/>
      <c r="X140" s="1795"/>
      <c r="Y140" s="1795"/>
      <c r="Z140" s="1795"/>
      <c r="AA140" s="1795"/>
      <c r="AB140" s="1795"/>
      <c r="AC140" s="1795"/>
      <c r="AD140" s="1795"/>
      <c r="AE140" s="1795"/>
      <c r="AF140" s="1795"/>
      <c r="AG140" s="758"/>
      <c r="AH140" s="458"/>
      <c r="AI140" s="458"/>
      <c r="AJ140" s="458"/>
      <c r="AK140" s="458"/>
      <c r="AL140" s="458"/>
      <c r="AM140" s="458"/>
      <c r="AN140" s="458"/>
      <c r="AO140" s="458"/>
      <c r="AP140" s="458"/>
      <c r="AQ140" s="758"/>
      <c r="AR140" s="758"/>
      <c r="AS140" s="758"/>
      <c r="AT140" s="758"/>
      <c r="AU140" s="758"/>
      <c r="AV140" s="758"/>
      <c r="AW140" s="758"/>
      <c r="AX140" s="758"/>
      <c r="AY140" s="758"/>
      <c r="AZ140" s="458"/>
      <c r="BA140" s="458"/>
      <c r="BB140" s="458"/>
      <c r="BC140" s="458"/>
      <c r="BD140" s="458"/>
      <c r="BE140" s="458"/>
      <c r="BF140" s="458"/>
      <c r="BG140" s="458"/>
      <c r="BH140" s="458"/>
      <c r="BI140" s="458"/>
      <c r="BJ140" s="458"/>
    </row>
    <row r="141" spans="1:70" ht="30" customHeight="1" thickBot="1">
      <c r="A141" s="1878" t="s">
        <v>682</v>
      </c>
      <c r="B141" s="1879"/>
      <c r="C141" s="1879"/>
      <c r="D141" s="1879"/>
      <c r="E141" s="1879"/>
      <c r="F141" s="1879"/>
      <c r="G141" s="1879"/>
      <c r="H141" s="1879"/>
      <c r="I141" s="1879"/>
      <c r="J141" s="1879"/>
      <c r="K141" s="1879"/>
      <c r="L141" s="1879"/>
      <c r="M141" s="1879"/>
      <c r="N141" s="1879"/>
      <c r="O141" s="1879"/>
      <c r="P141" s="1879"/>
      <c r="Q141" s="1879"/>
      <c r="R141" s="1880"/>
      <c r="S141" s="758"/>
      <c r="T141" s="758"/>
      <c r="U141" s="758"/>
      <c r="V141" s="758"/>
      <c r="W141" s="758"/>
      <c r="X141" s="758"/>
      <c r="Y141" s="758"/>
      <c r="Z141" s="758"/>
      <c r="AA141" s="758"/>
      <c r="AB141" s="458"/>
      <c r="AC141" s="458"/>
      <c r="AD141" s="458"/>
      <c r="AE141" s="458"/>
      <c r="AF141" s="458"/>
      <c r="AG141" s="758"/>
      <c r="AH141" s="2222" t="s">
        <v>1557</v>
      </c>
      <c r="AI141" s="2222"/>
      <c r="AJ141" s="2222"/>
      <c r="AK141" s="2222"/>
      <c r="AL141" s="2222"/>
      <c r="AM141" s="2222"/>
      <c r="AN141" s="2222"/>
      <c r="AO141" s="2222"/>
      <c r="AP141" s="2222"/>
      <c r="AQ141" s="2222"/>
      <c r="AR141" s="2222"/>
      <c r="AS141" s="2222"/>
      <c r="AT141" s="2222"/>
      <c r="AU141" s="2222"/>
      <c r="AV141" s="758"/>
      <c r="AW141" s="758"/>
      <c r="AX141" s="758"/>
      <c r="AY141" s="758"/>
      <c r="AZ141" s="458"/>
      <c r="BA141" s="458"/>
      <c r="BB141" s="458"/>
      <c r="BC141" s="458"/>
      <c r="BD141" s="458"/>
      <c r="BE141" s="458"/>
      <c r="BF141" s="458"/>
      <c r="BG141" s="458"/>
      <c r="BH141" s="458"/>
      <c r="BI141" s="458"/>
      <c r="BJ141" s="458"/>
    </row>
    <row r="142" spans="1:70" ht="30" customHeight="1" thickBot="1">
      <c r="A142" s="1065" t="s">
        <v>658</v>
      </c>
      <c r="B142" s="1066"/>
      <c r="C142" s="1066"/>
      <c r="D142" s="1066"/>
      <c r="E142" s="1066"/>
      <c r="F142" s="1066"/>
      <c r="G142" s="1066"/>
      <c r="H142" s="1066"/>
      <c r="I142" s="1066"/>
      <c r="J142" s="1066"/>
      <c r="K142" s="1066"/>
      <c r="L142" s="1066"/>
      <c r="M142" s="1066"/>
      <c r="N142" s="1066"/>
      <c r="O142" s="1066"/>
      <c r="P142" s="1066"/>
      <c r="Q142" s="1066"/>
      <c r="R142" s="1067"/>
      <c r="S142" s="758"/>
      <c r="T142" s="758"/>
      <c r="U142" s="758"/>
      <c r="V142" s="758"/>
      <c r="W142" s="758"/>
      <c r="X142" s="758"/>
      <c r="Y142" s="758"/>
      <c r="Z142" s="758"/>
      <c r="AA142" s="758"/>
      <c r="AB142" s="458"/>
      <c r="AC142" s="458"/>
      <c r="AD142" s="458"/>
      <c r="AE142" s="458"/>
      <c r="AF142" s="458"/>
      <c r="AG142" s="758"/>
      <c r="AH142" s="2222"/>
      <c r="AI142" s="2222"/>
      <c r="AJ142" s="2222"/>
      <c r="AK142" s="2222"/>
      <c r="AL142" s="2222"/>
      <c r="AM142" s="2222"/>
      <c r="AN142" s="2222"/>
      <c r="AO142" s="2222"/>
      <c r="AP142" s="2222"/>
      <c r="AQ142" s="2222"/>
      <c r="AR142" s="2222"/>
      <c r="AS142" s="2222"/>
      <c r="AT142" s="2222"/>
      <c r="AU142" s="2222"/>
      <c r="AV142" s="758"/>
      <c r="AW142" s="758"/>
      <c r="AX142" s="758"/>
      <c r="AY142" s="758"/>
      <c r="AZ142" s="458"/>
      <c r="BA142" s="458"/>
      <c r="BB142" s="458"/>
      <c r="BC142" s="458"/>
      <c r="BD142" s="458"/>
      <c r="BE142" s="458"/>
      <c r="BF142" s="458"/>
      <c r="BG142" s="458"/>
      <c r="BH142" s="458"/>
      <c r="BI142" s="458"/>
      <c r="BJ142" s="458"/>
    </row>
    <row r="143" spans="1:70" ht="27" customHeight="1" thickBot="1">
      <c r="A143" s="1804"/>
      <c r="B143" s="1204" t="s">
        <v>821</v>
      </c>
      <c r="C143" s="1205"/>
      <c r="D143" s="1205"/>
      <c r="E143" s="1205"/>
      <c r="F143" s="1205"/>
      <c r="G143" s="1205"/>
      <c r="H143" s="1205"/>
      <c r="I143" s="1205"/>
      <c r="J143" s="1205"/>
      <c r="K143" s="1205"/>
      <c r="L143" s="1206"/>
      <c r="M143" s="1204" t="s">
        <v>659</v>
      </c>
      <c r="N143" s="1205"/>
      <c r="O143" s="1205"/>
      <c r="P143" s="1205"/>
      <c r="Q143" s="1206"/>
      <c r="R143" s="1189"/>
      <c r="S143" s="758"/>
      <c r="T143" s="758"/>
      <c r="U143" s="758"/>
      <c r="V143" s="758"/>
      <c r="W143" s="758"/>
      <c r="X143" s="758"/>
      <c r="Y143" s="758"/>
      <c r="Z143" s="758"/>
      <c r="AA143" s="758"/>
      <c r="AB143" s="458"/>
      <c r="AC143" s="458"/>
      <c r="AD143" s="458"/>
      <c r="AE143" s="458"/>
      <c r="AF143" s="458"/>
      <c r="AG143" s="758"/>
      <c r="AH143" s="2222"/>
      <c r="AI143" s="2222"/>
      <c r="AJ143" s="2222"/>
      <c r="AK143" s="2222"/>
      <c r="AL143" s="2222"/>
      <c r="AM143" s="2222"/>
      <c r="AN143" s="2222"/>
      <c r="AO143" s="2222"/>
      <c r="AP143" s="2222"/>
      <c r="AQ143" s="2222"/>
      <c r="AR143" s="2222"/>
      <c r="AS143" s="2222"/>
      <c r="AT143" s="2222"/>
      <c r="AU143" s="2222"/>
      <c r="AV143" s="758"/>
      <c r="AW143" s="758"/>
      <c r="AX143" s="758"/>
      <c r="AY143" s="758"/>
      <c r="AZ143" s="458"/>
      <c r="BA143" s="458"/>
      <c r="BB143" s="458"/>
      <c r="BC143" s="458"/>
      <c r="BD143" s="458"/>
      <c r="BE143" s="458"/>
      <c r="BF143" s="458"/>
      <c r="BG143" s="458"/>
      <c r="BH143" s="458"/>
      <c r="BI143" s="458"/>
      <c r="BJ143" s="458"/>
    </row>
    <row r="144" spans="1:70" ht="110.55" customHeight="1">
      <c r="A144" s="1805"/>
      <c r="B144" s="2178" t="s">
        <v>638</v>
      </c>
      <c r="C144" s="2179"/>
      <c r="D144" s="2137" t="s">
        <v>673</v>
      </c>
      <c r="E144" s="2137" t="s">
        <v>674</v>
      </c>
      <c r="F144" s="2137" t="s">
        <v>1175</v>
      </c>
      <c r="G144" s="2137" t="s">
        <v>676</v>
      </c>
      <c r="H144" s="2137" t="s">
        <v>677</v>
      </c>
      <c r="I144" s="2137" t="s">
        <v>678</v>
      </c>
      <c r="J144" s="2137" t="s">
        <v>679</v>
      </c>
      <c r="K144" s="2137" t="s">
        <v>680</v>
      </c>
      <c r="L144" s="2138" t="s">
        <v>681</v>
      </c>
      <c r="M144" s="821" t="s">
        <v>40</v>
      </c>
      <c r="N144" s="696" t="s">
        <v>39</v>
      </c>
      <c r="O144" s="696" t="s">
        <v>145</v>
      </c>
      <c r="P144" s="696" t="s">
        <v>147</v>
      </c>
      <c r="Q144" s="713" t="s">
        <v>31</v>
      </c>
      <c r="R144" s="1191"/>
      <c r="S144" s="758"/>
      <c r="T144" s="758"/>
      <c r="U144" s="758"/>
      <c r="V144" s="758"/>
      <c r="W144" s="758"/>
      <c r="X144" s="758"/>
      <c r="Y144" s="758"/>
      <c r="Z144" s="758"/>
      <c r="AA144" s="758"/>
      <c r="AB144" s="458"/>
      <c r="AC144" s="458"/>
      <c r="AD144" s="458"/>
      <c r="AE144" s="458"/>
      <c r="AF144" s="458"/>
      <c r="AG144" s="758"/>
      <c r="AH144" s="2222"/>
      <c r="AI144" s="2222"/>
      <c r="AJ144" s="2222"/>
      <c r="AK144" s="2222"/>
      <c r="AL144" s="2222"/>
      <c r="AM144" s="2222"/>
      <c r="AN144" s="2222"/>
      <c r="AO144" s="2222"/>
      <c r="AP144" s="2222"/>
      <c r="AQ144" s="2222"/>
      <c r="AR144" s="2222"/>
      <c r="AS144" s="2222"/>
      <c r="AT144" s="2222"/>
      <c r="AU144" s="2222"/>
      <c r="AV144" s="758"/>
      <c r="AW144" s="758"/>
      <c r="AX144" s="758"/>
      <c r="AY144" s="758"/>
      <c r="AZ144" s="458"/>
      <c r="BA144" s="458"/>
      <c r="BB144" s="458"/>
      <c r="BC144" s="458"/>
      <c r="BD144" s="458"/>
      <c r="BE144" s="458"/>
      <c r="BF144" s="458"/>
      <c r="BG144" s="458"/>
      <c r="BH144" s="458"/>
      <c r="BI144" s="458"/>
      <c r="BJ144" s="458"/>
    </row>
    <row r="145" spans="1:70" ht="44.55" customHeight="1" thickBot="1">
      <c r="A145" s="1805"/>
      <c r="B145" s="2178"/>
      <c r="C145" s="2179"/>
      <c r="D145" s="2137"/>
      <c r="E145" s="2137"/>
      <c r="F145" s="2132"/>
      <c r="G145" s="2137"/>
      <c r="H145" s="2137"/>
      <c r="I145" s="2137"/>
      <c r="J145" s="2137"/>
      <c r="K145" s="2137"/>
      <c r="L145" s="2138"/>
      <c r="M145" s="3" t="s">
        <v>146</v>
      </c>
      <c r="N145" s="1" t="s">
        <v>146</v>
      </c>
      <c r="O145" s="1" t="s">
        <v>146</v>
      </c>
      <c r="P145" s="1" t="s">
        <v>146</v>
      </c>
      <c r="Q145" s="4" t="s">
        <v>146</v>
      </c>
      <c r="R145" s="1191"/>
      <c r="S145" s="758"/>
      <c r="T145" s="758"/>
      <c r="U145" s="758"/>
      <c r="V145" s="758"/>
      <c r="W145" s="758"/>
      <c r="X145" s="758"/>
      <c r="Y145" s="758"/>
      <c r="Z145" s="758"/>
      <c r="AA145" s="758"/>
      <c r="AB145" s="458"/>
      <c r="AC145" s="458"/>
      <c r="AD145" s="458"/>
      <c r="AE145" s="458"/>
      <c r="AF145" s="458"/>
      <c r="AG145" s="758"/>
      <c r="AH145" s="2222"/>
      <c r="AI145" s="2222"/>
      <c r="AJ145" s="2222"/>
      <c r="AK145" s="2222"/>
      <c r="AL145" s="2222"/>
      <c r="AM145" s="2222"/>
      <c r="AN145" s="2222"/>
      <c r="AO145" s="2222"/>
      <c r="AP145" s="2222"/>
      <c r="AQ145" s="2222"/>
      <c r="AR145" s="2222"/>
      <c r="AS145" s="2222"/>
      <c r="AT145" s="2222"/>
      <c r="AU145" s="2222"/>
      <c r="AV145" s="758"/>
      <c r="AW145" s="758"/>
      <c r="AX145" s="758"/>
      <c r="AY145" s="758"/>
      <c r="AZ145" s="458"/>
      <c r="BA145" s="458"/>
      <c r="BB145" s="458"/>
      <c r="BC145" s="458"/>
      <c r="BD145" s="458"/>
      <c r="BE145" s="458"/>
      <c r="BF145" s="458"/>
      <c r="BG145" s="458"/>
      <c r="BH145" s="458"/>
      <c r="BI145" s="458"/>
      <c r="BJ145" s="458"/>
    </row>
    <row r="146" spans="1:70" ht="20.55" customHeight="1" thickBot="1">
      <c r="A146" s="1805"/>
      <c r="B146" s="2180">
        <v>2.6800000000000001E-2</v>
      </c>
      <c r="C146" s="2181"/>
      <c r="D146" s="450">
        <v>1.09E-2</v>
      </c>
      <c r="E146" s="450">
        <v>2.3000000000000001E-4</v>
      </c>
      <c r="F146" s="450">
        <v>0.114</v>
      </c>
      <c r="G146" s="450">
        <v>2.1000000000000001E-2</v>
      </c>
      <c r="H146" s="450">
        <v>0.63600000000000001</v>
      </c>
      <c r="I146" s="450">
        <v>0.16</v>
      </c>
      <c r="J146" s="450">
        <v>2.5000000000000001E-4</v>
      </c>
      <c r="K146" s="450">
        <v>2.3E-3</v>
      </c>
      <c r="L146" s="395">
        <v>1.4999999999999999E-2</v>
      </c>
      <c r="M146" s="1875" t="s">
        <v>657</v>
      </c>
      <c r="N146" s="1876"/>
      <c r="O146" s="1876"/>
      <c r="P146" s="1877"/>
      <c r="Q146" s="2175">
        <f>((B150*$B$146)+($D$146*D150)+($E$146*E150)+($F$146*F150)+($G$146*G150)+($H$146*H150)+($I$146*I150)+($J$146*J150)+($K$146*K150)+($L$146*L150))*8.76</f>
        <v>0</v>
      </c>
      <c r="R146" s="1191"/>
      <c r="S146" s="758"/>
      <c r="T146" s="758"/>
      <c r="U146" s="758"/>
      <c r="V146" s="758"/>
      <c r="W146" s="758"/>
      <c r="X146" s="758"/>
      <c r="Y146" s="758"/>
      <c r="Z146" s="758"/>
      <c r="AA146" s="758"/>
      <c r="AB146" s="458"/>
      <c r="AC146" s="458"/>
      <c r="AD146" s="458"/>
      <c r="AE146" s="458"/>
      <c r="AF146" s="458"/>
      <c r="AG146" s="758"/>
      <c r="AH146" s="2220"/>
      <c r="AI146" s="2220"/>
      <c r="AJ146" s="2220"/>
      <c r="AK146" s="2220"/>
      <c r="AL146" s="2220"/>
      <c r="AM146" s="2220"/>
      <c r="AN146" s="2220"/>
      <c r="AO146" s="2220"/>
      <c r="AP146" s="2220"/>
      <c r="AQ146" s="2220"/>
      <c r="AR146" s="2220"/>
      <c r="AS146" s="2220"/>
      <c r="AT146" s="2220"/>
      <c r="AU146" s="2220"/>
      <c r="AV146" s="758"/>
      <c r="AW146" s="758"/>
      <c r="AX146" s="758"/>
      <c r="AY146" s="758"/>
      <c r="AZ146" s="458"/>
      <c r="BA146" s="458"/>
      <c r="BB146" s="458"/>
      <c r="BC146" s="458"/>
      <c r="BD146" s="458"/>
      <c r="BE146" s="458"/>
      <c r="BF146" s="458"/>
      <c r="BG146" s="458"/>
      <c r="BH146" s="458"/>
      <c r="BI146" s="458"/>
      <c r="BJ146" s="458"/>
    </row>
    <row r="147" spans="1:70" ht="28.5" customHeight="1" thickBot="1">
      <c r="A147" s="1805"/>
      <c r="B147" s="1204" t="s">
        <v>637</v>
      </c>
      <c r="C147" s="1205"/>
      <c r="D147" s="1205"/>
      <c r="E147" s="1205"/>
      <c r="F147" s="1205"/>
      <c r="G147" s="1205"/>
      <c r="H147" s="1205"/>
      <c r="I147" s="1205"/>
      <c r="J147" s="1205"/>
      <c r="K147" s="1205"/>
      <c r="L147" s="1206"/>
      <c r="M147" s="1957"/>
      <c r="N147" s="1958"/>
      <c r="O147" s="1958"/>
      <c r="P147" s="1959"/>
      <c r="Q147" s="2176"/>
      <c r="R147" s="1191"/>
      <c r="S147" s="758"/>
      <c r="T147" s="758"/>
      <c r="U147" s="758"/>
      <c r="V147" s="758"/>
      <c r="W147" s="758"/>
      <c r="X147" s="758"/>
      <c r="Y147" s="758"/>
      <c r="Z147" s="758"/>
      <c r="AA147" s="758"/>
      <c r="AB147" s="458"/>
      <c r="AC147" s="458"/>
      <c r="AD147" s="458"/>
      <c r="AE147" s="458"/>
      <c r="AF147" s="458"/>
      <c r="AG147" s="758"/>
      <c r="AH147" s="2207"/>
      <c r="AI147" s="2208"/>
      <c r="AJ147" s="2208"/>
      <c r="AK147" s="2208"/>
      <c r="AL147" s="2208"/>
      <c r="AM147" s="2208"/>
      <c r="AN147" s="2208"/>
      <c r="AO147" s="2208"/>
      <c r="AP147" s="2208"/>
      <c r="AQ147" s="2208"/>
      <c r="AR147" s="2208"/>
      <c r="AS147" s="2208"/>
      <c r="AT147" s="2208"/>
      <c r="AU147" s="2209"/>
      <c r="AV147" s="758"/>
      <c r="AW147" s="758"/>
      <c r="AX147" s="758"/>
      <c r="AY147" s="758"/>
      <c r="AZ147" s="458"/>
      <c r="BA147" s="458"/>
      <c r="BB147" s="458"/>
      <c r="BC147" s="458"/>
      <c r="BD147" s="458"/>
      <c r="BE147" s="458"/>
      <c r="BF147" s="458"/>
      <c r="BG147" s="458"/>
      <c r="BH147" s="458"/>
      <c r="BI147" s="458"/>
      <c r="BJ147" s="458"/>
      <c r="BR147" s="438"/>
    </row>
    <row r="148" spans="1:70" ht="86.55" customHeight="1">
      <c r="A148" s="1805"/>
      <c r="B148" s="2178" t="s">
        <v>689</v>
      </c>
      <c r="C148" s="2179"/>
      <c r="D148" s="2137" t="s">
        <v>690</v>
      </c>
      <c r="E148" s="2137" t="s">
        <v>691</v>
      </c>
      <c r="F148" s="2137" t="s">
        <v>698</v>
      </c>
      <c r="G148" s="2137" t="s">
        <v>692</v>
      </c>
      <c r="H148" s="2137" t="s">
        <v>693</v>
      </c>
      <c r="I148" s="2137" t="s">
        <v>694</v>
      </c>
      <c r="J148" s="2137" t="s">
        <v>695</v>
      </c>
      <c r="K148" s="2137" t="s">
        <v>696</v>
      </c>
      <c r="L148" s="2138" t="s">
        <v>697</v>
      </c>
      <c r="M148" s="1957"/>
      <c r="N148" s="1958"/>
      <c r="O148" s="1958"/>
      <c r="P148" s="1959"/>
      <c r="Q148" s="2176"/>
      <c r="R148" s="1191"/>
      <c r="S148" s="758"/>
      <c r="T148" s="758"/>
      <c r="U148" s="758"/>
      <c r="V148" s="758"/>
      <c r="W148" s="758"/>
      <c r="X148" s="758"/>
      <c r="Y148" s="758"/>
      <c r="Z148" s="758"/>
      <c r="AA148" s="758"/>
      <c r="AB148" s="458"/>
      <c r="AC148" s="458"/>
      <c r="AD148" s="458"/>
      <c r="AE148" s="458"/>
      <c r="AF148" s="458"/>
      <c r="AG148" s="758"/>
      <c r="AH148" s="2204"/>
      <c r="AI148" s="2188" t="s">
        <v>1414</v>
      </c>
      <c r="AJ148" s="2189"/>
      <c r="AK148" s="2192" t="s">
        <v>1415</v>
      </c>
      <c r="AL148" s="2192" t="s">
        <v>1416</v>
      </c>
      <c r="AM148" s="2192" t="s">
        <v>1417</v>
      </c>
      <c r="AN148" s="2192" t="s">
        <v>1418</v>
      </c>
      <c r="AO148" s="2192" t="s">
        <v>1419</v>
      </c>
      <c r="AP148" s="2192" t="s">
        <v>1420</v>
      </c>
      <c r="AQ148" s="2192" t="s">
        <v>1421</v>
      </c>
      <c r="AR148" s="2192" t="s">
        <v>1422</v>
      </c>
      <c r="AS148" s="2184" t="s">
        <v>1423</v>
      </c>
      <c r="AT148" s="2186" t="s">
        <v>1407</v>
      </c>
      <c r="AU148" s="1495"/>
      <c r="AV148" s="458"/>
      <c r="AW148" s="458"/>
      <c r="AX148" s="458"/>
      <c r="AY148" s="458"/>
      <c r="AZ148" s="458"/>
      <c r="BA148" s="458"/>
      <c r="BB148" s="458"/>
      <c r="BC148" s="458"/>
      <c r="BD148" s="458"/>
      <c r="BE148" s="458"/>
      <c r="BF148" s="458"/>
      <c r="BG148" s="458"/>
      <c r="BH148" s="458"/>
      <c r="BI148" s="458"/>
      <c r="BJ148" s="458"/>
      <c r="BK148" s="722" t="s">
        <v>31</v>
      </c>
      <c r="BL148" s="438"/>
      <c r="BM148" s="722" t="s">
        <v>31</v>
      </c>
      <c r="BN148" s="438"/>
      <c r="BO148" s="1332" t="s">
        <v>1409</v>
      </c>
      <c r="BP148" s="1332"/>
      <c r="BQ148" s="1332"/>
      <c r="BR148" s="438"/>
    </row>
    <row r="149" spans="1:70" ht="64.5" customHeight="1" thickBot="1">
      <c r="A149" s="1805"/>
      <c r="B149" s="1932"/>
      <c r="C149" s="2182"/>
      <c r="D149" s="2132"/>
      <c r="E149" s="2132"/>
      <c r="F149" s="2132"/>
      <c r="G149" s="2132"/>
      <c r="H149" s="2132"/>
      <c r="I149" s="2132"/>
      <c r="J149" s="2132"/>
      <c r="K149" s="2132"/>
      <c r="L149" s="2134"/>
      <c r="M149" s="1957"/>
      <c r="N149" s="1958"/>
      <c r="O149" s="1958"/>
      <c r="P149" s="1959"/>
      <c r="Q149" s="2176"/>
      <c r="R149" s="1191"/>
      <c r="S149" s="758"/>
      <c r="T149" s="758"/>
      <c r="U149" s="758"/>
      <c r="V149" s="758"/>
      <c r="W149" s="758"/>
      <c r="X149" s="758"/>
      <c r="Y149" s="758"/>
      <c r="Z149" s="758"/>
      <c r="AA149" s="758"/>
      <c r="AB149" s="458"/>
      <c r="AC149" s="458"/>
      <c r="AD149" s="458"/>
      <c r="AE149" s="458"/>
      <c r="AF149" s="458"/>
      <c r="AG149" s="758"/>
      <c r="AH149" s="2205"/>
      <c r="AI149" s="2190"/>
      <c r="AJ149" s="2191"/>
      <c r="AK149" s="2158"/>
      <c r="AL149" s="2158"/>
      <c r="AM149" s="2158"/>
      <c r="AN149" s="2158"/>
      <c r="AO149" s="2158"/>
      <c r="AP149" s="2158"/>
      <c r="AQ149" s="2158"/>
      <c r="AR149" s="2158"/>
      <c r="AS149" s="2185"/>
      <c r="AT149" s="2187"/>
      <c r="AU149" s="1495"/>
      <c r="AV149" s="458"/>
      <c r="AW149" s="458"/>
      <c r="AX149" s="458"/>
      <c r="AY149" s="458"/>
      <c r="AZ149" s="458"/>
      <c r="BA149" s="458"/>
      <c r="BB149" s="458"/>
      <c r="BC149" s="458"/>
      <c r="BD149" s="458"/>
      <c r="BE149" s="458"/>
      <c r="BF149" s="458"/>
      <c r="BG149" s="458"/>
      <c r="BH149" s="458"/>
      <c r="BI149" s="458"/>
      <c r="BJ149" s="458"/>
      <c r="BK149" s="592" t="s">
        <v>1413</v>
      </c>
      <c r="BM149" s="592" t="s">
        <v>1286</v>
      </c>
      <c r="BO149" s="722" t="s">
        <v>1410</v>
      </c>
      <c r="BP149" s="828" t="s">
        <v>1411</v>
      </c>
      <c r="BQ149" s="828" t="s">
        <v>1409</v>
      </c>
      <c r="BR149" s="438"/>
    </row>
    <row r="150" spans="1:70" ht="22.95" customHeight="1" thickBot="1">
      <c r="A150" s="1806"/>
      <c r="B150" s="2152"/>
      <c r="C150" s="2153"/>
      <c r="D150" s="451"/>
      <c r="E150" s="451"/>
      <c r="F150" s="451"/>
      <c r="G150" s="451"/>
      <c r="H150" s="451"/>
      <c r="I150" s="451"/>
      <c r="J150" s="451"/>
      <c r="K150" s="451"/>
      <c r="L150" s="452"/>
      <c r="M150" s="2168"/>
      <c r="N150" s="2169"/>
      <c r="O150" s="2169"/>
      <c r="P150" s="2170"/>
      <c r="Q150" s="2177"/>
      <c r="R150" s="1673"/>
      <c r="S150" s="758"/>
      <c r="T150" s="758"/>
      <c r="U150" s="758"/>
      <c r="V150" s="758"/>
      <c r="W150" s="758"/>
      <c r="X150" s="758"/>
      <c r="Y150" s="758"/>
      <c r="Z150" s="758"/>
      <c r="AA150" s="758"/>
      <c r="AB150" s="458"/>
      <c r="AC150" s="458"/>
      <c r="AD150" s="458"/>
      <c r="AE150" s="458"/>
      <c r="AF150" s="458"/>
      <c r="AG150" s="758"/>
      <c r="AH150" s="2206"/>
      <c r="AI150" s="2152"/>
      <c r="AJ150" s="2153"/>
      <c r="AK150" s="624"/>
      <c r="AL150" s="624"/>
      <c r="AM150" s="624"/>
      <c r="AN150" s="624"/>
      <c r="AO150" s="624"/>
      <c r="AP150" s="624"/>
      <c r="AQ150" s="624"/>
      <c r="AR150" s="624"/>
      <c r="AS150" s="625"/>
      <c r="AT150" s="841" t="str">
        <f>BQ150</f>
        <v/>
      </c>
      <c r="AU150" s="1495"/>
      <c r="AV150" s="458"/>
      <c r="AW150" s="458"/>
      <c r="AX150" s="458"/>
      <c r="AY150" s="458"/>
      <c r="AZ150" s="458"/>
      <c r="BA150" s="458"/>
      <c r="BB150" s="458"/>
      <c r="BC150" s="458"/>
      <c r="BD150" s="458"/>
      <c r="BE150" s="458"/>
      <c r="BF150" s="458"/>
      <c r="BG150" s="458"/>
      <c r="BH150" s="458"/>
      <c r="BI150" s="458"/>
      <c r="BJ150" s="458"/>
      <c r="BK150" s="592" t="str">
        <f>IF(OR(AT150="",Q146=""),"",AT150*Q146)</f>
        <v/>
      </c>
      <c r="BM150" s="592" t="str">
        <f>IF(BK150="","",BK150^2)</f>
        <v/>
      </c>
      <c r="BO150" s="592">
        <f xml:space="preserve"> SQRT(    ((AI150^2+40^2)*((B150*B146)^2))      +        ((AK150^2+40^2)*((D150*D146)^2))       +        ((AL150^2+40^2)*((E150*E146)^2))       +        ((AM150^2+40^2)*((F150*F146)^2))       +        ((AN150^2+40^2)*((G150*G146)^2))       +        ((AO150^2+40^2)*((H150*H146)^2))       +        ((AP150^2+40^2)*((I150*I146)^2))       +       ((AQ150^2+40^2)*((J150*J146)^2))       +        ((AR150^2+40^2)*((K150*K146)^2))      +        ((AS150^2+40^2)*((L150*L146)^2))           )</f>
        <v>0</v>
      </c>
      <c r="BP150" s="592">
        <f>((B146*B150)+(D150*D146)+(E150*E146)+(F150*F146)+(G150*G146)+(H150*H146)+(I150*I146)+(J150*J146)+(K150*K146)+(L150*L146))</f>
        <v>0</v>
      </c>
      <c r="BQ150" s="592" t="str">
        <f>IF(OR(BP150=0,BP150=""),"",BO150/BP150)</f>
        <v/>
      </c>
      <c r="BR150" s="438"/>
    </row>
    <row r="151" spans="1:70" ht="30" customHeight="1" thickBot="1">
      <c r="A151" s="1065"/>
      <c r="B151" s="1066"/>
      <c r="C151" s="1066"/>
      <c r="D151" s="1066"/>
      <c r="E151" s="1066"/>
      <c r="F151" s="1066"/>
      <c r="G151" s="1066"/>
      <c r="H151" s="1066"/>
      <c r="I151" s="1066"/>
      <c r="J151" s="1066"/>
      <c r="K151" s="1066"/>
      <c r="L151" s="1066"/>
      <c r="M151" s="1066"/>
      <c r="N151" s="1066"/>
      <c r="O151" s="1066"/>
      <c r="P151" s="1066"/>
      <c r="Q151" s="1066"/>
      <c r="R151" s="1067"/>
      <c r="S151" s="758"/>
      <c r="T151" s="758"/>
      <c r="U151" s="758"/>
      <c r="V151" s="758"/>
      <c r="W151" s="758"/>
      <c r="X151" s="758"/>
      <c r="Y151" s="758"/>
      <c r="Z151" s="758"/>
      <c r="AA151" s="758"/>
      <c r="AB151" s="458"/>
      <c r="AC151" s="458"/>
      <c r="AD151" s="458"/>
      <c r="AE151" s="458"/>
      <c r="AF151" s="458"/>
      <c r="AG151" s="758"/>
      <c r="AH151" s="2207"/>
      <c r="AI151" s="2208"/>
      <c r="AJ151" s="2208"/>
      <c r="AK151" s="2208"/>
      <c r="AL151" s="2208"/>
      <c r="AM151" s="2208"/>
      <c r="AN151" s="2208"/>
      <c r="AO151" s="2208"/>
      <c r="AP151" s="2208"/>
      <c r="AQ151" s="2208"/>
      <c r="AR151" s="2208"/>
      <c r="AS151" s="2208"/>
      <c r="AT151" s="2208"/>
      <c r="AU151" s="2209"/>
      <c r="AV151" s="458"/>
      <c r="AW151" s="458"/>
      <c r="AX151" s="458"/>
      <c r="AY151" s="458"/>
      <c r="AZ151" s="458"/>
      <c r="BA151" s="458"/>
      <c r="BB151" s="458"/>
      <c r="BC151" s="458"/>
      <c r="BD151" s="458"/>
      <c r="BE151" s="458"/>
      <c r="BF151" s="458"/>
      <c r="BG151" s="458"/>
      <c r="BH151" s="458"/>
      <c r="BI151" s="458"/>
      <c r="BJ151" s="458"/>
      <c r="BR151" s="438"/>
    </row>
    <row r="152" spans="1:70" ht="21.45" hidden="1" customHeight="1">
      <c r="S152" s="758"/>
      <c r="T152" s="758"/>
      <c r="U152" s="758"/>
      <c r="V152" s="758"/>
      <c r="W152" s="758"/>
      <c r="X152" s="758"/>
      <c r="Y152" s="758"/>
      <c r="Z152" s="758"/>
      <c r="AA152" s="758"/>
      <c r="AB152" s="458"/>
      <c r="AC152" s="458"/>
      <c r="AD152" s="458"/>
      <c r="AE152" s="458"/>
      <c r="AF152" s="458"/>
      <c r="AG152" s="758"/>
      <c r="AV152" s="458"/>
      <c r="AW152" s="458"/>
      <c r="AX152" s="458"/>
      <c r="AY152" s="458"/>
      <c r="AZ152" s="458"/>
      <c r="BA152" s="458"/>
      <c r="BB152" s="458"/>
      <c r="BC152" s="458"/>
      <c r="BD152" s="458"/>
      <c r="BE152" s="458"/>
      <c r="BF152" s="458"/>
      <c r="BG152" s="458"/>
      <c r="BH152" s="458"/>
      <c r="BI152" s="458"/>
      <c r="BJ152" s="458"/>
      <c r="BR152" s="438"/>
    </row>
    <row r="153" spans="1:70" ht="21.45" hidden="1" customHeight="1">
      <c r="S153" s="758"/>
      <c r="T153" s="758"/>
      <c r="U153" s="758"/>
      <c r="V153" s="758"/>
      <c r="W153" s="758"/>
      <c r="X153" s="758"/>
      <c r="Y153" s="758"/>
      <c r="Z153" s="758"/>
      <c r="AA153" s="758"/>
      <c r="AB153" s="458"/>
      <c r="AC153" s="458"/>
      <c r="AD153" s="458"/>
      <c r="AE153" s="458"/>
      <c r="AF153" s="458"/>
      <c r="AG153" s="758"/>
      <c r="AV153" s="458"/>
      <c r="AW153" s="458"/>
      <c r="AX153" s="458"/>
      <c r="AY153" s="458"/>
      <c r="AZ153" s="458"/>
      <c r="BA153" s="458"/>
      <c r="BB153" s="458"/>
      <c r="BC153" s="458"/>
      <c r="BD153" s="458"/>
      <c r="BE153" s="458"/>
      <c r="BF153" s="458"/>
      <c r="BG153" s="458"/>
      <c r="BH153" s="458"/>
      <c r="BI153" s="458"/>
      <c r="BJ153" s="458"/>
      <c r="BR153" s="438"/>
    </row>
    <row r="154" spans="1:70" ht="21.45" customHeight="1">
      <c r="A154" s="1795"/>
      <c r="B154" s="1795"/>
      <c r="C154" s="1795"/>
      <c r="D154" s="1795"/>
      <c r="E154" s="1795"/>
      <c r="F154" s="1795"/>
      <c r="G154" s="1795"/>
      <c r="H154" s="1795"/>
      <c r="I154" s="1795"/>
      <c r="J154" s="1795"/>
      <c r="K154" s="1795"/>
      <c r="L154" s="1795"/>
      <c r="M154" s="1795"/>
      <c r="N154" s="1795"/>
      <c r="O154" s="1795"/>
      <c r="P154" s="1795"/>
      <c r="Q154" s="1795"/>
      <c r="R154" s="1795"/>
      <c r="S154" s="1795"/>
      <c r="T154" s="758"/>
      <c r="U154" s="758"/>
      <c r="V154" s="758"/>
      <c r="W154" s="758"/>
      <c r="X154" s="758"/>
      <c r="Y154" s="758"/>
      <c r="Z154" s="758"/>
      <c r="AA154" s="758"/>
      <c r="AB154" s="458"/>
      <c r="AC154" s="458"/>
      <c r="AD154" s="458"/>
      <c r="AE154" s="458"/>
      <c r="AF154" s="458"/>
      <c r="AG154" s="758"/>
      <c r="AH154" s="458"/>
      <c r="AI154" s="458"/>
      <c r="AJ154" s="458"/>
      <c r="AK154" s="458"/>
      <c r="AL154" s="458"/>
      <c r="AM154" s="458"/>
      <c r="AN154" s="458"/>
      <c r="AO154" s="458"/>
      <c r="AP154" s="458"/>
      <c r="AQ154" s="458"/>
      <c r="AR154" s="458"/>
      <c r="AS154" s="458"/>
      <c r="AT154" s="458"/>
      <c r="AU154" s="458"/>
      <c r="AV154" s="458"/>
      <c r="AW154" s="458"/>
      <c r="AX154" s="458"/>
      <c r="AY154" s="458"/>
      <c r="AZ154" s="458"/>
      <c r="BA154" s="458"/>
      <c r="BB154" s="458"/>
      <c r="BC154" s="458"/>
      <c r="BD154" s="458"/>
      <c r="BE154" s="458"/>
      <c r="BF154" s="458"/>
      <c r="BG154" s="458"/>
      <c r="BH154" s="458"/>
      <c r="BI154" s="458"/>
      <c r="BJ154" s="458"/>
      <c r="BR154" s="438"/>
    </row>
    <row r="155" spans="1:70" ht="21.45" customHeight="1">
      <c r="A155" s="1795"/>
      <c r="B155" s="1795"/>
      <c r="C155" s="1795"/>
      <c r="D155" s="1795"/>
      <c r="E155" s="1795"/>
      <c r="F155" s="1795"/>
      <c r="G155" s="1795"/>
      <c r="H155" s="1795"/>
      <c r="I155" s="1795"/>
      <c r="J155" s="1795"/>
      <c r="K155" s="1795"/>
      <c r="L155" s="1795"/>
      <c r="M155" s="1795"/>
      <c r="N155" s="1795"/>
      <c r="O155" s="1795"/>
      <c r="P155" s="1795"/>
      <c r="Q155" s="1795"/>
      <c r="R155" s="1795"/>
      <c r="S155" s="1795"/>
      <c r="T155" s="758"/>
      <c r="U155" s="758"/>
      <c r="V155" s="758"/>
      <c r="W155" s="758"/>
      <c r="X155" s="758"/>
      <c r="Y155" s="758"/>
      <c r="Z155" s="758"/>
      <c r="AA155" s="758"/>
      <c r="AB155" s="458"/>
      <c r="AC155" s="458"/>
      <c r="AD155" s="458"/>
      <c r="AE155" s="458"/>
      <c r="AF155" s="458"/>
      <c r="AG155" s="758"/>
      <c r="AH155" s="458"/>
      <c r="AI155" s="458"/>
      <c r="AJ155" s="458"/>
      <c r="AK155" s="458"/>
      <c r="AL155" s="458"/>
      <c r="AM155" s="458"/>
      <c r="AN155" s="458"/>
      <c r="AO155" s="458"/>
      <c r="AP155" s="458"/>
      <c r="AQ155" s="458"/>
      <c r="AR155" s="458"/>
      <c r="AS155" s="458"/>
      <c r="AT155" s="458"/>
      <c r="AU155" s="458"/>
      <c r="AV155" s="458"/>
      <c r="AW155" s="458"/>
      <c r="AX155" s="458"/>
      <c r="AY155" s="458"/>
      <c r="AZ155" s="458"/>
      <c r="BA155" s="458"/>
      <c r="BB155" s="458"/>
      <c r="BC155" s="458"/>
      <c r="BD155" s="458"/>
      <c r="BE155" s="458"/>
      <c r="BF155" s="458"/>
      <c r="BG155" s="458"/>
      <c r="BH155" s="458"/>
      <c r="BI155" s="458"/>
      <c r="BJ155" s="458"/>
      <c r="BR155" s="438"/>
    </row>
    <row r="156" spans="1:70" ht="21.45" customHeight="1" thickBot="1">
      <c r="A156" s="1994"/>
      <c r="B156" s="1994"/>
      <c r="C156" s="1994"/>
      <c r="D156" s="1994"/>
      <c r="E156" s="1994"/>
      <c r="F156" s="1994"/>
      <c r="G156" s="1994"/>
      <c r="H156" s="1994"/>
      <c r="I156" s="1994"/>
      <c r="J156" s="1994"/>
      <c r="K156" s="1994"/>
      <c r="L156" s="1994"/>
      <c r="M156" s="1994"/>
      <c r="N156" s="1994"/>
      <c r="O156" s="1994"/>
      <c r="P156" s="1994"/>
      <c r="Q156" s="1994"/>
      <c r="R156" s="1994"/>
      <c r="S156" s="1994"/>
      <c r="T156" s="758"/>
      <c r="U156" s="758"/>
      <c r="V156" s="758"/>
      <c r="W156" s="758"/>
      <c r="X156" s="758"/>
      <c r="Y156" s="758"/>
      <c r="Z156" s="758"/>
      <c r="AA156" s="758"/>
      <c r="AB156" s="458"/>
      <c r="AC156" s="458"/>
      <c r="AD156" s="458"/>
      <c r="AE156" s="458"/>
      <c r="AF156" s="458"/>
      <c r="AG156" s="758"/>
      <c r="AH156" s="458"/>
      <c r="AI156" s="458"/>
      <c r="AJ156" s="458"/>
      <c r="AK156" s="458"/>
      <c r="AL156" s="458"/>
      <c r="AM156" s="458"/>
      <c r="AN156" s="458"/>
      <c r="AO156" s="458"/>
      <c r="AP156" s="458"/>
      <c r="AQ156" s="458"/>
      <c r="AR156" s="458"/>
      <c r="AS156" s="458"/>
      <c r="AT156" s="458"/>
      <c r="AU156" s="458"/>
      <c r="AV156" s="458"/>
      <c r="AW156" s="458"/>
      <c r="AX156" s="458"/>
      <c r="AY156" s="458"/>
      <c r="AZ156" s="458"/>
      <c r="BA156" s="458"/>
      <c r="BB156" s="458"/>
      <c r="BC156" s="458"/>
      <c r="BD156" s="458"/>
      <c r="BE156" s="458"/>
      <c r="BF156" s="458"/>
      <c r="BG156" s="458"/>
      <c r="BH156" s="458"/>
      <c r="BI156" s="458"/>
      <c r="BJ156" s="458"/>
      <c r="BR156" s="438"/>
    </row>
    <row r="157" spans="1:70" ht="30" customHeight="1" thickBot="1">
      <c r="A157" s="1878" t="s">
        <v>683</v>
      </c>
      <c r="B157" s="1879"/>
      <c r="C157" s="1879"/>
      <c r="D157" s="1879"/>
      <c r="E157" s="1879"/>
      <c r="F157" s="1879"/>
      <c r="G157" s="1879"/>
      <c r="H157" s="1879"/>
      <c r="I157" s="1879"/>
      <c r="J157" s="1879"/>
      <c r="K157" s="1879"/>
      <c r="L157" s="1879"/>
      <c r="M157" s="1879"/>
      <c r="N157" s="1879"/>
      <c r="O157" s="1879"/>
      <c r="P157" s="1879"/>
      <c r="Q157" s="1879"/>
      <c r="R157" s="1879"/>
      <c r="S157" s="1880"/>
      <c r="U157" s="758"/>
      <c r="V157" s="758"/>
      <c r="W157" s="758"/>
      <c r="X157" s="758"/>
      <c r="Y157" s="758"/>
      <c r="Z157" s="758"/>
      <c r="AA157" s="758"/>
      <c r="AB157" s="458"/>
      <c r="AC157" s="458"/>
      <c r="AD157" s="458"/>
      <c r="AE157" s="458"/>
      <c r="AF157" s="458"/>
      <c r="AG157" s="758"/>
      <c r="AH157" s="2213" t="s">
        <v>1558</v>
      </c>
      <c r="AI157" s="2214"/>
      <c r="AJ157" s="2214"/>
      <c r="AK157" s="2214"/>
      <c r="AL157" s="2214"/>
      <c r="AM157" s="2214"/>
      <c r="AN157" s="2214"/>
      <c r="AO157" s="2214"/>
      <c r="AP157" s="2214"/>
      <c r="AQ157" s="2214"/>
      <c r="AR157" s="2214"/>
      <c r="AS157" s="2214"/>
      <c r="AT157" s="2214"/>
      <c r="AU157" s="2214"/>
      <c r="AV157" s="2215"/>
      <c r="AW157" s="458"/>
      <c r="AX157" s="458"/>
      <c r="AY157" s="458"/>
      <c r="AZ157" s="458"/>
      <c r="BA157" s="458"/>
      <c r="BB157" s="458"/>
      <c r="BC157" s="458"/>
      <c r="BD157" s="458"/>
      <c r="BE157" s="458"/>
      <c r="BF157" s="458"/>
      <c r="BG157" s="458"/>
      <c r="BH157" s="458"/>
      <c r="BI157" s="458"/>
      <c r="BJ157" s="458"/>
    </row>
    <row r="158" spans="1:70" ht="30" customHeight="1" thickBot="1">
      <c r="A158" s="1065" t="s">
        <v>658</v>
      </c>
      <c r="B158" s="1066"/>
      <c r="C158" s="1066"/>
      <c r="D158" s="1066"/>
      <c r="E158" s="1066"/>
      <c r="F158" s="1066"/>
      <c r="G158" s="1066"/>
      <c r="H158" s="1066"/>
      <c r="I158" s="1066"/>
      <c r="J158" s="1066"/>
      <c r="K158" s="1066"/>
      <c r="L158" s="1066"/>
      <c r="M158" s="1066"/>
      <c r="N158" s="1066"/>
      <c r="O158" s="1066"/>
      <c r="P158" s="1066"/>
      <c r="Q158" s="1066"/>
      <c r="R158" s="1066"/>
      <c r="S158" s="1067"/>
      <c r="T158" s="758"/>
      <c r="U158" s="758"/>
      <c r="V158" s="758"/>
      <c r="W158" s="758"/>
      <c r="X158" s="758"/>
      <c r="Y158" s="758"/>
      <c r="Z158" s="758"/>
      <c r="AA158" s="758"/>
      <c r="AB158" s="458"/>
      <c r="AC158" s="458"/>
      <c r="AD158" s="458"/>
      <c r="AE158" s="458"/>
      <c r="AF158" s="458"/>
      <c r="AG158" s="758"/>
      <c r="AH158" s="2216"/>
      <c r="AI158" s="2217"/>
      <c r="AJ158" s="2217"/>
      <c r="AK158" s="2217"/>
      <c r="AL158" s="2217"/>
      <c r="AM158" s="2217"/>
      <c r="AN158" s="2217"/>
      <c r="AO158" s="2217"/>
      <c r="AP158" s="2217"/>
      <c r="AQ158" s="2217"/>
      <c r="AR158" s="2217"/>
      <c r="AS158" s="2217"/>
      <c r="AT158" s="2217"/>
      <c r="AU158" s="2217"/>
      <c r="AV158" s="2218"/>
      <c r="AW158" s="458"/>
      <c r="AX158" s="458"/>
      <c r="AY158" s="458"/>
      <c r="AZ158" s="458"/>
      <c r="BA158" s="458"/>
      <c r="BB158" s="458"/>
      <c r="BC158" s="458"/>
      <c r="BD158" s="458"/>
      <c r="BE158" s="458"/>
      <c r="BF158" s="458"/>
      <c r="BG158" s="458"/>
      <c r="BH158" s="458"/>
      <c r="BI158" s="458"/>
      <c r="BJ158" s="458"/>
    </row>
    <row r="159" spans="1:70" ht="25.8" thickBot="1">
      <c r="A159" s="1804"/>
      <c r="B159" s="2139" t="s">
        <v>636</v>
      </c>
      <c r="C159" s="2141" t="s">
        <v>656</v>
      </c>
      <c r="D159" s="1073" t="s">
        <v>821</v>
      </c>
      <c r="E159" s="1074"/>
      <c r="F159" s="1074"/>
      <c r="G159" s="1074"/>
      <c r="H159" s="1074"/>
      <c r="I159" s="1074"/>
      <c r="J159" s="1074"/>
      <c r="K159" s="1074"/>
      <c r="L159" s="1074"/>
      <c r="M159" s="1075"/>
      <c r="N159" s="1073" t="s">
        <v>659</v>
      </c>
      <c r="O159" s="1074"/>
      <c r="P159" s="1074"/>
      <c r="Q159" s="1074"/>
      <c r="R159" s="1074"/>
      <c r="S159" s="1191"/>
      <c r="T159" s="758"/>
      <c r="U159" s="758"/>
      <c r="V159" s="758"/>
      <c r="W159" s="758"/>
      <c r="X159" s="758"/>
      <c r="Y159" s="758"/>
      <c r="Z159" s="758"/>
      <c r="AA159" s="758"/>
      <c r="AB159" s="458"/>
      <c r="AC159" s="458"/>
      <c r="AD159" s="458"/>
      <c r="AE159" s="458"/>
      <c r="AF159" s="458"/>
      <c r="AG159" s="758"/>
      <c r="AH159" s="2216"/>
      <c r="AI159" s="2217"/>
      <c r="AJ159" s="2217"/>
      <c r="AK159" s="2217"/>
      <c r="AL159" s="2217"/>
      <c r="AM159" s="2217"/>
      <c r="AN159" s="2217"/>
      <c r="AO159" s="2217"/>
      <c r="AP159" s="2217"/>
      <c r="AQ159" s="2217"/>
      <c r="AR159" s="2217"/>
      <c r="AS159" s="2217"/>
      <c r="AT159" s="2217"/>
      <c r="AU159" s="2217"/>
      <c r="AV159" s="2218"/>
      <c r="AW159" s="458"/>
      <c r="AX159" s="458"/>
      <c r="AY159" s="458"/>
      <c r="AZ159" s="458"/>
      <c r="BA159" s="458"/>
      <c r="BB159" s="458"/>
      <c r="BC159" s="458"/>
      <c r="BD159" s="458"/>
      <c r="BE159" s="458"/>
      <c r="BF159" s="458"/>
      <c r="BG159" s="458"/>
      <c r="BH159" s="458"/>
      <c r="BI159" s="458"/>
      <c r="BJ159" s="458"/>
    </row>
    <row r="160" spans="1:70" ht="60" customHeight="1">
      <c r="A160" s="1805"/>
      <c r="B160" s="2139"/>
      <c r="C160" s="2142"/>
      <c r="D160" s="2135" t="s">
        <v>638</v>
      </c>
      <c r="E160" s="2131" t="s">
        <v>673</v>
      </c>
      <c r="F160" s="2131" t="s">
        <v>674</v>
      </c>
      <c r="G160" s="2131" t="s">
        <v>1175</v>
      </c>
      <c r="H160" s="2131" t="s">
        <v>1176</v>
      </c>
      <c r="I160" s="2131" t="s">
        <v>677</v>
      </c>
      <c r="J160" s="2131" t="s">
        <v>678</v>
      </c>
      <c r="K160" s="2131" t="s">
        <v>679</v>
      </c>
      <c r="L160" s="2131" t="s">
        <v>680</v>
      </c>
      <c r="M160" s="2133" t="s">
        <v>681</v>
      </c>
      <c r="N160" s="821" t="s">
        <v>40</v>
      </c>
      <c r="O160" s="696" t="s">
        <v>39</v>
      </c>
      <c r="P160" s="696" t="s">
        <v>145</v>
      </c>
      <c r="Q160" s="696" t="s">
        <v>147</v>
      </c>
      <c r="R160" s="9" t="s">
        <v>31</v>
      </c>
      <c r="S160" s="1191"/>
      <c r="T160" s="758"/>
      <c r="U160" s="758"/>
      <c r="V160" s="758"/>
      <c r="W160" s="758"/>
      <c r="X160" s="758"/>
      <c r="Y160" s="758"/>
      <c r="Z160" s="758"/>
      <c r="AA160" s="758"/>
      <c r="AB160" s="458"/>
      <c r="AC160" s="458"/>
      <c r="AD160" s="458"/>
      <c r="AE160" s="458"/>
      <c r="AF160" s="458"/>
      <c r="AG160" s="758"/>
      <c r="AH160" s="2216"/>
      <c r="AI160" s="2217"/>
      <c r="AJ160" s="2217"/>
      <c r="AK160" s="2217"/>
      <c r="AL160" s="2217"/>
      <c r="AM160" s="2217"/>
      <c r="AN160" s="2217"/>
      <c r="AO160" s="2217"/>
      <c r="AP160" s="2217"/>
      <c r="AQ160" s="2217"/>
      <c r="AR160" s="2217"/>
      <c r="AS160" s="2217"/>
      <c r="AT160" s="2217"/>
      <c r="AU160" s="2217"/>
      <c r="AV160" s="2218"/>
      <c r="AW160" s="458"/>
      <c r="AX160" s="458"/>
      <c r="AY160" s="458"/>
      <c r="AZ160" s="458"/>
      <c r="BA160" s="458"/>
      <c r="BB160" s="458"/>
      <c r="BC160" s="458"/>
      <c r="BD160" s="458"/>
      <c r="BE160" s="458"/>
      <c r="BF160" s="458"/>
      <c r="BG160" s="458"/>
      <c r="BH160" s="458"/>
      <c r="BI160" s="458"/>
      <c r="BJ160" s="458"/>
    </row>
    <row r="161" spans="1:70" ht="27" customHeight="1" thickBot="1">
      <c r="A161" s="1805"/>
      <c r="B161" s="2139"/>
      <c r="C161" s="2142"/>
      <c r="D161" s="2136"/>
      <c r="E161" s="2132"/>
      <c r="F161" s="2132"/>
      <c r="G161" s="2132"/>
      <c r="H161" s="2132"/>
      <c r="I161" s="2132"/>
      <c r="J161" s="2132"/>
      <c r="K161" s="2132"/>
      <c r="L161" s="2132"/>
      <c r="M161" s="2134"/>
      <c r="N161" s="822" t="s">
        <v>146</v>
      </c>
      <c r="O161" s="697" t="s">
        <v>146</v>
      </c>
      <c r="P161" s="697" t="s">
        <v>146</v>
      </c>
      <c r="Q161" s="697" t="s">
        <v>146</v>
      </c>
      <c r="R161" s="812" t="s">
        <v>146</v>
      </c>
      <c r="S161" s="1191"/>
      <c r="T161" s="758"/>
      <c r="U161" s="758"/>
      <c r="V161" s="758"/>
      <c r="W161" s="758"/>
      <c r="X161" s="758"/>
      <c r="Y161" s="758"/>
      <c r="Z161" s="758"/>
      <c r="AA161" s="758"/>
      <c r="AB161" s="458"/>
      <c r="AC161" s="458"/>
      <c r="AD161" s="458"/>
      <c r="AE161" s="458"/>
      <c r="AF161" s="458"/>
      <c r="AG161" s="758"/>
      <c r="AH161" s="2219"/>
      <c r="AI161" s="2220"/>
      <c r="AJ161" s="2220"/>
      <c r="AK161" s="2220"/>
      <c r="AL161" s="2220"/>
      <c r="AM161" s="2220"/>
      <c r="AN161" s="2220"/>
      <c r="AO161" s="2220"/>
      <c r="AP161" s="2220"/>
      <c r="AQ161" s="2220"/>
      <c r="AR161" s="2220"/>
      <c r="AS161" s="2220"/>
      <c r="AT161" s="2220"/>
      <c r="AU161" s="2220"/>
      <c r="AV161" s="2221"/>
      <c r="AW161" s="458"/>
      <c r="AX161" s="458"/>
      <c r="AY161" s="458"/>
      <c r="AZ161" s="458"/>
      <c r="BA161" s="458"/>
      <c r="BB161" s="458"/>
      <c r="BC161" s="458"/>
      <c r="BD161" s="458"/>
      <c r="BE161" s="458"/>
      <c r="BF161" s="458"/>
      <c r="BG161" s="458"/>
      <c r="BH161" s="458"/>
      <c r="BI161" s="458"/>
      <c r="BJ161" s="458"/>
    </row>
    <row r="162" spans="1:70" ht="21" thickBot="1">
      <c r="A162" s="1805"/>
      <c r="B162" s="2139"/>
      <c r="C162" s="2141"/>
      <c r="D162" s="443">
        <v>5.9699999999999996E-3</v>
      </c>
      <c r="E162" s="443">
        <v>4.0299999999999997E-3</v>
      </c>
      <c r="F162" s="443">
        <v>2.3000000000000001E-4</v>
      </c>
      <c r="G162" s="443">
        <v>1.9900000000000001E-2</v>
      </c>
      <c r="H162" s="443">
        <v>8.6199999999999992E-3</v>
      </c>
      <c r="I162" s="443">
        <v>0.22800000000000001</v>
      </c>
      <c r="J162" s="443">
        <v>0.104</v>
      </c>
      <c r="K162" s="443">
        <v>1.83E-3</v>
      </c>
      <c r="L162" s="443">
        <v>1.6999999999999999E-3</v>
      </c>
      <c r="M162" s="443">
        <v>1.4999999999999999E-2</v>
      </c>
      <c r="N162" s="1840" t="s">
        <v>657</v>
      </c>
      <c r="O162" s="1841"/>
      <c r="P162" s="1841"/>
      <c r="Q162" s="2144"/>
      <c r="R162" s="453">
        <f>SUM(R166:R273)</f>
        <v>0</v>
      </c>
      <c r="S162" s="1191"/>
      <c r="T162" s="758"/>
      <c r="U162" s="758"/>
      <c r="V162" s="758"/>
      <c r="W162" s="758"/>
      <c r="X162" s="758"/>
      <c r="Y162" s="758"/>
      <c r="Z162" s="758"/>
      <c r="AA162" s="758"/>
      <c r="AB162" s="458"/>
      <c r="AC162" s="458"/>
      <c r="AD162" s="458"/>
      <c r="AE162" s="458"/>
      <c r="AF162" s="458"/>
      <c r="AG162" s="758"/>
      <c r="AH162" s="2198"/>
      <c r="AI162" s="2199"/>
      <c r="AJ162" s="2199"/>
      <c r="AK162" s="2199"/>
      <c r="AL162" s="2199"/>
      <c r="AM162" s="2199"/>
      <c r="AN162" s="2199"/>
      <c r="AO162" s="2199"/>
      <c r="AP162" s="2199"/>
      <c r="AQ162" s="2199"/>
      <c r="AR162" s="2199"/>
      <c r="AS162" s="2199"/>
      <c r="AT162" s="2199"/>
      <c r="AU162" s="2199"/>
      <c r="AV162" s="2200"/>
      <c r="AW162" s="458"/>
      <c r="AX162" s="458"/>
      <c r="AY162" s="458"/>
      <c r="AZ162" s="458"/>
      <c r="BA162" s="458"/>
      <c r="BB162" s="458"/>
      <c r="BC162" s="458"/>
      <c r="BD162" s="458"/>
      <c r="BE162" s="458"/>
      <c r="BF162" s="458"/>
      <c r="BG162" s="458"/>
      <c r="BH162" s="458"/>
      <c r="BI162" s="458"/>
      <c r="BJ162" s="458"/>
    </row>
    <row r="163" spans="1:70" ht="25.8" thickBot="1">
      <c r="A163" s="1805"/>
      <c r="B163" s="2139"/>
      <c r="C163" s="2141"/>
      <c r="D163" s="1204" t="s">
        <v>637</v>
      </c>
      <c r="E163" s="1205"/>
      <c r="F163" s="1205"/>
      <c r="G163" s="1205"/>
      <c r="H163" s="1205"/>
      <c r="I163" s="1205"/>
      <c r="J163" s="1205"/>
      <c r="K163" s="1205"/>
      <c r="L163" s="1205"/>
      <c r="M163" s="1206"/>
      <c r="N163" s="1232" t="s">
        <v>660</v>
      </c>
      <c r="O163" s="1233"/>
      <c r="P163" s="1233"/>
      <c r="Q163" s="1233"/>
      <c r="R163" s="1233"/>
      <c r="S163" s="1191"/>
      <c r="T163" s="758"/>
      <c r="U163" s="758"/>
      <c r="V163" s="758"/>
      <c r="W163" s="758"/>
      <c r="X163" s="758"/>
      <c r="Y163" s="758"/>
      <c r="Z163" s="758"/>
      <c r="AA163" s="758"/>
      <c r="AB163" s="458"/>
      <c r="AC163" s="458"/>
      <c r="AD163" s="458"/>
      <c r="AE163" s="458"/>
      <c r="AF163" s="458"/>
      <c r="AG163" s="758"/>
      <c r="AH163" s="2201"/>
      <c r="AI163" s="2202"/>
      <c r="AJ163" s="2202"/>
      <c r="AK163" s="2202"/>
      <c r="AL163" s="2202"/>
      <c r="AM163" s="2202"/>
      <c r="AN163" s="2202"/>
      <c r="AO163" s="2202"/>
      <c r="AP163" s="2202"/>
      <c r="AQ163" s="2202"/>
      <c r="AR163" s="2202"/>
      <c r="AS163" s="2202"/>
      <c r="AT163" s="2202"/>
      <c r="AU163" s="2202"/>
      <c r="AV163" s="2203"/>
      <c r="AW163" s="458"/>
      <c r="AX163" s="458"/>
      <c r="AY163" s="458"/>
      <c r="AZ163" s="458"/>
      <c r="BA163" s="458"/>
      <c r="BB163" s="458"/>
      <c r="BC163" s="458"/>
      <c r="BD163" s="458"/>
      <c r="BE163" s="458"/>
      <c r="BF163" s="458"/>
      <c r="BG163" s="458"/>
      <c r="BH163" s="458"/>
      <c r="BI163" s="458"/>
      <c r="BJ163" s="458"/>
    </row>
    <row r="164" spans="1:70" ht="60" customHeight="1">
      <c r="A164" s="1805"/>
      <c r="B164" s="2139"/>
      <c r="C164" s="2141"/>
      <c r="D164" s="2135" t="s">
        <v>618</v>
      </c>
      <c r="E164" s="810" t="s">
        <v>662</v>
      </c>
      <c r="F164" s="810" t="s">
        <v>663</v>
      </c>
      <c r="G164" s="810" t="s">
        <v>698</v>
      </c>
      <c r="H164" s="810" t="s">
        <v>664</v>
      </c>
      <c r="I164" s="810" t="s">
        <v>665</v>
      </c>
      <c r="J164" s="810" t="s">
        <v>666</v>
      </c>
      <c r="K164" s="810" t="s">
        <v>667</v>
      </c>
      <c r="L164" s="810" t="s">
        <v>668</v>
      </c>
      <c r="M164" s="2133" t="s">
        <v>669</v>
      </c>
      <c r="N164" s="821" t="s">
        <v>40</v>
      </c>
      <c r="O164" s="696" t="s">
        <v>39</v>
      </c>
      <c r="P164" s="696" t="s">
        <v>145</v>
      </c>
      <c r="Q164" s="696" t="s">
        <v>147</v>
      </c>
      <c r="R164" s="9" t="s">
        <v>31</v>
      </c>
      <c r="S164" s="1191"/>
      <c r="T164" s="758"/>
      <c r="U164" s="758"/>
      <c r="V164" s="758"/>
      <c r="W164" s="758"/>
      <c r="X164" s="758"/>
      <c r="Y164" s="758"/>
      <c r="Z164" s="758"/>
      <c r="AA164" s="758"/>
      <c r="AB164" s="458"/>
      <c r="AC164" s="458"/>
      <c r="AD164" s="458"/>
      <c r="AE164" s="458"/>
      <c r="AF164" s="458"/>
      <c r="AG164" s="758"/>
      <c r="AH164" s="2204"/>
      <c r="AI164" s="2171" t="str">
        <f>B159</f>
        <v>شماره جريان</v>
      </c>
      <c r="AJ164" s="2171" t="s">
        <v>1408</v>
      </c>
      <c r="AK164" s="2171" t="s">
        <v>1384</v>
      </c>
      <c r="AL164" s="2171" t="s">
        <v>1424</v>
      </c>
      <c r="AM164" s="2171" t="s">
        <v>1425</v>
      </c>
      <c r="AN164" s="2171" t="s">
        <v>1417</v>
      </c>
      <c r="AO164" s="2171" t="s">
        <v>1426</v>
      </c>
      <c r="AP164" s="2171" t="s">
        <v>1427</v>
      </c>
      <c r="AQ164" s="2171" t="s">
        <v>1428</v>
      </c>
      <c r="AR164" s="2171" t="s">
        <v>1429</v>
      </c>
      <c r="AS164" s="2171" t="s">
        <v>1430</v>
      </c>
      <c r="AT164" s="2171" t="s">
        <v>1431</v>
      </c>
      <c r="AU164" s="2173" t="s">
        <v>1407</v>
      </c>
      <c r="AV164" s="2204"/>
      <c r="AW164" s="458"/>
      <c r="AX164" s="458"/>
      <c r="AY164" s="458"/>
      <c r="AZ164" s="458"/>
      <c r="BA164" s="458"/>
      <c r="BB164" s="458"/>
      <c r="BC164" s="458"/>
      <c r="BD164" s="458"/>
      <c r="BE164" s="458"/>
      <c r="BF164" s="458"/>
      <c r="BG164" s="458"/>
      <c r="BH164" s="458"/>
      <c r="BI164" s="458"/>
      <c r="BJ164" s="458"/>
      <c r="BK164" s="722" t="s">
        <v>31</v>
      </c>
      <c r="BL164" s="438"/>
      <c r="BM164" s="722" t="s">
        <v>31</v>
      </c>
      <c r="BN164" s="438"/>
      <c r="BO164" s="1332" t="s">
        <v>1409</v>
      </c>
      <c r="BP164" s="1332"/>
      <c r="BQ164" s="1332"/>
      <c r="BR164" s="438"/>
    </row>
    <row r="165" spans="1:70" ht="30.45" customHeight="1" thickBot="1">
      <c r="A165" s="1805"/>
      <c r="B165" s="2140"/>
      <c r="C165" s="2143"/>
      <c r="D165" s="2136"/>
      <c r="E165" s="809"/>
      <c r="F165" s="809"/>
      <c r="G165" s="809"/>
      <c r="H165" s="809"/>
      <c r="I165" s="809"/>
      <c r="J165" s="809"/>
      <c r="K165" s="809"/>
      <c r="L165" s="809"/>
      <c r="M165" s="2134"/>
      <c r="N165" s="822" t="s">
        <v>146</v>
      </c>
      <c r="O165" s="697" t="s">
        <v>146</v>
      </c>
      <c r="P165" s="697" t="s">
        <v>146</v>
      </c>
      <c r="Q165" s="697" t="s">
        <v>146</v>
      </c>
      <c r="R165" s="812" t="s">
        <v>146</v>
      </c>
      <c r="S165" s="1191"/>
      <c r="T165" s="758"/>
      <c r="U165" s="758"/>
      <c r="V165" s="758"/>
      <c r="W165" s="758"/>
      <c r="X165" s="758"/>
      <c r="Y165" s="758"/>
      <c r="Z165" s="758"/>
      <c r="AA165" s="758"/>
      <c r="AB165" s="458"/>
      <c r="AC165" s="458"/>
      <c r="AD165" s="458"/>
      <c r="AE165" s="458"/>
      <c r="AF165" s="458"/>
      <c r="AG165" s="758"/>
      <c r="AH165" s="2205"/>
      <c r="AI165" s="2172"/>
      <c r="AJ165" s="2172"/>
      <c r="AK165" s="2172"/>
      <c r="AL165" s="2172"/>
      <c r="AM165" s="2172"/>
      <c r="AN165" s="2172"/>
      <c r="AO165" s="2172"/>
      <c r="AP165" s="2172"/>
      <c r="AQ165" s="2172"/>
      <c r="AR165" s="2172"/>
      <c r="AS165" s="2172"/>
      <c r="AT165" s="2172"/>
      <c r="AU165" s="2174"/>
      <c r="AV165" s="2205"/>
      <c r="AW165" s="458"/>
      <c r="AX165" s="458"/>
      <c r="AY165" s="458"/>
      <c r="AZ165" s="458"/>
      <c r="BA165" s="458"/>
      <c r="BB165" s="458"/>
      <c r="BC165" s="458"/>
      <c r="BD165" s="458"/>
      <c r="BE165" s="458"/>
      <c r="BF165" s="458"/>
      <c r="BG165" s="458"/>
      <c r="BH165" s="458"/>
      <c r="BI165" s="458"/>
      <c r="BJ165" s="458"/>
      <c r="BK165" s="592" t="s">
        <v>1413</v>
      </c>
      <c r="BM165" s="592" t="s">
        <v>1286</v>
      </c>
      <c r="BO165" s="593" t="s">
        <v>1410</v>
      </c>
      <c r="BP165" s="593" t="s">
        <v>1411</v>
      </c>
      <c r="BQ165" s="593" t="s">
        <v>1409</v>
      </c>
      <c r="BR165" s="593" t="s">
        <v>1412</v>
      </c>
    </row>
    <row r="166" spans="1:70" ht="15.6">
      <c r="A166" s="1805"/>
      <c r="B166" s="655"/>
      <c r="C166" s="454"/>
      <c r="D166" s="233"/>
      <c r="E166" s="233"/>
      <c r="F166" s="233"/>
      <c r="G166" s="233"/>
      <c r="H166" s="233"/>
      <c r="I166" s="233"/>
      <c r="J166" s="233"/>
      <c r="K166" s="233"/>
      <c r="L166" s="233"/>
      <c r="M166" s="233"/>
      <c r="N166" s="2145" t="s">
        <v>657</v>
      </c>
      <c r="O166" s="2146"/>
      <c r="P166" s="2146"/>
      <c r="Q166" s="2147"/>
      <c r="R166" s="824">
        <f>((D166*$D$162)+($E$162*E166)+($F$162*F166)+($G$162*G166)+($H$162*H166)+($I$162*I166)+($J$162*J166)+($K$162*K166)+($L$162*L166)+($M$162*M166))*C166*8.76</f>
        <v>0</v>
      </c>
      <c r="S166" s="1191"/>
      <c r="T166" s="758"/>
      <c r="U166" s="758"/>
      <c r="V166" s="758"/>
      <c r="W166" s="758"/>
      <c r="X166" s="758"/>
      <c r="Y166" s="758"/>
      <c r="Z166" s="758"/>
      <c r="AA166" s="758"/>
      <c r="AB166" s="458"/>
      <c r="AC166" s="458"/>
      <c r="AD166" s="458"/>
      <c r="AE166" s="458"/>
      <c r="AF166" s="458"/>
      <c r="AG166" s="758"/>
      <c r="AH166" s="2205"/>
      <c r="AI166" s="842">
        <f>B166</f>
        <v>0</v>
      </c>
      <c r="AJ166" s="233"/>
      <c r="AK166" s="233"/>
      <c r="AL166" s="233"/>
      <c r="AM166" s="233"/>
      <c r="AN166" s="233"/>
      <c r="AO166" s="233"/>
      <c r="AP166" s="233"/>
      <c r="AQ166" s="233"/>
      <c r="AR166" s="233"/>
      <c r="AS166" s="233"/>
      <c r="AT166" s="363"/>
      <c r="AU166" s="626" t="str">
        <f>BR166</f>
        <v/>
      </c>
      <c r="AV166" s="2205"/>
      <c r="AW166" s="458"/>
      <c r="AX166" s="458"/>
      <c r="AY166" s="458"/>
      <c r="AZ166" s="458"/>
      <c r="BA166" s="458"/>
      <c r="BB166" s="458"/>
      <c r="BC166" s="458"/>
      <c r="BD166" s="458"/>
      <c r="BE166" s="458"/>
      <c r="BF166" s="458"/>
      <c r="BG166" s="458"/>
      <c r="BH166" s="458"/>
      <c r="BI166" s="458"/>
      <c r="BJ166" s="458"/>
      <c r="BK166" s="592" t="str">
        <f>IF(OR(AU166="",R166=""),"",AU166*R166)</f>
        <v/>
      </c>
      <c r="BM166" s="592" t="str">
        <f>IF(BK166="","",BK166^2)</f>
        <v/>
      </c>
      <c r="BO166" s="592">
        <f xml:space="preserve"> SQRT(    ((AK166^2+40^2)*((D166*$D$162)^2))      +        ((40^2+AL166^2)*(($E$162*E166)^2))       +        ((40^2+AM166^2)*(($F$162*F166)^2))       +        ((40^2+AN166^2)*(($G$162*G166)^2))       +        ((40^2+AO166^2)*(($H$162*H166)^2))       +        ((40^2+AP166^2)*(($I$162*I166)^2))       +        ((40^2+AQ166^2)*(($J$162*J166)^2))       +       ((40^2+AR166^2)*(($K$162*K166)^2))       +        ((40^2+AS166^2)*(($L$162*L166)^2))       +        ((40^2+AT166^2)*(($M$162*M166)^2))           )</f>
        <v>0</v>
      </c>
      <c r="BP166" s="592">
        <f>((D166*$D$162)+($E$162*E166)+($F$162*F166)+($G$162*G166)+($H$162*H166)+($I$162*I166)+($J$162*J166)+($K$162*K166)+($L$162*L166)+($M$162*M166))</f>
        <v>0</v>
      </c>
      <c r="BQ166" s="592" t="str">
        <f>IF(OR(BP166=0,BP166=""),"",BO166/BP166)</f>
        <v/>
      </c>
      <c r="BR166" s="592" t="str">
        <f>IF(OR(BQ166="",AJ166=""),"",SQRT((BQ166)^2+(AJ166)^2))</f>
        <v/>
      </c>
    </row>
    <row r="167" spans="1:70" ht="15.6">
      <c r="A167" s="1805"/>
      <c r="B167" s="656"/>
      <c r="C167" s="454"/>
      <c r="D167" s="233"/>
      <c r="E167" s="233"/>
      <c r="F167" s="233"/>
      <c r="G167" s="233"/>
      <c r="H167" s="233"/>
      <c r="I167" s="233"/>
      <c r="J167" s="233"/>
      <c r="K167" s="233"/>
      <c r="L167" s="233"/>
      <c r="M167" s="233"/>
      <c r="N167" s="2145"/>
      <c r="O167" s="2146"/>
      <c r="P167" s="2146"/>
      <c r="Q167" s="2147"/>
      <c r="R167" s="824">
        <f t="shared" ref="R167:R230" si="20">((D167*$D$162)+($E$162*E167)+($F$162*F167)+($G$162*G167)+($H$162*H167)+($I$162*I167)+($J$162*J167)+($K$162*K167)+($L$162*L167)+($M$162*M167))*C167*8.76</f>
        <v>0</v>
      </c>
      <c r="S167" s="1191"/>
      <c r="T167" s="758"/>
      <c r="U167" s="758"/>
      <c r="V167" s="758"/>
      <c r="W167" s="758"/>
      <c r="X167" s="758"/>
      <c r="Y167" s="758"/>
      <c r="Z167" s="758"/>
      <c r="AA167" s="758"/>
      <c r="AB167" s="458"/>
      <c r="AC167" s="458"/>
      <c r="AD167" s="458"/>
      <c r="AE167" s="458"/>
      <c r="AF167" s="458"/>
      <c r="AG167" s="758"/>
      <c r="AH167" s="2205"/>
      <c r="AI167" s="842">
        <f t="shared" ref="AI167:AI230" si="21">B167</f>
        <v>0</v>
      </c>
      <c r="AJ167" s="233"/>
      <c r="AK167" s="233"/>
      <c r="AL167" s="233"/>
      <c r="AM167" s="233"/>
      <c r="AN167" s="233"/>
      <c r="AO167" s="233"/>
      <c r="AP167" s="233"/>
      <c r="AQ167" s="233"/>
      <c r="AR167" s="233"/>
      <c r="AS167" s="233"/>
      <c r="AT167" s="363"/>
      <c r="AU167" s="626" t="str">
        <f t="shared" ref="AU167:AU230" si="22">BR167</f>
        <v/>
      </c>
      <c r="AV167" s="2205"/>
      <c r="AW167" s="458"/>
      <c r="AX167" s="458"/>
      <c r="AY167" s="458"/>
      <c r="AZ167" s="458"/>
      <c r="BA167" s="458"/>
      <c r="BB167" s="458"/>
      <c r="BC167" s="458"/>
      <c r="BD167" s="458"/>
      <c r="BE167" s="458"/>
      <c r="BF167" s="458"/>
      <c r="BG167" s="458"/>
      <c r="BH167" s="458"/>
      <c r="BI167" s="458"/>
      <c r="BJ167" s="458"/>
      <c r="BK167" s="592" t="str">
        <f t="shared" ref="BK167:BK230" si="23">IF(OR(AU167="",R167=""),"",AU167*R167)</f>
        <v/>
      </c>
      <c r="BM167" s="592" t="str">
        <f t="shared" ref="BM167:BM230" si="24">IF(BK167="","",BK167^2)</f>
        <v/>
      </c>
      <c r="BO167" s="592">
        <f t="shared" ref="BO167:BO230" si="25" xml:space="preserve"> SQRT(    ((AK167^2+40^2)*((D167*$D$162)^2))      +        ((40^2+AL167^2)*(($E$162*E167)^2))       +        ((40^2+AM167^2)*(($F$162*F167)^2))       +        ((40^2+AN167^2)*(($G$162*G167)^2))       +        ((40^2+AO167^2)*(($H$162*H167)^2))       +        ((40^2+AP167^2)*(($I$162*I167)^2))       +        ((40^2+AQ167^2)*(($J$162*J167)^2))       +       ((40^2+AR167^2)*(($K$162*K167)^2))       +        ((40^2+AS167^2)*(($L$162*L167)^2))       +        ((40^2+AT167^2)*(($M$162*M167)^2))           )</f>
        <v>0</v>
      </c>
      <c r="BP167" s="592">
        <f t="shared" ref="BP167:BP230" si="26">((D167*$D$162)+($E$162*E167)+($F$162*F167)+($G$162*G167)+($H$162*H167)+($I$162*I167)+($J$162*J167)+($K$162*K167)+($L$162*L167)+($M$162*M167))</f>
        <v>0</v>
      </c>
      <c r="BQ167" s="592" t="str">
        <f t="shared" ref="BQ167:BQ230" si="27">IF(OR(BP167=0,BP167=""),"",BO167/BP167)</f>
        <v/>
      </c>
      <c r="BR167" s="592" t="str">
        <f t="shared" ref="BR167:BR230" si="28">IF(OR(BQ167="",AJ167=""),"",SQRT((BQ167)^2+(AJ167)^2))</f>
        <v/>
      </c>
    </row>
    <row r="168" spans="1:70" ht="15.6">
      <c r="A168" s="1805"/>
      <c r="B168" s="656"/>
      <c r="C168" s="454"/>
      <c r="D168" s="233"/>
      <c r="E168" s="233"/>
      <c r="F168" s="233"/>
      <c r="G168" s="233"/>
      <c r="H168" s="233"/>
      <c r="I168" s="233"/>
      <c r="J168" s="233"/>
      <c r="K168" s="233"/>
      <c r="L168" s="233"/>
      <c r="M168" s="233"/>
      <c r="N168" s="2145"/>
      <c r="O168" s="2146"/>
      <c r="P168" s="2146"/>
      <c r="Q168" s="2147"/>
      <c r="R168" s="824">
        <f t="shared" si="20"/>
        <v>0</v>
      </c>
      <c r="S168" s="1191"/>
      <c r="T168" s="758"/>
      <c r="U168" s="758"/>
      <c r="V168" s="758"/>
      <c r="W168" s="758"/>
      <c r="X168" s="758"/>
      <c r="Y168" s="758"/>
      <c r="Z168" s="758"/>
      <c r="AA168" s="758"/>
      <c r="AB168" s="458"/>
      <c r="AC168" s="458"/>
      <c r="AD168" s="458"/>
      <c r="AE168" s="458"/>
      <c r="AF168" s="458"/>
      <c r="AG168" s="758"/>
      <c r="AH168" s="2205"/>
      <c r="AI168" s="842">
        <f t="shared" si="21"/>
        <v>0</v>
      </c>
      <c r="AJ168" s="233"/>
      <c r="AK168" s="233"/>
      <c r="AL168" s="233"/>
      <c r="AM168" s="233"/>
      <c r="AN168" s="233"/>
      <c r="AO168" s="233"/>
      <c r="AP168" s="233"/>
      <c r="AQ168" s="233"/>
      <c r="AR168" s="233"/>
      <c r="AS168" s="233"/>
      <c r="AT168" s="363"/>
      <c r="AU168" s="626" t="str">
        <f t="shared" si="22"/>
        <v/>
      </c>
      <c r="AV168" s="2205"/>
      <c r="AW168" s="458"/>
      <c r="AX168" s="458"/>
      <c r="AY168" s="458"/>
      <c r="AZ168" s="458"/>
      <c r="BA168" s="458"/>
      <c r="BB168" s="458"/>
      <c r="BC168" s="458"/>
      <c r="BD168" s="458"/>
      <c r="BE168" s="458"/>
      <c r="BF168" s="458"/>
      <c r="BG168" s="458"/>
      <c r="BH168" s="458"/>
      <c r="BI168" s="458"/>
      <c r="BJ168" s="458"/>
      <c r="BK168" s="592" t="str">
        <f t="shared" si="23"/>
        <v/>
      </c>
      <c r="BM168" s="592" t="str">
        <f t="shared" si="24"/>
        <v/>
      </c>
      <c r="BO168" s="592">
        <f t="shared" si="25"/>
        <v>0</v>
      </c>
      <c r="BP168" s="592">
        <f t="shared" si="26"/>
        <v>0</v>
      </c>
      <c r="BQ168" s="592" t="str">
        <f t="shared" si="27"/>
        <v/>
      </c>
      <c r="BR168" s="592" t="str">
        <f t="shared" si="28"/>
        <v/>
      </c>
    </row>
    <row r="169" spans="1:70" ht="15.6">
      <c r="A169" s="1805"/>
      <c r="B169" s="656"/>
      <c r="C169" s="454"/>
      <c r="D169" s="233"/>
      <c r="E169" s="233"/>
      <c r="F169" s="233"/>
      <c r="G169" s="233"/>
      <c r="H169" s="233"/>
      <c r="I169" s="233"/>
      <c r="J169" s="233"/>
      <c r="K169" s="233"/>
      <c r="L169" s="233"/>
      <c r="M169" s="233"/>
      <c r="N169" s="2145"/>
      <c r="O169" s="2146"/>
      <c r="P169" s="2146"/>
      <c r="Q169" s="2147"/>
      <c r="R169" s="824">
        <f t="shared" si="20"/>
        <v>0</v>
      </c>
      <c r="S169" s="1191"/>
      <c r="T169" s="758"/>
      <c r="U169" s="758"/>
      <c r="V169" s="758"/>
      <c r="W169" s="758"/>
      <c r="X169" s="758"/>
      <c r="Y169" s="758"/>
      <c r="Z169" s="758"/>
      <c r="AA169" s="758"/>
      <c r="AB169" s="458"/>
      <c r="AC169" s="458"/>
      <c r="AD169" s="458"/>
      <c r="AE169" s="458"/>
      <c r="AF169" s="458"/>
      <c r="AG169" s="758"/>
      <c r="AH169" s="2205"/>
      <c r="AI169" s="842">
        <f t="shared" si="21"/>
        <v>0</v>
      </c>
      <c r="AJ169" s="233"/>
      <c r="AK169" s="233"/>
      <c r="AL169" s="233"/>
      <c r="AM169" s="233"/>
      <c r="AN169" s="233"/>
      <c r="AO169" s="233"/>
      <c r="AP169" s="233"/>
      <c r="AQ169" s="233"/>
      <c r="AR169" s="233"/>
      <c r="AS169" s="233"/>
      <c r="AT169" s="363"/>
      <c r="AU169" s="626" t="str">
        <f t="shared" si="22"/>
        <v/>
      </c>
      <c r="AV169" s="2205"/>
      <c r="AW169" s="458"/>
      <c r="AX169" s="458"/>
      <c r="AY169" s="458"/>
      <c r="AZ169" s="458"/>
      <c r="BA169" s="458"/>
      <c r="BB169" s="458"/>
      <c r="BC169" s="458"/>
      <c r="BD169" s="458"/>
      <c r="BE169" s="458"/>
      <c r="BF169" s="458"/>
      <c r="BG169" s="458"/>
      <c r="BH169" s="458"/>
      <c r="BI169" s="458"/>
      <c r="BJ169" s="458"/>
      <c r="BK169" s="592" t="str">
        <f t="shared" si="23"/>
        <v/>
      </c>
      <c r="BM169" s="592" t="str">
        <f t="shared" si="24"/>
        <v/>
      </c>
      <c r="BO169" s="592">
        <f t="shared" si="25"/>
        <v>0</v>
      </c>
      <c r="BP169" s="592">
        <f t="shared" si="26"/>
        <v>0</v>
      </c>
      <c r="BQ169" s="592" t="str">
        <f t="shared" si="27"/>
        <v/>
      </c>
      <c r="BR169" s="592" t="str">
        <f t="shared" si="28"/>
        <v/>
      </c>
    </row>
    <row r="170" spans="1:70" ht="15.6">
      <c r="A170" s="1805"/>
      <c r="B170" s="656"/>
      <c r="C170" s="454"/>
      <c r="D170" s="233"/>
      <c r="E170" s="233"/>
      <c r="F170" s="233"/>
      <c r="G170" s="233"/>
      <c r="H170" s="233"/>
      <c r="I170" s="233"/>
      <c r="J170" s="233"/>
      <c r="K170" s="233"/>
      <c r="L170" s="233"/>
      <c r="M170" s="233"/>
      <c r="N170" s="2145"/>
      <c r="O170" s="2146"/>
      <c r="P170" s="2146"/>
      <c r="Q170" s="2147"/>
      <c r="R170" s="824">
        <f t="shared" si="20"/>
        <v>0</v>
      </c>
      <c r="S170" s="1191"/>
      <c r="T170" s="758"/>
      <c r="U170" s="758"/>
      <c r="V170" s="758"/>
      <c r="W170" s="758"/>
      <c r="X170" s="758"/>
      <c r="Y170" s="758"/>
      <c r="Z170" s="758"/>
      <c r="AA170" s="758"/>
      <c r="AB170" s="458"/>
      <c r="AC170" s="458"/>
      <c r="AD170" s="458"/>
      <c r="AE170" s="458"/>
      <c r="AF170" s="458"/>
      <c r="AG170" s="758"/>
      <c r="AH170" s="2205"/>
      <c r="AI170" s="842">
        <f t="shared" si="21"/>
        <v>0</v>
      </c>
      <c r="AJ170" s="233"/>
      <c r="AK170" s="233"/>
      <c r="AL170" s="233"/>
      <c r="AM170" s="233"/>
      <c r="AN170" s="233"/>
      <c r="AO170" s="233"/>
      <c r="AP170" s="233"/>
      <c r="AQ170" s="233"/>
      <c r="AR170" s="233"/>
      <c r="AS170" s="233"/>
      <c r="AT170" s="363"/>
      <c r="AU170" s="626" t="str">
        <f t="shared" si="22"/>
        <v/>
      </c>
      <c r="AV170" s="2205"/>
      <c r="AW170" s="458"/>
      <c r="AX170" s="458"/>
      <c r="AY170" s="458"/>
      <c r="AZ170" s="458"/>
      <c r="BA170" s="458"/>
      <c r="BB170" s="458"/>
      <c r="BC170" s="458"/>
      <c r="BD170" s="458"/>
      <c r="BE170" s="458"/>
      <c r="BF170" s="458"/>
      <c r="BG170" s="458"/>
      <c r="BH170" s="458"/>
      <c r="BI170" s="458"/>
      <c r="BJ170" s="458"/>
      <c r="BK170" s="592" t="str">
        <f t="shared" si="23"/>
        <v/>
      </c>
      <c r="BM170" s="592" t="str">
        <f t="shared" si="24"/>
        <v/>
      </c>
      <c r="BO170" s="592">
        <f t="shared" si="25"/>
        <v>0</v>
      </c>
      <c r="BP170" s="592">
        <f t="shared" si="26"/>
        <v>0</v>
      </c>
      <c r="BQ170" s="592" t="str">
        <f t="shared" si="27"/>
        <v/>
      </c>
      <c r="BR170" s="592" t="str">
        <f t="shared" si="28"/>
        <v/>
      </c>
    </row>
    <row r="171" spans="1:70" ht="15.6">
      <c r="A171" s="1805"/>
      <c r="B171" s="656"/>
      <c r="C171" s="454"/>
      <c r="D171" s="233"/>
      <c r="E171" s="233"/>
      <c r="F171" s="233"/>
      <c r="G171" s="233"/>
      <c r="H171" s="233"/>
      <c r="I171" s="233"/>
      <c r="J171" s="233"/>
      <c r="K171" s="233"/>
      <c r="L171" s="233"/>
      <c r="M171" s="233"/>
      <c r="N171" s="2145"/>
      <c r="O171" s="2146"/>
      <c r="P171" s="2146"/>
      <c r="Q171" s="2147"/>
      <c r="R171" s="824">
        <f t="shared" si="20"/>
        <v>0</v>
      </c>
      <c r="S171" s="1191"/>
      <c r="T171" s="758"/>
      <c r="U171" s="758"/>
      <c r="V171" s="758"/>
      <c r="W171" s="758"/>
      <c r="X171" s="758"/>
      <c r="Y171" s="758"/>
      <c r="Z171" s="758"/>
      <c r="AA171" s="758"/>
      <c r="AB171" s="458"/>
      <c r="AC171" s="458"/>
      <c r="AD171" s="458"/>
      <c r="AE171" s="458"/>
      <c r="AF171" s="458"/>
      <c r="AG171" s="758"/>
      <c r="AH171" s="2205"/>
      <c r="AI171" s="842">
        <f t="shared" si="21"/>
        <v>0</v>
      </c>
      <c r="AJ171" s="233"/>
      <c r="AK171" s="233"/>
      <c r="AL171" s="233"/>
      <c r="AM171" s="233"/>
      <c r="AN171" s="233"/>
      <c r="AO171" s="233"/>
      <c r="AP171" s="233"/>
      <c r="AQ171" s="233"/>
      <c r="AR171" s="233"/>
      <c r="AS171" s="233"/>
      <c r="AT171" s="363"/>
      <c r="AU171" s="626" t="str">
        <f t="shared" si="22"/>
        <v/>
      </c>
      <c r="AV171" s="2205"/>
      <c r="AW171" s="458"/>
      <c r="AX171" s="458"/>
      <c r="AY171" s="458"/>
      <c r="AZ171" s="458"/>
      <c r="BA171" s="458"/>
      <c r="BB171" s="458"/>
      <c r="BC171" s="458"/>
      <c r="BD171" s="458"/>
      <c r="BE171" s="458"/>
      <c r="BF171" s="458"/>
      <c r="BG171" s="458"/>
      <c r="BH171" s="458"/>
      <c r="BI171" s="458"/>
      <c r="BJ171" s="458"/>
      <c r="BK171" s="592" t="str">
        <f t="shared" si="23"/>
        <v/>
      </c>
      <c r="BM171" s="592" t="str">
        <f t="shared" si="24"/>
        <v/>
      </c>
      <c r="BO171" s="592">
        <f t="shared" si="25"/>
        <v>0</v>
      </c>
      <c r="BP171" s="592">
        <f t="shared" si="26"/>
        <v>0</v>
      </c>
      <c r="BQ171" s="592" t="str">
        <f t="shared" si="27"/>
        <v/>
      </c>
      <c r="BR171" s="592" t="str">
        <f t="shared" si="28"/>
        <v/>
      </c>
    </row>
    <row r="172" spans="1:70" ht="15.6">
      <c r="A172" s="1805"/>
      <c r="B172" s="655"/>
      <c r="C172" s="454"/>
      <c r="D172" s="233"/>
      <c r="E172" s="233"/>
      <c r="F172" s="233"/>
      <c r="G172" s="233"/>
      <c r="H172" s="233"/>
      <c r="I172" s="233"/>
      <c r="J172" s="233"/>
      <c r="K172" s="233"/>
      <c r="L172" s="233"/>
      <c r="M172" s="233"/>
      <c r="N172" s="2145"/>
      <c r="O172" s="2146"/>
      <c r="P172" s="2146"/>
      <c r="Q172" s="2147"/>
      <c r="R172" s="824">
        <f t="shared" si="20"/>
        <v>0</v>
      </c>
      <c r="S172" s="1191"/>
      <c r="T172" s="758"/>
      <c r="U172" s="758"/>
      <c r="V172" s="758"/>
      <c r="W172" s="758"/>
      <c r="X172" s="758"/>
      <c r="Y172" s="758"/>
      <c r="Z172" s="758"/>
      <c r="AA172" s="758"/>
      <c r="AB172" s="458"/>
      <c r="AC172" s="458"/>
      <c r="AD172" s="458"/>
      <c r="AE172" s="458"/>
      <c r="AF172" s="458"/>
      <c r="AG172" s="758"/>
      <c r="AH172" s="2205"/>
      <c r="AI172" s="842">
        <f t="shared" si="21"/>
        <v>0</v>
      </c>
      <c r="AJ172" s="233"/>
      <c r="AK172" s="233"/>
      <c r="AL172" s="233"/>
      <c r="AM172" s="233"/>
      <c r="AN172" s="233"/>
      <c r="AO172" s="233"/>
      <c r="AP172" s="233"/>
      <c r="AQ172" s="233"/>
      <c r="AR172" s="233"/>
      <c r="AS172" s="233"/>
      <c r="AT172" s="363"/>
      <c r="AU172" s="626" t="str">
        <f t="shared" si="22"/>
        <v/>
      </c>
      <c r="AV172" s="2205"/>
      <c r="AW172" s="458"/>
      <c r="AX172" s="458"/>
      <c r="AY172" s="458"/>
      <c r="AZ172" s="458"/>
      <c r="BA172" s="458"/>
      <c r="BB172" s="458"/>
      <c r="BC172" s="458"/>
      <c r="BD172" s="458"/>
      <c r="BE172" s="458"/>
      <c r="BF172" s="458"/>
      <c r="BG172" s="458"/>
      <c r="BH172" s="458"/>
      <c r="BI172" s="458"/>
      <c r="BJ172" s="458"/>
      <c r="BK172" s="592" t="str">
        <f t="shared" si="23"/>
        <v/>
      </c>
      <c r="BM172" s="592" t="str">
        <f t="shared" si="24"/>
        <v/>
      </c>
      <c r="BO172" s="592">
        <f t="shared" si="25"/>
        <v>0</v>
      </c>
      <c r="BP172" s="592">
        <f t="shared" si="26"/>
        <v>0</v>
      </c>
      <c r="BQ172" s="592" t="str">
        <f t="shared" si="27"/>
        <v/>
      </c>
      <c r="BR172" s="592" t="str">
        <f t="shared" si="28"/>
        <v/>
      </c>
    </row>
    <row r="173" spans="1:70" ht="15.6">
      <c r="A173" s="1805"/>
      <c r="B173" s="656"/>
      <c r="C173" s="454"/>
      <c r="D173" s="233"/>
      <c r="E173" s="233"/>
      <c r="F173" s="233"/>
      <c r="G173" s="233"/>
      <c r="H173" s="233"/>
      <c r="I173" s="233"/>
      <c r="J173" s="233"/>
      <c r="K173" s="233"/>
      <c r="L173" s="233"/>
      <c r="M173" s="233"/>
      <c r="N173" s="2145"/>
      <c r="O173" s="2146"/>
      <c r="P173" s="2146"/>
      <c r="Q173" s="2147"/>
      <c r="R173" s="824">
        <f t="shared" si="20"/>
        <v>0</v>
      </c>
      <c r="S173" s="1191"/>
      <c r="T173" s="758"/>
      <c r="U173" s="758"/>
      <c r="V173" s="758"/>
      <c r="W173" s="758"/>
      <c r="X173" s="758"/>
      <c r="Y173" s="758"/>
      <c r="Z173" s="758"/>
      <c r="AA173" s="758"/>
      <c r="AB173" s="458"/>
      <c r="AC173" s="458"/>
      <c r="AD173" s="458"/>
      <c r="AE173" s="458"/>
      <c r="AF173" s="458"/>
      <c r="AG173" s="758"/>
      <c r="AH173" s="2205"/>
      <c r="AI173" s="842">
        <f t="shared" si="21"/>
        <v>0</v>
      </c>
      <c r="AJ173" s="233"/>
      <c r="AK173" s="233"/>
      <c r="AL173" s="233"/>
      <c r="AM173" s="233"/>
      <c r="AN173" s="233"/>
      <c r="AO173" s="233"/>
      <c r="AP173" s="233"/>
      <c r="AQ173" s="233"/>
      <c r="AR173" s="233"/>
      <c r="AS173" s="233"/>
      <c r="AT173" s="363"/>
      <c r="AU173" s="626" t="str">
        <f t="shared" si="22"/>
        <v/>
      </c>
      <c r="AV173" s="2205"/>
      <c r="AW173" s="458"/>
      <c r="AX173" s="458"/>
      <c r="AY173" s="458"/>
      <c r="AZ173" s="458"/>
      <c r="BA173" s="458"/>
      <c r="BB173" s="458"/>
      <c r="BC173" s="458"/>
      <c r="BD173" s="458"/>
      <c r="BE173" s="458"/>
      <c r="BF173" s="458"/>
      <c r="BG173" s="458"/>
      <c r="BH173" s="458"/>
      <c r="BI173" s="458"/>
      <c r="BJ173" s="458"/>
      <c r="BK173" s="592" t="str">
        <f t="shared" si="23"/>
        <v/>
      </c>
      <c r="BM173" s="592" t="str">
        <f t="shared" si="24"/>
        <v/>
      </c>
      <c r="BO173" s="592">
        <f t="shared" si="25"/>
        <v>0</v>
      </c>
      <c r="BP173" s="592">
        <f t="shared" si="26"/>
        <v>0</v>
      </c>
      <c r="BQ173" s="592" t="str">
        <f t="shared" si="27"/>
        <v/>
      </c>
      <c r="BR173" s="592" t="str">
        <f t="shared" si="28"/>
        <v/>
      </c>
    </row>
    <row r="174" spans="1:70" ht="15.6">
      <c r="A174" s="1805"/>
      <c r="B174" s="656"/>
      <c r="C174" s="454"/>
      <c r="D174" s="233"/>
      <c r="E174" s="233"/>
      <c r="F174" s="233"/>
      <c r="G174" s="233"/>
      <c r="H174" s="233"/>
      <c r="I174" s="233"/>
      <c r="J174" s="233"/>
      <c r="K174" s="233"/>
      <c r="L174" s="233"/>
      <c r="M174" s="233"/>
      <c r="N174" s="2145"/>
      <c r="O174" s="2146"/>
      <c r="P174" s="2146"/>
      <c r="Q174" s="2147"/>
      <c r="R174" s="824">
        <f t="shared" si="20"/>
        <v>0</v>
      </c>
      <c r="S174" s="1191"/>
      <c r="T174" s="758"/>
      <c r="U174" s="758"/>
      <c r="V174" s="758"/>
      <c r="W174" s="758"/>
      <c r="X174" s="758"/>
      <c r="Y174" s="758"/>
      <c r="Z174" s="758"/>
      <c r="AA174" s="758"/>
      <c r="AB174" s="458"/>
      <c r="AC174" s="458"/>
      <c r="AD174" s="458"/>
      <c r="AE174" s="458"/>
      <c r="AF174" s="458"/>
      <c r="AG174" s="758"/>
      <c r="AH174" s="2205"/>
      <c r="AI174" s="842">
        <f t="shared" si="21"/>
        <v>0</v>
      </c>
      <c r="AJ174" s="233"/>
      <c r="AK174" s="233"/>
      <c r="AL174" s="233"/>
      <c r="AM174" s="233"/>
      <c r="AN174" s="233"/>
      <c r="AO174" s="233"/>
      <c r="AP174" s="233"/>
      <c r="AQ174" s="233"/>
      <c r="AR174" s="233"/>
      <c r="AS174" s="233"/>
      <c r="AT174" s="363"/>
      <c r="AU174" s="626" t="str">
        <f t="shared" si="22"/>
        <v/>
      </c>
      <c r="AV174" s="2205"/>
      <c r="AW174" s="458"/>
      <c r="AX174" s="458"/>
      <c r="AY174" s="458"/>
      <c r="AZ174" s="458"/>
      <c r="BA174" s="458"/>
      <c r="BB174" s="458"/>
      <c r="BC174" s="458"/>
      <c r="BD174" s="458"/>
      <c r="BE174" s="458"/>
      <c r="BF174" s="458"/>
      <c r="BG174" s="458"/>
      <c r="BH174" s="458"/>
      <c r="BI174" s="458"/>
      <c r="BJ174" s="458"/>
      <c r="BK174" s="592" t="str">
        <f t="shared" si="23"/>
        <v/>
      </c>
      <c r="BM174" s="592" t="str">
        <f t="shared" si="24"/>
        <v/>
      </c>
      <c r="BO174" s="592">
        <f t="shared" si="25"/>
        <v>0</v>
      </c>
      <c r="BP174" s="592">
        <f t="shared" si="26"/>
        <v>0</v>
      </c>
      <c r="BQ174" s="592" t="str">
        <f t="shared" si="27"/>
        <v/>
      </c>
      <c r="BR174" s="592" t="str">
        <f t="shared" si="28"/>
        <v/>
      </c>
    </row>
    <row r="175" spans="1:70" ht="15.6">
      <c r="A175" s="1805"/>
      <c r="B175" s="656"/>
      <c r="C175" s="454"/>
      <c r="D175" s="233"/>
      <c r="E175" s="233"/>
      <c r="F175" s="233"/>
      <c r="G175" s="233"/>
      <c r="H175" s="233"/>
      <c r="I175" s="233"/>
      <c r="J175" s="233"/>
      <c r="K175" s="233"/>
      <c r="L175" s="233"/>
      <c r="M175" s="233"/>
      <c r="N175" s="2145"/>
      <c r="O175" s="2146"/>
      <c r="P175" s="2146"/>
      <c r="Q175" s="2147"/>
      <c r="R175" s="824">
        <f t="shared" si="20"/>
        <v>0</v>
      </c>
      <c r="S175" s="1191"/>
      <c r="T175" s="758"/>
      <c r="U175" s="758"/>
      <c r="V175" s="758"/>
      <c r="W175" s="758"/>
      <c r="X175" s="758"/>
      <c r="Y175" s="758"/>
      <c r="Z175" s="758"/>
      <c r="AA175" s="758"/>
      <c r="AB175" s="458"/>
      <c r="AC175" s="458"/>
      <c r="AD175" s="458"/>
      <c r="AE175" s="458"/>
      <c r="AF175" s="458"/>
      <c r="AG175" s="758"/>
      <c r="AH175" s="2205"/>
      <c r="AI175" s="842">
        <f t="shared" si="21"/>
        <v>0</v>
      </c>
      <c r="AJ175" s="233"/>
      <c r="AK175" s="233"/>
      <c r="AL175" s="233"/>
      <c r="AM175" s="233"/>
      <c r="AN175" s="233"/>
      <c r="AO175" s="233"/>
      <c r="AP175" s="233"/>
      <c r="AQ175" s="233"/>
      <c r="AR175" s="233"/>
      <c r="AS175" s="233"/>
      <c r="AT175" s="363"/>
      <c r="AU175" s="626" t="str">
        <f t="shared" si="22"/>
        <v/>
      </c>
      <c r="AV175" s="2205"/>
      <c r="AW175" s="458"/>
      <c r="AX175" s="458"/>
      <c r="AY175" s="458"/>
      <c r="AZ175" s="458"/>
      <c r="BA175" s="458"/>
      <c r="BB175" s="458"/>
      <c r="BC175" s="458"/>
      <c r="BD175" s="458"/>
      <c r="BE175" s="458"/>
      <c r="BF175" s="458"/>
      <c r="BG175" s="458"/>
      <c r="BH175" s="458"/>
      <c r="BI175" s="458"/>
      <c r="BJ175" s="458"/>
      <c r="BK175" s="592" t="str">
        <f t="shared" si="23"/>
        <v/>
      </c>
      <c r="BM175" s="592" t="str">
        <f t="shared" si="24"/>
        <v/>
      </c>
      <c r="BO175" s="592">
        <f t="shared" si="25"/>
        <v>0</v>
      </c>
      <c r="BP175" s="592">
        <f t="shared" si="26"/>
        <v>0</v>
      </c>
      <c r="BQ175" s="592" t="str">
        <f t="shared" si="27"/>
        <v/>
      </c>
      <c r="BR175" s="592" t="str">
        <f t="shared" si="28"/>
        <v/>
      </c>
    </row>
    <row r="176" spans="1:70" ht="15.6">
      <c r="A176" s="1805"/>
      <c r="B176" s="656"/>
      <c r="C176" s="454"/>
      <c r="D176" s="233"/>
      <c r="E176" s="233"/>
      <c r="F176" s="233"/>
      <c r="G176" s="233"/>
      <c r="H176" s="233"/>
      <c r="I176" s="233"/>
      <c r="J176" s="233"/>
      <c r="K176" s="233"/>
      <c r="L176" s="233"/>
      <c r="M176" s="233"/>
      <c r="N176" s="2145"/>
      <c r="O176" s="2146"/>
      <c r="P176" s="2146"/>
      <c r="Q176" s="2147"/>
      <c r="R176" s="824">
        <f t="shared" si="20"/>
        <v>0</v>
      </c>
      <c r="S176" s="1191"/>
      <c r="T176" s="758"/>
      <c r="U176" s="758"/>
      <c r="V176" s="758"/>
      <c r="W176" s="758"/>
      <c r="X176" s="758"/>
      <c r="Y176" s="758"/>
      <c r="Z176" s="758"/>
      <c r="AA176" s="758"/>
      <c r="AB176" s="458"/>
      <c r="AC176" s="458"/>
      <c r="AD176" s="458"/>
      <c r="AE176" s="458"/>
      <c r="AF176" s="458"/>
      <c r="AG176" s="758"/>
      <c r="AH176" s="2205"/>
      <c r="AI176" s="842">
        <f t="shared" si="21"/>
        <v>0</v>
      </c>
      <c r="AJ176" s="233"/>
      <c r="AK176" s="233"/>
      <c r="AL176" s="233"/>
      <c r="AM176" s="233"/>
      <c r="AN176" s="233"/>
      <c r="AO176" s="233"/>
      <c r="AP176" s="233"/>
      <c r="AQ176" s="233"/>
      <c r="AR176" s="233"/>
      <c r="AS176" s="233"/>
      <c r="AT176" s="363"/>
      <c r="AU176" s="626" t="str">
        <f t="shared" si="22"/>
        <v/>
      </c>
      <c r="AV176" s="2205"/>
      <c r="AW176" s="458"/>
      <c r="AX176" s="458"/>
      <c r="AY176" s="458"/>
      <c r="AZ176" s="458"/>
      <c r="BA176" s="458"/>
      <c r="BB176" s="458"/>
      <c r="BC176" s="458"/>
      <c r="BD176" s="458"/>
      <c r="BE176" s="458"/>
      <c r="BF176" s="458"/>
      <c r="BG176" s="458"/>
      <c r="BH176" s="458"/>
      <c r="BI176" s="458"/>
      <c r="BJ176" s="458"/>
      <c r="BK176" s="592" t="str">
        <f t="shared" si="23"/>
        <v/>
      </c>
      <c r="BM176" s="592" t="str">
        <f t="shared" si="24"/>
        <v/>
      </c>
      <c r="BO176" s="592">
        <f t="shared" si="25"/>
        <v>0</v>
      </c>
      <c r="BP176" s="592">
        <f t="shared" si="26"/>
        <v>0</v>
      </c>
      <c r="BQ176" s="592" t="str">
        <f t="shared" si="27"/>
        <v/>
      </c>
      <c r="BR176" s="592" t="str">
        <f t="shared" si="28"/>
        <v/>
      </c>
    </row>
    <row r="177" spans="1:70" ht="15.6">
      <c r="A177" s="1805"/>
      <c r="B177" s="656"/>
      <c r="C177" s="454"/>
      <c r="D177" s="233"/>
      <c r="E177" s="233"/>
      <c r="F177" s="233"/>
      <c r="G177" s="233"/>
      <c r="H177" s="233"/>
      <c r="I177" s="233"/>
      <c r="J177" s="233"/>
      <c r="K177" s="233"/>
      <c r="L177" s="233"/>
      <c r="M177" s="233"/>
      <c r="N177" s="2145"/>
      <c r="O177" s="2146"/>
      <c r="P177" s="2146"/>
      <c r="Q177" s="2147"/>
      <c r="R177" s="824">
        <f t="shared" si="20"/>
        <v>0</v>
      </c>
      <c r="S177" s="1191"/>
      <c r="T177" s="758"/>
      <c r="U177" s="758"/>
      <c r="V177" s="758"/>
      <c r="W177" s="758"/>
      <c r="X177" s="758"/>
      <c r="Y177" s="758"/>
      <c r="Z177" s="758"/>
      <c r="AA177" s="758"/>
      <c r="AB177" s="458"/>
      <c r="AC177" s="458"/>
      <c r="AD177" s="458"/>
      <c r="AE177" s="458"/>
      <c r="AF177" s="458"/>
      <c r="AG177" s="758"/>
      <c r="AH177" s="2205"/>
      <c r="AI177" s="842">
        <f t="shared" si="21"/>
        <v>0</v>
      </c>
      <c r="AJ177" s="233"/>
      <c r="AK177" s="233"/>
      <c r="AL177" s="233"/>
      <c r="AM177" s="233"/>
      <c r="AN177" s="233"/>
      <c r="AO177" s="233"/>
      <c r="AP177" s="233"/>
      <c r="AQ177" s="233"/>
      <c r="AR177" s="233"/>
      <c r="AS177" s="233"/>
      <c r="AT177" s="363"/>
      <c r="AU177" s="626" t="str">
        <f t="shared" si="22"/>
        <v/>
      </c>
      <c r="AV177" s="2205"/>
      <c r="AW177" s="458"/>
      <c r="AX177" s="458"/>
      <c r="AY177" s="458"/>
      <c r="AZ177" s="458"/>
      <c r="BA177" s="458"/>
      <c r="BB177" s="458"/>
      <c r="BC177" s="458"/>
      <c r="BD177" s="458"/>
      <c r="BE177" s="458"/>
      <c r="BF177" s="458"/>
      <c r="BG177" s="458"/>
      <c r="BH177" s="458"/>
      <c r="BI177" s="458"/>
      <c r="BJ177" s="458"/>
      <c r="BK177" s="592" t="str">
        <f t="shared" si="23"/>
        <v/>
      </c>
      <c r="BM177" s="592" t="str">
        <f t="shared" si="24"/>
        <v/>
      </c>
      <c r="BO177" s="592">
        <f t="shared" si="25"/>
        <v>0</v>
      </c>
      <c r="BP177" s="592">
        <f t="shared" si="26"/>
        <v>0</v>
      </c>
      <c r="BQ177" s="592" t="str">
        <f t="shared" si="27"/>
        <v/>
      </c>
      <c r="BR177" s="592" t="str">
        <f t="shared" si="28"/>
        <v/>
      </c>
    </row>
    <row r="178" spans="1:70" ht="15.6">
      <c r="A178" s="1805"/>
      <c r="B178" s="655"/>
      <c r="C178" s="454"/>
      <c r="D178" s="233"/>
      <c r="E178" s="233"/>
      <c r="F178" s="233"/>
      <c r="G178" s="233"/>
      <c r="H178" s="233"/>
      <c r="I178" s="233"/>
      <c r="J178" s="233"/>
      <c r="K178" s="233"/>
      <c r="L178" s="233"/>
      <c r="M178" s="233"/>
      <c r="N178" s="2145"/>
      <c r="O178" s="2146"/>
      <c r="P178" s="2146"/>
      <c r="Q178" s="2147"/>
      <c r="R178" s="824">
        <f t="shared" si="20"/>
        <v>0</v>
      </c>
      <c r="S178" s="1191"/>
      <c r="T178" s="758"/>
      <c r="U178" s="758"/>
      <c r="V178" s="758"/>
      <c r="W178" s="758"/>
      <c r="X178" s="758"/>
      <c r="Y178" s="758"/>
      <c r="Z178" s="758"/>
      <c r="AA178" s="758"/>
      <c r="AB178" s="458"/>
      <c r="AC178" s="458"/>
      <c r="AD178" s="458"/>
      <c r="AE178" s="458"/>
      <c r="AF178" s="458"/>
      <c r="AG178" s="758"/>
      <c r="AH178" s="2205"/>
      <c r="AI178" s="842">
        <f t="shared" si="21"/>
        <v>0</v>
      </c>
      <c r="AJ178" s="233"/>
      <c r="AK178" s="233"/>
      <c r="AL178" s="233"/>
      <c r="AM178" s="233"/>
      <c r="AN178" s="233"/>
      <c r="AO178" s="233"/>
      <c r="AP178" s="233"/>
      <c r="AQ178" s="233"/>
      <c r="AR178" s="233"/>
      <c r="AS178" s="233"/>
      <c r="AT178" s="363"/>
      <c r="AU178" s="626" t="str">
        <f t="shared" si="22"/>
        <v/>
      </c>
      <c r="AV178" s="2205"/>
      <c r="AW178" s="458"/>
      <c r="AX178" s="458"/>
      <c r="AY178" s="458"/>
      <c r="AZ178" s="458"/>
      <c r="BA178" s="458"/>
      <c r="BB178" s="458"/>
      <c r="BC178" s="458"/>
      <c r="BD178" s="458"/>
      <c r="BE178" s="458"/>
      <c r="BF178" s="458"/>
      <c r="BG178" s="458"/>
      <c r="BH178" s="458"/>
      <c r="BI178" s="458"/>
      <c r="BJ178" s="458"/>
      <c r="BK178" s="592" t="str">
        <f t="shared" si="23"/>
        <v/>
      </c>
      <c r="BM178" s="592" t="str">
        <f t="shared" si="24"/>
        <v/>
      </c>
      <c r="BO178" s="592">
        <f t="shared" si="25"/>
        <v>0</v>
      </c>
      <c r="BP178" s="592">
        <f t="shared" si="26"/>
        <v>0</v>
      </c>
      <c r="BQ178" s="592" t="str">
        <f t="shared" si="27"/>
        <v/>
      </c>
      <c r="BR178" s="592" t="str">
        <f t="shared" si="28"/>
        <v/>
      </c>
    </row>
    <row r="179" spans="1:70" ht="15.6">
      <c r="A179" s="1805"/>
      <c r="B179" s="656"/>
      <c r="C179" s="454"/>
      <c r="D179" s="233"/>
      <c r="E179" s="233"/>
      <c r="F179" s="233"/>
      <c r="G179" s="233"/>
      <c r="H179" s="233"/>
      <c r="I179" s="233"/>
      <c r="J179" s="233"/>
      <c r="K179" s="233"/>
      <c r="L179" s="233"/>
      <c r="M179" s="233"/>
      <c r="N179" s="2145"/>
      <c r="O179" s="2146"/>
      <c r="P179" s="2146"/>
      <c r="Q179" s="2147"/>
      <c r="R179" s="824">
        <f t="shared" si="20"/>
        <v>0</v>
      </c>
      <c r="S179" s="1191"/>
      <c r="T179" s="758"/>
      <c r="U179" s="758"/>
      <c r="V179" s="758"/>
      <c r="W179" s="758"/>
      <c r="X179" s="758"/>
      <c r="Y179" s="758"/>
      <c r="Z179" s="758"/>
      <c r="AA179" s="758"/>
      <c r="AB179" s="458"/>
      <c r="AC179" s="458"/>
      <c r="AD179" s="458"/>
      <c r="AE179" s="458"/>
      <c r="AF179" s="458"/>
      <c r="AG179" s="758"/>
      <c r="AH179" s="2205"/>
      <c r="AI179" s="842">
        <f t="shared" si="21"/>
        <v>0</v>
      </c>
      <c r="AJ179" s="233"/>
      <c r="AK179" s="233"/>
      <c r="AL179" s="233"/>
      <c r="AM179" s="233"/>
      <c r="AN179" s="233"/>
      <c r="AO179" s="233"/>
      <c r="AP179" s="233"/>
      <c r="AQ179" s="233"/>
      <c r="AR179" s="233"/>
      <c r="AS179" s="233"/>
      <c r="AT179" s="363"/>
      <c r="AU179" s="626" t="str">
        <f t="shared" si="22"/>
        <v/>
      </c>
      <c r="AV179" s="2205"/>
      <c r="AW179" s="458"/>
      <c r="AX179" s="458"/>
      <c r="AY179" s="458"/>
      <c r="AZ179" s="458"/>
      <c r="BA179" s="458"/>
      <c r="BB179" s="458"/>
      <c r="BC179" s="458"/>
      <c r="BD179" s="458"/>
      <c r="BE179" s="458"/>
      <c r="BF179" s="458"/>
      <c r="BG179" s="458"/>
      <c r="BH179" s="458"/>
      <c r="BI179" s="458"/>
      <c r="BJ179" s="458"/>
      <c r="BK179" s="592" t="str">
        <f t="shared" si="23"/>
        <v/>
      </c>
      <c r="BM179" s="592" t="str">
        <f t="shared" si="24"/>
        <v/>
      </c>
      <c r="BO179" s="592">
        <f t="shared" si="25"/>
        <v>0</v>
      </c>
      <c r="BP179" s="592">
        <f t="shared" si="26"/>
        <v>0</v>
      </c>
      <c r="BQ179" s="592" t="str">
        <f t="shared" si="27"/>
        <v/>
      </c>
      <c r="BR179" s="592" t="str">
        <f t="shared" si="28"/>
        <v/>
      </c>
    </row>
    <row r="180" spans="1:70" ht="15.6">
      <c r="A180" s="1805"/>
      <c r="B180" s="656"/>
      <c r="C180" s="454"/>
      <c r="D180" s="233"/>
      <c r="E180" s="233"/>
      <c r="F180" s="233"/>
      <c r="G180" s="233"/>
      <c r="H180" s="233"/>
      <c r="I180" s="233"/>
      <c r="J180" s="233"/>
      <c r="K180" s="233"/>
      <c r="L180" s="233"/>
      <c r="M180" s="233"/>
      <c r="N180" s="2145"/>
      <c r="O180" s="2146"/>
      <c r="P180" s="2146"/>
      <c r="Q180" s="2147"/>
      <c r="R180" s="824">
        <f t="shared" si="20"/>
        <v>0</v>
      </c>
      <c r="S180" s="1191"/>
      <c r="T180" s="758"/>
      <c r="U180" s="758"/>
      <c r="V180" s="758"/>
      <c r="W180" s="758"/>
      <c r="X180" s="758"/>
      <c r="Y180" s="758"/>
      <c r="Z180" s="758"/>
      <c r="AA180" s="758"/>
      <c r="AB180" s="458"/>
      <c r="AC180" s="458"/>
      <c r="AD180" s="458"/>
      <c r="AE180" s="458"/>
      <c r="AF180" s="458"/>
      <c r="AG180" s="758"/>
      <c r="AH180" s="2205"/>
      <c r="AI180" s="842">
        <f t="shared" si="21"/>
        <v>0</v>
      </c>
      <c r="AJ180" s="233"/>
      <c r="AK180" s="233"/>
      <c r="AL180" s="233"/>
      <c r="AM180" s="233"/>
      <c r="AN180" s="233"/>
      <c r="AO180" s="233"/>
      <c r="AP180" s="233"/>
      <c r="AQ180" s="233"/>
      <c r="AR180" s="233"/>
      <c r="AS180" s="233"/>
      <c r="AT180" s="363"/>
      <c r="AU180" s="626" t="str">
        <f t="shared" si="22"/>
        <v/>
      </c>
      <c r="AV180" s="2205"/>
      <c r="AW180" s="458"/>
      <c r="AX180" s="458"/>
      <c r="AY180" s="458"/>
      <c r="AZ180" s="458"/>
      <c r="BA180" s="458"/>
      <c r="BB180" s="458"/>
      <c r="BC180" s="458"/>
      <c r="BD180" s="458"/>
      <c r="BE180" s="458"/>
      <c r="BF180" s="458"/>
      <c r="BG180" s="458"/>
      <c r="BH180" s="458"/>
      <c r="BI180" s="458"/>
      <c r="BJ180" s="458"/>
      <c r="BK180" s="592" t="str">
        <f t="shared" si="23"/>
        <v/>
      </c>
      <c r="BM180" s="592" t="str">
        <f t="shared" si="24"/>
        <v/>
      </c>
      <c r="BO180" s="592">
        <f t="shared" si="25"/>
        <v>0</v>
      </c>
      <c r="BP180" s="592">
        <f t="shared" si="26"/>
        <v>0</v>
      </c>
      <c r="BQ180" s="592" t="str">
        <f t="shared" si="27"/>
        <v/>
      </c>
      <c r="BR180" s="592" t="str">
        <f t="shared" si="28"/>
        <v/>
      </c>
    </row>
    <row r="181" spans="1:70" ht="15.6">
      <c r="A181" s="1805"/>
      <c r="B181" s="656"/>
      <c r="C181" s="454"/>
      <c r="D181" s="233"/>
      <c r="E181" s="233"/>
      <c r="F181" s="233"/>
      <c r="G181" s="233"/>
      <c r="H181" s="233"/>
      <c r="I181" s="233"/>
      <c r="J181" s="233"/>
      <c r="K181" s="233"/>
      <c r="L181" s="233"/>
      <c r="M181" s="233"/>
      <c r="N181" s="2145"/>
      <c r="O181" s="2146"/>
      <c r="P181" s="2146"/>
      <c r="Q181" s="2147"/>
      <c r="R181" s="824">
        <f t="shared" si="20"/>
        <v>0</v>
      </c>
      <c r="S181" s="1191"/>
      <c r="T181" s="758"/>
      <c r="U181" s="758"/>
      <c r="V181" s="758"/>
      <c r="W181" s="758"/>
      <c r="X181" s="758"/>
      <c r="Y181" s="758"/>
      <c r="Z181" s="758"/>
      <c r="AA181" s="758"/>
      <c r="AB181" s="458"/>
      <c r="AC181" s="458"/>
      <c r="AD181" s="458"/>
      <c r="AE181" s="458"/>
      <c r="AF181" s="458"/>
      <c r="AG181" s="758"/>
      <c r="AH181" s="2205"/>
      <c r="AI181" s="842">
        <f t="shared" si="21"/>
        <v>0</v>
      </c>
      <c r="AJ181" s="233"/>
      <c r="AK181" s="233"/>
      <c r="AL181" s="233"/>
      <c r="AM181" s="233"/>
      <c r="AN181" s="233"/>
      <c r="AO181" s="233"/>
      <c r="AP181" s="233"/>
      <c r="AQ181" s="233"/>
      <c r="AR181" s="233"/>
      <c r="AS181" s="233"/>
      <c r="AT181" s="363"/>
      <c r="AU181" s="626" t="str">
        <f t="shared" si="22"/>
        <v/>
      </c>
      <c r="AV181" s="2205"/>
      <c r="AW181" s="458"/>
      <c r="AX181" s="458"/>
      <c r="AY181" s="458"/>
      <c r="AZ181" s="458"/>
      <c r="BA181" s="458"/>
      <c r="BB181" s="458"/>
      <c r="BC181" s="458"/>
      <c r="BD181" s="458"/>
      <c r="BE181" s="458"/>
      <c r="BF181" s="458"/>
      <c r="BG181" s="458"/>
      <c r="BH181" s="458"/>
      <c r="BI181" s="458"/>
      <c r="BJ181" s="458"/>
      <c r="BK181" s="592" t="str">
        <f t="shared" si="23"/>
        <v/>
      </c>
      <c r="BM181" s="592" t="str">
        <f t="shared" si="24"/>
        <v/>
      </c>
      <c r="BO181" s="592">
        <f t="shared" si="25"/>
        <v>0</v>
      </c>
      <c r="BP181" s="592">
        <f t="shared" si="26"/>
        <v>0</v>
      </c>
      <c r="BQ181" s="592" t="str">
        <f t="shared" si="27"/>
        <v/>
      </c>
      <c r="BR181" s="592" t="str">
        <f t="shared" si="28"/>
        <v/>
      </c>
    </row>
    <row r="182" spans="1:70" ht="15.6">
      <c r="A182" s="1805"/>
      <c r="B182" s="656"/>
      <c r="C182" s="454"/>
      <c r="D182" s="233"/>
      <c r="E182" s="233"/>
      <c r="F182" s="233"/>
      <c r="G182" s="233"/>
      <c r="H182" s="233"/>
      <c r="I182" s="233"/>
      <c r="J182" s="233"/>
      <c r="K182" s="233"/>
      <c r="L182" s="233"/>
      <c r="M182" s="233"/>
      <c r="N182" s="2145"/>
      <c r="O182" s="2146"/>
      <c r="P182" s="2146"/>
      <c r="Q182" s="2147"/>
      <c r="R182" s="824">
        <f t="shared" si="20"/>
        <v>0</v>
      </c>
      <c r="S182" s="1191"/>
      <c r="T182" s="758"/>
      <c r="U182" s="758"/>
      <c r="V182" s="758"/>
      <c r="W182" s="758"/>
      <c r="X182" s="758"/>
      <c r="Y182" s="758"/>
      <c r="Z182" s="758"/>
      <c r="AA182" s="758"/>
      <c r="AB182" s="458"/>
      <c r="AC182" s="458"/>
      <c r="AD182" s="458"/>
      <c r="AE182" s="458"/>
      <c r="AF182" s="458"/>
      <c r="AG182" s="758"/>
      <c r="AH182" s="2205"/>
      <c r="AI182" s="842">
        <f t="shared" si="21"/>
        <v>0</v>
      </c>
      <c r="AJ182" s="233"/>
      <c r="AK182" s="233"/>
      <c r="AL182" s="233"/>
      <c r="AM182" s="233"/>
      <c r="AN182" s="233"/>
      <c r="AO182" s="233"/>
      <c r="AP182" s="233"/>
      <c r="AQ182" s="233"/>
      <c r="AR182" s="233"/>
      <c r="AS182" s="233"/>
      <c r="AT182" s="363"/>
      <c r="AU182" s="626" t="str">
        <f t="shared" si="22"/>
        <v/>
      </c>
      <c r="AV182" s="2205"/>
      <c r="AW182" s="458"/>
      <c r="AX182" s="458"/>
      <c r="AY182" s="458"/>
      <c r="AZ182" s="458"/>
      <c r="BA182" s="458"/>
      <c r="BB182" s="458"/>
      <c r="BC182" s="458"/>
      <c r="BD182" s="458"/>
      <c r="BE182" s="458"/>
      <c r="BF182" s="458"/>
      <c r="BG182" s="458"/>
      <c r="BH182" s="458"/>
      <c r="BI182" s="458"/>
      <c r="BJ182" s="458"/>
      <c r="BK182" s="592" t="str">
        <f t="shared" si="23"/>
        <v/>
      </c>
      <c r="BM182" s="592" t="str">
        <f t="shared" si="24"/>
        <v/>
      </c>
      <c r="BO182" s="592">
        <f t="shared" si="25"/>
        <v>0</v>
      </c>
      <c r="BP182" s="592">
        <f t="shared" si="26"/>
        <v>0</v>
      </c>
      <c r="BQ182" s="592" t="str">
        <f t="shared" si="27"/>
        <v/>
      </c>
      <c r="BR182" s="592" t="str">
        <f t="shared" si="28"/>
        <v/>
      </c>
    </row>
    <row r="183" spans="1:70" ht="15.6">
      <c r="A183" s="1805"/>
      <c r="B183" s="656"/>
      <c r="C183" s="454"/>
      <c r="D183" s="233"/>
      <c r="E183" s="233"/>
      <c r="F183" s="233"/>
      <c r="G183" s="233"/>
      <c r="H183" s="233"/>
      <c r="I183" s="233"/>
      <c r="J183" s="233"/>
      <c r="K183" s="233"/>
      <c r="L183" s="233"/>
      <c r="M183" s="233"/>
      <c r="N183" s="2145"/>
      <c r="O183" s="2146"/>
      <c r="P183" s="2146"/>
      <c r="Q183" s="2147"/>
      <c r="R183" s="824">
        <f t="shared" si="20"/>
        <v>0</v>
      </c>
      <c r="S183" s="1191"/>
      <c r="T183" s="758"/>
      <c r="U183" s="758"/>
      <c r="V183" s="758"/>
      <c r="W183" s="758"/>
      <c r="X183" s="758"/>
      <c r="Y183" s="758"/>
      <c r="Z183" s="758"/>
      <c r="AA183" s="758"/>
      <c r="AB183" s="458"/>
      <c r="AC183" s="458"/>
      <c r="AD183" s="458"/>
      <c r="AE183" s="458"/>
      <c r="AF183" s="458"/>
      <c r="AG183" s="758"/>
      <c r="AH183" s="2205"/>
      <c r="AI183" s="842">
        <f t="shared" si="21"/>
        <v>0</v>
      </c>
      <c r="AJ183" s="233"/>
      <c r="AK183" s="233"/>
      <c r="AL183" s="233"/>
      <c r="AM183" s="233"/>
      <c r="AN183" s="233"/>
      <c r="AO183" s="233"/>
      <c r="AP183" s="233"/>
      <c r="AQ183" s="233"/>
      <c r="AR183" s="233"/>
      <c r="AS183" s="233"/>
      <c r="AT183" s="363"/>
      <c r="AU183" s="626" t="str">
        <f t="shared" si="22"/>
        <v/>
      </c>
      <c r="AV183" s="2205"/>
      <c r="AW183" s="458"/>
      <c r="AX183" s="458"/>
      <c r="AY183" s="458"/>
      <c r="AZ183" s="458"/>
      <c r="BA183" s="458"/>
      <c r="BB183" s="458"/>
      <c r="BC183" s="458"/>
      <c r="BD183" s="458"/>
      <c r="BE183" s="458"/>
      <c r="BF183" s="458"/>
      <c r="BG183" s="458"/>
      <c r="BH183" s="458"/>
      <c r="BI183" s="458"/>
      <c r="BJ183" s="458"/>
      <c r="BK183" s="592" t="str">
        <f t="shared" si="23"/>
        <v/>
      </c>
      <c r="BM183" s="592" t="str">
        <f t="shared" si="24"/>
        <v/>
      </c>
      <c r="BO183" s="592">
        <f t="shared" si="25"/>
        <v>0</v>
      </c>
      <c r="BP183" s="592">
        <f t="shared" si="26"/>
        <v>0</v>
      </c>
      <c r="BQ183" s="592" t="str">
        <f t="shared" si="27"/>
        <v/>
      </c>
      <c r="BR183" s="592" t="str">
        <f t="shared" si="28"/>
        <v/>
      </c>
    </row>
    <row r="184" spans="1:70" ht="15.6">
      <c r="A184" s="1805"/>
      <c r="B184" s="655"/>
      <c r="C184" s="454"/>
      <c r="D184" s="233"/>
      <c r="E184" s="233"/>
      <c r="F184" s="233"/>
      <c r="G184" s="233"/>
      <c r="H184" s="233"/>
      <c r="I184" s="233"/>
      <c r="J184" s="233"/>
      <c r="K184" s="233"/>
      <c r="L184" s="233"/>
      <c r="M184" s="233"/>
      <c r="N184" s="2145"/>
      <c r="O184" s="2146"/>
      <c r="P184" s="2146"/>
      <c r="Q184" s="2147"/>
      <c r="R184" s="824">
        <f t="shared" si="20"/>
        <v>0</v>
      </c>
      <c r="S184" s="1191"/>
      <c r="T184" s="758"/>
      <c r="U184" s="758"/>
      <c r="V184" s="758"/>
      <c r="W184" s="758"/>
      <c r="X184" s="758"/>
      <c r="Y184" s="758"/>
      <c r="Z184" s="758"/>
      <c r="AA184" s="758"/>
      <c r="AB184" s="458"/>
      <c r="AC184" s="458"/>
      <c r="AD184" s="458"/>
      <c r="AE184" s="458"/>
      <c r="AF184" s="458"/>
      <c r="AG184" s="758"/>
      <c r="AH184" s="2205"/>
      <c r="AI184" s="842">
        <f t="shared" si="21"/>
        <v>0</v>
      </c>
      <c r="AJ184" s="233"/>
      <c r="AK184" s="233"/>
      <c r="AL184" s="233"/>
      <c r="AM184" s="233"/>
      <c r="AN184" s="233"/>
      <c r="AO184" s="233"/>
      <c r="AP184" s="233"/>
      <c r="AQ184" s="233"/>
      <c r="AR184" s="233"/>
      <c r="AS184" s="233"/>
      <c r="AT184" s="363"/>
      <c r="AU184" s="626" t="str">
        <f t="shared" si="22"/>
        <v/>
      </c>
      <c r="AV184" s="2205"/>
      <c r="AW184" s="458"/>
      <c r="AX184" s="458"/>
      <c r="AY184" s="458"/>
      <c r="AZ184" s="458"/>
      <c r="BA184" s="458"/>
      <c r="BB184" s="458"/>
      <c r="BC184" s="458"/>
      <c r="BD184" s="458"/>
      <c r="BE184" s="458"/>
      <c r="BF184" s="458"/>
      <c r="BG184" s="458"/>
      <c r="BH184" s="458"/>
      <c r="BI184" s="458"/>
      <c r="BJ184" s="458"/>
      <c r="BK184" s="592" t="str">
        <f t="shared" si="23"/>
        <v/>
      </c>
      <c r="BM184" s="592" t="str">
        <f t="shared" si="24"/>
        <v/>
      </c>
      <c r="BO184" s="592">
        <f t="shared" si="25"/>
        <v>0</v>
      </c>
      <c r="BP184" s="592">
        <f t="shared" si="26"/>
        <v>0</v>
      </c>
      <c r="BQ184" s="592" t="str">
        <f t="shared" si="27"/>
        <v/>
      </c>
      <c r="BR184" s="592" t="str">
        <f t="shared" si="28"/>
        <v/>
      </c>
    </row>
    <row r="185" spans="1:70" ht="15.6">
      <c r="A185" s="1805"/>
      <c r="B185" s="656"/>
      <c r="C185" s="454"/>
      <c r="D185" s="233"/>
      <c r="E185" s="233"/>
      <c r="F185" s="233"/>
      <c r="G185" s="233"/>
      <c r="H185" s="233"/>
      <c r="I185" s="233"/>
      <c r="J185" s="233"/>
      <c r="K185" s="233"/>
      <c r="L185" s="233"/>
      <c r="M185" s="233"/>
      <c r="N185" s="2145"/>
      <c r="O185" s="2146"/>
      <c r="P185" s="2146"/>
      <c r="Q185" s="2147"/>
      <c r="R185" s="824">
        <f t="shared" si="20"/>
        <v>0</v>
      </c>
      <c r="S185" s="1191"/>
      <c r="T185" s="758"/>
      <c r="U185" s="758"/>
      <c r="V185" s="758"/>
      <c r="W185" s="758"/>
      <c r="X185" s="758"/>
      <c r="Y185" s="758"/>
      <c r="Z185" s="758"/>
      <c r="AA185" s="758"/>
      <c r="AB185" s="458"/>
      <c r="AC185" s="458"/>
      <c r="AD185" s="458"/>
      <c r="AE185" s="458"/>
      <c r="AF185" s="458"/>
      <c r="AG185" s="758"/>
      <c r="AH185" s="2205"/>
      <c r="AI185" s="842">
        <f t="shared" si="21"/>
        <v>0</v>
      </c>
      <c r="AJ185" s="233"/>
      <c r="AK185" s="233"/>
      <c r="AL185" s="233"/>
      <c r="AM185" s="233"/>
      <c r="AN185" s="233"/>
      <c r="AO185" s="233"/>
      <c r="AP185" s="233"/>
      <c r="AQ185" s="233"/>
      <c r="AR185" s="233"/>
      <c r="AS185" s="233"/>
      <c r="AT185" s="363"/>
      <c r="AU185" s="626" t="str">
        <f t="shared" si="22"/>
        <v/>
      </c>
      <c r="AV185" s="2205"/>
      <c r="AW185" s="458"/>
      <c r="AX185" s="458"/>
      <c r="AY185" s="458"/>
      <c r="AZ185" s="458"/>
      <c r="BA185" s="458"/>
      <c r="BB185" s="458"/>
      <c r="BC185" s="458"/>
      <c r="BD185" s="458"/>
      <c r="BE185" s="458"/>
      <c r="BF185" s="458"/>
      <c r="BG185" s="458"/>
      <c r="BH185" s="458"/>
      <c r="BI185" s="458"/>
      <c r="BJ185" s="458"/>
      <c r="BK185" s="592" t="str">
        <f t="shared" si="23"/>
        <v/>
      </c>
      <c r="BM185" s="592" t="str">
        <f t="shared" si="24"/>
        <v/>
      </c>
      <c r="BO185" s="592">
        <f t="shared" si="25"/>
        <v>0</v>
      </c>
      <c r="BP185" s="592">
        <f t="shared" si="26"/>
        <v>0</v>
      </c>
      <c r="BQ185" s="592" t="str">
        <f t="shared" si="27"/>
        <v/>
      </c>
      <c r="BR185" s="592" t="str">
        <f t="shared" si="28"/>
        <v/>
      </c>
    </row>
    <row r="186" spans="1:70" ht="15.6">
      <c r="A186" s="1805"/>
      <c r="B186" s="656"/>
      <c r="C186" s="454"/>
      <c r="D186" s="233"/>
      <c r="E186" s="233"/>
      <c r="F186" s="233"/>
      <c r="G186" s="233"/>
      <c r="H186" s="233"/>
      <c r="I186" s="233"/>
      <c r="J186" s="233"/>
      <c r="K186" s="233"/>
      <c r="L186" s="233"/>
      <c r="M186" s="233"/>
      <c r="N186" s="2145"/>
      <c r="O186" s="2146"/>
      <c r="P186" s="2146"/>
      <c r="Q186" s="2147"/>
      <c r="R186" s="824">
        <f t="shared" si="20"/>
        <v>0</v>
      </c>
      <c r="S186" s="1191"/>
      <c r="T186" s="758"/>
      <c r="U186" s="758"/>
      <c r="V186" s="758"/>
      <c r="W186" s="758"/>
      <c r="X186" s="758"/>
      <c r="Y186" s="758"/>
      <c r="Z186" s="758"/>
      <c r="AA186" s="758"/>
      <c r="AB186" s="458"/>
      <c r="AC186" s="458"/>
      <c r="AD186" s="458"/>
      <c r="AE186" s="458"/>
      <c r="AF186" s="458"/>
      <c r="AG186" s="758"/>
      <c r="AH186" s="2205"/>
      <c r="AI186" s="842">
        <f t="shared" si="21"/>
        <v>0</v>
      </c>
      <c r="AJ186" s="233"/>
      <c r="AK186" s="233"/>
      <c r="AL186" s="233"/>
      <c r="AM186" s="233"/>
      <c r="AN186" s="233"/>
      <c r="AO186" s="233"/>
      <c r="AP186" s="233"/>
      <c r="AQ186" s="233"/>
      <c r="AR186" s="233"/>
      <c r="AS186" s="233"/>
      <c r="AT186" s="363"/>
      <c r="AU186" s="626" t="str">
        <f t="shared" si="22"/>
        <v/>
      </c>
      <c r="AV186" s="2205"/>
      <c r="AW186" s="458"/>
      <c r="AX186" s="458"/>
      <c r="AY186" s="458"/>
      <c r="AZ186" s="458"/>
      <c r="BA186" s="458"/>
      <c r="BB186" s="458"/>
      <c r="BC186" s="458"/>
      <c r="BD186" s="458"/>
      <c r="BE186" s="458"/>
      <c r="BF186" s="458"/>
      <c r="BG186" s="458"/>
      <c r="BH186" s="458"/>
      <c r="BI186" s="458"/>
      <c r="BJ186" s="458"/>
      <c r="BK186" s="592" t="str">
        <f t="shared" si="23"/>
        <v/>
      </c>
      <c r="BM186" s="592" t="str">
        <f t="shared" si="24"/>
        <v/>
      </c>
      <c r="BO186" s="592">
        <f t="shared" si="25"/>
        <v>0</v>
      </c>
      <c r="BP186" s="592">
        <f t="shared" si="26"/>
        <v>0</v>
      </c>
      <c r="BQ186" s="592" t="str">
        <f t="shared" si="27"/>
        <v/>
      </c>
      <c r="BR186" s="592" t="str">
        <f t="shared" si="28"/>
        <v/>
      </c>
    </row>
    <row r="187" spans="1:70" ht="15.6">
      <c r="A187" s="1805"/>
      <c r="B187" s="656"/>
      <c r="C187" s="454"/>
      <c r="D187" s="233"/>
      <c r="E187" s="233"/>
      <c r="F187" s="233"/>
      <c r="G187" s="233"/>
      <c r="H187" s="233"/>
      <c r="I187" s="233"/>
      <c r="J187" s="233"/>
      <c r="K187" s="233"/>
      <c r="L187" s="233"/>
      <c r="M187" s="233"/>
      <c r="N187" s="2145"/>
      <c r="O187" s="2146"/>
      <c r="P187" s="2146"/>
      <c r="Q187" s="2147"/>
      <c r="R187" s="824">
        <f t="shared" si="20"/>
        <v>0</v>
      </c>
      <c r="S187" s="1191"/>
      <c r="T187" s="758"/>
      <c r="U187" s="758"/>
      <c r="V187" s="758"/>
      <c r="W187" s="758"/>
      <c r="X187" s="758"/>
      <c r="Y187" s="758"/>
      <c r="Z187" s="758"/>
      <c r="AA187" s="758"/>
      <c r="AB187" s="458"/>
      <c r="AC187" s="458"/>
      <c r="AD187" s="458"/>
      <c r="AE187" s="458"/>
      <c r="AF187" s="458"/>
      <c r="AG187" s="758"/>
      <c r="AH187" s="2205"/>
      <c r="AI187" s="842">
        <f t="shared" si="21"/>
        <v>0</v>
      </c>
      <c r="AJ187" s="233"/>
      <c r="AK187" s="233"/>
      <c r="AL187" s="233"/>
      <c r="AM187" s="233"/>
      <c r="AN187" s="233"/>
      <c r="AO187" s="233"/>
      <c r="AP187" s="233"/>
      <c r="AQ187" s="233"/>
      <c r="AR187" s="233"/>
      <c r="AS187" s="233"/>
      <c r="AT187" s="363"/>
      <c r="AU187" s="626" t="str">
        <f t="shared" si="22"/>
        <v/>
      </c>
      <c r="AV187" s="2205"/>
      <c r="AW187" s="458"/>
      <c r="AX187" s="458"/>
      <c r="AY187" s="458"/>
      <c r="AZ187" s="458"/>
      <c r="BA187" s="458"/>
      <c r="BB187" s="458"/>
      <c r="BC187" s="458"/>
      <c r="BD187" s="458"/>
      <c r="BE187" s="458"/>
      <c r="BF187" s="458"/>
      <c r="BG187" s="458"/>
      <c r="BH187" s="458"/>
      <c r="BI187" s="458"/>
      <c r="BJ187" s="458"/>
      <c r="BK187" s="592" t="str">
        <f t="shared" si="23"/>
        <v/>
      </c>
      <c r="BM187" s="592" t="str">
        <f t="shared" si="24"/>
        <v/>
      </c>
      <c r="BO187" s="592">
        <f t="shared" si="25"/>
        <v>0</v>
      </c>
      <c r="BP187" s="592">
        <f t="shared" si="26"/>
        <v>0</v>
      </c>
      <c r="BQ187" s="592" t="str">
        <f t="shared" si="27"/>
        <v/>
      </c>
      <c r="BR187" s="592" t="str">
        <f t="shared" si="28"/>
        <v/>
      </c>
    </row>
    <row r="188" spans="1:70" ht="15.6">
      <c r="A188" s="1805"/>
      <c r="B188" s="656"/>
      <c r="C188" s="454"/>
      <c r="D188" s="233"/>
      <c r="E188" s="233"/>
      <c r="F188" s="233"/>
      <c r="G188" s="233"/>
      <c r="H188" s="233"/>
      <c r="I188" s="233"/>
      <c r="J188" s="233"/>
      <c r="K188" s="233"/>
      <c r="L188" s="233"/>
      <c r="M188" s="233"/>
      <c r="N188" s="2145"/>
      <c r="O188" s="2146"/>
      <c r="P188" s="2146"/>
      <c r="Q188" s="2147"/>
      <c r="R188" s="824">
        <f t="shared" si="20"/>
        <v>0</v>
      </c>
      <c r="S188" s="1191"/>
      <c r="T188" s="758"/>
      <c r="U188" s="758"/>
      <c r="V188" s="758"/>
      <c r="W188" s="758"/>
      <c r="X188" s="758"/>
      <c r="Y188" s="758"/>
      <c r="Z188" s="758"/>
      <c r="AA188" s="758"/>
      <c r="AB188" s="458"/>
      <c r="AC188" s="458"/>
      <c r="AD188" s="458"/>
      <c r="AE188" s="458"/>
      <c r="AF188" s="458"/>
      <c r="AG188" s="758"/>
      <c r="AH188" s="2205"/>
      <c r="AI188" s="842">
        <f t="shared" si="21"/>
        <v>0</v>
      </c>
      <c r="AJ188" s="233"/>
      <c r="AK188" s="233"/>
      <c r="AL188" s="233"/>
      <c r="AM188" s="233"/>
      <c r="AN188" s="233"/>
      <c r="AO188" s="233"/>
      <c r="AP188" s="233"/>
      <c r="AQ188" s="233"/>
      <c r="AR188" s="233"/>
      <c r="AS188" s="233"/>
      <c r="AT188" s="363"/>
      <c r="AU188" s="626" t="str">
        <f t="shared" si="22"/>
        <v/>
      </c>
      <c r="AV188" s="2205"/>
      <c r="AW188" s="458"/>
      <c r="AX188" s="458"/>
      <c r="AY188" s="458"/>
      <c r="AZ188" s="458"/>
      <c r="BA188" s="458"/>
      <c r="BB188" s="458"/>
      <c r="BC188" s="458"/>
      <c r="BD188" s="458"/>
      <c r="BE188" s="458"/>
      <c r="BF188" s="458"/>
      <c r="BG188" s="458"/>
      <c r="BH188" s="458"/>
      <c r="BI188" s="458"/>
      <c r="BJ188" s="458"/>
      <c r="BK188" s="592" t="str">
        <f t="shared" si="23"/>
        <v/>
      </c>
      <c r="BM188" s="592" t="str">
        <f t="shared" si="24"/>
        <v/>
      </c>
      <c r="BO188" s="592">
        <f t="shared" si="25"/>
        <v>0</v>
      </c>
      <c r="BP188" s="592">
        <f t="shared" si="26"/>
        <v>0</v>
      </c>
      <c r="BQ188" s="592" t="str">
        <f t="shared" si="27"/>
        <v/>
      </c>
      <c r="BR188" s="592" t="str">
        <f t="shared" si="28"/>
        <v/>
      </c>
    </row>
    <row r="189" spans="1:70" ht="15.6">
      <c r="A189" s="1805"/>
      <c r="B189" s="656"/>
      <c r="C189" s="454"/>
      <c r="D189" s="233"/>
      <c r="E189" s="233"/>
      <c r="F189" s="233"/>
      <c r="G189" s="233"/>
      <c r="H189" s="233"/>
      <c r="I189" s="233"/>
      <c r="J189" s="233"/>
      <c r="K189" s="233"/>
      <c r="L189" s="233"/>
      <c r="M189" s="233"/>
      <c r="N189" s="2145"/>
      <c r="O189" s="2146"/>
      <c r="P189" s="2146"/>
      <c r="Q189" s="2147"/>
      <c r="R189" s="824">
        <f t="shared" si="20"/>
        <v>0</v>
      </c>
      <c r="S189" s="1191"/>
      <c r="T189" s="758"/>
      <c r="U189" s="758"/>
      <c r="V189" s="758"/>
      <c r="W189" s="758"/>
      <c r="X189" s="758"/>
      <c r="Y189" s="758"/>
      <c r="Z189" s="758"/>
      <c r="AA189" s="758"/>
      <c r="AB189" s="458"/>
      <c r="AC189" s="458"/>
      <c r="AD189" s="458"/>
      <c r="AE189" s="458"/>
      <c r="AF189" s="458"/>
      <c r="AG189" s="758"/>
      <c r="AH189" s="2205"/>
      <c r="AI189" s="842">
        <f t="shared" si="21"/>
        <v>0</v>
      </c>
      <c r="AJ189" s="233"/>
      <c r="AK189" s="233"/>
      <c r="AL189" s="233"/>
      <c r="AM189" s="233"/>
      <c r="AN189" s="233"/>
      <c r="AO189" s="233"/>
      <c r="AP189" s="233"/>
      <c r="AQ189" s="233"/>
      <c r="AR189" s="233"/>
      <c r="AS189" s="233"/>
      <c r="AT189" s="363"/>
      <c r="AU189" s="626" t="str">
        <f t="shared" si="22"/>
        <v/>
      </c>
      <c r="AV189" s="2205"/>
      <c r="AW189" s="458"/>
      <c r="AX189" s="458"/>
      <c r="AY189" s="458"/>
      <c r="AZ189" s="458"/>
      <c r="BA189" s="458"/>
      <c r="BB189" s="458"/>
      <c r="BC189" s="458"/>
      <c r="BD189" s="458"/>
      <c r="BE189" s="458"/>
      <c r="BF189" s="458"/>
      <c r="BG189" s="458"/>
      <c r="BH189" s="458"/>
      <c r="BI189" s="458"/>
      <c r="BJ189" s="458"/>
      <c r="BK189" s="592" t="str">
        <f t="shared" si="23"/>
        <v/>
      </c>
      <c r="BM189" s="592" t="str">
        <f t="shared" si="24"/>
        <v/>
      </c>
      <c r="BO189" s="592">
        <f t="shared" si="25"/>
        <v>0</v>
      </c>
      <c r="BP189" s="592">
        <f t="shared" si="26"/>
        <v>0</v>
      </c>
      <c r="BQ189" s="592" t="str">
        <f t="shared" si="27"/>
        <v/>
      </c>
      <c r="BR189" s="592" t="str">
        <f t="shared" si="28"/>
        <v/>
      </c>
    </row>
    <row r="190" spans="1:70" ht="15.6">
      <c r="A190" s="1805"/>
      <c r="B190" s="655"/>
      <c r="C190" s="454"/>
      <c r="D190" s="233"/>
      <c r="E190" s="233"/>
      <c r="F190" s="233"/>
      <c r="G190" s="233"/>
      <c r="H190" s="233"/>
      <c r="I190" s="233"/>
      <c r="J190" s="233"/>
      <c r="K190" s="233"/>
      <c r="L190" s="233"/>
      <c r="M190" s="233"/>
      <c r="N190" s="2145"/>
      <c r="O190" s="2146"/>
      <c r="P190" s="2146"/>
      <c r="Q190" s="2147"/>
      <c r="R190" s="824">
        <f t="shared" si="20"/>
        <v>0</v>
      </c>
      <c r="S190" s="1191"/>
      <c r="T190" s="758"/>
      <c r="U190" s="758"/>
      <c r="V190" s="758"/>
      <c r="W190" s="758"/>
      <c r="X190" s="758"/>
      <c r="Y190" s="758"/>
      <c r="Z190" s="758"/>
      <c r="AA190" s="758"/>
      <c r="AB190" s="458"/>
      <c r="AC190" s="458"/>
      <c r="AD190" s="458"/>
      <c r="AE190" s="458"/>
      <c r="AF190" s="458"/>
      <c r="AG190" s="758"/>
      <c r="AH190" s="2205"/>
      <c r="AI190" s="842">
        <f t="shared" si="21"/>
        <v>0</v>
      </c>
      <c r="AJ190" s="233"/>
      <c r="AK190" s="233"/>
      <c r="AL190" s="233"/>
      <c r="AM190" s="233"/>
      <c r="AN190" s="233"/>
      <c r="AO190" s="233"/>
      <c r="AP190" s="233"/>
      <c r="AQ190" s="233"/>
      <c r="AR190" s="233"/>
      <c r="AS190" s="233"/>
      <c r="AT190" s="363"/>
      <c r="AU190" s="626" t="str">
        <f t="shared" si="22"/>
        <v/>
      </c>
      <c r="AV190" s="2205"/>
      <c r="AW190" s="458"/>
      <c r="AX190" s="458"/>
      <c r="AY190" s="458"/>
      <c r="AZ190" s="458"/>
      <c r="BA190" s="458"/>
      <c r="BB190" s="458"/>
      <c r="BC190" s="458"/>
      <c r="BD190" s="458"/>
      <c r="BE190" s="458"/>
      <c r="BF190" s="458"/>
      <c r="BG190" s="458"/>
      <c r="BH190" s="458"/>
      <c r="BI190" s="458"/>
      <c r="BJ190" s="458"/>
      <c r="BK190" s="592" t="str">
        <f t="shared" si="23"/>
        <v/>
      </c>
      <c r="BM190" s="592" t="str">
        <f t="shared" si="24"/>
        <v/>
      </c>
      <c r="BO190" s="592">
        <f t="shared" si="25"/>
        <v>0</v>
      </c>
      <c r="BP190" s="592">
        <f t="shared" si="26"/>
        <v>0</v>
      </c>
      <c r="BQ190" s="592" t="str">
        <f t="shared" si="27"/>
        <v/>
      </c>
      <c r="BR190" s="592" t="str">
        <f t="shared" si="28"/>
        <v/>
      </c>
    </row>
    <row r="191" spans="1:70" ht="15.6">
      <c r="A191" s="1805"/>
      <c r="B191" s="656"/>
      <c r="C191" s="454"/>
      <c r="D191" s="233"/>
      <c r="E191" s="233"/>
      <c r="F191" s="233"/>
      <c r="G191" s="233"/>
      <c r="H191" s="233"/>
      <c r="I191" s="233"/>
      <c r="J191" s="233"/>
      <c r="K191" s="233"/>
      <c r="L191" s="233"/>
      <c r="M191" s="233"/>
      <c r="N191" s="2145"/>
      <c r="O191" s="2146"/>
      <c r="P191" s="2146"/>
      <c r="Q191" s="2147"/>
      <c r="R191" s="824">
        <f t="shared" si="20"/>
        <v>0</v>
      </c>
      <c r="S191" s="1191"/>
      <c r="T191" s="758"/>
      <c r="U191" s="758"/>
      <c r="V191" s="758"/>
      <c r="W191" s="758"/>
      <c r="X191" s="758"/>
      <c r="Y191" s="758"/>
      <c r="Z191" s="758"/>
      <c r="AA191" s="758"/>
      <c r="AB191" s="458"/>
      <c r="AC191" s="458"/>
      <c r="AD191" s="458"/>
      <c r="AE191" s="458"/>
      <c r="AF191" s="458"/>
      <c r="AG191" s="758"/>
      <c r="AH191" s="2205"/>
      <c r="AI191" s="842">
        <f t="shared" si="21"/>
        <v>0</v>
      </c>
      <c r="AJ191" s="233"/>
      <c r="AK191" s="233"/>
      <c r="AL191" s="233"/>
      <c r="AM191" s="233"/>
      <c r="AN191" s="233"/>
      <c r="AO191" s="233"/>
      <c r="AP191" s="233"/>
      <c r="AQ191" s="233"/>
      <c r="AR191" s="233"/>
      <c r="AS191" s="233"/>
      <c r="AT191" s="363"/>
      <c r="AU191" s="626" t="str">
        <f t="shared" si="22"/>
        <v/>
      </c>
      <c r="AV191" s="2205"/>
      <c r="AW191" s="458"/>
      <c r="AX191" s="458"/>
      <c r="AY191" s="458"/>
      <c r="AZ191" s="458"/>
      <c r="BA191" s="458"/>
      <c r="BB191" s="458"/>
      <c r="BC191" s="458"/>
      <c r="BD191" s="458"/>
      <c r="BE191" s="458"/>
      <c r="BF191" s="458"/>
      <c r="BG191" s="458"/>
      <c r="BH191" s="458"/>
      <c r="BI191" s="458"/>
      <c r="BJ191" s="458"/>
      <c r="BK191" s="592" t="str">
        <f t="shared" si="23"/>
        <v/>
      </c>
      <c r="BM191" s="592" t="str">
        <f t="shared" si="24"/>
        <v/>
      </c>
      <c r="BO191" s="592">
        <f t="shared" si="25"/>
        <v>0</v>
      </c>
      <c r="BP191" s="592">
        <f t="shared" si="26"/>
        <v>0</v>
      </c>
      <c r="BQ191" s="592" t="str">
        <f t="shared" si="27"/>
        <v/>
      </c>
      <c r="BR191" s="592" t="str">
        <f t="shared" si="28"/>
        <v/>
      </c>
    </row>
    <row r="192" spans="1:70" ht="15.6">
      <c r="A192" s="1805"/>
      <c r="B192" s="656"/>
      <c r="C192" s="454"/>
      <c r="D192" s="233"/>
      <c r="E192" s="233"/>
      <c r="F192" s="233"/>
      <c r="G192" s="233"/>
      <c r="H192" s="233"/>
      <c r="I192" s="233"/>
      <c r="J192" s="233"/>
      <c r="K192" s="233"/>
      <c r="L192" s="233"/>
      <c r="M192" s="233"/>
      <c r="N192" s="2145"/>
      <c r="O192" s="2146"/>
      <c r="P192" s="2146"/>
      <c r="Q192" s="2147"/>
      <c r="R192" s="824">
        <f t="shared" si="20"/>
        <v>0</v>
      </c>
      <c r="S192" s="1191"/>
      <c r="T192" s="758"/>
      <c r="U192" s="758"/>
      <c r="V192" s="758"/>
      <c r="W192" s="758"/>
      <c r="X192" s="758"/>
      <c r="Y192" s="758"/>
      <c r="Z192" s="758"/>
      <c r="AA192" s="758"/>
      <c r="AB192" s="458"/>
      <c r="AC192" s="458"/>
      <c r="AD192" s="458"/>
      <c r="AE192" s="458"/>
      <c r="AF192" s="458"/>
      <c r="AG192" s="758"/>
      <c r="AH192" s="2205"/>
      <c r="AI192" s="842">
        <f t="shared" si="21"/>
        <v>0</v>
      </c>
      <c r="AJ192" s="233"/>
      <c r="AK192" s="233"/>
      <c r="AL192" s="233"/>
      <c r="AM192" s="233"/>
      <c r="AN192" s="233"/>
      <c r="AO192" s="233"/>
      <c r="AP192" s="233"/>
      <c r="AQ192" s="233"/>
      <c r="AR192" s="233"/>
      <c r="AS192" s="233"/>
      <c r="AT192" s="363"/>
      <c r="AU192" s="626" t="str">
        <f t="shared" si="22"/>
        <v/>
      </c>
      <c r="AV192" s="2205"/>
      <c r="AW192" s="458"/>
      <c r="AX192" s="458"/>
      <c r="AY192" s="458"/>
      <c r="AZ192" s="458"/>
      <c r="BA192" s="458"/>
      <c r="BB192" s="458"/>
      <c r="BC192" s="458"/>
      <c r="BD192" s="458"/>
      <c r="BE192" s="458"/>
      <c r="BF192" s="458"/>
      <c r="BG192" s="458"/>
      <c r="BH192" s="458"/>
      <c r="BI192" s="458"/>
      <c r="BJ192" s="458"/>
      <c r="BK192" s="592" t="str">
        <f t="shared" si="23"/>
        <v/>
      </c>
      <c r="BM192" s="592" t="str">
        <f t="shared" si="24"/>
        <v/>
      </c>
      <c r="BO192" s="592">
        <f t="shared" si="25"/>
        <v>0</v>
      </c>
      <c r="BP192" s="592">
        <f t="shared" si="26"/>
        <v>0</v>
      </c>
      <c r="BQ192" s="592" t="str">
        <f t="shared" si="27"/>
        <v/>
      </c>
      <c r="BR192" s="592" t="str">
        <f t="shared" si="28"/>
        <v/>
      </c>
    </row>
    <row r="193" spans="1:70" ht="15.6">
      <c r="A193" s="1805"/>
      <c r="B193" s="656"/>
      <c r="C193" s="454"/>
      <c r="D193" s="233"/>
      <c r="E193" s="233"/>
      <c r="F193" s="233"/>
      <c r="G193" s="233"/>
      <c r="H193" s="233"/>
      <c r="I193" s="233"/>
      <c r="J193" s="233"/>
      <c r="K193" s="233"/>
      <c r="L193" s="233"/>
      <c r="M193" s="233"/>
      <c r="N193" s="2145"/>
      <c r="O193" s="2146"/>
      <c r="P193" s="2146"/>
      <c r="Q193" s="2147"/>
      <c r="R193" s="824">
        <f t="shared" si="20"/>
        <v>0</v>
      </c>
      <c r="S193" s="1191"/>
      <c r="T193" s="758"/>
      <c r="U193" s="758"/>
      <c r="V193" s="758"/>
      <c r="W193" s="758"/>
      <c r="X193" s="758"/>
      <c r="Y193" s="758"/>
      <c r="Z193" s="758"/>
      <c r="AA193" s="758"/>
      <c r="AB193" s="458"/>
      <c r="AC193" s="458"/>
      <c r="AD193" s="458"/>
      <c r="AE193" s="458"/>
      <c r="AF193" s="458"/>
      <c r="AG193" s="758"/>
      <c r="AH193" s="2205"/>
      <c r="AI193" s="842">
        <f t="shared" si="21"/>
        <v>0</v>
      </c>
      <c r="AJ193" s="233"/>
      <c r="AK193" s="233"/>
      <c r="AL193" s="233"/>
      <c r="AM193" s="233"/>
      <c r="AN193" s="233"/>
      <c r="AO193" s="233"/>
      <c r="AP193" s="233"/>
      <c r="AQ193" s="233"/>
      <c r="AR193" s="233"/>
      <c r="AS193" s="233"/>
      <c r="AT193" s="363"/>
      <c r="AU193" s="626" t="str">
        <f t="shared" si="22"/>
        <v/>
      </c>
      <c r="AV193" s="2205"/>
      <c r="AW193" s="458"/>
      <c r="AX193" s="458"/>
      <c r="AY193" s="458"/>
      <c r="AZ193" s="458"/>
      <c r="BA193" s="458"/>
      <c r="BB193" s="458"/>
      <c r="BC193" s="458"/>
      <c r="BD193" s="458"/>
      <c r="BE193" s="458"/>
      <c r="BF193" s="458"/>
      <c r="BG193" s="458"/>
      <c r="BH193" s="458"/>
      <c r="BI193" s="458"/>
      <c r="BJ193" s="458"/>
      <c r="BK193" s="592" t="str">
        <f t="shared" si="23"/>
        <v/>
      </c>
      <c r="BM193" s="592" t="str">
        <f t="shared" si="24"/>
        <v/>
      </c>
      <c r="BO193" s="592">
        <f t="shared" si="25"/>
        <v>0</v>
      </c>
      <c r="BP193" s="592">
        <f t="shared" si="26"/>
        <v>0</v>
      </c>
      <c r="BQ193" s="592" t="str">
        <f t="shared" si="27"/>
        <v/>
      </c>
      <c r="BR193" s="592" t="str">
        <f t="shared" si="28"/>
        <v/>
      </c>
    </row>
    <row r="194" spans="1:70" ht="15.6">
      <c r="A194" s="1805"/>
      <c r="B194" s="656"/>
      <c r="C194" s="454"/>
      <c r="D194" s="233"/>
      <c r="E194" s="233"/>
      <c r="F194" s="233"/>
      <c r="G194" s="233"/>
      <c r="H194" s="233"/>
      <c r="I194" s="233"/>
      <c r="J194" s="233"/>
      <c r="K194" s="233"/>
      <c r="L194" s="233"/>
      <c r="M194" s="233"/>
      <c r="N194" s="2145"/>
      <c r="O194" s="2146"/>
      <c r="P194" s="2146"/>
      <c r="Q194" s="2147"/>
      <c r="R194" s="824">
        <f t="shared" si="20"/>
        <v>0</v>
      </c>
      <c r="S194" s="1191"/>
      <c r="T194" s="758"/>
      <c r="U194" s="758"/>
      <c r="V194" s="758"/>
      <c r="W194" s="758"/>
      <c r="X194" s="758"/>
      <c r="Y194" s="758"/>
      <c r="Z194" s="758"/>
      <c r="AA194" s="758"/>
      <c r="AB194" s="458"/>
      <c r="AC194" s="458"/>
      <c r="AD194" s="458"/>
      <c r="AE194" s="458"/>
      <c r="AF194" s="458"/>
      <c r="AG194" s="758"/>
      <c r="AH194" s="2205"/>
      <c r="AI194" s="842">
        <f t="shared" si="21"/>
        <v>0</v>
      </c>
      <c r="AJ194" s="233"/>
      <c r="AK194" s="233"/>
      <c r="AL194" s="233"/>
      <c r="AM194" s="233"/>
      <c r="AN194" s="233"/>
      <c r="AO194" s="233"/>
      <c r="AP194" s="233"/>
      <c r="AQ194" s="233"/>
      <c r="AR194" s="233"/>
      <c r="AS194" s="233"/>
      <c r="AT194" s="363"/>
      <c r="AU194" s="626" t="str">
        <f t="shared" si="22"/>
        <v/>
      </c>
      <c r="AV194" s="2205"/>
      <c r="AW194" s="458"/>
      <c r="AX194" s="458"/>
      <c r="AY194" s="458"/>
      <c r="AZ194" s="458"/>
      <c r="BA194" s="458"/>
      <c r="BB194" s="458"/>
      <c r="BC194" s="458"/>
      <c r="BD194" s="458"/>
      <c r="BE194" s="458"/>
      <c r="BF194" s="458"/>
      <c r="BG194" s="458"/>
      <c r="BH194" s="458"/>
      <c r="BI194" s="458"/>
      <c r="BJ194" s="458"/>
      <c r="BK194" s="592" t="str">
        <f t="shared" si="23"/>
        <v/>
      </c>
      <c r="BM194" s="592" t="str">
        <f t="shared" si="24"/>
        <v/>
      </c>
      <c r="BO194" s="592">
        <f t="shared" si="25"/>
        <v>0</v>
      </c>
      <c r="BP194" s="592">
        <f t="shared" si="26"/>
        <v>0</v>
      </c>
      <c r="BQ194" s="592" t="str">
        <f t="shared" si="27"/>
        <v/>
      </c>
      <c r="BR194" s="592" t="str">
        <f t="shared" si="28"/>
        <v/>
      </c>
    </row>
    <row r="195" spans="1:70" ht="15.6">
      <c r="A195" s="1805"/>
      <c r="B195" s="656"/>
      <c r="C195" s="454"/>
      <c r="D195" s="233"/>
      <c r="E195" s="233"/>
      <c r="F195" s="233"/>
      <c r="G195" s="233"/>
      <c r="H195" s="233"/>
      <c r="I195" s="233"/>
      <c r="J195" s="233"/>
      <c r="K195" s="233"/>
      <c r="L195" s="233"/>
      <c r="M195" s="233"/>
      <c r="N195" s="2145"/>
      <c r="O195" s="2146"/>
      <c r="P195" s="2146"/>
      <c r="Q195" s="2147"/>
      <c r="R195" s="824">
        <f t="shared" si="20"/>
        <v>0</v>
      </c>
      <c r="S195" s="1191"/>
      <c r="T195" s="758"/>
      <c r="U195" s="758"/>
      <c r="V195" s="758"/>
      <c r="W195" s="758"/>
      <c r="X195" s="758"/>
      <c r="Y195" s="758"/>
      <c r="Z195" s="758"/>
      <c r="AA195" s="758"/>
      <c r="AB195" s="458"/>
      <c r="AC195" s="458"/>
      <c r="AD195" s="458"/>
      <c r="AE195" s="458"/>
      <c r="AF195" s="458"/>
      <c r="AG195" s="758"/>
      <c r="AH195" s="2205"/>
      <c r="AI195" s="842">
        <f t="shared" si="21"/>
        <v>0</v>
      </c>
      <c r="AJ195" s="233"/>
      <c r="AK195" s="233"/>
      <c r="AL195" s="233"/>
      <c r="AM195" s="233"/>
      <c r="AN195" s="233"/>
      <c r="AO195" s="233"/>
      <c r="AP195" s="233"/>
      <c r="AQ195" s="233"/>
      <c r="AR195" s="233"/>
      <c r="AS195" s="233"/>
      <c r="AT195" s="363"/>
      <c r="AU195" s="626" t="str">
        <f t="shared" si="22"/>
        <v/>
      </c>
      <c r="AV195" s="2205"/>
      <c r="AW195" s="458"/>
      <c r="AX195" s="458"/>
      <c r="AY195" s="458"/>
      <c r="AZ195" s="458"/>
      <c r="BA195" s="458"/>
      <c r="BB195" s="458"/>
      <c r="BC195" s="458"/>
      <c r="BD195" s="458"/>
      <c r="BE195" s="458"/>
      <c r="BF195" s="458"/>
      <c r="BG195" s="458"/>
      <c r="BH195" s="458"/>
      <c r="BI195" s="458"/>
      <c r="BJ195" s="458"/>
      <c r="BK195" s="592" t="str">
        <f t="shared" si="23"/>
        <v/>
      </c>
      <c r="BM195" s="592" t="str">
        <f t="shared" si="24"/>
        <v/>
      </c>
      <c r="BO195" s="592">
        <f t="shared" si="25"/>
        <v>0</v>
      </c>
      <c r="BP195" s="592">
        <f t="shared" si="26"/>
        <v>0</v>
      </c>
      <c r="BQ195" s="592" t="str">
        <f t="shared" si="27"/>
        <v/>
      </c>
      <c r="BR195" s="592" t="str">
        <f t="shared" si="28"/>
        <v/>
      </c>
    </row>
    <row r="196" spans="1:70" ht="15.6">
      <c r="A196" s="1805"/>
      <c r="B196" s="655"/>
      <c r="C196" s="454"/>
      <c r="D196" s="233"/>
      <c r="E196" s="233"/>
      <c r="F196" s="233"/>
      <c r="G196" s="233"/>
      <c r="H196" s="233"/>
      <c r="I196" s="233"/>
      <c r="J196" s="233"/>
      <c r="K196" s="233"/>
      <c r="L196" s="233"/>
      <c r="M196" s="233"/>
      <c r="N196" s="2145"/>
      <c r="O196" s="2146"/>
      <c r="P196" s="2146"/>
      <c r="Q196" s="2147"/>
      <c r="R196" s="824">
        <f t="shared" si="20"/>
        <v>0</v>
      </c>
      <c r="S196" s="1191"/>
      <c r="T196" s="758"/>
      <c r="U196" s="758"/>
      <c r="V196" s="758"/>
      <c r="W196" s="758"/>
      <c r="X196" s="758"/>
      <c r="Y196" s="758"/>
      <c r="Z196" s="758"/>
      <c r="AA196" s="758"/>
      <c r="AB196" s="458"/>
      <c r="AC196" s="458"/>
      <c r="AD196" s="458"/>
      <c r="AE196" s="458"/>
      <c r="AF196" s="458"/>
      <c r="AG196" s="758"/>
      <c r="AH196" s="2205"/>
      <c r="AI196" s="842">
        <f t="shared" si="21"/>
        <v>0</v>
      </c>
      <c r="AJ196" s="233"/>
      <c r="AK196" s="233"/>
      <c r="AL196" s="233"/>
      <c r="AM196" s="233"/>
      <c r="AN196" s="233"/>
      <c r="AO196" s="233"/>
      <c r="AP196" s="233"/>
      <c r="AQ196" s="233"/>
      <c r="AR196" s="233"/>
      <c r="AS196" s="233"/>
      <c r="AT196" s="363"/>
      <c r="AU196" s="626" t="str">
        <f t="shared" si="22"/>
        <v/>
      </c>
      <c r="AV196" s="2205"/>
      <c r="AW196" s="458"/>
      <c r="AX196" s="458"/>
      <c r="AY196" s="458"/>
      <c r="AZ196" s="458"/>
      <c r="BA196" s="458"/>
      <c r="BB196" s="458"/>
      <c r="BC196" s="458"/>
      <c r="BD196" s="458"/>
      <c r="BE196" s="458"/>
      <c r="BF196" s="458"/>
      <c r="BG196" s="458"/>
      <c r="BH196" s="458"/>
      <c r="BI196" s="458"/>
      <c r="BJ196" s="458"/>
      <c r="BK196" s="592" t="str">
        <f t="shared" si="23"/>
        <v/>
      </c>
      <c r="BM196" s="592" t="str">
        <f t="shared" si="24"/>
        <v/>
      </c>
      <c r="BO196" s="592">
        <f t="shared" si="25"/>
        <v>0</v>
      </c>
      <c r="BP196" s="592">
        <f t="shared" si="26"/>
        <v>0</v>
      </c>
      <c r="BQ196" s="592" t="str">
        <f t="shared" si="27"/>
        <v/>
      </c>
      <c r="BR196" s="592" t="str">
        <f t="shared" si="28"/>
        <v/>
      </c>
    </row>
    <row r="197" spans="1:70" ht="15.6">
      <c r="A197" s="1805"/>
      <c r="B197" s="656"/>
      <c r="C197" s="454"/>
      <c r="D197" s="233"/>
      <c r="E197" s="233"/>
      <c r="F197" s="233"/>
      <c r="G197" s="233"/>
      <c r="H197" s="233"/>
      <c r="I197" s="233"/>
      <c r="J197" s="233"/>
      <c r="K197" s="233"/>
      <c r="L197" s="233"/>
      <c r="M197" s="233"/>
      <c r="N197" s="2145"/>
      <c r="O197" s="2146"/>
      <c r="P197" s="2146"/>
      <c r="Q197" s="2147"/>
      <c r="R197" s="824">
        <f t="shared" si="20"/>
        <v>0</v>
      </c>
      <c r="S197" s="1191"/>
      <c r="T197" s="758"/>
      <c r="U197" s="758"/>
      <c r="V197" s="758"/>
      <c r="W197" s="758"/>
      <c r="X197" s="758"/>
      <c r="Y197" s="758"/>
      <c r="Z197" s="758"/>
      <c r="AA197" s="758"/>
      <c r="AB197" s="458"/>
      <c r="AC197" s="458"/>
      <c r="AD197" s="458"/>
      <c r="AE197" s="458"/>
      <c r="AF197" s="458"/>
      <c r="AG197" s="758"/>
      <c r="AH197" s="2205"/>
      <c r="AI197" s="842">
        <f t="shared" si="21"/>
        <v>0</v>
      </c>
      <c r="AJ197" s="233"/>
      <c r="AK197" s="233"/>
      <c r="AL197" s="233"/>
      <c r="AM197" s="233"/>
      <c r="AN197" s="233"/>
      <c r="AO197" s="233"/>
      <c r="AP197" s="233"/>
      <c r="AQ197" s="233"/>
      <c r="AR197" s="233"/>
      <c r="AS197" s="233"/>
      <c r="AT197" s="363"/>
      <c r="AU197" s="626" t="str">
        <f t="shared" si="22"/>
        <v/>
      </c>
      <c r="AV197" s="2205"/>
      <c r="AW197" s="458"/>
      <c r="AX197" s="458"/>
      <c r="AY197" s="458"/>
      <c r="AZ197" s="458"/>
      <c r="BA197" s="458"/>
      <c r="BB197" s="458"/>
      <c r="BC197" s="458"/>
      <c r="BD197" s="458"/>
      <c r="BE197" s="458"/>
      <c r="BF197" s="458"/>
      <c r="BG197" s="458"/>
      <c r="BH197" s="458"/>
      <c r="BI197" s="458"/>
      <c r="BJ197" s="458"/>
      <c r="BK197" s="592" t="str">
        <f t="shared" si="23"/>
        <v/>
      </c>
      <c r="BM197" s="592" t="str">
        <f t="shared" si="24"/>
        <v/>
      </c>
      <c r="BO197" s="592">
        <f t="shared" si="25"/>
        <v>0</v>
      </c>
      <c r="BP197" s="592">
        <f t="shared" si="26"/>
        <v>0</v>
      </c>
      <c r="BQ197" s="592" t="str">
        <f t="shared" si="27"/>
        <v/>
      </c>
      <c r="BR197" s="592" t="str">
        <f t="shared" si="28"/>
        <v/>
      </c>
    </row>
    <row r="198" spans="1:70" ht="15.6">
      <c r="A198" s="1805"/>
      <c r="B198" s="656"/>
      <c r="C198" s="454"/>
      <c r="D198" s="233"/>
      <c r="E198" s="233"/>
      <c r="F198" s="233"/>
      <c r="G198" s="233"/>
      <c r="H198" s="233"/>
      <c r="I198" s="233"/>
      <c r="J198" s="233"/>
      <c r="K198" s="233"/>
      <c r="L198" s="233"/>
      <c r="M198" s="233"/>
      <c r="N198" s="2145"/>
      <c r="O198" s="2146"/>
      <c r="P198" s="2146"/>
      <c r="Q198" s="2147"/>
      <c r="R198" s="824">
        <f t="shared" si="20"/>
        <v>0</v>
      </c>
      <c r="S198" s="1191"/>
      <c r="T198" s="758"/>
      <c r="U198" s="758"/>
      <c r="V198" s="758"/>
      <c r="W198" s="758"/>
      <c r="X198" s="758"/>
      <c r="Y198" s="758"/>
      <c r="Z198" s="758"/>
      <c r="AA198" s="758"/>
      <c r="AB198" s="458"/>
      <c r="AC198" s="458"/>
      <c r="AD198" s="458"/>
      <c r="AE198" s="458"/>
      <c r="AF198" s="458"/>
      <c r="AG198" s="758"/>
      <c r="AH198" s="2205"/>
      <c r="AI198" s="842">
        <f t="shared" si="21"/>
        <v>0</v>
      </c>
      <c r="AJ198" s="233"/>
      <c r="AK198" s="233"/>
      <c r="AL198" s="233"/>
      <c r="AM198" s="233"/>
      <c r="AN198" s="233"/>
      <c r="AO198" s="233"/>
      <c r="AP198" s="233"/>
      <c r="AQ198" s="233"/>
      <c r="AR198" s="233"/>
      <c r="AS198" s="233"/>
      <c r="AT198" s="363"/>
      <c r="AU198" s="626" t="str">
        <f t="shared" si="22"/>
        <v/>
      </c>
      <c r="AV198" s="2205"/>
      <c r="AW198" s="458"/>
      <c r="AX198" s="458"/>
      <c r="AY198" s="458"/>
      <c r="AZ198" s="458"/>
      <c r="BA198" s="458"/>
      <c r="BB198" s="458"/>
      <c r="BC198" s="458"/>
      <c r="BD198" s="458"/>
      <c r="BE198" s="458"/>
      <c r="BF198" s="458"/>
      <c r="BG198" s="458"/>
      <c r="BH198" s="458"/>
      <c r="BI198" s="458"/>
      <c r="BJ198" s="458"/>
      <c r="BK198" s="592" t="str">
        <f t="shared" si="23"/>
        <v/>
      </c>
      <c r="BM198" s="592" t="str">
        <f t="shared" si="24"/>
        <v/>
      </c>
      <c r="BO198" s="592">
        <f t="shared" si="25"/>
        <v>0</v>
      </c>
      <c r="BP198" s="592">
        <f t="shared" si="26"/>
        <v>0</v>
      </c>
      <c r="BQ198" s="592" t="str">
        <f t="shared" si="27"/>
        <v/>
      </c>
      <c r="BR198" s="592" t="str">
        <f t="shared" si="28"/>
        <v/>
      </c>
    </row>
    <row r="199" spans="1:70" ht="15.6">
      <c r="A199" s="1805"/>
      <c r="B199" s="656"/>
      <c r="C199" s="454"/>
      <c r="D199" s="233"/>
      <c r="E199" s="233"/>
      <c r="F199" s="233"/>
      <c r="G199" s="233"/>
      <c r="H199" s="233"/>
      <c r="I199" s="233"/>
      <c r="J199" s="233"/>
      <c r="K199" s="233"/>
      <c r="L199" s="233"/>
      <c r="M199" s="233"/>
      <c r="N199" s="2145"/>
      <c r="O199" s="2146"/>
      <c r="P199" s="2146"/>
      <c r="Q199" s="2147"/>
      <c r="R199" s="824">
        <f t="shared" si="20"/>
        <v>0</v>
      </c>
      <c r="S199" s="1191"/>
      <c r="T199" s="758"/>
      <c r="U199" s="758"/>
      <c r="V199" s="758"/>
      <c r="W199" s="758"/>
      <c r="X199" s="758"/>
      <c r="Y199" s="758"/>
      <c r="Z199" s="758"/>
      <c r="AA199" s="758"/>
      <c r="AB199" s="458"/>
      <c r="AC199" s="458"/>
      <c r="AD199" s="458"/>
      <c r="AE199" s="458"/>
      <c r="AF199" s="458"/>
      <c r="AG199" s="758"/>
      <c r="AH199" s="2205"/>
      <c r="AI199" s="842">
        <f t="shared" si="21"/>
        <v>0</v>
      </c>
      <c r="AJ199" s="233"/>
      <c r="AK199" s="233"/>
      <c r="AL199" s="233"/>
      <c r="AM199" s="233"/>
      <c r="AN199" s="233"/>
      <c r="AO199" s="233"/>
      <c r="AP199" s="233"/>
      <c r="AQ199" s="233"/>
      <c r="AR199" s="233"/>
      <c r="AS199" s="233"/>
      <c r="AT199" s="363"/>
      <c r="AU199" s="626" t="str">
        <f t="shared" si="22"/>
        <v/>
      </c>
      <c r="AV199" s="2205"/>
      <c r="AW199" s="458"/>
      <c r="AX199" s="458"/>
      <c r="AY199" s="458"/>
      <c r="AZ199" s="458"/>
      <c r="BA199" s="458"/>
      <c r="BB199" s="458"/>
      <c r="BC199" s="458"/>
      <c r="BD199" s="458"/>
      <c r="BE199" s="458"/>
      <c r="BF199" s="458"/>
      <c r="BG199" s="458"/>
      <c r="BH199" s="458"/>
      <c r="BI199" s="458"/>
      <c r="BJ199" s="458"/>
      <c r="BK199" s="592" t="str">
        <f t="shared" si="23"/>
        <v/>
      </c>
      <c r="BM199" s="592" t="str">
        <f t="shared" si="24"/>
        <v/>
      </c>
      <c r="BO199" s="592">
        <f t="shared" si="25"/>
        <v>0</v>
      </c>
      <c r="BP199" s="592">
        <f t="shared" si="26"/>
        <v>0</v>
      </c>
      <c r="BQ199" s="592" t="str">
        <f t="shared" si="27"/>
        <v/>
      </c>
      <c r="BR199" s="592" t="str">
        <f t="shared" si="28"/>
        <v/>
      </c>
    </row>
    <row r="200" spans="1:70" ht="15.6">
      <c r="A200" s="1805"/>
      <c r="B200" s="656"/>
      <c r="C200" s="454"/>
      <c r="D200" s="233"/>
      <c r="E200" s="233"/>
      <c r="F200" s="233"/>
      <c r="G200" s="233"/>
      <c r="H200" s="233"/>
      <c r="I200" s="233"/>
      <c r="J200" s="233"/>
      <c r="K200" s="233"/>
      <c r="L200" s="233"/>
      <c r="M200" s="233"/>
      <c r="N200" s="2145"/>
      <c r="O200" s="2146"/>
      <c r="P200" s="2146"/>
      <c r="Q200" s="2147"/>
      <c r="R200" s="824">
        <f t="shared" si="20"/>
        <v>0</v>
      </c>
      <c r="S200" s="1191"/>
      <c r="T200" s="758"/>
      <c r="U200" s="758"/>
      <c r="V200" s="758"/>
      <c r="W200" s="758"/>
      <c r="X200" s="758"/>
      <c r="Y200" s="758"/>
      <c r="Z200" s="758"/>
      <c r="AA200" s="758"/>
      <c r="AB200" s="458"/>
      <c r="AC200" s="458"/>
      <c r="AD200" s="458"/>
      <c r="AE200" s="458"/>
      <c r="AF200" s="458"/>
      <c r="AG200" s="758"/>
      <c r="AH200" s="2205"/>
      <c r="AI200" s="842">
        <f t="shared" si="21"/>
        <v>0</v>
      </c>
      <c r="AJ200" s="233"/>
      <c r="AK200" s="233"/>
      <c r="AL200" s="233"/>
      <c r="AM200" s="233"/>
      <c r="AN200" s="233"/>
      <c r="AO200" s="233"/>
      <c r="AP200" s="233"/>
      <c r="AQ200" s="233"/>
      <c r="AR200" s="233"/>
      <c r="AS200" s="233"/>
      <c r="AT200" s="363"/>
      <c r="AU200" s="626" t="str">
        <f t="shared" si="22"/>
        <v/>
      </c>
      <c r="AV200" s="2205"/>
      <c r="AW200" s="458"/>
      <c r="AX200" s="458"/>
      <c r="AY200" s="458"/>
      <c r="AZ200" s="458"/>
      <c r="BA200" s="458"/>
      <c r="BB200" s="458"/>
      <c r="BC200" s="458"/>
      <c r="BD200" s="458"/>
      <c r="BE200" s="458"/>
      <c r="BF200" s="458"/>
      <c r="BG200" s="458"/>
      <c r="BH200" s="458"/>
      <c r="BI200" s="458"/>
      <c r="BJ200" s="458"/>
      <c r="BK200" s="592" t="str">
        <f t="shared" si="23"/>
        <v/>
      </c>
      <c r="BM200" s="592" t="str">
        <f t="shared" si="24"/>
        <v/>
      </c>
      <c r="BO200" s="592">
        <f t="shared" si="25"/>
        <v>0</v>
      </c>
      <c r="BP200" s="592">
        <f t="shared" si="26"/>
        <v>0</v>
      </c>
      <c r="BQ200" s="592" t="str">
        <f t="shared" si="27"/>
        <v/>
      </c>
      <c r="BR200" s="592" t="str">
        <f t="shared" si="28"/>
        <v/>
      </c>
    </row>
    <row r="201" spans="1:70" ht="15.6">
      <c r="A201" s="1805"/>
      <c r="B201" s="656"/>
      <c r="C201" s="454"/>
      <c r="D201" s="233"/>
      <c r="E201" s="233"/>
      <c r="F201" s="233"/>
      <c r="G201" s="233"/>
      <c r="H201" s="233"/>
      <c r="I201" s="233"/>
      <c r="J201" s="233"/>
      <c r="K201" s="233"/>
      <c r="L201" s="233"/>
      <c r="M201" s="233"/>
      <c r="N201" s="2145"/>
      <c r="O201" s="2146"/>
      <c r="P201" s="2146"/>
      <c r="Q201" s="2147"/>
      <c r="R201" s="824">
        <f t="shared" si="20"/>
        <v>0</v>
      </c>
      <c r="S201" s="1191"/>
      <c r="T201" s="758"/>
      <c r="U201" s="758"/>
      <c r="V201" s="758"/>
      <c r="W201" s="758"/>
      <c r="X201" s="758"/>
      <c r="Y201" s="758"/>
      <c r="Z201" s="758"/>
      <c r="AA201" s="758"/>
      <c r="AB201" s="458"/>
      <c r="AC201" s="458"/>
      <c r="AD201" s="458"/>
      <c r="AE201" s="458"/>
      <c r="AF201" s="458"/>
      <c r="AG201" s="758"/>
      <c r="AH201" s="2205"/>
      <c r="AI201" s="842">
        <f t="shared" si="21"/>
        <v>0</v>
      </c>
      <c r="AJ201" s="233"/>
      <c r="AK201" s="233"/>
      <c r="AL201" s="233"/>
      <c r="AM201" s="233"/>
      <c r="AN201" s="233"/>
      <c r="AO201" s="233"/>
      <c r="AP201" s="233"/>
      <c r="AQ201" s="233"/>
      <c r="AR201" s="233"/>
      <c r="AS201" s="233"/>
      <c r="AT201" s="363"/>
      <c r="AU201" s="626" t="str">
        <f t="shared" si="22"/>
        <v/>
      </c>
      <c r="AV201" s="2205"/>
      <c r="AW201" s="458"/>
      <c r="AX201" s="458"/>
      <c r="AY201" s="458"/>
      <c r="AZ201" s="458"/>
      <c r="BA201" s="458"/>
      <c r="BB201" s="458"/>
      <c r="BC201" s="458"/>
      <c r="BD201" s="458"/>
      <c r="BE201" s="458"/>
      <c r="BF201" s="458"/>
      <c r="BG201" s="458"/>
      <c r="BH201" s="458"/>
      <c r="BI201" s="458"/>
      <c r="BJ201" s="458"/>
      <c r="BK201" s="592" t="str">
        <f t="shared" si="23"/>
        <v/>
      </c>
      <c r="BM201" s="592" t="str">
        <f t="shared" si="24"/>
        <v/>
      </c>
      <c r="BO201" s="592">
        <f t="shared" si="25"/>
        <v>0</v>
      </c>
      <c r="BP201" s="592">
        <f t="shared" si="26"/>
        <v>0</v>
      </c>
      <c r="BQ201" s="592" t="str">
        <f t="shared" si="27"/>
        <v/>
      </c>
      <c r="BR201" s="592" t="str">
        <f t="shared" si="28"/>
        <v/>
      </c>
    </row>
    <row r="202" spans="1:70" ht="15.6">
      <c r="A202" s="1805"/>
      <c r="B202" s="656"/>
      <c r="C202" s="454"/>
      <c r="D202" s="233"/>
      <c r="E202" s="233"/>
      <c r="F202" s="233"/>
      <c r="G202" s="233"/>
      <c r="H202" s="233"/>
      <c r="I202" s="233"/>
      <c r="J202" s="233"/>
      <c r="K202" s="233"/>
      <c r="L202" s="233"/>
      <c r="M202" s="233"/>
      <c r="N202" s="2145"/>
      <c r="O202" s="2146"/>
      <c r="P202" s="2146"/>
      <c r="Q202" s="2147"/>
      <c r="R202" s="824">
        <f t="shared" si="20"/>
        <v>0</v>
      </c>
      <c r="S202" s="1191"/>
      <c r="T202" s="758"/>
      <c r="U202" s="758"/>
      <c r="V202" s="758"/>
      <c r="W202" s="758"/>
      <c r="X202" s="758"/>
      <c r="Y202" s="758"/>
      <c r="Z202" s="758"/>
      <c r="AA202" s="758"/>
      <c r="AB202" s="458"/>
      <c r="AC202" s="458"/>
      <c r="AD202" s="458"/>
      <c r="AE202" s="458"/>
      <c r="AF202" s="458"/>
      <c r="AG202" s="758"/>
      <c r="AH202" s="2205"/>
      <c r="AI202" s="842">
        <f t="shared" si="21"/>
        <v>0</v>
      </c>
      <c r="AJ202" s="233"/>
      <c r="AK202" s="233"/>
      <c r="AL202" s="233"/>
      <c r="AM202" s="233"/>
      <c r="AN202" s="233"/>
      <c r="AO202" s="233"/>
      <c r="AP202" s="233"/>
      <c r="AQ202" s="233"/>
      <c r="AR202" s="233"/>
      <c r="AS202" s="233"/>
      <c r="AT202" s="363"/>
      <c r="AU202" s="626" t="str">
        <f t="shared" si="22"/>
        <v/>
      </c>
      <c r="AV202" s="2205"/>
      <c r="AW202" s="458"/>
      <c r="AX202" s="458"/>
      <c r="AY202" s="458"/>
      <c r="AZ202" s="458"/>
      <c r="BA202" s="458"/>
      <c r="BB202" s="458"/>
      <c r="BC202" s="458"/>
      <c r="BD202" s="458"/>
      <c r="BE202" s="458"/>
      <c r="BF202" s="458"/>
      <c r="BG202" s="458"/>
      <c r="BH202" s="458"/>
      <c r="BI202" s="458"/>
      <c r="BJ202" s="458"/>
      <c r="BK202" s="592" t="str">
        <f t="shared" si="23"/>
        <v/>
      </c>
      <c r="BM202" s="592" t="str">
        <f t="shared" si="24"/>
        <v/>
      </c>
      <c r="BO202" s="592">
        <f t="shared" si="25"/>
        <v>0</v>
      </c>
      <c r="BP202" s="592">
        <f t="shared" si="26"/>
        <v>0</v>
      </c>
      <c r="BQ202" s="592" t="str">
        <f t="shared" si="27"/>
        <v/>
      </c>
      <c r="BR202" s="592" t="str">
        <f t="shared" si="28"/>
        <v/>
      </c>
    </row>
    <row r="203" spans="1:70" ht="15.6">
      <c r="A203" s="1805"/>
      <c r="B203" s="656"/>
      <c r="C203" s="454"/>
      <c r="D203" s="233"/>
      <c r="E203" s="233"/>
      <c r="F203" s="233"/>
      <c r="G203" s="233"/>
      <c r="H203" s="233"/>
      <c r="I203" s="233"/>
      <c r="J203" s="233"/>
      <c r="K203" s="233"/>
      <c r="L203" s="233"/>
      <c r="M203" s="233"/>
      <c r="N203" s="2145"/>
      <c r="O203" s="2146"/>
      <c r="P203" s="2146"/>
      <c r="Q203" s="2147"/>
      <c r="R203" s="824">
        <f t="shared" si="20"/>
        <v>0</v>
      </c>
      <c r="S203" s="1191"/>
      <c r="T203" s="758"/>
      <c r="U203" s="758"/>
      <c r="V203" s="758"/>
      <c r="W203" s="758"/>
      <c r="X203" s="758"/>
      <c r="Y203" s="758"/>
      <c r="Z203" s="758"/>
      <c r="AA203" s="758"/>
      <c r="AB203" s="458"/>
      <c r="AC203" s="458"/>
      <c r="AD203" s="458"/>
      <c r="AE203" s="458"/>
      <c r="AF203" s="458"/>
      <c r="AG203" s="758"/>
      <c r="AH203" s="2205"/>
      <c r="AI203" s="842">
        <f t="shared" si="21"/>
        <v>0</v>
      </c>
      <c r="AJ203" s="233"/>
      <c r="AK203" s="233"/>
      <c r="AL203" s="233"/>
      <c r="AM203" s="233"/>
      <c r="AN203" s="233"/>
      <c r="AO203" s="233"/>
      <c r="AP203" s="233"/>
      <c r="AQ203" s="233"/>
      <c r="AR203" s="233"/>
      <c r="AS203" s="233"/>
      <c r="AT203" s="363"/>
      <c r="AU203" s="626" t="str">
        <f t="shared" si="22"/>
        <v/>
      </c>
      <c r="AV203" s="2205"/>
      <c r="AW203" s="458"/>
      <c r="AX203" s="458"/>
      <c r="AY203" s="458"/>
      <c r="AZ203" s="458"/>
      <c r="BA203" s="458"/>
      <c r="BB203" s="458"/>
      <c r="BC203" s="458"/>
      <c r="BD203" s="458"/>
      <c r="BE203" s="458"/>
      <c r="BF203" s="458"/>
      <c r="BG203" s="458"/>
      <c r="BH203" s="458"/>
      <c r="BI203" s="458"/>
      <c r="BJ203" s="458"/>
      <c r="BK203" s="592" t="str">
        <f t="shared" si="23"/>
        <v/>
      </c>
      <c r="BM203" s="592" t="str">
        <f t="shared" si="24"/>
        <v/>
      </c>
      <c r="BO203" s="592">
        <f t="shared" si="25"/>
        <v>0</v>
      </c>
      <c r="BP203" s="592">
        <f t="shared" si="26"/>
        <v>0</v>
      </c>
      <c r="BQ203" s="592" t="str">
        <f t="shared" si="27"/>
        <v/>
      </c>
      <c r="BR203" s="592" t="str">
        <f t="shared" si="28"/>
        <v/>
      </c>
    </row>
    <row r="204" spans="1:70" ht="15.6">
      <c r="A204" s="1805"/>
      <c r="B204" s="656"/>
      <c r="C204" s="454"/>
      <c r="D204" s="233"/>
      <c r="E204" s="233"/>
      <c r="F204" s="233"/>
      <c r="G204" s="233"/>
      <c r="H204" s="233"/>
      <c r="I204" s="233"/>
      <c r="J204" s="233"/>
      <c r="K204" s="233"/>
      <c r="L204" s="233"/>
      <c r="M204" s="233"/>
      <c r="N204" s="2145"/>
      <c r="O204" s="2146"/>
      <c r="P204" s="2146"/>
      <c r="Q204" s="2147"/>
      <c r="R204" s="824">
        <f t="shared" si="20"/>
        <v>0</v>
      </c>
      <c r="S204" s="1191"/>
      <c r="T204" s="758"/>
      <c r="U204" s="758"/>
      <c r="V204" s="758"/>
      <c r="W204" s="758"/>
      <c r="X204" s="758"/>
      <c r="Y204" s="758"/>
      <c r="Z204" s="758"/>
      <c r="AA204" s="758"/>
      <c r="AB204" s="458"/>
      <c r="AC204" s="458"/>
      <c r="AD204" s="458"/>
      <c r="AE204" s="458"/>
      <c r="AF204" s="458"/>
      <c r="AG204" s="758"/>
      <c r="AH204" s="2205"/>
      <c r="AI204" s="842">
        <f t="shared" si="21"/>
        <v>0</v>
      </c>
      <c r="AJ204" s="233"/>
      <c r="AK204" s="233"/>
      <c r="AL204" s="233"/>
      <c r="AM204" s="233"/>
      <c r="AN204" s="233"/>
      <c r="AO204" s="233"/>
      <c r="AP204" s="233"/>
      <c r="AQ204" s="233"/>
      <c r="AR204" s="233"/>
      <c r="AS204" s="233"/>
      <c r="AT204" s="363"/>
      <c r="AU204" s="626" t="str">
        <f t="shared" si="22"/>
        <v/>
      </c>
      <c r="AV204" s="2205"/>
      <c r="AW204" s="458"/>
      <c r="AX204" s="458"/>
      <c r="AY204" s="458"/>
      <c r="AZ204" s="458"/>
      <c r="BA204" s="458"/>
      <c r="BB204" s="458"/>
      <c r="BC204" s="458"/>
      <c r="BD204" s="458"/>
      <c r="BE204" s="458"/>
      <c r="BF204" s="458"/>
      <c r="BG204" s="458"/>
      <c r="BH204" s="458"/>
      <c r="BI204" s="458"/>
      <c r="BJ204" s="458"/>
      <c r="BK204" s="592" t="str">
        <f t="shared" si="23"/>
        <v/>
      </c>
      <c r="BM204" s="592" t="str">
        <f t="shared" si="24"/>
        <v/>
      </c>
      <c r="BO204" s="592">
        <f t="shared" si="25"/>
        <v>0</v>
      </c>
      <c r="BP204" s="592">
        <f t="shared" si="26"/>
        <v>0</v>
      </c>
      <c r="BQ204" s="592" t="str">
        <f t="shared" si="27"/>
        <v/>
      </c>
      <c r="BR204" s="592" t="str">
        <f t="shared" si="28"/>
        <v/>
      </c>
    </row>
    <row r="205" spans="1:70" ht="15.6">
      <c r="A205" s="1805"/>
      <c r="B205" s="656"/>
      <c r="C205" s="454"/>
      <c r="D205" s="233"/>
      <c r="E205" s="233"/>
      <c r="F205" s="233"/>
      <c r="G205" s="233"/>
      <c r="H205" s="233"/>
      <c r="I205" s="233"/>
      <c r="J205" s="233"/>
      <c r="K205" s="233"/>
      <c r="L205" s="233"/>
      <c r="M205" s="233"/>
      <c r="N205" s="2145"/>
      <c r="O205" s="2146"/>
      <c r="P205" s="2146"/>
      <c r="Q205" s="2147"/>
      <c r="R205" s="824">
        <f>((D205*$D$162)+($E$162*E205)+($F$162*F205)+($G$162*G205)+($H$162*H205)+($I$162*I205)+($J$162*J205)+($K$162*K205)+($L$162*L205)+($M$162*M205))*C205*8.76</f>
        <v>0</v>
      </c>
      <c r="S205" s="1191"/>
      <c r="T205" s="758"/>
      <c r="U205" s="758"/>
      <c r="V205" s="758"/>
      <c r="W205" s="758"/>
      <c r="X205" s="758"/>
      <c r="Y205" s="758"/>
      <c r="Z205" s="758"/>
      <c r="AA205" s="758"/>
      <c r="AB205" s="458"/>
      <c r="AC205" s="458"/>
      <c r="AD205" s="458"/>
      <c r="AE205" s="458"/>
      <c r="AF205" s="458"/>
      <c r="AG205" s="758"/>
      <c r="AH205" s="2205"/>
      <c r="AI205" s="842">
        <f t="shared" si="21"/>
        <v>0</v>
      </c>
      <c r="AJ205" s="233"/>
      <c r="AK205" s="233"/>
      <c r="AL205" s="233"/>
      <c r="AM205" s="233"/>
      <c r="AN205" s="233"/>
      <c r="AO205" s="233"/>
      <c r="AP205" s="233"/>
      <c r="AQ205" s="233"/>
      <c r="AR205" s="233"/>
      <c r="AS205" s="233"/>
      <c r="AT205" s="363"/>
      <c r="AU205" s="626" t="str">
        <f t="shared" si="22"/>
        <v/>
      </c>
      <c r="AV205" s="2205"/>
      <c r="AW205" s="458"/>
      <c r="AX205" s="458"/>
      <c r="AY205" s="458"/>
      <c r="AZ205" s="458"/>
      <c r="BA205" s="458"/>
      <c r="BB205" s="458"/>
      <c r="BC205" s="458"/>
      <c r="BD205" s="458"/>
      <c r="BE205" s="458"/>
      <c r="BF205" s="458"/>
      <c r="BG205" s="458"/>
      <c r="BH205" s="458"/>
      <c r="BI205" s="458"/>
      <c r="BJ205" s="458"/>
      <c r="BK205" s="592" t="str">
        <f t="shared" si="23"/>
        <v/>
      </c>
      <c r="BM205" s="592" t="str">
        <f t="shared" si="24"/>
        <v/>
      </c>
      <c r="BO205" s="592">
        <f t="shared" si="25"/>
        <v>0</v>
      </c>
      <c r="BP205" s="592">
        <f t="shared" si="26"/>
        <v>0</v>
      </c>
      <c r="BQ205" s="592" t="str">
        <f t="shared" si="27"/>
        <v/>
      </c>
      <c r="BR205" s="592" t="str">
        <f t="shared" si="28"/>
        <v/>
      </c>
    </row>
    <row r="206" spans="1:70" ht="15.6">
      <c r="A206" s="1805"/>
      <c r="B206" s="656"/>
      <c r="C206" s="454"/>
      <c r="D206" s="233"/>
      <c r="E206" s="233"/>
      <c r="F206" s="233"/>
      <c r="G206" s="233"/>
      <c r="H206" s="233"/>
      <c r="I206" s="233"/>
      <c r="J206" s="233"/>
      <c r="K206" s="233"/>
      <c r="L206" s="233"/>
      <c r="M206" s="233"/>
      <c r="N206" s="2145"/>
      <c r="O206" s="2146"/>
      <c r="P206" s="2146"/>
      <c r="Q206" s="2147"/>
      <c r="R206" s="824">
        <f t="shared" si="20"/>
        <v>0</v>
      </c>
      <c r="S206" s="1191"/>
      <c r="T206" s="758"/>
      <c r="U206" s="758"/>
      <c r="V206" s="758"/>
      <c r="W206" s="758"/>
      <c r="X206" s="758"/>
      <c r="Y206" s="758"/>
      <c r="Z206" s="758"/>
      <c r="AA206" s="758"/>
      <c r="AB206" s="458"/>
      <c r="AC206" s="458"/>
      <c r="AD206" s="458"/>
      <c r="AE206" s="458"/>
      <c r="AF206" s="458"/>
      <c r="AG206" s="758"/>
      <c r="AH206" s="2205"/>
      <c r="AI206" s="842">
        <f t="shared" si="21"/>
        <v>0</v>
      </c>
      <c r="AJ206" s="233"/>
      <c r="AK206" s="233"/>
      <c r="AL206" s="233"/>
      <c r="AM206" s="233"/>
      <c r="AN206" s="233"/>
      <c r="AO206" s="233"/>
      <c r="AP206" s="233"/>
      <c r="AQ206" s="233"/>
      <c r="AR206" s="233"/>
      <c r="AS206" s="233"/>
      <c r="AT206" s="363"/>
      <c r="AU206" s="626" t="str">
        <f t="shared" si="22"/>
        <v/>
      </c>
      <c r="AV206" s="2205"/>
      <c r="AW206" s="458"/>
      <c r="AX206" s="458"/>
      <c r="AY206" s="458"/>
      <c r="AZ206" s="458"/>
      <c r="BA206" s="458"/>
      <c r="BB206" s="458"/>
      <c r="BC206" s="458"/>
      <c r="BD206" s="458"/>
      <c r="BE206" s="458"/>
      <c r="BF206" s="458"/>
      <c r="BG206" s="458"/>
      <c r="BH206" s="458"/>
      <c r="BI206" s="458"/>
      <c r="BJ206" s="458"/>
      <c r="BK206" s="592" t="str">
        <f t="shared" si="23"/>
        <v/>
      </c>
      <c r="BM206" s="592" t="str">
        <f t="shared" si="24"/>
        <v/>
      </c>
      <c r="BO206" s="592">
        <f t="shared" si="25"/>
        <v>0</v>
      </c>
      <c r="BP206" s="592">
        <f t="shared" si="26"/>
        <v>0</v>
      </c>
      <c r="BQ206" s="592" t="str">
        <f t="shared" si="27"/>
        <v/>
      </c>
      <c r="BR206" s="592" t="str">
        <f t="shared" si="28"/>
        <v/>
      </c>
    </row>
    <row r="207" spans="1:70" ht="15.6">
      <c r="A207" s="1805"/>
      <c r="B207" s="656"/>
      <c r="C207" s="454"/>
      <c r="D207" s="233"/>
      <c r="E207" s="233"/>
      <c r="F207" s="233"/>
      <c r="G207" s="233"/>
      <c r="H207" s="233"/>
      <c r="I207" s="233"/>
      <c r="J207" s="233"/>
      <c r="K207" s="233"/>
      <c r="L207" s="233"/>
      <c r="M207" s="233"/>
      <c r="N207" s="2145"/>
      <c r="O207" s="2146"/>
      <c r="P207" s="2146"/>
      <c r="Q207" s="2147"/>
      <c r="R207" s="824">
        <f t="shared" si="20"/>
        <v>0</v>
      </c>
      <c r="S207" s="1191"/>
      <c r="T207" s="758"/>
      <c r="U207" s="758"/>
      <c r="V207" s="758"/>
      <c r="W207" s="758"/>
      <c r="X207" s="758"/>
      <c r="Y207" s="758"/>
      <c r="Z207" s="758"/>
      <c r="AA207" s="758"/>
      <c r="AB207" s="458"/>
      <c r="AC207" s="458"/>
      <c r="AD207" s="458"/>
      <c r="AE207" s="458"/>
      <c r="AF207" s="458"/>
      <c r="AG207" s="758"/>
      <c r="AH207" s="2205"/>
      <c r="AI207" s="842">
        <f t="shared" si="21"/>
        <v>0</v>
      </c>
      <c r="AJ207" s="233"/>
      <c r="AK207" s="233"/>
      <c r="AL207" s="233"/>
      <c r="AM207" s="233"/>
      <c r="AN207" s="233"/>
      <c r="AO207" s="233"/>
      <c r="AP207" s="233"/>
      <c r="AQ207" s="233"/>
      <c r="AR207" s="233"/>
      <c r="AS207" s="233"/>
      <c r="AT207" s="363"/>
      <c r="AU207" s="626" t="str">
        <f t="shared" si="22"/>
        <v/>
      </c>
      <c r="AV207" s="2205"/>
      <c r="AW207" s="458"/>
      <c r="AX207" s="458"/>
      <c r="AY207" s="458"/>
      <c r="AZ207" s="458"/>
      <c r="BA207" s="458"/>
      <c r="BB207" s="458"/>
      <c r="BC207" s="458"/>
      <c r="BD207" s="458"/>
      <c r="BE207" s="458"/>
      <c r="BF207" s="458"/>
      <c r="BG207" s="458"/>
      <c r="BH207" s="458"/>
      <c r="BI207" s="458"/>
      <c r="BJ207" s="458"/>
      <c r="BK207" s="592" t="str">
        <f t="shared" si="23"/>
        <v/>
      </c>
      <c r="BM207" s="592" t="str">
        <f t="shared" si="24"/>
        <v/>
      </c>
      <c r="BO207" s="592">
        <f t="shared" si="25"/>
        <v>0</v>
      </c>
      <c r="BP207" s="592">
        <f t="shared" si="26"/>
        <v>0</v>
      </c>
      <c r="BQ207" s="592" t="str">
        <f t="shared" si="27"/>
        <v/>
      </c>
      <c r="BR207" s="592" t="str">
        <f t="shared" si="28"/>
        <v/>
      </c>
    </row>
    <row r="208" spans="1:70" ht="15.6">
      <c r="A208" s="1805"/>
      <c r="B208" s="656"/>
      <c r="C208" s="454"/>
      <c r="D208" s="233"/>
      <c r="E208" s="233"/>
      <c r="F208" s="233"/>
      <c r="G208" s="233"/>
      <c r="H208" s="233"/>
      <c r="I208" s="233"/>
      <c r="J208" s="233"/>
      <c r="K208" s="233"/>
      <c r="L208" s="233"/>
      <c r="M208" s="233"/>
      <c r="N208" s="2145"/>
      <c r="O208" s="2146"/>
      <c r="P208" s="2146"/>
      <c r="Q208" s="2147"/>
      <c r="R208" s="824">
        <f t="shared" si="20"/>
        <v>0</v>
      </c>
      <c r="S208" s="1191"/>
      <c r="T208" s="758"/>
      <c r="U208" s="758"/>
      <c r="V208" s="758"/>
      <c r="W208" s="758"/>
      <c r="X208" s="758"/>
      <c r="Y208" s="758"/>
      <c r="Z208" s="758"/>
      <c r="AA208" s="758"/>
      <c r="AB208" s="458"/>
      <c r="AC208" s="458"/>
      <c r="AD208" s="458"/>
      <c r="AE208" s="458"/>
      <c r="AF208" s="458"/>
      <c r="AG208" s="758"/>
      <c r="AH208" s="2205"/>
      <c r="AI208" s="842">
        <f t="shared" si="21"/>
        <v>0</v>
      </c>
      <c r="AJ208" s="233"/>
      <c r="AK208" s="233"/>
      <c r="AL208" s="233"/>
      <c r="AM208" s="233"/>
      <c r="AN208" s="233"/>
      <c r="AO208" s="233"/>
      <c r="AP208" s="233"/>
      <c r="AQ208" s="233"/>
      <c r="AR208" s="233"/>
      <c r="AS208" s="233"/>
      <c r="AT208" s="363"/>
      <c r="AU208" s="626" t="str">
        <f t="shared" si="22"/>
        <v/>
      </c>
      <c r="AV208" s="2205"/>
      <c r="AW208" s="458"/>
      <c r="AX208" s="458"/>
      <c r="AY208" s="458"/>
      <c r="AZ208" s="458"/>
      <c r="BA208" s="458"/>
      <c r="BB208" s="458"/>
      <c r="BC208" s="458"/>
      <c r="BD208" s="458"/>
      <c r="BE208" s="458"/>
      <c r="BF208" s="458"/>
      <c r="BG208" s="458"/>
      <c r="BH208" s="458"/>
      <c r="BI208" s="458"/>
      <c r="BJ208" s="458"/>
      <c r="BK208" s="592" t="str">
        <f t="shared" si="23"/>
        <v/>
      </c>
      <c r="BM208" s="592" t="str">
        <f t="shared" si="24"/>
        <v/>
      </c>
      <c r="BO208" s="592">
        <f t="shared" si="25"/>
        <v>0</v>
      </c>
      <c r="BP208" s="592">
        <f t="shared" si="26"/>
        <v>0</v>
      </c>
      <c r="BQ208" s="592" t="str">
        <f t="shared" si="27"/>
        <v/>
      </c>
      <c r="BR208" s="592" t="str">
        <f t="shared" si="28"/>
        <v/>
      </c>
    </row>
    <row r="209" spans="1:70" ht="15.6">
      <c r="A209" s="1805"/>
      <c r="B209" s="656"/>
      <c r="C209" s="454"/>
      <c r="D209" s="233"/>
      <c r="E209" s="233"/>
      <c r="F209" s="233"/>
      <c r="G209" s="233"/>
      <c r="H209" s="233"/>
      <c r="I209" s="233"/>
      <c r="J209" s="233"/>
      <c r="K209" s="233"/>
      <c r="L209" s="233"/>
      <c r="M209" s="233"/>
      <c r="N209" s="2145"/>
      <c r="O209" s="2146"/>
      <c r="P209" s="2146"/>
      <c r="Q209" s="2147"/>
      <c r="R209" s="824">
        <f t="shared" si="20"/>
        <v>0</v>
      </c>
      <c r="S209" s="1191"/>
      <c r="T209" s="758"/>
      <c r="U209" s="758"/>
      <c r="V209" s="758"/>
      <c r="W209" s="758"/>
      <c r="X209" s="758"/>
      <c r="Y209" s="758"/>
      <c r="Z209" s="758"/>
      <c r="AA209" s="758"/>
      <c r="AB209" s="458"/>
      <c r="AC209" s="458"/>
      <c r="AD209" s="458"/>
      <c r="AE209" s="458"/>
      <c r="AF209" s="458"/>
      <c r="AG209" s="758"/>
      <c r="AH209" s="2205"/>
      <c r="AI209" s="842">
        <f t="shared" si="21"/>
        <v>0</v>
      </c>
      <c r="AJ209" s="233"/>
      <c r="AK209" s="233"/>
      <c r="AL209" s="233"/>
      <c r="AM209" s="233"/>
      <c r="AN209" s="233"/>
      <c r="AO209" s="233"/>
      <c r="AP209" s="233"/>
      <c r="AQ209" s="233"/>
      <c r="AR209" s="233"/>
      <c r="AS209" s="233"/>
      <c r="AT209" s="363"/>
      <c r="AU209" s="626" t="str">
        <f t="shared" si="22"/>
        <v/>
      </c>
      <c r="AV209" s="2205"/>
      <c r="AW209" s="458"/>
      <c r="AX209" s="458"/>
      <c r="AY209" s="458"/>
      <c r="AZ209" s="458"/>
      <c r="BA209" s="458"/>
      <c r="BB209" s="458"/>
      <c r="BC209" s="458"/>
      <c r="BD209" s="458"/>
      <c r="BE209" s="458"/>
      <c r="BF209" s="458"/>
      <c r="BG209" s="458"/>
      <c r="BH209" s="458"/>
      <c r="BI209" s="458"/>
      <c r="BJ209" s="458"/>
      <c r="BK209" s="592" t="str">
        <f t="shared" si="23"/>
        <v/>
      </c>
      <c r="BM209" s="592" t="str">
        <f t="shared" si="24"/>
        <v/>
      </c>
      <c r="BO209" s="592">
        <f t="shared" si="25"/>
        <v>0</v>
      </c>
      <c r="BP209" s="592">
        <f t="shared" si="26"/>
        <v>0</v>
      </c>
      <c r="BQ209" s="592" t="str">
        <f t="shared" si="27"/>
        <v/>
      </c>
      <c r="BR209" s="592" t="str">
        <f t="shared" si="28"/>
        <v/>
      </c>
    </row>
    <row r="210" spans="1:70" ht="15.6">
      <c r="A210" s="1805"/>
      <c r="B210" s="656"/>
      <c r="C210" s="454"/>
      <c r="D210" s="233"/>
      <c r="E210" s="233"/>
      <c r="F210" s="233"/>
      <c r="G210" s="233"/>
      <c r="H210" s="233"/>
      <c r="I210" s="233"/>
      <c r="J210" s="233"/>
      <c r="K210" s="233"/>
      <c r="L210" s="233"/>
      <c r="M210" s="233"/>
      <c r="N210" s="2145"/>
      <c r="O210" s="2146"/>
      <c r="P210" s="2146"/>
      <c r="Q210" s="2147"/>
      <c r="R210" s="824">
        <f t="shared" si="20"/>
        <v>0</v>
      </c>
      <c r="S210" s="1191"/>
      <c r="T210" s="758"/>
      <c r="U210" s="758"/>
      <c r="V210" s="758"/>
      <c r="W210" s="758"/>
      <c r="X210" s="758"/>
      <c r="Y210" s="758"/>
      <c r="Z210" s="758"/>
      <c r="AA210" s="758"/>
      <c r="AB210" s="458"/>
      <c r="AC210" s="458"/>
      <c r="AD210" s="458"/>
      <c r="AE210" s="458"/>
      <c r="AF210" s="458"/>
      <c r="AG210" s="758"/>
      <c r="AH210" s="2205"/>
      <c r="AI210" s="842">
        <f t="shared" si="21"/>
        <v>0</v>
      </c>
      <c r="AJ210" s="233"/>
      <c r="AK210" s="233"/>
      <c r="AL210" s="233"/>
      <c r="AM210" s="233"/>
      <c r="AN210" s="233"/>
      <c r="AO210" s="233"/>
      <c r="AP210" s="233"/>
      <c r="AQ210" s="233"/>
      <c r="AR210" s="233"/>
      <c r="AS210" s="233"/>
      <c r="AT210" s="363"/>
      <c r="AU210" s="626" t="str">
        <f t="shared" si="22"/>
        <v/>
      </c>
      <c r="AV210" s="2205"/>
      <c r="AW210" s="458"/>
      <c r="AX210" s="458"/>
      <c r="AY210" s="458"/>
      <c r="AZ210" s="458"/>
      <c r="BA210" s="458"/>
      <c r="BB210" s="458"/>
      <c r="BC210" s="458"/>
      <c r="BD210" s="458"/>
      <c r="BE210" s="458"/>
      <c r="BF210" s="458"/>
      <c r="BG210" s="458"/>
      <c r="BH210" s="458"/>
      <c r="BI210" s="458"/>
      <c r="BJ210" s="458"/>
      <c r="BK210" s="592" t="str">
        <f t="shared" si="23"/>
        <v/>
      </c>
      <c r="BM210" s="592" t="str">
        <f t="shared" si="24"/>
        <v/>
      </c>
      <c r="BO210" s="592">
        <f t="shared" si="25"/>
        <v>0</v>
      </c>
      <c r="BP210" s="592">
        <f t="shared" si="26"/>
        <v>0</v>
      </c>
      <c r="BQ210" s="592" t="str">
        <f t="shared" si="27"/>
        <v/>
      </c>
      <c r="BR210" s="592" t="str">
        <f t="shared" si="28"/>
        <v/>
      </c>
    </row>
    <row r="211" spans="1:70" ht="15.6">
      <c r="A211" s="1805"/>
      <c r="B211" s="656"/>
      <c r="C211" s="454"/>
      <c r="D211" s="233"/>
      <c r="E211" s="233"/>
      <c r="F211" s="233"/>
      <c r="G211" s="233"/>
      <c r="H211" s="233"/>
      <c r="I211" s="233"/>
      <c r="J211" s="233"/>
      <c r="K211" s="233"/>
      <c r="L211" s="233"/>
      <c r="M211" s="233"/>
      <c r="N211" s="2145"/>
      <c r="O211" s="2146"/>
      <c r="P211" s="2146"/>
      <c r="Q211" s="2147"/>
      <c r="R211" s="824">
        <f t="shared" si="20"/>
        <v>0</v>
      </c>
      <c r="S211" s="1191"/>
      <c r="T211" s="758"/>
      <c r="U211" s="758"/>
      <c r="V211" s="758"/>
      <c r="W211" s="758"/>
      <c r="X211" s="758"/>
      <c r="Y211" s="758"/>
      <c r="Z211" s="758"/>
      <c r="AA211" s="758"/>
      <c r="AB211" s="458"/>
      <c r="AC211" s="458"/>
      <c r="AD211" s="458"/>
      <c r="AE211" s="458"/>
      <c r="AF211" s="458"/>
      <c r="AG211" s="758"/>
      <c r="AH211" s="2205"/>
      <c r="AI211" s="842">
        <f t="shared" si="21"/>
        <v>0</v>
      </c>
      <c r="AJ211" s="233"/>
      <c r="AK211" s="233"/>
      <c r="AL211" s="233"/>
      <c r="AM211" s="233"/>
      <c r="AN211" s="233"/>
      <c r="AO211" s="233"/>
      <c r="AP211" s="233"/>
      <c r="AQ211" s="233"/>
      <c r="AR211" s="233"/>
      <c r="AS211" s="233"/>
      <c r="AT211" s="363"/>
      <c r="AU211" s="626" t="str">
        <f t="shared" si="22"/>
        <v/>
      </c>
      <c r="AV211" s="2205"/>
      <c r="AW211" s="458"/>
      <c r="AX211" s="458"/>
      <c r="AY211" s="458"/>
      <c r="AZ211" s="458"/>
      <c r="BA211" s="458"/>
      <c r="BB211" s="458"/>
      <c r="BC211" s="458"/>
      <c r="BD211" s="458"/>
      <c r="BE211" s="458"/>
      <c r="BF211" s="458"/>
      <c r="BG211" s="458"/>
      <c r="BH211" s="458"/>
      <c r="BI211" s="458"/>
      <c r="BJ211" s="458"/>
      <c r="BK211" s="592" t="str">
        <f t="shared" si="23"/>
        <v/>
      </c>
      <c r="BM211" s="592" t="str">
        <f t="shared" si="24"/>
        <v/>
      </c>
      <c r="BO211" s="592">
        <f t="shared" si="25"/>
        <v>0</v>
      </c>
      <c r="BP211" s="592">
        <f t="shared" si="26"/>
        <v>0</v>
      </c>
      <c r="BQ211" s="592" t="str">
        <f t="shared" si="27"/>
        <v/>
      </c>
      <c r="BR211" s="592" t="str">
        <f t="shared" si="28"/>
        <v/>
      </c>
    </row>
    <row r="212" spans="1:70" ht="15.6">
      <c r="A212" s="1805"/>
      <c r="B212" s="656"/>
      <c r="C212" s="454"/>
      <c r="D212" s="233"/>
      <c r="E212" s="233"/>
      <c r="F212" s="233"/>
      <c r="G212" s="233"/>
      <c r="H212" s="233"/>
      <c r="I212" s="233"/>
      <c r="J212" s="233"/>
      <c r="K212" s="233"/>
      <c r="L212" s="233"/>
      <c r="M212" s="233"/>
      <c r="N212" s="2145"/>
      <c r="O212" s="2146"/>
      <c r="P212" s="2146"/>
      <c r="Q212" s="2147"/>
      <c r="R212" s="824">
        <f t="shared" si="20"/>
        <v>0</v>
      </c>
      <c r="S212" s="1191"/>
      <c r="T212" s="758"/>
      <c r="U212" s="758"/>
      <c r="V212" s="758"/>
      <c r="W212" s="758"/>
      <c r="X212" s="758"/>
      <c r="Y212" s="758"/>
      <c r="Z212" s="758"/>
      <c r="AA212" s="758"/>
      <c r="AB212" s="458"/>
      <c r="AC212" s="458"/>
      <c r="AD212" s="458"/>
      <c r="AE212" s="458"/>
      <c r="AF212" s="458"/>
      <c r="AG212" s="758"/>
      <c r="AH212" s="2205"/>
      <c r="AI212" s="842">
        <f t="shared" si="21"/>
        <v>0</v>
      </c>
      <c r="AJ212" s="233"/>
      <c r="AK212" s="233"/>
      <c r="AL212" s="233"/>
      <c r="AM212" s="233"/>
      <c r="AN212" s="233"/>
      <c r="AO212" s="233"/>
      <c r="AP212" s="233"/>
      <c r="AQ212" s="233"/>
      <c r="AR212" s="233"/>
      <c r="AS212" s="233"/>
      <c r="AT212" s="363"/>
      <c r="AU212" s="626" t="str">
        <f t="shared" si="22"/>
        <v/>
      </c>
      <c r="AV212" s="2205"/>
      <c r="AW212" s="458"/>
      <c r="AX212" s="458"/>
      <c r="AY212" s="458"/>
      <c r="AZ212" s="458"/>
      <c r="BA212" s="458"/>
      <c r="BB212" s="458"/>
      <c r="BC212" s="458"/>
      <c r="BD212" s="458"/>
      <c r="BE212" s="458"/>
      <c r="BF212" s="458"/>
      <c r="BG212" s="458"/>
      <c r="BH212" s="458"/>
      <c r="BI212" s="458"/>
      <c r="BJ212" s="458"/>
      <c r="BK212" s="592" t="str">
        <f t="shared" si="23"/>
        <v/>
      </c>
      <c r="BM212" s="592" t="str">
        <f t="shared" si="24"/>
        <v/>
      </c>
      <c r="BO212" s="592">
        <f t="shared" si="25"/>
        <v>0</v>
      </c>
      <c r="BP212" s="592">
        <f t="shared" si="26"/>
        <v>0</v>
      </c>
      <c r="BQ212" s="592" t="str">
        <f t="shared" si="27"/>
        <v/>
      </c>
      <c r="BR212" s="592" t="str">
        <f t="shared" si="28"/>
        <v/>
      </c>
    </row>
    <row r="213" spans="1:70" ht="15.6">
      <c r="A213" s="1805"/>
      <c r="B213" s="656"/>
      <c r="C213" s="454"/>
      <c r="D213" s="233"/>
      <c r="E213" s="233"/>
      <c r="F213" s="233"/>
      <c r="G213" s="233"/>
      <c r="H213" s="233"/>
      <c r="I213" s="233"/>
      <c r="J213" s="233"/>
      <c r="K213" s="233"/>
      <c r="L213" s="233"/>
      <c r="M213" s="233"/>
      <c r="N213" s="2145"/>
      <c r="O213" s="2146"/>
      <c r="P213" s="2146"/>
      <c r="Q213" s="2147"/>
      <c r="R213" s="824">
        <f t="shared" si="20"/>
        <v>0</v>
      </c>
      <c r="S213" s="1191"/>
      <c r="T213" s="758"/>
      <c r="U213" s="758"/>
      <c r="V213" s="758"/>
      <c r="W213" s="758"/>
      <c r="X213" s="758"/>
      <c r="Y213" s="758"/>
      <c r="Z213" s="758"/>
      <c r="AA213" s="758"/>
      <c r="AB213" s="458"/>
      <c r="AC213" s="458"/>
      <c r="AD213" s="458"/>
      <c r="AE213" s="458"/>
      <c r="AF213" s="458"/>
      <c r="AG213" s="758"/>
      <c r="AH213" s="2205"/>
      <c r="AI213" s="842">
        <f t="shared" si="21"/>
        <v>0</v>
      </c>
      <c r="AJ213" s="233"/>
      <c r="AK213" s="233"/>
      <c r="AL213" s="233"/>
      <c r="AM213" s="233"/>
      <c r="AN213" s="233"/>
      <c r="AO213" s="233"/>
      <c r="AP213" s="233"/>
      <c r="AQ213" s="233"/>
      <c r="AR213" s="233"/>
      <c r="AS213" s="233"/>
      <c r="AT213" s="363"/>
      <c r="AU213" s="626" t="str">
        <f t="shared" si="22"/>
        <v/>
      </c>
      <c r="AV213" s="2205"/>
      <c r="AW213" s="458"/>
      <c r="AX213" s="458"/>
      <c r="AY213" s="458"/>
      <c r="AZ213" s="458"/>
      <c r="BA213" s="458"/>
      <c r="BB213" s="458"/>
      <c r="BC213" s="458"/>
      <c r="BD213" s="458"/>
      <c r="BE213" s="458"/>
      <c r="BF213" s="458"/>
      <c r="BG213" s="458"/>
      <c r="BH213" s="458"/>
      <c r="BI213" s="458"/>
      <c r="BJ213" s="458"/>
      <c r="BK213" s="592" t="str">
        <f t="shared" si="23"/>
        <v/>
      </c>
      <c r="BM213" s="592" t="str">
        <f t="shared" si="24"/>
        <v/>
      </c>
      <c r="BO213" s="592">
        <f t="shared" si="25"/>
        <v>0</v>
      </c>
      <c r="BP213" s="592">
        <f t="shared" si="26"/>
        <v>0</v>
      </c>
      <c r="BQ213" s="592" t="str">
        <f t="shared" si="27"/>
        <v/>
      </c>
      <c r="BR213" s="592" t="str">
        <f t="shared" si="28"/>
        <v/>
      </c>
    </row>
    <row r="214" spans="1:70" ht="15.6">
      <c r="A214" s="1805"/>
      <c r="B214" s="656"/>
      <c r="C214" s="454"/>
      <c r="D214" s="233"/>
      <c r="E214" s="233"/>
      <c r="F214" s="233"/>
      <c r="G214" s="233"/>
      <c r="H214" s="233"/>
      <c r="I214" s="233"/>
      <c r="J214" s="233"/>
      <c r="K214" s="233"/>
      <c r="L214" s="233"/>
      <c r="M214" s="233"/>
      <c r="N214" s="2145"/>
      <c r="O214" s="2146"/>
      <c r="P214" s="2146"/>
      <c r="Q214" s="2147"/>
      <c r="R214" s="824">
        <f t="shared" si="20"/>
        <v>0</v>
      </c>
      <c r="S214" s="1191"/>
      <c r="T214" s="758"/>
      <c r="U214" s="758"/>
      <c r="V214" s="758"/>
      <c r="W214" s="758"/>
      <c r="X214" s="758"/>
      <c r="Y214" s="758"/>
      <c r="Z214" s="758"/>
      <c r="AA214" s="758"/>
      <c r="AB214" s="458"/>
      <c r="AC214" s="458"/>
      <c r="AD214" s="458"/>
      <c r="AE214" s="458"/>
      <c r="AF214" s="458"/>
      <c r="AG214" s="758"/>
      <c r="AH214" s="2205"/>
      <c r="AI214" s="842">
        <f t="shared" si="21"/>
        <v>0</v>
      </c>
      <c r="AJ214" s="233"/>
      <c r="AK214" s="233"/>
      <c r="AL214" s="233"/>
      <c r="AM214" s="233"/>
      <c r="AN214" s="233"/>
      <c r="AO214" s="233"/>
      <c r="AP214" s="233"/>
      <c r="AQ214" s="233"/>
      <c r="AR214" s="233"/>
      <c r="AS214" s="233"/>
      <c r="AT214" s="363"/>
      <c r="AU214" s="626" t="str">
        <f t="shared" si="22"/>
        <v/>
      </c>
      <c r="AV214" s="2205"/>
      <c r="AW214" s="458"/>
      <c r="AX214" s="458"/>
      <c r="AY214" s="458"/>
      <c r="AZ214" s="458"/>
      <c r="BA214" s="458"/>
      <c r="BB214" s="458"/>
      <c r="BC214" s="458"/>
      <c r="BD214" s="458"/>
      <c r="BE214" s="458"/>
      <c r="BF214" s="458"/>
      <c r="BG214" s="458"/>
      <c r="BH214" s="458"/>
      <c r="BI214" s="458"/>
      <c r="BJ214" s="458"/>
      <c r="BK214" s="592" t="str">
        <f t="shared" si="23"/>
        <v/>
      </c>
      <c r="BM214" s="592" t="str">
        <f t="shared" si="24"/>
        <v/>
      </c>
      <c r="BO214" s="592">
        <f t="shared" si="25"/>
        <v>0</v>
      </c>
      <c r="BP214" s="592">
        <f t="shared" si="26"/>
        <v>0</v>
      </c>
      <c r="BQ214" s="592" t="str">
        <f t="shared" si="27"/>
        <v/>
      </c>
      <c r="BR214" s="592" t="str">
        <f t="shared" si="28"/>
        <v/>
      </c>
    </row>
    <row r="215" spans="1:70" ht="15.6">
      <c r="A215" s="1805"/>
      <c r="B215" s="656"/>
      <c r="C215" s="454"/>
      <c r="D215" s="233"/>
      <c r="E215" s="233"/>
      <c r="F215" s="233"/>
      <c r="G215" s="233"/>
      <c r="H215" s="233"/>
      <c r="I215" s="233"/>
      <c r="J215" s="233"/>
      <c r="K215" s="233"/>
      <c r="L215" s="233"/>
      <c r="M215" s="233"/>
      <c r="N215" s="2145"/>
      <c r="O215" s="2146"/>
      <c r="P215" s="2146"/>
      <c r="Q215" s="2147"/>
      <c r="R215" s="824">
        <f t="shared" si="20"/>
        <v>0</v>
      </c>
      <c r="S215" s="1191"/>
      <c r="T215" s="758"/>
      <c r="U215" s="758"/>
      <c r="V215" s="758"/>
      <c r="W215" s="758"/>
      <c r="X215" s="758"/>
      <c r="Y215" s="758"/>
      <c r="Z215" s="758"/>
      <c r="AA215" s="758"/>
      <c r="AB215" s="458"/>
      <c r="AC215" s="458"/>
      <c r="AD215" s="458"/>
      <c r="AE215" s="458"/>
      <c r="AF215" s="458"/>
      <c r="AG215" s="758"/>
      <c r="AH215" s="2205"/>
      <c r="AI215" s="842">
        <f t="shared" si="21"/>
        <v>0</v>
      </c>
      <c r="AJ215" s="233"/>
      <c r="AK215" s="233"/>
      <c r="AL215" s="233"/>
      <c r="AM215" s="233"/>
      <c r="AN215" s="233"/>
      <c r="AO215" s="233"/>
      <c r="AP215" s="233"/>
      <c r="AQ215" s="233"/>
      <c r="AR215" s="233"/>
      <c r="AS215" s="233"/>
      <c r="AT215" s="363"/>
      <c r="AU215" s="626" t="str">
        <f t="shared" si="22"/>
        <v/>
      </c>
      <c r="AV215" s="2205"/>
      <c r="AW215" s="458"/>
      <c r="AX215" s="458"/>
      <c r="AY215" s="458"/>
      <c r="AZ215" s="458"/>
      <c r="BA215" s="458"/>
      <c r="BB215" s="458"/>
      <c r="BC215" s="458"/>
      <c r="BD215" s="458"/>
      <c r="BE215" s="458"/>
      <c r="BF215" s="458"/>
      <c r="BG215" s="458"/>
      <c r="BH215" s="458"/>
      <c r="BI215" s="458"/>
      <c r="BJ215" s="458"/>
      <c r="BK215" s="592" t="str">
        <f t="shared" si="23"/>
        <v/>
      </c>
      <c r="BM215" s="592" t="str">
        <f t="shared" si="24"/>
        <v/>
      </c>
      <c r="BO215" s="592">
        <f t="shared" si="25"/>
        <v>0</v>
      </c>
      <c r="BP215" s="592">
        <f t="shared" si="26"/>
        <v>0</v>
      </c>
      <c r="BQ215" s="592" t="str">
        <f t="shared" si="27"/>
        <v/>
      </c>
      <c r="BR215" s="592" t="str">
        <f t="shared" si="28"/>
        <v/>
      </c>
    </row>
    <row r="216" spans="1:70" ht="15.6">
      <c r="A216" s="1805"/>
      <c r="B216" s="656"/>
      <c r="C216" s="454"/>
      <c r="D216" s="233"/>
      <c r="E216" s="233"/>
      <c r="F216" s="233"/>
      <c r="G216" s="233"/>
      <c r="H216" s="233"/>
      <c r="I216" s="233"/>
      <c r="J216" s="233"/>
      <c r="K216" s="233"/>
      <c r="L216" s="233"/>
      <c r="M216" s="233"/>
      <c r="N216" s="2145"/>
      <c r="O216" s="2146"/>
      <c r="P216" s="2146"/>
      <c r="Q216" s="2147"/>
      <c r="R216" s="824">
        <f t="shared" si="20"/>
        <v>0</v>
      </c>
      <c r="S216" s="1191"/>
      <c r="T216" s="758"/>
      <c r="U216" s="758"/>
      <c r="V216" s="758"/>
      <c r="W216" s="758"/>
      <c r="X216" s="758"/>
      <c r="Y216" s="758"/>
      <c r="Z216" s="758"/>
      <c r="AA216" s="758"/>
      <c r="AB216" s="458"/>
      <c r="AC216" s="458"/>
      <c r="AD216" s="458"/>
      <c r="AE216" s="458"/>
      <c r="AF216" s="458"/>
      <c r="AG216" s="758"/>
      <c r="AH216" s="2205"/>
      <c r="AI216" s="842">
        <f t="shared" si="21"/>
        <v>0</v>
      </c>
      <c r="AJ216" s="233"/>
      <c r="AK216" s="233"/>
      <c r="AL216" s="233"/>
      <c r="AM216" s="233"/>
      <c r="AN216" s="233"/>
      <c r="AO216" s="233"/>
      <c r="AP216" s="233"/>
      <c r="AQ216" s="233"/>
      <c r="AR216" s="233"/>
      <c r="AS216" s="233"/>
      <c r="AT216" s="363"/>
      <c r="AU216" s="626" t="str">
        <f t="shared" si="22"/>
        <v/>
      </c>
      <c r="AV216" s="2205"/>
      <c r="AW216" s="458"/>
      <c r="AX216" s="458"/>
      <c r="AY216" s="458"/>
      <c r="AZ216" s="458"/>
      <c r="BA216" s="458"/>
      <c r="BB216" s="458"/>
      <c r="BC216" s="458"/>
      <c r="BD216" s="458"/>
      <c r="BE216" s="458"/>
      <c r="BF216" s="458"/>
      <c r="BG216" s="458"/>
      <c r="BH216" s="458"/>
      <c r="BI216" s="458"/>
      <c r="BJ216" s="458"/>
      <c r="BK216" s="592" t="str">
        <f t="shared" si="23"/>
        <v/>
      </c>
      <c r="BM216" s="592" t="str">
        <f t="shared" si="24"/>
        <v/>
      </c>
      <c r="BO216" s="592">
        <f t="shared" si="25"/>
        <v>0</v>
      </c>
      <c r="BP216" s="592">
        <f t="shared" si="26"/>
        <v>0</v>
      </c>
      <c r="BQ216" s="592" t="str">
        <f t="shared" si="27"/>
        <v/>
      </c>
      <c r="BR216" s="592" t="str">
        <f t="shared" si="28"/>
        <v/>
      </c>
    </row>
    <row r="217" spans="1:70" ht="15.6">
      <c r="A217" s="1805"/>
      <c r="B217" s="656"/>
      <c r="C217" s="454"/>
      <c r="D217" s="233"/>
      <c r="E217" s="233"/>
      <c r="F217" s="233"/>
      <c r="G217" s="233"/>
      <c r="H217" s="233"/>
      <c r="I217" s="233"/>
      <c r="J217" s="233"/>
      <c r="K217" s="233"/>
      <c r="L217" s="233"/>
      <c r="M217" s="233"/>
      <c r="N217" s="2145"/>
      <c r="O217" s="2146"/>
      <c r="P217" s="2146"/>
      <c r="Q217" s="2147"/>
      <c r="R217" s="824">
        <f t="shared" si="20"/>
        <v>0</v>
      </c>
      <c r="S217" s="1191"/>
      <c r="T217" s="758"/>
      <c r="U217" s="758"/>
      <c r="V217" s="758"/>
      <c r="W217" s="758"/>
      <c r="X217" s="758"/>
      <c r="Y217" s="758"/>
      <c r="Z217" s="758"/>
      <c r="AA217" s="758"/>
      <c r="AB217" s="458"/>
      <c r="AC217" s="458"/>
      <c r="AD217" s="458"/>
      <c r="AE217" s="458"/>
      <c r="AF217" s="458"/>
      <c r="AG217" s="758"/>
      <c r="AH217" s="2205"/>
      <c r="AI217" s="842">
        <f t="shared" si="21"/>
        <v>0</v>
      </c>
      <c r="AJ217" s="233"/>
      <c r="AK217" s="233"/>
      <c r="AL217" s="233"/>
      <c r="AM217" s="233"/>
      <c r="AN217" s="233"/>
      <c r="AO217" s="233"/>
      <c r="AP217" s="233"/>
      <c r="AQ217" s="233"/>
      <c r="AR217" s="233"/>
      <c r="AS217" s="233"/>
      <c r="AT217" s="363"/>
      <c r="AU217" s="626" t="str">
        <f t="shared" si="22"/>
        <v/>
      </c>
      <c r="AV217" s="2205"/>
      <c r="AW217" s="458"/>
      <c r="AX217" s="458"/>
      <c r="AY217" s="458"/>
      <c r="AZ217" s="458"/>
      <c r="BA217" s="458"/>
      <c r="BB217" s="458"/>
      <c r="BC217" s="458"/>
      <c r="BD217" s="458"/>
      <c r="BE217" s="458"/>
      <c r="BF217" s="458"/>
      <c r="BG217" s="458"/>
      <c r="BH217" s="458"/>
      <c r="BI217" s="458"/>
      <c r="BJ217" s="458"/>
      <c r="BK217" s="592" t="str">
        <f t="shared" si="23"/>
        <v/>
      </c>
      <c r="BM217" s="592" t="str">
        <f t="shared" si="24"/>
        <v/>
      </c>
      <c r="BO217" s="592">
        <f t="shared" si="25"/>
        <v>0</v>
      </c>
      <c r="BP217" s="592">
        <f t="shared" si="26"/>
        <v>0</v>
      </c>
      <c r="BQ217" s="592" t="str">
        <f t="shared" si="27"/>
        <v/>
      </c>
      <c r="BR217" s="592" t="str">
        <f t="shared" si="28"/>
        <v/>
      </c>
    </row>
    <row r="218" spans="1:70" ht="15.6">
      <c r="A218" s="1805"/>
      <c r="B218" s="656"/>
      <c r="C218" s="454"/>
      <c r="D218" s="233"/>
      <c r="E218" s="233"/>
      <c r="F218" s="233"/>
      <c r="G218" s="233"/>
      <c r="H218" s="233"/>
      <c r="I218" s="233"/>
      <c r="J218" s="233"/>
      <c r="K218" s="233"/>
      <c r="L218" s="233"/>
      <c r="M218" s="233"/>
      <c r="N218" s="2145"/>
      <c r="O218" s="2146"/>
      <c r="P218" s="2146"/>
      <c r="Q218" s="2147"/>
      <c r="R218" s="824">
        <f t="shared" si="20"/>
        <v>0</v>
      </c>
      <c r="S218" s="1191"/>
      <c r="T218" s="758"/>
      <c r="U218" s="758"/>
      <c r="V218" s="758"/>
      <c r="W218" s="758"/>
      <c r="X218" s="758"/>
      <c r="Y218" s="758"/>
      <c r="Z218" s="758"/>
      <c r="AA218" s="758"/>
      <c r="AB218" s="458"/>
      <c r="AC218" s="458"/>
      <c r="AD218" s="458"/>
      <c r="AE218" s="458"/>
      <c r="AF218" s="458"/>
      <c r="AG218" s="758"/>
      <c r="AH218" s="2205"/>
      <c r="AI218" s="842">
        <f t="shared" si="21"/>
        <v>0</v>
      </c>
      <c r="AJ218" s="233"/>
      <c r="AK218" s="233"/>
      <c r="AL218" s="233"/>
      <c r="AM218" s="233"/>
      <c r="AN218" s="233"/>
      <c r="AO218" s="233"/>
      <c r="AP218" s="233"/>
      <c r="AQ218" s="233"/>
      <c r="AR218" s="233"/>
      <c r="AS218" s="233"/>
      <c r="AT218" s="363"/>
      <c r="AU218" s="626" t="str">
        <f t="shared" si="22"/>
        <v/>
      </c>
      <c r="AV218" s="2205"/>
      <c r="AW218" s="458"/>
      <c r="AX218" s="458"/>
      <c r="AY218" s="458"/>
      <c r="AZ218" s="458"/>
      <c r="BA218" s="458"/>
      <c r="BB218" s="458"/>
      <c r="BC218" s="458"/>
      <c r="BD218" s="458"/>
      <c r="BE218" s="458"/>
      <c r="BF218" s="458"/>
      <c r="BG218" s="458"/>
      <c r="BH218" s="458"/>
      <c r="BI218" s="458"/>
      <c r="BJ218" s="458"/>
      <c r="BK218" s="592" t="str">
        <f t="shared" si="23"/>
        <v/>
      </c>
      <c r="BM218" s="592" t="str">
        <f t="shared" si="24"/>
        <v/>
      </c>
      <c r="BO218" s="592">
        <f t="shared" si="25"/>
        <v>0</v>
      </c>
      <c r="BP218" s="592">
        <f t="shared" si="26"/>
        <v>0</v>
      </c>
      <c r="BQ218" s="592" t="str">
        <f t="shared" si="27"/>
        <v/>
      </c>
      <c r="BR218" s="592" t="str">
        <f t="shared" si="28"/>
        <v/>
      </c>
    </row>
    <row r="219" spans="1:70" ht="15.6">
      <c r="A219" s="1805"/>
      <c r="B219" s="656"/>
      <c r="C219" s="454"/>
      <c r="D219" s="233"/>
      <c r="E219" s="233"/>
      <c r="F219" s="233"/>
      <c r="G219" s="233"/>
      <c r="H219" s="233"/>
      <c r="I219" s="233"/>
      <c r="J219" s="233"/>
      <c r="K219" s="233"/>
      <c r="L219" s="233"/>
      <c r="M219" s="233"/>
      <c r="N219" s="2145"/>
      <c r="O219" s="2146"/>
      <c r="P219" s="2146"/>
      <c r="Q219" s="2147"/>
      <c r="R219" s="824">
        <f t="shared" si="20"/>
        <v>0</v>
      </c>
      <c r="S219" s="1191"/>
      <c r="T219" s="758"/>
      <c r="U219" s="758"/>
      <c r="V219" s="758"/>
      <c r="W219" s="758"/>
      <c r="X219" s="758"/>
      <c r="Y219" s="758"/>
      <c r="Z219" s="758"/>
      <c r="AA219" s="758"/>
      <c r="AB219" s="458"/>
      <c r="AC219" s="458"/>
      <c r="AD219" s="458"/>
      <c r="AE219" s="458"/>
      <c r="AF219" s="458"/>
      <c r="AG219" s="758"/>
      <c r="AH219" s="2205"/>
      <c r="AI219" s="842">
        <f t="shared" si="21"/>
        <v>0</v>
      </c>
      <c r="AJ219" s="233"/>
      <c r="AK219" s="233"/>
      <c r="AL219" s="233"/>
      <c r="AM219" s="233"/>
      <c r="AN219" s="233"/>
      <c r="AO219" s="233"/>
      <c r="AP219" s="233"/>
      <c r="AQ219" s="233"/>
      <c r="AR219" s="233"/>
      <c r="AS219" s="233"/>
      <c r="AT219" s="363"/>
      <c r="AU219" s="626" t="str">
        <f t="shared" si="22"/>
        <v/>
      </c>
      <c r="AV219" s="2205"/>
      <c r="AW219" s="458"/>
      <c r="AX219" s="458"/>
      <c r="AY219" s="458"/>
      <c r="AZ219" s="458"/>
      <c r="BA219" s="458"/>
      <c r="BB219" s="458"/>
      <c r="BC219" s="458"/>
      <c r="BD219" s="458"/>
      <c r="BE219" s="458"/>
      <c r="BF219" s="458"/>
      <c r="BG219" s="458"/>
      <c r="BH219" s="458"/>
      <c r="BI219" s="458"/>
      <c r="BJ219" s="458"/>
      <c r="BK219" s="592" t="str">
        <f t="shared" si="23"/>
        <v/>
      </c>
      <c r="BM219" s="592" t="str">
        <f t="shared" si="24"/>
        <v/>
      </c>
      <c r="BO219" s="592">
        <f t="shared" si="25"/>
        <v>0</v>
      </c>
      <c r="BP219" s="592">
        <f t="shared" si="26"/>
        <v>0</v>
      </c>
      <c r="BQ219" s="592" t="str">
        <f t="shared" si="27"/>
        <v/>
      </c>
      <c r="BR219" s="592" t="str">
        <f t="shared" si="28"/>
        <v/>
      </c>
    </row>
    <row r="220" spans="1:70" ht="15.6">
      <c r="A220" s="1805"/>
      <c r="B220" s="656"/>
      <c r="C220" s="454"/>
      <c r="D220" s="233"/>
      <c r="E220" s="233"/>
      <c r="F220" s="233"/>
      <c r="G220" s="233"/>
      <c r="H220" s="233"/>
      <c r="I220" s="233"/>
      <c r="J220" s="233"/>
      <c r="K220" s="233"/>
      <c r="L220" s="233"/>
      <c r="M220" s="233"/>
      <c r="N220" s="2145"/>
      <c r="O220" s="2146"/>
      <c r="P220" s="2146"/>
      <c r="Q220" s="2147"/>
      <c r="R220" s="824">
        <f t="shared" si="20"/>
        <v>0</v>
      </c>
      <c r="S220" s="1191"/>
      <c r="T220" s="758"/>
      <c r="U220" s="758"/>
      <c r="V220" s="758"/>
      <c r="W220" s="758"/>
      <c r="X220" s="758"/>
      <c r="Y220" s="758"/>
      <c r="Z220" s="758"/>
      <c r="AA220" s="758"/>
      <c r="AB220" s="458"/>
      <c r="AC220" s="458"/>
      <c r="AD220" s="458"/>
      <c r="AE220" s="458"/>
      <c r="AF220" s="458"/>
      <c r="AG220" s="758"/>
      <c r="AH220" s="2205"/>
      <c r="AI220" s="842">
        <f t="shared" si="21"/>
        <v>0</v>
      </c>
      <c r="AJ220" s="233"/>
      <c r="AK220" s="233"/>
      <c r="AL220" s="233"/>
      <c r="AM220" s="233"/>
      <c r="AN220" s="233"/>
      <c r="AO220" s="233"/>
      <c r="AP220" s="233"/>
      <c r="AQ220" s="233"/>
      <c r="AR220" s="233"/>
      <c r="AS220" s="233"/>
      <c r="AT220" s="363"/>
      <c r="AU220" s="626" t="str">
        <f t="shared" si="22"/>
        <v/>
      </c>
      <c r="AV220" s="2205"/>
      <c r="AW220" s="458"/>
      <c r="AX220" s="458"/>
      <c r="AY220" s="458"/>
      <c r="AZ220" s="458"/>
      <c r="BA220" s="458"/>
      <c r="BB220" s="458"/>
      <c r="BC220" s="458"/>
      <c r="BD220" s="458"/>
      <c r="BE220" s="458"/>
      <c r="BF220" s="458"/>
      <c r="BG220" s="458"/>
      <c r="BH220" s="458"/>
      <c r="BI220" s="458"/>
      <c r="BJ220" s="458"/>
      <c r="BK220" s="592" t="str">
        <f t="shared" si="23"/>
        <v/>
      </c>
      <c r="BM220" s="592" t="str">
        <f t="shared" si="24"/>
        <v/>
      </c>
      <c r="BO220" s="592">
        <f t="shared" si="25"/>
        <v>0</v>
      </c>
      <c r="BP220" s="592">
        <f t="shared" si="26"/>
        <v>0</v>
      </c>
      <c r="BQ220" s="592" t="str">
        <f t="shared" si="27"/>
        <v/>
      </c>
      <c r="BR220" s="592" t="str">
        <f t="shared" si="28"/>
        <v/>
      </c>
    </row>
    <row r="221" spans="1:70" ht="15.6">
      <c r="A221" s="1805"/>
      <c r="B221" s="656"/>
      <c r="C221" s="454"/>
      <c r="D221" s="233"/>
      <c r="E221" s="233"/>
      <c r="F221" s="233"/>
      <c r="G221" s="233"/>
      <c r="H221" s="233"/>
      <c r="I221" s="233"/>
      <c r="J221" s="233"/>
      <c r="K221" s="233"/>
      <c r="L221" s="233"/>
      <c r="M221" s="233"/>
      <c r="N221" s="2145"/>
      <c r="O221" s="2146"/>
      <c r="P221" s="2146"/>
      <c r="Q221" s="2147"/>
      <c r="R221" s="824">
        <f t="shared" si="20"/>
        <v>0</v>
      </c>
      <c r="S221" s="1191"/>
      <c r="T221" s="758"/>
      <c r="U221" s="758"/>
      <c r="V221" s="758"/>
      <c r="W221" s="758"/>
      <c r="X221" s="758"/>
      <c r="Y221" s="758"/>
      <c r="Z221" s="758"/>
      <c r="AA221" s="758"/>
      <c r="AB221" s="458"/>
      <c r="AC221" s="458"/>
      <c r="AD221" s="458"/>
      <c r="AE221" s="458"/>
      <c r="AF221" s="458"/>
      <c r="AG221" s="758"/>
      <c r="AH221" s="2205"/>
      <c r="AI221" s="842">
        <f t="shared" si="21"/>
        <v>0</v>
      </c>
      <c r="AJ221" s="233"/>
      <c r="AK221" s="233"/>
      <c r="AL221" s="233"/>
      <c r="AM221" s="233"/>
      <c r="AN221" s="233"/>
      <c r="AO221" s="233"/>
      <c r="AP221" s="233"/>
      <c r="AQ221" s="233"/>
      <c r="AR221" s="233"/>
      <c r="AS221" s="233"/>
      <c r="AT221" s="363"/>
      <c r="AU221" s="626" t="str">
        <f t="shared" si="22"/>
        <v/>
      </c>
      <c r="AV221" s="2205"/>
      <c r="AW221" s="458"/>
      <c r="AX221" s="458"/>
      <c r="AY221" s="458"/>
      <c r="AZ221" s="458"/>
      <c r="BA221" s="458"/>
      <c r="BB221" s="458"/>
      <c r="BC221" s="458"/>
      <c r="BD221" s="458"/>
      <c r="BE221" s="458"/>
      <c r="BF221" s="458"/>
      <c r="BG221" s="458"/>
      <c r="BH221" s="458"/>
      <c r="BI221" s="458"/>
      <c r="BJ221" s="458"/>
      <c r="BK221" s="592" t="str">
        <f t="shared" si="23"/>
        <v/>
      </c>
      <c r="BM221" s="592" t="str">
        <f t="shared" si="24"/>
        <v/>
      </c>
      <c r="BO221" s="592">
        <f t="shared" si="25"/>
        <v>0</v>
      </c>
      <c r="BP221" s="592">
        <f t="shared" si="26"/>
        <v>0</v>
      </c>
      <c r="BQ221" s="592" t="str">
        <f t="shared" si="27"/>
        <v/>
      </c>
      <c r="BR221" s="592" t="str">
        <f t="shared" si="28"/>
        <v/>
      </c>
    </row>
    <row r="222" spans="1:70" ht="15.6">
      <c r="A222" s="1805"/>
      <c r="B222" s="656"/>
      <c r="C222" s="454"/>
      <c r="D222" s="233"/>
      <c r="E222" s="233"/>
      <c r="F222" s="233"/>
      <c r="G222" s="233"/>
      <c r="H222" s="233"/>
      <c r="I222" s="233"/>
      <c r="J222" s="233"/>
      <c r="K222" s="233"/>
      <c r="L222" s="233"/>
      <c r="M222" s="233"/>
      <c r="N222" s="2145"/>
      <c r="O222" s="2146"/>
      <c r="P222" s="2146"/>
      <c r="Q222" s="2147"/>
      <c r="R222" s="824">
        <f t="shared" si="20"/>
        <v>0</v>
      </c>
      <c r="S222" s="1191"/>
      <c r="T222" s="758"/>
      <c r="U222" s="758"/>
      <c r="V222" s="758"/>
      <c r="W222" s="758"/>
      <c r="X222" s="758"/>
      <c r="Y222" s="758"/>
      <c r="Z222" s="758"/>
      <c r="AA222" s="758"/>
      <c r="AB222" s="458"/>
      <c r="AC222" s="458"/>
      <c r="AD222" s="458"/>
      <c r="AE222" s="458"/>
      <c r="AF222" s="458"/>
      <c r="AG222" s="758"/>
      <c r="AH222" s="2205"/>
      <c r="AI222" s="842">
        <f t="shared" si="21"/>
        <v>0</v>
      </c>
      <c r="AJ222" s="233"/>
      <c r="AK222" s="233"/>
      <c r="AL222" s="233"/>
      <c r="AM222" s="233"/>
      <c r="AN222" s="233"/>
      <c r="AO222" s="233"/>
      <c r="AP222" s="233"/>
      <c r="AQ222" s="233"/>
      <c r="AR222" s="233"/>
      <c r="AS222" s="233"/>
      <c r="AT222" s="363"/>
      <c r="AU222" s="626" t="str">
        <f t="shared" si="22"/>
        <v/>
      </c>
      <c r="AV222" s="2205"/>
      <c r="AW222" s="458"/>
      <c r="AX222" s="458"/>
      <c r="AY222" s="458"/>
      <c r="AZ222" s="458"/>
      <c r="BA222" s="458"/>
      <c r="BB222" s="458"/>
      <c r="BC222" s="458"/>
      <c r="BD222" s="458"/>
      <c r="BE222" s="458"/>
      <c r="BF222" s="458"/>
      <c r="BG222" s="458"/>
      <c r="BH222" s="458"/>
      <c r="BI222" s="458"/>
      <c r="BJ222" s="458"/>
      <c r="BK222" s="592" t="str">
        <f t="shared" si="23"/>
        <v/>
      </c>
      <c r="BM222" s="592" t="str">
        <f t="shared" si="24"/>
        <v/>
      </c>
      <c r="BO222" s="592">
        <f t="shared" si="25"/>
        <v>0</v>
      </c>
      <c r="BP222" s="592">
        <f t="shared" si="26"/>
        <v>0</v>
      </c>
      <c r="BQ222" s="592" t="str">
        <f t="shared" si="27"/>
        <v/>
      </c>
      <c r="BR222" s="592" t="str">
        <f t="shared" si="28"/>
        <v/>
      </c>
    </row>
    <row r="223" spans="1:70" ht="15.6">
      <c r="A223" s="1805"/>
      <c r="B223" s="656"/>
      <c r="C223" s="454"/>
      <c r="D223" s="233"/>
      <c r="E223" s="233"/>
      <c r="F223" s="233"/>
      <c r="G223" s="233"/>
      <c r="H223" s="233"/>
      <c r="I223" s="233"/>
      <c r="J223" s="233"/>
      <c r="K223" s="233"/>
      <c r="L223" s="233"/>
      <c r="M223" s="233"/>
      <c r="N223" s="2145"/>
      <c r="O223" s="2146"/>
      <c r="P223" s="2146"/>
      <c r="Q223" s="2147"/>
      <c r="R223" s="824">
        <f t="shared" si="20"/>
        <v>0</v>
      </c>
      <c r="S223" s="1191"/>
      <c r="T223" s="758"/>
      <c r="U223" s="758"/>
      <c r="V223" s="758"/>
      <c r="W223" s="758"/>
      <c r="X223" s="758"/>
      <c r="Y223" s="758"/>
      <c r="Z223" s="758"/>
      <c r="AA223" s="758"/>
      <c r="AB223" s="458"/>
      <c r="AC223" s="458"/>
      <c r="AD223" s="458"/>
      <c r="AE223" s="458"/>
      <c r="AF223" s="458"/>
      <c r="AG223" s="758"/>
      <c r="AH223" s="2205"/>
      <c r="AI223" s="842">
        <f t="shared" si="21"/>
        <v>0</v>
      </c>
      <c r="AJ223" s="233"/>
      <c r="AK223" s="233"/>
      <c r="AL223" s="233"/>
      <c r="AM223" s="233"/>
      <c r="AN223" s="233"/>
      <c r="AO223" s="233"/>
      <c r="AP223" s="233"/>
      <c r="AQ223" s="233"/>
      <c r="AR223" s="233"/>
      <c r="AS223" s="233"/>
      <c r="AT223" s="363"/>
      <c r="AU223" s="626" t="str">
        <f t="shared" si="22"/>
        <v/>
      </c>
      <c r="AV223" s="2205"/>
      <c r="AW223" s="458"/>
      <c r="AX223" s="458"/>
      <c r="AY223" s="458"/>
      <c r="AZ223" s="458"/>
      <c r="BA223" s="458"/>
      <c r="BB223" s="458"/>
      <c r="BC223" s="458"/>
      <c r="BD223" s="458"/>
      <c r="BE223" s="458"/>
      <c r="BF223" s="458"/>
      <c r="BG223" s="458"/>
      <c r="BH223" s="458"/>
      <c r="BI223" s="458"/>
      <c r="BJ223" s="458"/>
      <c r="BK223" s="592" t="str">
        <f t="shared" si="23"/>
        <v/>
      </c>
      <c r="BM223" s="592" t="str">
        <f t="shared" si="24"/>
        <v/>
      </c>
      <c r="BO223" s="592">
        <f t="shared" si="25"/>
        <v>0</v>
      </c>
      <c r="BP223" s="592">
        <f t="shared" si="26"/>
        <v>0</v>
      </c>
      <c r="BQ223" s="592" t="str">
        <f t="shared" si="27"/>
        <v/>
      </c>
      <c r="BR223" s="592" t="str">
        <f t="shared" si="28"/>
        <v/>
      </c>
    </row>
    <row r="224" spans="1:70" ht="15.6">
      <c r="A224" s="1805"/>
      <c r="B224" s="656"/>
      <c r="C224" s="454"/>
      <c r="D224" s="233"/>
      <c r="E224" s="233"/>
      <c r="F224" s="233"/>
      <c r="G224" s="233"/>
      <c r="H224" s="233"/>
      <c r="I224" s="233"/>
      <c r="J224" s="233"/>
      <c r="K224" s="233"/>
      <c r="L224" s="233"/>
      <c r="M224" s="233"/>
      <c r="N224" s="2145"/>
      <c r="O224" s="2146"/>
      <c r="P224" s="2146"/>
      <c r="Q224" s="2147"/>
      <c r="R224" s="824">
        <f t="shared" si="20"/>
        <v>0</v>
      </c>
      <c r="S224" s="1191"/>
      <c r="T224" s="758"/>
      <c r="U224" s="758"/>
      <c r="V224" s="758"/>
      <c r="W224" s="758"/>
      <c r="X224" s="758"/>
      <c r="Y224" s="758"/>
      <c r="Z224" s="758"/>
      <c r="AA224" s="758"/>
      <c r="AB224" s="458"/>
      <c r="AC224" s="458"/>
      <c r="AD224" s="458"/>
      <c r="AE224" s="458"/>
      <c r="AF224" s="458"/>
      <c r="AG224" s="758"/>
      <c r="AH224" s="2205"/>
      <c r="AI224" s="842">
        <f t="shared" si="21"/>
        <v>0</v>
      </c>
      <c r="AJ224" s="233"/>
      <c r="AK224" s="233"/>
      <c r="AL224" s="233"/>
      <c r="AM224" s="233"/>
      <c r="AN224" s="233"/>
      <c r="AO224" s="233"/>
      <c r="AP224" s="233"/>
      <c r="AQ224" s="233"/>
      <c r="AR224" s="233"/>
      <c r="AS224" s="233"/>
      <c r="AT224" s="363"/>
      <c r="AU224" s="626" t="str">
        <f t="shared" si="22"/>
        <v/>
      </c>
      <c r="AV224" s="2205"/>
      <c r="AW224" s="458"/>
      <c r="AX224" s="458"/>
      <c r="AY224" s="458"/>
      <c r="AZ224" s="458"/>
      <c r="BA224" s="458"/>
      <c r="BB224" s="458"/>
      <c r="BC224" s="458"/>
      <c r="BD224" s="458"/>
      <c r="BE224" s="458"/>
      <c r="BF224" s="458"/>
      <c r="BG224" s="458"/>
      <c r="BH224" s="458"/>
      <c r="BI224" s="458"/>
      <c r="BJ224" s="458"/>
      <c r="BK224" s="592" t="str">
        <f t="shared" si="23"/>
        <v/>
      </c>
      <c r="BM224" s="592" t="str">
        <f t="shared" si="24"/>
        <v/>
      </c>
      <c r="BO224" s="592">
        <f t="shared" si="25"/>
        <v>0</v>
      </c>
      <c r="BP224" s="592">
        <f t="shared" si="26"/>
        <v>0</v>
      </c>
      <c r="BQ224" s="592" t="str">
        <f t="shared" si="27"/>
        <v/>
      </c>
      <c r="BR224" s="592" t="str">
        <f t="shared" si="28"/>
        <v/>
      </c>
    </row>
    <row r="225" spans="1:70" ht="15.6">
      <c r="A225" s="1805"/>
      <c r="B225" s="656"/>
      <c r="C225" s="454"/>
      <c r="D225" s="233"/>
      <c r="E225" s="233"/>
      <c r="F225" s="233"/>
      <c r="G225" s="233"/>
      <c r="H225" s="233"/>
      <c r="I225" s="233"/>
      <c r="J225" s="233"/>
      <c r="K225" s="233"/>
      <c r="L225" s="233"/>
      <c r="M225" s="233"/>
      <c r="N225" s="2145"/>
      <c r="O225" s="2146"/>
      <c r="P225" s="2146"/>
      <c r="Q225" s="2147"/>
      <c r="R225" s="824">
        <f t="shared" si="20"/>
        <v>0</v>
      </c>
      <c r="S225" s="1191"/>
      <c r="T225" s="758"/>
      <c r="U225" s="758"/>
      <c r="V225" s="758"/>
      <c r="W225" s="758"/>
      <c r="X225" s="758"/>
      <c r="Y225" s="758"/>
      <c r="Z225" s="758"/>
      <c r="AA225" s="758"/>
      <c r="AB225" s="458"/>
      <c r="AC225" s="458"/>
      <c r="AD225" s="458"/>
      <c r="AE225" s="458"/>
      <c r="AF225" s="458"/>
      <c r="AG225" s="758"/>
      <c r="AH225" s="2205"/>
      <c r="AI225" s="842">
        <f t="shared" si="21"/>
        <v>0</v>
      </c>
      <c r="AJ225" s="233"/>
      <c r="AK225" s="233"/>
      <c r="AL225" s="233"/>
      <c r="AM225" s="233"/>
      <c r="AN225" s="233"/>
      <c r="AO225" s="233"/>
      <c r="AP225" s="233"/>
      <c r="AQ225" s="233"/>
      <c r="AR225" s="233"/>
      <c r="AS225" s="233"/>
      <c r="AT225" s="363"/>
      <c r="AU225" s="626" t="str">
        <f t="shared" si="22"/>
        <v/>
      </c>
      <c r="AV225" s="2205"/>
      <c r="AW225" s="458"/>
      <c r="AX225" s="458"/>
      <c r="AY225" s="458"/>
      <c r="AZ225" s="458"/>
      <c r="BA225" s="458"/>
      <c r="BB225" s="458"/>
      <c r="BC225" s="458"/>
      <c r="BD225" s="458"/>
      <c r="BE225" s="458"/>
      <c r="BF225" s="458"/>
      <c r="BG225" s="458"/>
      <c r="BH225" s="458"/>
      <c r="BI225" s="458"/>
      <c r="BJ225" s="458"/>
      <c r="BK225" s="592" t="str">
        <f t="shared" si="23"/>
        <v/>
      </c>
      <c r="BM225" s="592" t="str">
        <f t="shared" si="24"/>
        <v/>
      </c>
      <c r="BO225" s="592">
        <f t="shared" si="25"/>
        <v>0</v>
      </c>
      <c r="BP225" s="592">
        <f t="shared" si="26"/>
        <v>0</v>
      </c>
      <c r="BQ225" s="592" t="str">
        <f t="shared" si="27"/>
        <v/>
      </c>
      <c r="BR225" s="592" t="str">
        <f t="shared" si="28"/>
        <v/>
      </c>
    </row>
    <row r="226" spans="1:70" ht="15.6">
      <c r="A226" s="1805"/>
      <c r="B226" s="656"/>
      <c r="C226" s="454"/>
      <c r="D226" s="233"/>
      <c r="E226" s="233"/>
      <c r="F226" s="233"/>
      <c r="G226" s="233"/>
      <c r="H226" s="233"/>
      <c r="I226" s="233"/>
      <c r="J226" s="233"/>
      <c r="K226" s="233"/>
      <c r="L226" s="233"/>
      <c r="M226" s="233"/>
      <c r="N226" s="2145"/>
      <c r="O226" s="2146"/>
      <c r="P226" s="2146"/>
      <c r="Q226" s="2147"/>
      <c r="R226" s="824">
        <f t="shared" si="20"/>
        <v>0</v>
      </c>
      <c r="S226" s="1191"/>
      <c r="T226" s="758"/>
      <c r="U226" s="758"/>
      <c r="V226" s="758"/>
      <c r="W226" s="758"/>
      <c r="X226" s="758"/>
      <c r="Y226" s="758"/>
      <c r="Z226" s="758"/>
      <c r="AA226" s="758"/>
      <c r="AB226" s="458"/>
      <c r="AC226" s="458"/>
      <c r="AD226" s="458"/>
      <c r="AE226" s="458"/>
      <c r="AF226" s="458"/>
      <c r="AG226" s="758"/>
      <c r="AH226" s="2205"/>
      <c r="AI226" s="842">
        <f t="shared" si="21"/>
        <v>0</v>
      </c>
      <c r="AJ226" s="233"/>
      <c r="AK226" s="233"/>
      <c r="AL226" s="233"/>
      <c r="AM226" s="233"/>
      <c r="AN226" s="233"/>
      <c r="AO226" s="233"/>
      <c r="AP226" s="233"/>
      <c r="AQ226" s="233"/>
      <c r="AR226" s="233"/>
      <c r="AS226" s="233"/>
      <c r="AT226" s="363"/>
      <c r="AU226" s="626" t="str">
        <f t="shared" si="22"/>
        <v/>
      </c>
      <c r="AV226" s="2205"/>
      <c r="AW226" s="458"/>
      <c r="AX226" s="458"/>
      <c r="AY226" s="458"/>
      <c r="AZ226" s="458"/>
      <c r="BA226" s="458"/>
      <c r="BB226" s="458"/>
      <c r="BC226" s="458"/>
      <c r="BD226" s="458"/>
      <c r="BE226" s="458"/>
      <c r="BF226" s="458"/>
      <c r="BG226" s="458"/>
      <c r="BH226" s="458"/>
      <c r="BI226" s="458"/>
      <c r="BJ226" s="458"/>
      <c r="BK226" s="592" t="str">
        <f t="shared" si="23"/>
        <v/>
      </c>
      <c r="BM226" s="592" t="str">
        <f t="shared" si="24"/>
        <v/>
      </c>
      <c r="BO226" s="592">
        <f t="shared" si="25"/>
        <v>0</v>
      </c>
      <c r="BP226" s="592">
        <f t="shared" si="26"/>
        <v>0</v>
      </c>
      <c r="BQ226" s="592" t="str">
        <f t="shared" si="27"/>
        <v/>
      </c>
      <c r="BR226" s="592" t="str">
        <f t="shared" si="28"/>
        <v/>
      </c>
    </row>
    <row r="227" spans="1:70" ht="15.6">
      <c r="A227" s="1805"/>
      <c r="B227" s="656"/>
      <c r="C227" s="454"/>
      <c r="D227" s="233"/>
      <c r="E227" s="233"/>
      <c r="F227" s="233"/>
      <c r="G227" s="233"/>
      <c r="H227" s="233"/>
      <c r="I227" s="233"/>
      <c r="J227" s="233"/>
      <c r="K227" s="233"/>
      <c r="L227" s="233"/>
      <c r="M227" s="233"/>
      <c r="N227" s="2145"/>
      <c r="O227" s="2146"/>
      <c r="P227" s="2146"/>
      <c r="Q227" s="2147"/>
      <c r="R227" s="824">
        <f t="shared" si="20"/>
        <v>0</v>
      </c>
      <c r="S227" s="1191"/>
      <c r="T227" s="758"/>
      <c r="U227" s="758"/>
      <c r="V227" s="758"/>
      <c r="W227" s="758"/>
      <c r="X227" s="758"/>
      <c r="Y227" s="758"/>
      <c r="Z227" s="758"/>
      <c r="AA227" s="758"/>
      <c r="AB227" s="458"/>
      <c r="AC227" s="458"/>
      <c r="AD227" s="458"/>
      <c r="AE227" s="458"/>
      <c r="AF227" s="458"/>
      <c r="AG227" s="758"/>
      <c r="AH227" s="2205"/>
      <c r="AI227" s="842">
        <f t="shared" si="21"/>
        <v>0</v>
      </c>
      <c r="AJ227" s="233"/>
      <c r="AK227" s="233"/>
      <c r="AL227" s="233"/>
      <c r="AM227" s="233"/>
      <c r="AN227" s="233"/>
      <c r="AO227" s="233"/>
      <c r="AP227" s="233"/>
      <c r="AQ227" s="233"/>
      <c r="AR227" s="233"/>
      <c r="AS227" s="233"/>
      <c r="AT227" s="363"/>
      <c r="AU227" s="626" t="str">
        <f t="shared" si="22"/>
        <v/>
      </c>
      <c r="AV227" s="2205"/>
      <c r="AW227" s="458"/>
      <c r="AX227" s="458"/>
      <c r="AY227" s="458"/>
      <c r="AZ227" s="458"/>
      <c r="BA227" s="458"/>
      <c r="BB227" s="458"/>
      <c r="BC227" s="458"/>
      <c r="BD227" s="458"/>
      <c r="BE227" s="458"/>
      <c r="BF227" s="458"/>
      <c r="BG227" s="458"/>
      <c r="BH227" s="458"/>
      <c r="BI227" s="458"/>
      <c r="BJ227" s="458"/>
      <c r="BK227" s="592" t="str">
        <f t="shared" si="23"/>
        <v/>
      </c>
      <c r="BM227" s="592" t="str">
        <f t="shared" si="24"/>
        <v/>
      </c>
      <c r="BO227" s="592">
        <f t="shared" si="25"/>
        <v>0</v>
      </c>
      <c r="BP227" s="592">
        <f t="shared" si="26"/>
        <v>0</v>
      </c>
      <c r="BQ227" s="592" t="str">
        <f t="shared" si="27"/>
        <v/>
      </c>
      <c r="BR227" s="592" t="str">
        <f t="shared" si="28"/>
        <v/>
      </c>
    </row>
    <row r="228" spans="1:70" ht="15.6">
      <c r="A228" s="1805"/>
      <c r="B228" s="656"/>
      <c r="C228" s="454"/>
      <c r="D228" s="233"/>
      <c r="E228" s="233"/>
      <c r="F228" s="233"/>
      <c r="G228" s="233"/>
      <c r="H228" s="233"/>
      <c r="I228" s="233"/>
      <c r="J228" s="233"/>
      <c r="K228" s="233"/>
      <c r="L228" s="233"/>
      <c r="M228" s="233"/>
      <c r="N228" s="2145"/>
      <c r="O228" s="2146"/>
      <c r="P228" s="2146"/>
      <c r="Q228" s="2147"/>
      <c r="R228" s="824">
        <f t="shared" si="20"/>
        <v>0</v>
      </c>
      <c r="S228" s="1191"/>
      <c r="T228" s="758"/>
      <c r="U228" s="758"/>
      <c r="V228" s="758"/>
      <c r="W228" s="758"/>
      <c r="X228" s="758"/>
      <c r="Y228" s="758"/>
      <c r="Z228" s="758"/>
      <c r="AA228" s="758"/>
      <c r="AB228" s="458"/>
      <c r="AC228" s="458"/>
      <c r="AD228" s="458"/>
      <c r="AE228" s="458"/>
      <c r="AF228" s="458"/>
      <c r="AG228" s="758"/>
      <c r="AH228" s="2205"/>
      <c r="AI228" s="842">
        <f t="shared" si="21"/>
        <v>0</v>
      </c>
      <c r="AJ228" s="233"/>
      <c r="AK228" s="233"/>
      <c r="AL228" s="233"/>
      <c r="AM228" s="233"/>
      <c r="AN228" s="233"/>
      <c r="AO228" s="233"/>
      <c r="AP228" s="233"/>
      <c r="AQ228" s="233"/>
      <c r="AR228" s="233"/>
      <c r="AS228" s="233"/>
      <c r="AT228" s="363"/>
      <c r="AU228" s="626" t="str">
        <f t="shared" si="22"/>
        <v/>
      </c>
      <c r="AV228" s="2205"/>
      <c r="AW228" s="458"/>
      <c r="AX228" s="458"/>
      <c r="AY228" s="458"/>
      <c r="AZ228" s="458"/>
      <c r="BA228" s="458"/>
      <c r="BB228" s="458"/>
      <c r="BC228" s="458"/>
      <c r="BD228" s="458"/>
      <c r="BE228" s="458"/>
      <c r="BF228" s="458"/>
      <c r="BG228" s="458"/>
      <c r="BH228" s="458"/>
      <c r="BI228" s="458"/>
      <c r="BJ228" s="458"/>
      <c r="BK228" s="592" t="str">
        <f t="shared" si="23"/>
        <v/>
      </c>
      <c r="BM228" s="592" t="str">
        <f t="shared" si="24"/>
        <v/>
      </c>
      <c r="BO228" s="592">
        <f t="shared" si="25"/>
        <v>0</v>
      </c>
      <c r="BP228" s="592">
        <f t="shared" si="26"/>
        <v>0</v>
      </c>
      <c r="BQ228" s="592" t="str">
        <f t="shared" si="27"/>
        <v/>
      </c>
      <c r="BR228" s="592" t="str">
        <f t="shared" si="28"/>
        <v/>
      </c>
    </row>
    <row r="229" spans="1:70" ht="15.6">
      <c r="A229" s="1805"/>
      <c r="B229" s="656"/>
      <c r="C229" s="454"/>
      <c r="D229" s="233"/>
      <c r="E229" s="233"/>
      <c r="F229" s="233"/>
      <c r="G229" s="233"/>
      <c r="H229" s="233"/>
      <c r="I229" s="233"/>
      <c r="J229" s="233"/>
      <c r="K229" s="233"/>
      <c r="L229" s="233"/>
      <c r="M229" s="233"/>
      <c r="N229" s="2145"/>
      <c r="O229" s="2146"/>
      <c r="P229" s="2146"/>
      <c r="Q229" s="2147"/>
      <c r="R229" s="824">
        <f t="shared" si="20"/>
        <v>0</v>
      </c>
      <c r="S229" s="1191"/>
      <c r="T229" s="758"/>
      <c r="U229" s="758"/>
      <c r="V229" s="758"/>
      <c r="W229" s="758"/>
      <c r="X229" s="758"/>
      <c r="Y229" s="758"/>
      <c r="Z229" s="758"/>
      <c r="AA229" s="758"/>
      <c r="AB229" s="458"/>
      <c r="AC229" s="458"/>
      <c r="AD229" s="458"/>
      <c r="AE229" s="458"/>
      <c r="AF229" s="458"/>
      <c r="AG229" s="758"/>
      <c r="AH229" s="2205"/>
      <c r="AI229" s="842">
        <f t="shared" si="21"/>
        <v>0</v>
      </c>
      <c r="AJ229" s="233"/>
      <c r="AK229" s="233"/>
      <c r="AL229" s="233"/>
      <c r="AM229" s="233"/>
      <c r="AN229" s="233"/>
      <c r="AO229" s="233"/>
      <c r="AP229" s="233"/>
      <c r="AQ229" s="233"/>
      <c r="AR229" s="233"/>
      <c r="AS229" s="233"/>
      <c r="AT229" s="363"/>
      <c r="AU229" s="626" t="str">
        <f t="shared" si="22"/>
        <v/>
      </c>
      <c r="AV229" s="2205"/>
      <c r="AW229" s="458"/>
      <c r="AX229" s="458"/>
      <c r="AY229" s="458"/>
      <c r="AZ229" s="458"/>
      <c r="BA229" s="458"/>
      <c r="BB229" s="458"/>
      <c r="BC229" s="458"/>
      <c r="BD229" s="458"/>
      <c r="BE229" s="458"/>
      <c r="BF229" s="458"/>
      <c r="BG229" s="458"/>
      <c r="BH229" s="458"/>
      <c r="BI229" s="458"/>
      <c r="BJ229" s="458"/>
      <c r="BK229" s="592" t="str">
        <f t="shared" si="23"/>
        <v/>
      </c>
      <c r="BM229" s="592" t="str">
        <f t="shared" si="24"/>
        <v/>
      </c>
      <c r="BO229" s="592">
        <f t="shared" si="25"/>
        <v>0</v>
      </c>
      <c r="BP229" s="592">
        <f t="shared" si="26"/>
        <v>0</v>
      </c>
      <c r="BQ229" s="592" t="str">
        <f t="shared" si="27"/>
        <v/>
      </c>
      <c r="BR229" s="592" t="str">
        <f t="shared" si="28"/>
        <v/>
      </c>
    </row>
    <row r="230" spans="1:70" ht="15.6">
      <c r="A230" s="1805"/>
      <c r="B230" s="656"/>
      <c r="C230" s="454"/>
      <c r="D230" s="233"/>
      <c r="E230" s="233"/>
      <c r="F230" s="233"/>
      <c r="G230" s="233"/>
      <c r="H230" s="233"/>
      <c r="I230" s="233"/>
      <c r="J230" s="233"/>
      <c r="K230" s="233"/>
      <c r="L230" s="233"/>
      <c r="M230" s="233"/>
      <c r="N230" s="2145"/>
      <c r="O230" s="2146"/>
      <c r="P230" s="2146"/>
      <c r="Q230" s="2147"/>
      <c r="R230" s="824">
        <f t="shared" si="20"/>
        <v>0</v>
      </c>
      <c r="S230" s="1191"/>
      <c r="T230" s="758"/>
      <c r="U230" s="758"/>
      <c r="V230" s="758"/>
      <c r="W230" s="758"/>
      <c r="X230" s="758"/>
      <c r="Y230" s="758"/>
      <c r="Z230" s="758"/>
      <c r="AA230" s="758"/>
      <c r="AB230" s="458"/>
      <c r="AC230" s="458"/>
      <c r="AD230" s="458"/>
      <c r="AE230" s="458"/>
      <c r="AF230" s="458"/>
      <c r="AG230" s="758"/>
      <c r="AH230" s="2205"/>
      <c r="AI230" s="842">
        <f t="shared" si="21"/>
        <v>0</v>
      </c>
      <c r="AJ230" s="233"/>
      <c r="AK230" s="233"/>
      <c r="AL230" s="233"/>
      <c r="AM230" s="233"/>
      <c r="AN230" s="233"/>
      <c r="AO230" s="233"/>
      <c r="AP230" s="233"/>
      <c r="AQ230" s="233"/>
      <c r="AR230" s="233"/>
      <c r="AS230" s="233"/>
      <c r="AT230" s="363"/>
      <c r="AU230" s="626" t="str">
        <f t="shared" si="22"/>
        <v/>
      </c>
      <c r="AV230" s="2205"/>
      <c r="AW230" s="458"/>
      <c r="AX230" s="458"/>
      <c r="AY230" s="458"/>
      <c r="AZ230" s="458"/>
      <c r="BA230" s="458"/>
      <c r="BB230" s="458"/>
      <c r="BC230" s="458"/>
      <c r="BD230" s="458"/>
      <c r="BE230" s="458"/>
      <c r="BF230" s="458"/>
      <c r="BG230" s="458"/>
      <c r="BH230" s="458"/>
      <c r="BI230" s="458"/>
      <c r="BJ230" s="458"/>
      <c r="BK230" s="592" t="str">
        <f t="shared" si="23"/>
        <v/>
      </c>
      <c r="BM230" s="592" t="str">
        <f t="shared" si="24"/>
        <v/>
      </c>
      <c r="BO230" s="592">
        <f t="shared" si="25"/>
        <v>0</v>
      </c>
      <c r="BP230" s="592">
        <f t="shared" si="26"/>
        <v>0</v>
      </c>
      <c r="BQ230" s="592" t="str">
        <f t="shared" si="27"/>
        <v/>
      </c>
      <c r="BR230" s="592" t="str">
        <f t="shared" si="28"/>
        <v/>
      </c>
    </row>
    <row r="231" spans="1:70" ht="15.6">
      <c r="A231" s="1805"/>
      <c r="B231" s="656"/>
      <c r="C231" s="454"/>
      <c r="D231" s="233"/>
      <c r="E231" s="233"/>
      <c r="F231" s="233"/>
      <c r="G231" s="233"/>
      <c r="H231" s="233"/>
      <c r="I231" s="233"/>
      <c r="J231" s="233"/>
      <c r="K231" s="233"/>
      <c r="L231" s="233"/>
      <c r="M231" s="233"/>
      <c r="N231" s="2145"/>
      <c r="O231" s="2146"/>
      <c r="P231" s="2146"/>
      <c r="Q231" s="2147"/>
      <c r="R231" s="824">
        <f t="shared" ref="R231:R273" si="29">((D231*$D$162)+($E$162*E231)+($F$162*F231)+($G$162*G231)+($H$162*H231)+($I$162*I231)+($J$162*J231)+($K$162*K231)+($L$162*L231)+($M$162*M231))*C231*8.76</f>
        <v>0</v>
      </c>
      <c r="S231" s="1191"/>
      <c r="T231" s="758"/>
      <c r="U231" s="758"/>
      <c r="V231" s="758"/>
      <c r="W231" s="758"/>
      <c r="X231" s="758"/>
      <c r="Y231" s="758"/>
      <c r="Z231" s="758"/>
      <c r="AA231" s="758"/>
      <c r="AB231" s="458"/>
      <c r="AC231" s="458"/>
      <c r="AD231" s="458"/>
      <c r="AE231" s="458"/>
      <c r="AF231" s="458"/>
      <c r="AG231" s="758"/>
      <c r="AH231" s="2205"/>
      <c r="AI231" s="842">
        <f t="shared" ref="AI231:AI273" si="30">B231</f>
        <v>0</v>
      </c>
      <c r="AJ231" s="233"/>
      <c r="AK231" s="233"/>
      <c r="AL231" s="233"/>
      <c r="AM231" s="233"/>
      <c r="AN231" s="233"/>
      <c r="AO231" s="233"/>
      <c r="AP231" s="233"/>
      <c r="AQ231" s="233"/>
      <c r="AR231" s="233"/>
      <c r="AS231" s="233"/>
      <c r="AT231" s="363"/>
      <c r="AU231" s="626" t="str">
        <f t="shared" ref="AU231:AU273" si="31">BR231</f>
        <v/>
      </c>
      <c r="AV231" s="2205"/>
      <c r="AW231" s="458"/>
      <c r="AX231" s="458"/>
      <c r="AY231" s="458"/>
      <c r="AZ231" s="458"/>
      <c r="BA231" s="458"/>
      <c r="BB231" s="458"/>
      <c r="BC231" s="458"/>
      <c r="BD231" s="458"/>
      <c r="BE231" s="458"/>
      <c r="BF231" s="458"/>
      <c r="BG231" s="458"/>
      <c r="BH231" s="458"/>
      <c r="BI231" s="458"/>
      <c r="BJ231" s="458"/>
      <c r="BK231" s="592" t="str">
        <f t="shared" ref="BK231:BK272" si="32">IF(OR(AU231="",R231=""),"",AU231*R231)</f>
        <v/>
      </c>
      <c r="BM231" s="592" t="str">
        <f t="shared" ref="BM231:BM273" si="33">IF(BK231="","",BK231^2)</f>
        <v/>
      </c>
      <c r="BO231" s="592">
        <f t="shared" ref="BO231:BO272" si="34" xml:space="preserve"> SQRT(    ((AK231^2+40^2)*((D231*$D$162)^2))      +        ((40^2+AL231^2)*(($E$162*E231)^2))       +        ((40^2+AM231^2)*(($F$162*F231)^2))       +        ((40^2+AN231^2)*(($G$162*G231)^2))       +        ((40^2+AO231^2)*(($H$162*H231)^2))       +        ((40^2+AP231^2)*(($I$162*I231)^2))       +        ((40^2+AQ231^2)*(($J$162*J231)^2))       +       ((40^2+AR231^2)*(($K$162*K231)^2))       +        ((40^2+AS231^2)*(($L$162*L231)^2))       +        ((40^2+AT231^2)*(($M$162*M231)^2))           )</f>
        <v>0</v>
      </c>
      <c r="BP231" s="592">
        <f t="shared" ref="BP231:BP272" si="35">((D231*$D$162)+($E$162*E231)+($F$162*F231)+($G$162*G231)+($H$162*H231)+($I$162*I231)+($J$162*J231)+($K$162*K231)+($L$162*L231)+($M$162*M231))</f>
        <v>0</v>
      </c>
      <c r="BQ231" s="592" t="str">
        <f t="shared" ref="BQ231:BQ273" si="36">IF(OR(BP231=0,BP231=""),"",BO231/BP231)</f>
        <v/>
      </c>
      <c r="BR231" s="592" t="str">
        <f t="shared" ref="BR231:BR273" si="37">IF(OR(BQ231="",AJ231=""),"",SQRT((BQ231)^2+(AJ231)^2))</f>
        <v/>
      </c>
    </row>
    <row r="232" spans="1:70" ht="15.6">
      <c r="A232" s="1805"/>
      <c r="B232" s="656"/>
      <c r="C232" s="454"/>
      <c r="D232" s="233"/>
      <c r="E232" s="233"/>
      <c r="F232" s="233"/>
      <c r="G232" s="233"/>
      <c r="H232" s="233"/>
      <c r="I232" s="233"/>
      <c r="J232" s="233"/>
      <c r="K232" s="233"/>
      <c r="L232" s="233"/>
      <c r="M232" s="233"/>
      <c r="N232" s="2145"/>
      <c r="O232" s="2146"/>
      <c r="P232" s="2146"/>
      <c r="Q232" s="2147"/>
      <c r="R232" s="824">
        <f t="shared" si="29"/>
        <v>0</v>
      </c>
      <c r="S232" s="1191"/>
      <c r="T232" s="758"/>
      <c r="U232" s="758"/>
      <c r="V232" s="758"/>
      <c r="W232" s="758"/>
      <c r="X232" s="758"/>
      <c r="Y232" s="758"/>
      <c r="Z232" s="758"/>
      <c r="AA232" s="758"/>
      <c r="AB232" s="458"/>
      <c r="AC232" s="458"/>
      <c r="AD232" s="458"/>
      <c r="AE232" s="458"/>
      <c r="AF232" s="458"/>
      <c r="AG232" s="758"/>
      <c r="AH232" s="2205"/>
      <c r="AI232" s="842">
        <f t="shared" si="30"/>
        <v>0</v>
      </c>
      <c r="AJ232" s="233"/>
      <c r="AK232" s="233"/>
      <c r="AL232" s="233"/>
      <c r="AM232" s="233"/>
      <c r="AN232" s="233"/>
      <c r="AO232" s="233"/>
      <c r="AP232" s="233"/>
      <c r="AQ232" s="233"/>
      <c r="AR232" s="233"/>
      <c r="AS232" s="233"/>
      <c r="AT232" s="363"/>
      <c r="AU232" s="626" t="str">
        <f t="shared" si="31"/>
        <v/>
      </c>
      <c r="AV232" s="2205"/>
      <c r="AW232" s="458"/>
      <c r="AX232" s="458"/>
      <c r="AY232" s="458"/>
      <c r="AZ232" s="458"/>
      <c r="BA232" s="458"/>
      <c r="BB232" s="458"/>
      <c r="BC232" s="458"/>
      <c r="BD232" s="458"/>
      <c r="BE232" s="458"/>
      <c r="BF232" s="458"/>
      <c r="BG232" s="458"/>
      <c r="BH232" s="458"/>
      <c r="BI232" s="458"/>
      <c r="BJ232" s="458"/>
      <c r="BK232" s="592" t="str">
        <f t="shared" si="32"/>
        <v/>
      </c>
      <c r="BM232" s="592" t="str">
        <f t="shared" si="33"/>
        <v/>
      </c>
      <c r="BO232" s="592">
        <f t="shared" si="34"/>
        <v>0</v>
      </c>
      <c r="BP232" s="592">
        <f t="shared" si="35"/>
        <v>0</v>
      </c>
      <c r="BQ232" s="592" t="str">
        <f t="shared" si="36"/>
        <v/>
      </c>
      <c r="BR232" s="592" t="str">
        <f t="shared" si="37"/>
        <v/>
      </c>
    </row>
    <row r="233" spans="1:70" ht="15.6">
      <c r="A233" s="1805"/>
      <c r="B233" s="656"/>
      <c r="C233" s="454"/>
      <c r="D233" s="233"/>
      <c r="E233" s="233"/>
      <c r="F233" s="233"/>
      <c r="G233" s="233"/>
      <c r="H233" s="233"/>
      <c r="I233" s="233"/>
      <c r="J233" s="233"/>
      <c r="K233" s="233"/>
      <c r="L233" s="233"/>
      <c r="M233" s="233"/>
      <c r="N233" s="2145"/>
      <c r="O233" s="2146"/>
      <c r="P233" s="2146"/>
      <c r="Q233" s="2147"/>
      <c r="R233" s="824">
        <f t="shared" si="29"/>
        <v>0</v>
      </c>
      <c r="S233" s="1191"/>
      <c r="T233" s="758"/>
      <c r="U233" s="758"/>
      <c r="V233" s="758"/>
      <c r="W233" s="758"/>
      <c r="X233" s="758"/>
      <c r="Y233" s="758"/>
      <c r="Z233" s="758"/>
      <c r="AA233" s="758"/>
      <c r="AB233" s="458"/>
      <c r="AC233" s="458"/>
      <c r="AD233" s="458"/>
      <c r="AE233" s="458"/>
      <c r="AF233" s="458"/>
      <c r="AG233" s="758"/>
      <c r="AH233" s="2205"/>
      <c r="AI233" s="842">
        <f t="shared" si="30"/>
        <v>0</v>
      </c>
      <c r="AJ233" s="233"/>
      <c r="AK233" s="233"/>
      <c r="AL233" s="233"/>
      <c r="AM233" s="233"/>
      <c r="AN233" s="233"/>
      <c r="AO233" s="233"/>
      <c r="AP233" s="233"/>
      <c r="AQ233" s="233"/>
      <c r="AR233" s="233"/>
      <c r="AS233" s="233"/>
      <c r="AT233" s="363"/>
      <c r="AU233" s="626" t="str">
        <f t="shared" si="31"/>
        <v/>
      </c>
      <c r="AV233" s="2205"/>
      <c r="AW233" s="458"/>
      <c r="AX233" s="458"/>
      <c r="AY233" s="458"/>
      <c r="AZ233" s="458"/>
      <c r="BA233" s="458"/>
      <c r="BB233" s="458"/>
      <c r="BC233" s="458"/>
      <c r="BD233" s="458"/>
      <c r="BE233" s="458"/>
      <c r="BF233" s="458"/>
      <c r="BG233" s="458"/>
      <c r="BH233" s="458"/>
      <c r="BI233" s="458"/>
      <c r="BJ233" s="458"/>
      <c r="BK233" s="592" t="str">
        <f t="shared" si="32"/>
        <v/>
      </c>
      <c r="BM233" s="592" t="str">
        <f t="shared" si="33"/>
        <v/>
      </c>
      <c r="BO233" s="592">
        <f t="shared" si="34"/>
        <v>0</v>
      </c>
      <c r="BP233" s="592">
        <f t="shared" si="35"/>
        <v>0</v>
      </c>
      <c r="BQ233" s="592" t="str">
        <f t="shared" si="36"/>
        <v/>
      </c>
      <c r="BR233" s="592" t="str">
        <f t="shared" si="37"/>
        <v/>
      </c>
    </row>
    <row r="234" spans="1:70" ht="15.6">
      <c r="A234" s="1805"/>
      <c r="B234" s="656"/>
      <c r="C234" s="454"/>
      <c r="D234" s="233"/>
      <c r="E234" s="233"/>
      <c r="F234" s="233"/>
      <c r="G234" s="233"/>
      <c r="H234" s="233"/>
      <c r="I234" s="233"/>
      <c r="J234" s="233"/>
      <c r="K234" s="233"/>
      <c r="L234" s="233"/>
      <c r="M234" s="233"/>
      <c r="N234" s="2145"/>
      <c r="O234" s="2146"/>
      <c r="P234" s="2146"/>
      <c r="Q234" s="2147"/>
      <c r="R234" s="824">
        <f t="shared" si="29"/>
        <v>0</v>
      </c>
      <c r="S234" s="1191"/>
      <c r="T234" s="758"/>
      <c r="U234" s="758"/>
      <c r="V234" s="758"/>
      <c r="W234" s="758"/>
      <c r="X234" s="758"/>
      <c r="Y234" s="758"/>
      <c r="Z234" s="758"/>
      <c r="AA234" s="758"/>
      <c r="AB234" s="458"/>
      <c r="AC234" s="458"/>
      <c r="AD234" s="458"/>
      <c r="AE234" s="458"/>
      <c r="AF234" s="458"/>
      <c r="AG234" s="758"/>
      <c r="AH234" s="2205"/>
      <c r="AI234" s="842">
        <f t="shared" si="30"/>
        <v>0</v>
      </c>
      <c r="AJ234" s="233"/>
      <c r="AK234" s="233"/>
      <c r="AL234" s="233"/>
      <c r="AM234" s="233"/>
      <c r="AN234" s="233"/>
      <c r="AO234" s="233"/>
      <c r="AP234" s="233"/>
      <c r="AQ234" s="233"/>
      <c r="AR234" s="233"/>
      <c r="AS234" s="233"/>
      <c r="AT234" s="363"/>
      <c r="AU234" s="626" t="str">
        <f t="shared" si="31"/>
        <v/>
      </c>
      <c r="AV234" s="2205"/>
      <c r="AW234" s="458"/>
      <c r="AX234" s="458"/>
      <c r="AY234" s="458"/>
      <c r="AZ234" s="458"/>
      <c r="BA234" s="458"/>
      <c r="BB234" s="458"/>
      <c r="BC234" s="458"/>
      <c r="BD234" s="458"/>
      <c r="BE234" s="458"/>
      <c r="BF234" s="458"/>
      <c r="BG234" s="458"/>
      <c r="BH234" s="458"/>
      <c r="BI234" s="458"/>
      <c r="BJ234" s="458"/>
      <c r="BK234" s="592" t="str">
        <f t="shared" si="32"/>
        <v/>
      </c>
      <c r="BM234" s="592" t="str">
        <f t="shared" si="33"/>
        <v/>
      </c>
      <c r="BO234" s="592">
        <f t="shared" si="34"/>
        <v>0</v>
      </c>
      <c r="BP234" s="592">
        <f t="shared" si="35"/>
        <v>0</v>
      </c>
      <c r="BQ234" s="592" t="str">
        <f t="shared" si="36"/>
        <v/>
      </c>
      <c r="BR234" s="592" t="str">
        <f t="shared" si="37"/>
        <v/>
      </c>
    </row>
    <row r="235" spans="1:70" ht="15.6">
      <c r="A235" s="1805"/>
      <c r="B235" s="656"/>
      <c r="C235" s="454"/>
      <c r="D235" s="233"/>
      <c r="E235" s="233"/>
      <c r="F235" s="233"/>
      <c r="G235" s="233"/>
      <c r="H235" s="233"/>
      <c r="I235" s="233"/>
      <c r="J235" s="233"/>
      <c r="K235" s="233"/>
      <c r="L235" s="233"/>
      <c r="M235" s="233"/>
      <c r="N235" s="2145"/>
      <c r="O235" s="2146"/>
      <c r="P235" s="2146"/>
      <c r="Q235" s="2147"/>
      <c r="R235" s="824">
        <f t="shared" si="29"/>
        <v>0</v>
      </c>
      <c r="S235" s="1191"/>
      <c r="T235" s="758"/>
      <c r="U235" s="758"/>
      <c r="V235" s="758"/>
      <c r="W235" s="758"/>
      <c r="X235" s="758"/>
      <c r="Y235" s="758"/>
      <c r="Z235" s="758"/>
      <c r="AA235" s="758"/>
      <c r="AB235" s="458"/>
      <c r="AC235" s="458"/>
      <c r="AD235" s="458"/>
      <c r="AE235" s="458"/>
      <c r="AF235" s="458"/>
      <c r="AG235" s="758"/>
      <c r="AH235" s="2205"/>
      <c r="AI235" s="842">
        <f t="shared" si="30"/>
        <v>0</v>
      </c>
      <c r="AJ235" s="233"/>
      <c r="AK235" s="233"/>
      <c r="AL235" s="233"/>
      <c r="AM235" s="233"/>
      <c r="AN235" s="233"/>
      <c r="AO235" s="233"/>
      <c r="AP235" s="233"/>
      <c r="AQ235" s="233"/>
      <c r="AR235" s="233"/>
      <c r="AS235" s="233"/>
      <c r="AT235" s="363"/>
      <c r="AU235" s="626" t="str">
        <f t="shared" si="31"/>
        <v/>
      </c>
      <c r="AV235" s="2205"/>
      <c r="AW235" s="458"/>
      <c r="AX235" s="458"/>
      <c r="AY235" s="458"/>
      <c r="AZ235" s="458"/>
      <c r="BA235" s="458"/>
      <c r="BB235" s="458"/>
      <c r="BC235" s="458"/>
      <c r="BD235" s="458"/>
      <c r="BE235" s="458"/>
      <c r="BF235" s="458"/>
      <c r="BG235" s="458"/>
      <c r="BH235" s="458"/>
      <c r="BI235" s="458"/>
      <c r="BJ235" s="458"/>
      <c r="BK235" s="592" t="str">
        <f t="shared" si="32"/>
        <v/>
      </c>
      <c r="BM235" s="592" t="str">
        <f t="shared" si="33"/>
        <v/>
      </c>
      <c r="BO235" s="592">
        <f t="shared" si="34"/>
        <v>0</v>
      </c>
      <c r="BP235" s="592">
        <f t="shared" si="35"/>
        <v>0</v>
      </c>
      <c r="BQ235" s="592" t="str">
        <f t="shared" si="36"/>
        <v/>
      </c>
      <c r="BR235" s="592" t="str">
        <f t="shared" si="37"/>
        <v/>
      </c>
    </row>
    <row r="236" spans="1:70" ht="15.6">
      <c r="A236" s="1805"/>
      <c r="B236" s="656"/>
      <c r="C236" s="454"/>
      <c r="D236" s="233"/>
      <c r="E236" s="233"/>
      <c r="F236" s="233"/>
      <c r="G236" s="233"/>
      <c r="H236" s="233"/>
      <c r="I236" s="233"/>
      <c r="J236" s="233"/>
      <c r="K236" s="233"/>
      <c r="L236" s="233"/>
      <c r="M236" s="233"/>
      <c r="N236" s="2145"/>
      <c r="O236" s="2146"/>
      <c r="P236" s="2146"/>
      <c r="Q236" s="2147"/>
      <c r="R236" s="824">
        <f t="shared" si="29"/>
        <v>0</v>
      </c>
      <c r="S236" s="1191"/>
      <c r="T236" s="758"/>
      <c r="U236" s="758"/>
      <c r="V236" s="758"/>
      <c r="W236" s="758"/>
      <c r="X236" s="758"/>
      <c r="Y236" s="758"/>
      <c r="Z236" s="758"/>
      <c r="AA236" s="758"/>
      <c r="AB236" s="458"/>
      <c r="AC236" s="458"/>
      <c r="AD236" s="458"/>
      <c r="AE236" s="458"/>
      <c r="AF236" s="458"/>
      <c r="AG236" s="758"/>
      <c r="AH236" s="2205"/>
      <c r="AI236" s="842">
        <f t="shared" si="30"/>
        <v>0</v>
      </c>
      <c r="AJ236" s="233"/>
      <c r="AK236" s="233"/>
      <c r="AL236" s="233"/>
      <c r="AM236" s="233"/>
      <c r="AN236" s="233"/>
      <c r="AO236" s="233"/>
      <c r="AP236" s="233"/>
      <c r="AQ236" s="233"/>
      <c r="AR236" s="233"/>
      <c r="AS236" s="233"/>
      <c r="AT236" s="363"/>
      <c r="AU236" s="626" t="str">
        <f t="shared" si="31"/>
        <v/>
      </c>
      <c r="AV236" s="2205"/>
      <c r="AW236" s="458"/>
      <c r="AX236" s="458"/>
      <c r="AY236" s="458"/>
      <c r="AZ236" s="458"/>
      <c r="BA236" s="458"/>
      <c r="BB236" s="458"/>
      <c r="BC236" s="458"/>
      <c r="BD236" s="458"/>
      <c r="BE236" s="458"/>
      <c r="BF236" s="458"/>
      <c r="BG236" s="458"/>
      <c r="BH236" s="458"/>
      <c r="BI236" s="458"/>
      <c r="BJ236" s="458"/>
      <c r="BK236" s="592" t="str">
        <f t="shared" si="32"/>
        <v/>
      </c>
      <c r="BM236" s="592" t="str">
        <f t="shared" si="33"/>
        <v/>
      </c>
      <c r="BO236" s="592">
        <f t="shared" si="34"/>
        <v>0</v>
      </c>
      <c r="BP236" s="592">
        <f t="shared" si="35"/>
        <v>0</v>
      </c>
      <c r="BQ236" s="592" t="str">
        <f t="shared" si="36"/>
        <v/>
      </c>
      <c r="BR236" s="592" t="str">
        <f t="shared" si="37"/>
        <v/>
      </c>
    </row>
    <row r="237" spans="1:70" ht="15.6">
      <c r="A237" s="1805"/>
      <c r="B237" s="656"/>
      <c r="C237" s="454"/>
      <c r="D237" s="233"/>
      <c r="E237" s="233"/>
      <c r="F237" s="233"/>
      <c r="G237" s="233"/>
      <c r="H237" s="233"/>
      <c r="I237" s="233"/>
      <c r="J237" s="233"/>
      <c r="K237" s="233"/>
      <c r="L237" s="233"/>
      <c r="M237" s="233"/>
      <c r="N237" s="2145"/>
      <c r="O237" s="2146"/>
      <c r="P237" s="2146"/>
      <c r="Q237" s="2147"/>
      <c r="R237" s="824">
        <f t="shared" si="29"/>
        <v>0</v>
      </c>
      <c r="S237" s="1191"/>
      <c r="T237" s="758"/>
      <c r="U237" s="758"/>
      <c r="V237" s="758"/>
      <c r="W237" s="758"/>
      <c r="X237" s="758"/>
      <c r="Y237" s="758"/>
      <c r="Z237" s="758"/>
      <c r="AA237" s="758"/>
      <c r="AB237" s="458"/>
      <c r="AC237" s="458"/>
      <c r="AD237" s="458"/>
      <c r="AE237" s="458"/>
      <c r="AF237" s="458"/>
      <c r="AG237" s="758"/>
      <c r="AH237" s="2205"/>
      <c r="AI237" s="842">
        <f t="shared" si="30"/>
        <v>0</v>
      </c>
      <c r="AJ237" s="233"/>
      <c r="AK237" s="233"/>
      <c r="AL237" s="233"/>
      <c r="AM237" s="233"/>
      <c r="AN237" s="233"/>
      <c r="AO237" s="233"/>
      <c r="AP237" s="233"/>
      <c r="AQ237" s="233"/>
      <c r="AR237" s="233"/>
      <c r="AS237" s="233"/>
      <c r="AT237" s="363"/>
      <c r="AU237" s="626" t="str">
        <f t="shared" si="31"/>
        <v/>
      </c>
      <c r="AV237" s="2205"/>
      <c r="AW237" s="458"/>
      <c r="AX237" s="458"/>
      <c r="AY237" s="458"/>
      <c r="AZ237" s="458"/>
      <c r="BA237" s="458"/>
      <c r="BB237" s="458"/>
      <c r="BC237" s="458"/>
      <c r="BD237" s="458"/>
      <c r="BE237" s="458"/>
      <c r="BF237" s="458"/>
      <c r="BG237" s="458"/>
      <c r="BH237" s="458"/>
      <c r="BI237" s="458"/>
      <c r="BJ237" s="458"/>
      <c r="BK237" s="592" t="str">
        <f t="shared" si="32"/>
        <v/>
      </c>
      <c r="BM237" s="592" t="str">
        <f t="shared" si="33"/>
        <v/>
      </c>
      <c r="BO237" s="592">
        <f t="shared" si="34"/>
        <v>0</v>
      </c>
      <c r="BP237" s="592">
        <f t="shared" si="35"/>
        <v>0</v>
      </c>
      <c r="BQ237" s="592" t="str">
        <f t="shared" si="36"/>
        <v/>
      </c>
      <c r="BR237" s="592" t="str">
        <f t="shared" si="37"/>
        <v/>
      </c>
    </row>
    <row r="238" spans="1:70" ht="15.6">
      <c r="A238" s="1805"/>
      <c r="B238" s="656"/>
      <c r="C238" s="454"/>
      <c r="D238" s="233"/>
      <c r="E238" s="233"/>
      <c r="F238" s="233"/>
      <c r="G238" s="233"/>
      <c r="H238" s="233"/>
      <c r="I238" s="233"/>
      <c r="J238" s="233"/>
      <c r="K238" s="233"/>
      <c r="L238" s="233"/>
      <c r="M238" s="233"/>
      <c r="N238" s="2145"/>
      <c r="O238" s="2146"/>
      <c r="P238" s="2146"/>
      <c r="Q238" s="2147"/>
      <c r="R238" s="824">
        <f t="shared" si="29"/>
        <v>0</v>
      </c>
      <c r="S238" s="1191"/>
      <c r="T238" s="758"/>
      <c r="U238" s="758"/>
      <c r="V238" s="758"/>
      <c r="W238" s="758"/>
      <c r="X238" s="758"/>
      <c r="Y238" s="758"/>
      <c r="Z238" s="758"/>
      <c r="AA238" s="758"/>
      <c r="AB238" s="458"/>
      <c r="AC238" s="458"/>
      <c r="AD238" s="458"/>
      <c r="AE238" s="458"/>
      <c r="AF238" s="458"/>
      <c r="AG238" s="758"/>
      <c r="AH238" s="2205"/>
      <c r="AI238" s="842">
        <f t="shared" si="30"/>
        <v>0</v>
      </c>
      <c r="AJ238" s="233"/>
      <c r="AK238" s="233"/>
      <c r="AL238" s="233"/>
      <c r="AM238" s="233"/>
      <c r="AN238" s="233"/>
      <c r="AO238" s="233"/>
      <c r="AP238" s="233"/>
      <c r="AQ238" s="233"/>
      <c r="AR238" s="233"/>
      <c r="AS238" s="233"/>
      <c r="AT238" s="363"/>
      <c r="AU238" s="626" t="str">
        <f t="shared" si="31"/>
        <v/>
      </c>
      <c r="AV238" s="2205"/>
      <c r="AW238" s="458"/>
      <c r="AX238" s="458"/>
      <c r="AY238" s="458"/>
      <c r="AZ238" s="458"/>
      <c r="BA238" s="458"/>
      <c r="BB238" s="458"/>
      <c r="BC238" s="458"/>
      <c r="BD238" s="458"/>
      <c r="BE238" s="458"/>
      <c r="BF238" s="458"/>
      <c r="BG238" s="458"/>
      <c r="BH238" s="458"/>
      <c r="BI238" s="458"/>
      <c r="BJ238" s="458"/>
      <c r="BK238" s="592" t="str">
        <f t="shared" si="32"/>
        <v/>
      </c>
      <c r="BM238" s="592" t="str">
        <f t="shared" si="33"/>
        <v/>
      </c>
      <c r="BO238" s="592">
        <f t="shared" si="34"/>
        <v>0</v>
      </c>
      <c r="BP238" s="592">
        <f t="shared" si="35"/>
        <v>0</v>
      </c>
      <c r="BQ238" s="592" t="str">
        <f t="shared" si="36"/>
        <v/>
      </c>
      <c r="BR238" s="592" t="str">
        <f t="shared" si="37"/>
        <v/>
      </c>
    </row>
    <row r="239" spans="1:70" ht="15.6">
      <c r="A239" s="1805"/>
      <c r="B239" s="656"/>
      <c r="C239" s="454"/>
      <c r="D239" s="233"/>
      <c r="E239" s="233"/>
      <c r="F239" s="233"/>
      <c r="G239" s="233"/>
      <c r="H239" s="233"/>
      <c r="I239" s="233"/>
      <c r="J239" s="233"/>
      <c r="K239" s="233"/>
      <c r="L239" s="233"/>
      <c r="M239" s="233"/>
      <c r="N239" s="2145"/>
      <c r="O239" s="2146"/>
      <c r="P239" s="2146"/>
      <c r="Q239" s="2147"/>
      <c r="R239" s="824">
        <f t="shared" si="29"/>
        <v>0</v>
      </c>
      <c r="S239" s="1191"/>
      <c r="T239" s="758"/>
      <c r="U239" s="758"/>
      <c r="V239" s="758"/>
      <c r="W239" s="758"/>
      <c r="X239" s="758"/>
      <c r="Y239" s="758"/>
      <c r="Z239" s="758"/>
      <c r="AA239" s="758"/>
      <c r="AB239" s="458"/>
      <c r="AC239" s="458"/>
      <c r="AD239" s="458"/>
      <c r="AE239" s="458"/>
      <c r="AF239" s="458"/>
      <c r="AG239" s="758"/>
      <c r="AH239" s="2205"/>
      <c r="AI239" s="842">
        <f t="shared" si="30"/>
        <v>0</v>
      </c>
      <c r="AJ239" s="233"/>
      <c r="AK239" s="233"/>
      <c r="AL239" s="233"/>
      <c r="AM239" s="233"/>
      <c r="AN239" s="233"/>
      <c r="AO239" s="233"/>
      <c r="AP239" s="233"/>
      <c r="AQ239" s="233"/>
      <c r="AR239" s="233"/>
      <c r="AS239" s="233"/>
      <c r="AT239" s="363"/>
      <c r="AU239" s="626" t="str">
        <f t="shared" si="31"/>
        <v/>
      </c>
      <c r="AV239" s="2205"/>
      <c r="AW239" s="458"/>
      <c r="AX239" s="458"/>
      <c r="AY239" s="458"/>
      <c r="AZ239" s="458"/>
      <c r="BA239" s="458"/>
      <c r="BB239" s="458"/>
      <c r="BC239" s="458"/>
      <c r="BD239" s="458"/>
      <c r="BE239" s="458"/>
      <c r="BF239" s="458"/>
      <c r="BG239" s="458"/>
      <c r="BH239" s="458"/>
      <c r="BI239" s="458"/>
      <c r="BJ239" s="458"/>
      <c r="BK239" s="592" t="str">
        <f t="shared" si="32"/>
        <v/>
      </c>
      <c r="BM239" s="592" t="str">
        <f t="shared" si="33"/>
        <v/>
      </c>
      <c r="BO239" s="592">
        <f t="shared" si="34"/>
        <v>0</v>
      </c>
      <c r="BP239" s="592">
        <f t="shared" si="35"/>
        <v>0</v>
      </c>
      <c r="BQ239" s="592" t="str">
        <f t="shared" si="36"/>
        <v/>
      </c>
      <c r="BR239" s="592" t="str">
        <f t="shared" si="37"/>
        <v/>
      </c>
    </row>
    <row r="240" spans="1:70" ht="15.6">
      <c r="A240" s="1805"/>
      <c r="B240" s="656"/>
      <c r="C240" s="454"/>
      <c r="D240" s="233"/>
      <c r="E240" s="233"/>
      <c r="F240" s="233"/>
      <c r="G240" s="233"/>
      <c r="H240" s="233"/>
      <c r="I240" s="233"/>
      <c r="J240" s="233"/>
      <c r="K240" s="233"/>
      <c r="L240" s="233"/>
      <c r="M240" s="233"/>
      <c r="N240" s="2145"/>
      <c r="O240" s="2146"/>
      <c r="P240" s="2146"/>
      <c r="Q240" s="2147"/>
      <c r="R240" s="824">
        <f t="shared" si="29"/>
        <v>0</v>
      </c>
      <c r="S240" s="1191"/>
      <c r="T240" s="758"/>
      <c r="U240" s="758"/>
      <c r="V240" s="758"/>
      <c r="W240" s="758"/>
      <c r="X240" s="758"/>
      <c r="Y240" s="758"/>
      <c r="Z240" s="758"/>
      <c r="AA240" s="758"/>
      <c r="AB240" s="458"/>
      <c r="AC240" s="458"/>
      <c r="AD240" s="458"/>
      <c r="AE240" s="458"/>
      <c r="AF240" s="458"/>
      <c r="AG240" s="758"/>
      <c r="AH240" s="2205"/>
      <c r="AI240" s="842">
        <f t="shared" si="30"/>
        <v>0</v>
      </c>
      <c r="AJ240" s="233"/>
      <c r="AK240" s="233"/>
      <c r="AL240" s="233"/>
      <c r="AM240" s="233"/>
      <c r="AN240" s="233"/>
      <c r="AO240" s="233"/>
      <c r="AP240" s="233"/>
      <c r="AQ240" s="233"/>
      <c r="AR240" s="233"/>
      <c r="AS240" s="233"/>
      <c r="AT240" s="363"/>
      <c r="AU240" s="626" t="str">
        <f t="shared" si="31"/>
        <v/>
      </c>
      <c r="AV240" s="2205"/>
      <c r="AW240" s="458"/>
      <c r="AX240" s="458"/>
      <c r="AY240" s="458"/>
      <c r="AZ240" s="458"/>
      <c r="BA240" s="458"/>
      <c r="BB240" s="458"/>
      <c r="BC240" s="458"/>
      <c r="BD240" s="458"/>
      <c r="BE240" s="458"/>
      <c r="BF240" s="458"/>
      <c r="BG240" s="458"/>
      <c r="BH240" s="458"/>
      <c r="BI240" s="458"/>
      <c r="BJ240" s="458"/>
      <c r="BK240" s="592" t="str">
        <f t="shared" si="32"/>
        <v/>
      </c>
      <c r="BM240" s="592" t="str">
        <f t="shared" si="33"/>
        <v/>
      </c>
      <c r="BO240" s="592">
        <f t="shared" si="34"/>
        <v>0</v>
      </c>
      <c r="BP240" s="592">
        <f t="shared" si="35"/>
        <v>0</v>
      </c>
      <c r="BQ240" s="592" t="str">
        <f t="shared" si="36"/>
        <v/>
      </c>
      <c r="BR240" s="592" t="str">
        <f t="shared" si="37"/>
        <v/>
      </c>
    </row>
    <row r="241" spans="1:70" ht="15.6">
      <c r="A241" s="1805"/>
      <c r="B241" s="656"/>
      <c r="C241" s="454"/>
      <c r="D241" s="233"/>
      <c r="E241" s="233"/>
      <c r="F241" s="233"/>
      <c r="G241" s="233"/>
      <c r="H241" s="233"/>
      <c r="I241" s="233"/>
      <c r="J241" s="233"/>
      <c r="K241" s="233"/>
      <c r="L241" s="233"/>
      <c r="M241" s="233"/>
      <c r="N241" s="2145"/>
      <c r="O241" s="2146"/>
      <c r="P241" s="2146"/>
      <c r="Q241" s="2147"/>
      <c r="R241" s="824">
        <f t="shared" si="29"/>
        <v>0</v>
      </c>
      <c r="S241" s="1191"/>
      <c r="T241" s="758"/>
      <c r="U241" s="758"/>
      <c r="V241" s="758"/>
      <c r="W241" s="758"/>
      <c r="X241" s="758"/>
      <c r="Y241" s="758"/>
      <c r="Z241" s="758"/>
      <c r="AA241" s="758"/>
      <c r="AB241" s="458"/>
      <c r="AC241" s="458"/>
      <c r="AD241" s="458"/>
      <c r="AE241" s="458"/>
      <c r="AF241" s="458"/>
      <c r="AG241" s="758"/>
      <c r="AH241" s="2205"/>
      <c r="AI241" s="842">
        <f t="shared" si="30"/>
        <v>0</v>
      </c>
      <c r="AJ241" s="233"/>
      <c r="AK241" s="233"/>
      <c r="AL241" s="233"/>
      <c r="AM241" s="233"/>
      <c r="AN241" s="233"/>
      <c r="AO241" s="233"/>
      <c r="AP241" s="233"/>
      <c r="AQ241" s="233"/>
      <c r="AR241" s="233"/>
      <c r="AS241" s="233"/>
      <c r="AT241" s="363"/>
      <c r="AU241" s="626" t="str">
        <f t="shared" si="31"/>
        <v/>
      </c>
      <c r="AV241" s="2205"/>
      <c r="AW241" s="458"/>
      <c r="AX241" s="458"/>
      <c r="AY241" s="458"/>
      <c r="AZ241" s="458"/>
      <c r="BA241" s="458"/>
      <c r="BB241" s="458"/>
      <c r="BC241" s="458"/>
      <c r="BD241" s="458"/>
      <c r="BE241" s="458"/>
      <c r="BF241" s="458"/>
      <c r="BG241" s="458"/>
      <c r="BH241" s="458"/>
      <c r="BI241" s="458"/>
      <c r="BJ241" s="458"/>
      <c r="BK241" s="592" t="str">
        <f t="shared" si="32"/>
        <v/>
      </c>
      <c r="BM241" s="592" t="str">
        <f t="shared" si="33"/>
        <v/>
      </c>
      <c r="BO241" s="592">
        <f t="shared" si="34"/>
        <v>0</v>
      </c>
      <c r="BP241" s="592">
        <f t="shared" si="35"/>
        <v>0</v>
      </c>
      <c r="BQ241" s="592" t="str">
        <f t="shared" si="36"/>
        <v/>
      </c>
      <c r="BR241" s="592" t="str">
        <f t="shared" si="37"/>
        <v/>
      </c>
    </row>
    <row r="242" spans="1:70" ht="15.6">
      <c r="A242" s="1805"/>
      <c r="B242" s="656"/>
      <c r="C242" s="454"/>
      <c r="D242" s="233"/>
      <c r="E242" s="233"/>
      <c r="F242" s="233"/>
      <c r="G242" s="233"/>
      <c r="H242" s="233"/>
      <c r="I242" s="233"/>
      <c r="J242" s="233"/>
      <c r="K242" s="233"/>
      <c r="L242" s="233"/>
      <c r="M242" s="233"/>
      <c r="N242" s="2145"/>
      <c r="O242" s="2146"/>
      <c r="P242" s="2146"/>
      <c r="Q242" s="2147"/>
      <c r="R242" s="824">
        <f t="shared" si="29"/>
        <v>0</v>
      </c>
      <c r="S242" s="1191"/>
      <c r="T242" s="758"/>
      <c r="U242" s="758"/>
      <c r="V242" s="758"/>
      <c r="W242" s="758"/>
      <c r="X242" s="758"/>
      <c r="Y242" s="758"/>
      <c r="Z242" s="758"/>
      <c r="AA242" s="758"/>
      <c r="AB242" s="458"/>
      <c r="AC242" s="458"/>
      <c r="AD242" s="458"/>
      <c r="AE242" s="458"/>
      <c r="AF242" s="458"/>
      <c r="AG242" s="758"/>
      <c r="AH242" s="2205"/>
      <c r="AI242" s="842">
        <f t="shared" si="30"/>
        <v>0</v>
      </c>
      <c r="AJ242" s="233"/>
      <c r="AK242" s="233"/>
      <c r="AL242" s="233"/>
      <c r="AM242" s="233"/>
      <c r="AN242" s="233"/>
      <c r="AO242" s="233"/>
      <c r="AP242" s="233"/>
      <c r="AQ242" s="233"/>
      <c r="AR242" s="233"/>
      <c r="AS242" s="233"/>
      <c r="AT242" s="363"/>
      <c r="AU242" s="626" t="str">
        <f t="shared" si="31"/>
        <v/>
      </c>
      <c r="AV242" s="2205"/>
      <c r="AW242" s="458"/>
      <c r="AX242" s="458"/>
      <c r="AY242" s="458"/>
      <c r="AZ242" s="458"/>
      <c r="BA242" s="458"/>
      <c r="BB242" s="458"/>
      <c r="BC242" s="458"/>
      <c r="BD242" s="458"/>
      <c r="BE242" s="458"/>
      <c r="BF242" s="458"/>
      <c r="BG242" s="458"/>
      <c r="BH242" s="458"/>
      <c r="BI242" s="458"/>
      <c r="BJ242" s="458"/>
      <c r="BK242" s="592" t="str">
        <f t="shared" si="32"/>
        <v/>
      </c>
      <c r="BM242" s="592" t="str">
        <f t="shared" si="33"/>
        <v/>
      </c>
      <c r="BO242" s="592">
        <f t="shared" si="34"/>
        <v>0</v>
      </c>
      <c r="BP242" s="592">
        <f t="shared" si="35"/>
        <v>0</v>
      </c>
      <c r="BQ242" s="592" t="str">
        <f t="shared" si="36"/>
        <v/>
      </c>
      <c r="BR242" s="592" t="str">
        <f t="shared" si="37"/>
        <v/>
      </c>
    </row>
    <row r="243" spans="1:70" ht="15.6">
      <c r="A243" s="1805"/>
      <c r="B243" s="656"/>
      <c r="C243" s="454"/>
      <c r="D243" s="233"/>
      <c r="E243" s="233"/>
      <c r="F243" s="233"/>
      <c r="G243" s="233"/>
      <c r="H243" s="233"/>
      <c r="I243" s="233"/>
      <c r="J243" s="233"/>
      <c r="K243" s="233"/>
      <c r="L243" s="233"/>
      <c r="M243" s="233"/>
      <c r="N243" s="2145"/>
      <c r="O243" s="2146"/>
      <c r="P243" s="2146"/>
      <c r="Q243" s="2147"/>
      <c r="R243" s="824">
        <f t="shared" si="29"/>
        <v>0</v>
      </c>
      <c r="S243" s="1191"/>
      <c r="T243" s="758"/>
      <c r="U243" s="758"/>
      <c r="V243" s="758"/>
      <c r="W243" s="758"/>
      <c r="X243" s="758"/>
      <c r="Y243" s="758"/>
      <c r="Z243" s="758"/>
      <c r="AA243" s="758"/>
      <c r="AB243" s="458"/>
      <c r="AC243" s="458"/>
      <c r="AD243" s="458"/>
      <c r="AE243" s="458"/>
      <c r="AF243" s="458"/>
      <c r="AG243" s="758"/>
      <c r="AH243" s="2205"/>
      <c r="AI243" s="842">
        <f t="shared" si="30"/>
        <v>0</v>
      </c>
      <c r="AJ243" s="233"/>
      <c r="AK243" s="233"/>
      <c r="AL243" s="233"/>
      <c r="AM243" s="233"/>
      <c r="AN243" s="233"/>
      <c r="AO243" s="233"/>
      <c r="AP243" s="233"/>
      <c r="AQ243" s="233"/>
      <c r="AR243" s="233"/>
      <c r="AS243" s="233"/>
      <c r="AT243" s="363"/>
      <c r="AU243" s="626" t="str">
        <f t="shared" si="31"/>
        <v/>
      </c>
      <c r="AV243" s="2205"/>
      <c r="AW243" s="458"/>
      <c r="AX243" s="458"/>
      <c r="AY243" s="458"/>
      <c r="AZ243" s="458"/>
      <c r="BA243" s="458"/>
      <c r="BB243" s="458"/>
      <c r="BC243" s="458"/>
      <c r="BD243" s="458"/>
      <c r="BE243" s="458"/>
      <c r="BF243" s="458"/>
      <c r="BG243" s="458"/>
      <c r="BH243" s="458"/>
      <c r="BI243" s="458"/>
      <c r="BJ243" s="458"/>
      <c r="BK243" s="592" t="str">
        <f t="shared" si="32"/>
        <v/>
      </c>
      <c r="BM243" s="592" t="str">
        <f t="shared" si="33"/>
        <v/>
      </c>
      <c r="BO243" s="592">
        <f t="shared" si="34"/>
        <v>0</v>
      </c>
      <c r="BP243" s="592">
        <f t="shared" si="35"/>
        <v>0</v>
      </c>
      <c r="BQ243" s="592" t="str">
        <f t="shared" si="36"/>
        <v/>
      </c>
      <c r="BR243" s="592" t="str">
        <f t="shared" si="37"/>
        <v/>
      </c>
    </row>
    <row r="244" spans="1:70" ht="15.6">
      <c r="A244" s="1805"/>
      <c r="B244" s="656"/>
      <c r="C244" s="454"/>
      <c r="D244" s="233"/>
      <c r="E244" s="233"/>
      <c r="F244" s="233"/>
      <c r="G244" s="233"/>
      <c r="H244" s="233"/>
      <c r="I244" s="233"/>
      <c r="J244" s="233"/>
      <c r="K244" s="233"/>
      <c r="L244" s="233"/>
      <c r="M244" s="233"/>
      <c r="N244" s="2145"/>
      <c r="O244" s="2146"/>
      <c r="P244" s="2146"/>
      <c r="Q244" s="2147"/>
      <c r="R244" s="824">
        <f t="shared" si="29"/>
        <v>0</v>
      </c>
      <c r="S244" s="1191"/>
      <c r="T244" s="758"/>
      <c r="U244" s="758"/>
      <c r="V244" s="758"/>
      <c r="W244" s="758"/>
      <c r="X244" s="758"/>
      <c r="Y244" s="758"/>
      <c r="Z244" s="758"/>
      <c r="AA244" s="758"/>
      <c r="AB244" s="458"/>
      <c r="AC244" s="458"/>
      <c r="AD244" s="458"/>
      <c r="AE244" s="458"/>
      <c r="AF244" s="458"/>
      <c r="AG244" s="758"/>
      <c r="AH244" s="2205"/>
      <c r="AI244" s="842">
        <f t="shared" si="30"/>
        <v>0</v>
      </c>
      <c r="AJ244" s="233"/>
      <c r="AK244" s="233"/>
      <c r="AL244" s="233"/>
      <c r="AM244" s="233"/>
      <c r="AN244" s="233"/>
      <c r="AO244" s="233"/>
      <c r="AP244" s="233"/>
      <c r="AQ244" s="233"/>
      <c r="AR244" s="233"/>
      <c r="AS244" s="233"/>
      <c r="AT244" s="363"/>
      <c r="AU244" s="626" t="str">
        <f t="shared" si="31"/>
        <v/>
      </c>
      <c r="AV244" s="2205"/>
      <c r="AW244" s="458"/>
      <c r="AX244" s="458"/>
      <c r="AY244" s="458"/>
      <c r="AZ244" s="458"/>
      <c r="BA244" s="458"/>
      <c r="BB244" s="458"/>
      <c r="BC244" s="458"/>
      <c r="BD244" s="458"/>
      <c r="BE244" s="458"/>
      <c r="BF244" s="458"/>
      <c r="BG244" s="458"/>
      <c r="BH244" s="458"/>
      <c r="BI244" s="458"/>
      <c r="BJ244" s="458"/>
      <c r="BK244" s="592" t="str">
        <f t="shared" si="32"/>
        <v/>
      </c>
      <c r="BM244" s="592" t="str">
        <f t="shared" si="33"/>
        <v/>
      </c>
      <c r="BO244" s="592">
        <f t="shared" si="34"/>
        <v>0</v>
      </c>
      <c r="BP244" s="592">
        <f t="shared" si="35"/>
        <v>0</v>
      </c>
      <c r="BQ244" s="592" t="str">
        <f t="shared" si="36"/>
        <v/>
      </c>
      <c r="BR244" s="592" t="str">
        <f t="shared" si="37"/>
        <v/>
      </c>
    </row>
    <row r="245" spans="1:70" ht="15.6">
      <c r="A245" s="1805"/>
      <c r="B245" s="656"/>
      <c r="C245" s="454"/>
      <c r="D245" s="233"/>
      <c r="E245" s="233"/>
      <c r="F245" s="233"/>
      <c r="G245" s="233"/>
      <c r="H245" s="233"/>
      <c r="I245" s="233"/>
      <c r="J245" s="233"/>
      <c r="K245" s="233"/>
      <c r="L245" s="233"/>
      <c r="M245" s="233"/>
      <c r="N245" s="2145"/>
      <c r="O245" s="2146"/>
      <c r="P245" s="2146"/>
      <c r="Q245" s="2147"/>
      <c r="R245" s="824">
        <f t="shared" si="29"/>
        <v>0</v>
      </c>
      <c r="S245" s="1191"/>
      <c r="T245" s="758"/>
      <c r="U245" s="758"/>
      <c r="V245" s="758"/>
      <c r="W245" s="758"/>
      <c r="X245" s="758"/>
      <c r="Y245" s="758"/>
      <c r="Z245" s="758"/>
      <c r="AA245" s="758"/>
      <c r="AB245" s="458"/>
      <c r="AC245" s="458"/>
      <c r="AD245" s="458"/>
      <c r="AE245" s="458"/>
      <c r="AF245" s="458"/>
      <c r="AG245" s="758"/>
      <c r="AH245" s="2205"/>
      <c r="AI245" s="842">
        <f t="shared" si="30"/>
        <v>0</v>
      </c>
      <c r="AJ245" s="233"/>
      <c r="AK245" s="233"/>
      <c r="AL245" s="233"/>
      <c r="AM245" s="233"/>
      <c r="AN245" s="233"/>
      <c r="AO245" s="233"/>
      <c r="AP245" s="233"/>
      <c r="AQ245" s="233"/>
      <c r="AR245" s="233"/>
      <c r="AS245" s="233"/>
      <c r="AT245" s="363"/>
      <c r="AU245" s="626" t="str">
        <f t="shared" si="31"/>
        <v/>
      </c>
      <c r="AV245" s="2205"/>
      <c r="AW245" s="458"/>
      <c r="AX245" s="458"/>
      <c r="AY245" s="458"/>
      <c r="AZ245" s="458"/>
      <c r="BA245" s="458"/>
      <c r="BB245" s="458"/>
      <c r="BC245" s="458"/>
      <c r="BD245" s="458"/>
      <c r="BE245" s="458"/>
      <c r="BF245" s="458"/>
      <c r="BG245" s="458"/>
      <c r="BH245" s="458"/>
      <c r="BI245" s="458"/>
      <c r="BJ245" s="458"/>
      <c r="BK245" s="592" t="str">
        <f t="shared" si="32"/>
        <v/>
      </c>
      <c r="BM245" s="592" t="str">
        <f t="shared" si="33"/>
        <v/>
      </c>
      <c r="BO245" s="592">
        <f t="shared" si="34"/>
        <v>0</v>
      </c>
      <c r="BP245" s="592">
        <f t="shared" si="35"/>
        <v>0</v>
      </c>
      <c r="BQ245" s="592" t="str">
        <f t="shared" si="36"/>
        <v/>
      </c>
      <c r="BR245" s="592" t="str">
        <f t="shared" si="37"/>
        <v/>
      </c>
    </row>
    <row r="246" spans="1:70" ht="15.6">
      <c r="A246" s="1805"/>
      <c r="B246" s="656"/>
      <c r="C246" s="454"/>
      <c r="D246" s="233"/>
      <c r="E246" s="233"/>
      <c r="F246" s="233"/>
      <c r="G246" s="233"/>
      <c r="H246" s="233"/>
      <c r="I246" s="233"/>
      <c r="J246" s="233"/>
      <c r="K246" s="233"/>
      <c r="L246" s="233"/>
      <c r="M246" s="233"/>
      <c r="N246" s="2145"/>
      <c r="O246" s="2146"/>
      <c r="P246" s="2146"/>
      <c r="Q246" s="2147"/>
      <c r="R246" s="824">
        <f t="shared" si="29"/>
        <v>0</v>
      </c>
      <c r="S246" s="1191"/>
      <c r="T246" s="758"/>
      <c r="U246" s="758"/>
      <c r="V246" s="758"/>
      <c r="W246" s="758"/>
      <c r="X246" s="758"/>
      <c r="Y246" s="758"/>
      <c r="Z246" s="758"/>
      <c r="AA246" s="758"/>
      <c r="AB246" s="458"/>
      <c r="AC246" s="458"/>
      <c r="AD246" s="458"/>
      <c r="AE246" s="458"/>
      <c r="AF246" s="458"/>
      <c r="AG246" s="758"/>
      <c r="AH246" s="2205"/>
      <c r="AI246" s="842">
        <f t="shared" si="30"/>
        <v>0</v>
      </c>
      <c r="AJ246" s="233"/>
      <c r="AK246" s="233"/>
      <c r="AL246" s="233"/>
      <c r="AM246" s="233"/>
      <c r="AN246" s="233"/>
      <c r="AO246" s="233"/>
      <c r="AP246" s="233"/>
      <c r="AQ246" s="233"/>
      <c r="AR246" s="233"/>
      <c r="AS246" s="233"/>
      <c r="AT246" s="363"/>
      <c r="AU246" s="626" t="str">
        <f t="shared" si="31"/>
        <v/>
      </c>
      <c r="AV246" s="2205"/>
      <c r="AW246" s="458"/>
      <c r="AX246" s="458"/>
      <c r="AY246" s="458"/>
      <c r="AZ246" s="458"/>
      <c r="BA246" s="458"/>
      <c r="BB246" s="458"/>
      <c r="BC246" s="458"/>
      <c r="BD246" s="458"/>
      <c r="BE246" s="458"/>
      <c r="BF246" s="458"/>
      <c r="BG246" s="458"/>
      <c r="BH246" s="458"/>
      <c r="BI246" s="458"/>
      <c r="BJ246" s="458"/>
      <c r="BK246" s="592" t="str">
        <f t="shared" si="32"/>
        <v/>
      </c>
      <c r="BM246" s="592" t="str">
        <f t="shared" si="33"/>
        <v/>
      </c>
      <c r="BO246" s="592">
        <f t="shared" si="34"/>
        <v>0</v>
      </c>
      <c r="BP246" s="592">
        <f t="shared" si="35"/>
        <v>0</v>
      </c>
      <c r="BQ246" s="592" t="str">
        <f t="shared" si="36"/>
        <v/>
      </c>
      <c r="BR246" s="592" t="str">
        <f t="shared" si="37"/>
        <v/>
      </c>
    </row>
    <row r="247" spans="1:70" ht="15.6">
      <c r="A247" s="1805"/>
      <c r="B247" s="656"/>
      <c r="C247" s="454"/>
      <c r="D247" s="233"/>
      <c r="E247" s="233"/>
      <c r="F247" s="233"/>
      <c r="G247" s="233"/>
      <c r="H247" s="233"/>
      <c r="I247" s="233"/>
      <c r="J247" s="233"/>
      <c r="K247" s="233"/>
      <c r="L247" s="233"/>
      <c r="M247" s="233"/>
      <c r="N247" s="2145"/>
      <c r="O247" s="2146"/>
      <c r="P247" s="2146"/>
      <c r="Q247" s="2147"/>
      <c r="R247" s="824">
        <f t="shared" si="29"/>
        <v>0</v>
      </c>
      <c r="S247" s="1191"/>
      <c r="T247" s="758"/>
      <c r="U247" s="758"/>
      <c r="V247" s="758"/>
      <c r="W247" s="758"/>
      <c r="X247" s="758"/>
      <c r="Y247" s="758"/>
      <c r="Z247" s="758"/>
      <c r="AA247" s="758"/>
      <c r="AB247" s="458"/>
      <c r="AC247" s="458"/>
      <c r="AD247" s="458"/>
      <c r="AE247" s="458"/>
      <c r="AF247" s="458"/>
      <c r="AG247" s="758"/>
      <c r="AH247" s="2205"/>
      <c r="AI247" s="842">
        <f t="shared" si="30"/>
        <v>0</v>
      </c>
      <c r="AJ247" s="233"/>
      <c r="AK247" s="233"/>
      <c r="AL247" s="233"/>
      <c r="AM247" s="233"/>
      <c r="AN247" s="233"/>
      <c r="AO247" s="233"/>
      <c r="AP247" s="233"/>
      <c r="AQ247" s="233"/>
      <c r="AR247" s="233"/>
      <c r="AS247" s="233"/>
      <c r="AT247" s="363"/>
      <c r="AU247" s="626" t="str">
        <f t="shared" si="31"/>
        <v/>
      </c>
      <c r="AV247" s="2205"/>
      <c r="AW247" s="458"/>
      <c r="AX247" s="458"/>
      <c r="AY247" s="458"/>
      <c r="AZ247" s="458"/>
      <c r="BA247" s="458"/>
      <c r="BB247" s="458"/>
      <c r="BC247" s="458"/>
      <c r="BD247" s="458"/>
      <c r="BE247" s="458"/>
      <c r="BF247" s="458"/>
      <c r="BG247" s="458"/>
      <c r="BH247" s="458"/>
      <c r="BI247" s="458"/>
      <c r="BJ247" s="458"/>
      <c r="BK247" s="592" t="str">
        <f t="shared" si="32"/>
        <v/>
      </c>
      <c r="BM247" s="592" t="str">
        <f t="shared" si="33"/>
        <v/>
      </c>
      <c r="BO247" s="592">
        <f t="shared" si="34"/>
        <v>0</v>
      </c>
      <c r="BP247" s="592">
        <f t="shared" si="35"/>
        <v>0</v>
      </c>
      <c r="BQ247" s="592" t="str">
        <f t="shared" si="36"/>
        <v/>
      </c>
      <c r="BR247" s="592" t="str">
        <f t="shared" si="37"/>
        <v/>
      </c>
    </row>
    <row r="248" spans="1:70" ht="15.6">
      <c r="A248" s="1805"/>
      <c r="B248" s="656"/>
      <c r="C248" s="454"/>
      <c r="D248" s="233"/>
      <c r="E248" s="233"/>
      <c r="F248" s="233"/>
      <c r="G248" s="233"/>
      <c r="H248" s="233"/>
      <c r="I248" s="233"/>
      <c r="J248" s="233"/>
      <c r="K248" s="233"/>
      <c r="L248" s="233"/>
      <c r="M248" s="233"/>
      <c r="N248" s="2145"/>
      <c r="O248" s="2146"/>
      <c r="P248" s="2146"/>
      <c r="Q248" s="2147"/>
      <c r="R248" s="824">
        <f t="shared" si="29"/>
        <v>0</v>
      </c>
      <c r="S248" s="1191"/>
      <c r="T248" s="758"/>
      <c r="U248" s="758"/>
      <c r="V248" s="758"/>
      <c r="W248" s="758"/>
      <c r="X248" s="758"/>
      <c r="Y248" s="758"/>
      <c r="Z248" s="758"/>
      <c r="AA248" s="758"/>
      <c r="AB248" s="458"/>
      <c r="AC248" s="458"/>
      <c r="AD248" s="458"/>
      <c r="AE248" s="458"/>
      <c r="AF248" s="458"/>
      <c r="AG248" s="758"/>
      <c r="AH248" s="2205"/>
      <c r="AI248" s="842">
        <f t="shared" si="30"/>
        <v>0</v>
      </c>
      <c r="AJ248" s="233"/>
      <c r="AK248" s="233"/>
      <c r="AL248" s="233"/>
      <c r="AM248" s="233"/>
      <c r="AN248" s="233"/>
      <c r="AO248" s="233"/>
      <c r="AP248" s="233"/>
      <c r="AQ248" s="233"/>
      <c r="AR248" s="233"/>
      <c r="AS248" s="233"/>
      <c r="AT248" s="363"/>
      <c r="AU248" s="626" t="str">
        <f t="shared" si="31"/>
        <v/>
      </c>
      <c r="AV248" s="2205"/>
      <c r="AW248" s="458"/>
      <c r="AX248" s="458"/>
      <c r="AY248" s="458"/>
      <c r="AZ248" s="458"/>
      <c r="BA248" s="458"/>
      <c r="BB248" s="458"/>
      <c r="BC248" s="458"/>
      <c r="BD248" s="458"/>
      <c r="BE248" s="458"/>
      <c r="BF248" s="458"/>
      <c r="BG248" s="458"/>
      <c r="BH248" s="458"/>
      <c r="BI248" s="458"/>
      <c r="BJ248" s="458"/>
      <c r="BK248" s="592" t="str">
        <f t="shared" si="32"/>
        <v/>
      </c>
      <c r="BM248" s="592" t="str">
        <f t="shared" si="33"/>
        <v/>
      </c>
      <c r="BO248" s="592">
        <f t="shared" si="34"/>
        <v>0</v>
      </c>
      <c r="BP248" s="592">
        <f t="shared" si="35"/>
        <v>0</v>
      </c>
      <c r="BQ248" s="592" t="str">
        <f t="shared" si="36"/>
        <v/>
      </c>
      <c r="BR248" s="592" t="str">
        <f t="shared" si="37"/>
        <v/>
      </c>
    </row>
    <row r="249" spans="1:70" ht="15.6">
      <c r="A249" s="1805"/>
      <c r="B249" s="656"/>
      <c r="C249" s="454"/>
      <c r="D249" s="233"/>
      <c r="E249" s="233"/>
      <c r="F249" s="233"/>
      <c r="G249" s="233"/>
      <c r="H249" s="233"/>
      <c r="I249" s="233"/>
      <c r="J249" s="233"/>
      <c r="K249" s="233"/>
      <c r="L249" s="233"/>
      <c r="M249" s="233"/>
      <c r="N249" s="2145"/>
      <c r="O249" s="2146"/>
      <c r="P249" s="2146"/>
      <c r="Q249" s="2147"/>
      <c r="R249" s="824">
        <f t="shared" si="29"/>
        <v>0</v>
      </c>
      <c r="S249" s="1191"/>
      <c r="T249" s="758"/>
      <c r="U249" s="758"/>
      <c r="V249" s="758"/>
      <c r="W249" s="758"/>
      <c r="X249" s="758"/>
      <c r="Y249" s="758"/>
      <c r="Z249" s="758"/>
      <c r="AA249" s="758"/>
      <c r="AB249" s="458"/>
      <c r="AC249" s="458"/>
      <c r="AD249" s="458"/>
      <c r="AE249" s="458"/>
      <c r="AF249" s="458"/>
      <c r="AG249" s="758"/>
      <c r="AH249" s="2205"/>
      <c r="AI249" s="842">
        <f t="shared" si="30"/>
        <v>0</v>
      </c>
      <c r="AJ249" s="233"/>
      <c r="AK249" s="233"/>
      <c r="AL249" s="233"/>
      <c r="AM249" s="233"/>
      <c r="AN249" s="233"/>
      <c r="AO249" s="233"/>
      <c r="AP249" s="233"/>
      <c r="AQ249" s="233"/>
      <c r="AR249" s="233"/>
      <c r="AS249" s="233"/>
      <c r="AT249" s="363"/>
      <c r="AU249" s="626" t="str">
        <f t="shared" si="31"/>
        <v/>
      </c>
      <c r="AV249" s="2205"/>
      <c r="AW249" s="458"/>
      <c r="AX249" s="458"/>
      <c r="AY249" s="458"/>
      <c r="AZ249" s="458"/>
      <c r="BA249" s="458"/>
      <c r="BB249" s="458"/>
      <c r="BC249" s="458"/>
      <c r="BD249" s="458"/>
      <c r="BE249" s="458"/>
      <c r="BF249" s="458"/>
      <c r="BG249" s="458"/>
      <c r="BH249" s="458"/>
      <c r="BI249" s="458"/>
      <c r="BJ249" s="458"/>
      <c r="BK249" s="592" t="str">
        <f t="shared" si="32"/>
        <v/>
      </c>
      <c r="BM249" s="592" t="str">
        <f t="shared" si="33"/>
        <v/>
      </c>
      <c r="BO249" s="592">
        <f t="shared" si="34"/>
        <v>0</v>
      </c>
      <c r="BP249" s="592">
        <f t="shared" si="35"/>
        <v>0</v>
      </c>
      <c r="BQ249" s="592" t="str">
        <f t="shared" si="36"/>
        <v/>
      </c>
      <c r="BR249" s="592" t="str">
        <f t="shared" si="37"/>
        <v/>
      </c>
    </row>
    <row r="250" spans="1:70" ht="15.6">
      <c r="A250" s="1805"/>
      <c r="B250" s="656"/>
      <c r="C250" s="454"/>
      <c r="D250" s="233"/>
      <c r="E250" s="233"/>
      <c r="F250" s="233"/>
      <c r="G250" s="233"/>
      <c r="H250" s="233"/>
      <c r="I250" s="233"/>
      <c r="J250" s="233"/>
      <c r="K250" s="233"/>
      <c r="L250" s="233"/>
      <c r="M250" s="233"/>
      <c r="N250" s="2145"/>
      <c r="O250" s="2146"/>
      <c r="P250" s="2146"/>
      <c r="Q250" s="2147"/>
      <c r="R250" s="824">
        <f t="shared" si="29"/>
        <v>0</v>
      </c>
      <c r="S250" s="1191"/>
      <c r="T250" s="758"/>
      <c r="U250" s="758"/>
      <c r="V250" s="758"/>
      <c r="W250" s="758"/>
      <c r="X250" s="758"/>
      <c r="Y250" s="758"/>
      <c r="Z250" s="758"/>
      <c r="AA250" s="758"/>
      <c r="AB250" s="458"/>
      <c r="AC250" s="458"/>
      <c r="AD250" s="458"/>
      <c r="AE250" s="458"/>
      <c r="AF250" s="458"/>
      <c r="AG250" s="758"/>
      <c r="AH250" s="2205"/>
      <c r="AI250" s="842">
        <f t="shared" si="30"/>
        <v>0</v>
      </c>
      <c r="AJ250" s="233"/>
      <c r="AK250" s="233"/>
      <c r="AL250" s="233"/>
      <c r="AM250" s="233"/>
      <c r="AN250" s="233"/>
      <c r="AO250" s="233"/>
      <c r="AP250" s="233"/>
      <c r="AQ250" s="233"/>
      <c r="AR250" s="233"/>
      <c r="AS250" s="233"/>
      <c r="AT250" s="363"/>
      <c r="AU250" s="626" t="str">
        <f t="shared" si="31"/>
        <v/>
      </c>
      <c r="AV250" s="2205"/>
      <c r="AW250" s="458"/>
      <c r="AX250" s="458"/>
      <c r="AY250" s="458"/>
      <c r="AZ250" s="458"/>
      <c r="BA250" s="458"/>
      <c r="BB250" s="458"/>
      <c r="BC250" s="458"/>
      <c r="BD250" s="458"/>
      <c r="BE250" s="458"/>
      <c r="BF250" s="458"/>
      <c r="BG250" s="458"/>
      <c r="BH250" s="458"/>
      <c r="BI250" s="458"/>
      <c r="BJ250" s="458"/>
      <c r="BK250" s="592" t="str">
        <f t="shared" si="32"/>
        <v/>
      </c>
      <c r="BM250" s="592" t="str">
        <f t="shared" si="33"/>
        <v/>
      </c>
      <c r="BO250" s="592">
        <f t="shared" si="34"/>
        <v>0</v>
      </c>
      <c r="BP250" s="592">
        <f t="shared" si="35"/>
        <v>0</v>
      </c>
      <c r="BQ250" s="592" t="str">
        <f t="shared" si="36"/>
        <v/>
      </c>
      <c r="BR250" s="592" t="str">
        <f t="shared" si="37"/>
        <v/>
      </c>
    </row>
    <row r="251" spans="1:70" ht="15.6">
      <c r="A251" s="1805"/>
      <c r="B251" s="656"/>
      <c r="C251" s="454"/>
      <c r="D251" s="233"/>
      <c r="E251" s="233"/>
      <c r="F251" s="233"/>
      <c r="G251" s="233"/>
      <c r="H251" s="233"/>
      <c r="I251" s="233"/>
      <c r="J251" s="233"/>
      <c r="K251" s="233"/>
      <c r="L251" s="233"/>
      <c r="M251" s="233"/>
      <c r="N251" s="2145"/>
      <c r="O251" s="2146"/>
      <c r="P251" s="2146"/>
      <c r="Q251" s="2147"/>
      <c r="R251" s="824">
        <f t="shared" si="29"/>
        <v>0</v>
      </c>
      <c r="S251" s="1191"/>
      <c r="T251" s="758"/>
      <c r="U251" s="758"/>
      <c r="V251" s="758"/>
      <c r="W251" s="758"/>
      <c r="X251" s="758"/>
      <c r="Y251" s="758"/>
      <c r="Z251" s="758"/>
      <c r="AA251" s="758"/>
      <c r="AB251" s="458"/>
      <c r="AC251" s="458"/>
      <c r="AD251" s="458"/>
      <c r="AE251" s="458"/>
      <c r="AF251" s="458"/>
      <c r="AG251" s="758"/>
      <c r="AH251" s="2205"/>
      <c r="AI251" s="842">
        <f t="shared" si="30"/>
        <v>0</v>
      </c>
      <c r="AJ251" s="233"/>
      <c r="AK251" s="233"/>
      <c r="AL251" s="233"/>
      <c r="AM251" s="233"/>
      <c r="AN251" s="233"/>
      <c r="AO251" s="233"/>
      <c r="AP251" s="233"/>
      <c r="AQ251" s="233"/>
      <c r="AR251" s="233"/>
      <c r="AS251" s="233"/>
      <c r="AT251" s="363"/>
      <c r="AU251" s="626" t="str">
        <f t="shared" si="31"/>
        <v/>
      </c>
      <c r="AV251" s="2205"/>
      <c r="AW251" s="458"/>
      <c r="AX251" s="458"/>
      <c r="AY251" s="458"/>
      <c r="AZ251" s="458"/>
      <c r="BA251" s="458"/>
      <c r="BB251" s="458"/>
      <c r="BC251" s="458"/>
      <c r="BD251" s="458"/>
      <c r="BE251" s="458"/>
      <c r="BF251" s="458"/>
      <c r="BG251" s="458"/>
      <c r="BH251" s="458"/>
      <c r="BI251" s="458"/>
      <c r="BJ251" s="458"/>
      <c r="BK251" s="592" t="str">
        <f t="shared" si="32"/>
        <v/>
      </c>
      <c r="BM251" s="592" t="str">
        <f t="shared" si="33"/>
        <v/>
      </c>
      <c r="BO251" s="592">
        <f t="shared" si="34"/>
        <v>0</v>
      </c>
      <c r="BP251" s="592">
        <f t="shared" si="35"/>
        <v>0</v>
      </c>
      <c r="BQ251" s="592" t="str">
        <f t="shared" si="36"/>
        <v/>
      </c>
      <c r="BR251" s="592" t="str">
        <f t="shared" si="37"/>
        <v/>
      </c>
    </row>
    <row r="252" spans="1:70" ht="15.6">
      <c r="A252" s="1805"/>
      <c r="B252" s="656"/>
      <c r="C252" s="454"/>
      <c r="D252" s="233"/>
      <c r="E252" s="233"/>
      <c r="F252" s="233"/>
      <c r="G252" s="233"/>
      <c r="H252" s="233"/>
      <c r="I252" s="233"/>
      <c r="J252" s="233"/>
      <c r="K252" s="233"/>
      <c r="L252" s="233"/>
      <c r="M252" s="233"/>
      <c r="N252" s="2145"/>
      <c r="O252" s="2146"/>
      <c r="P252" s="2146"/>
      <c r="Q252" s="2147"/>
      <c r="R252" s="824">
        <f t="shared" si="29"/>
        <v>0</v>
      </c>
      <c r="S252" s="1191"/>
      <c r="T252" s="758"/>
      <c r="U252" s="758"/>
      <c r="V252" s="758"/>
      <c r="W252" s="758"/>
      <c r="X252" s="758"/>
      <c r="Y252" s="758"/>
      <c r="Z252" s="758"/>
      <c r="AA252" s="758"/>
      <c r="AB252" s="458"/>
      <c r="AC252" s="458"/>
      <c r="AD252" s="458"/>
      <c r="AE252" s="458"/>
      <c r="AF252" s="458"/>
      <c r="AG252" s="758"/>
      <c r="AH252" s="2205"/>
      <c r="AI252" s="842">
        <f t="shared" si="30"/>
        <v>0</v>
      </c>
      <c r="AJ252" s="233"/>
      <c r="AK252" s="233"/>
      <c r="AL252" s="233"/>
      <c r="AM252" s="233"/>
      <c r="AN252" s="233"/>
      <c r="AO252" s="233"/>
      <c r="AP252" s="233"/>
      <c r="AQ252" s="233"/>
      <c r="AR252" s="233"/>
      <c r="AS252" s="233"/>
      <c r="AT252" s="363"/>
      <c r="AU252" s="626" t="str">
        <f t="shared" si="31"/>
        <v/>
      </c>
      <c r="AV252" s="2205"/>
      <c r="AW252" s="458"/>
      <c r="AX252" s="458"/>
      <c r="AY252" s="458"/>
      <c r="AZ252" s="458"/>
      <c r="BA252" s="458"/>
      <c r="BB252" s="458"/>
      <c r="BC252" s="458"/>
      <c r="BD252" s="458"/>
      <c r="BE252" s="458"/>
      <c r="BF252" s="458"/>
      <c r="BG252" s="458"/>
      <c r="BH252" s="458"/>
      <c r="BI252" s="458"/>
      <c r="BJ252" s="458"/>
      <c r="BK252" s="592" t="str">
        <f t="shared" si="32"/>
        <v/>
      </c>
      <c r="BM252" s="592" t="str">
        <f t="shared" si="33"/>
        <v/>
      </c>
      <c r="BO252" s="592">
        <f t="shared" si="34"/>
        <v>0</v>
      </c>
      <c r="BP252" s="592">
        <f t="shared" si="35"/>
        <v>0</v>
      </c>
      <c r="BQ252" s="592" t="str">
        <f t="shared" si="36"/>
        <v/>
      </c>
      <c r="BR252" s="592" t="str">
        <f t="shared" si="37"/>
        <v/>
      </c>
    </row>
    <row r="253" spans="1:70" ht="15.6">
      <c r="A253" s="1805"/>
      <c r="B253" s="656"/>
      <c r="C253" s="454"/>
      <c r="D253" s="233"/>
      <c r="E253" s="233"/>
      <c r="F253" s="233"/>
      <c r="G253" s="233"/>
      <c r="H253" s="233"/>
      <c r="I253" s="233"/>
      <c r="J253" s="233"/>
      <c r="K253" s="233"/>
      <c r="L253" s="233"/>
      <c r="M253" s="233"/>
      <c r="N253" s="2145"/>
      <c r="O253" s="2146"/>
      <c r="P253" s="2146"/>
      <c r="Q253" s="2147"/>
      <c r="R253" s="824">
        <f t="shared" si="29"/>
        <v>0</v>
      </c>
      <c r="S253" s="1191"/>
      <c r="T253" s="758"/>
      <c r="U253" s="758"/>
      <c r="V253" s="758"/>
      <c r="W253" s="758"/>
      <c r="X253" s="758"/>
      <c r="Y253" s="758"/>
      <c r="Z253" s="758"/>
      <c r="AA253" s="758"/>
      <c r="AB253" s="458"/>
      <c r="AC253" s="458"/>
      <c r="AD253" s="458"/>
      <c r="AE253" s="458"/>
      <c r="AF253" s="458"/>
      <c r="AG253" s="758"/>
      <c r="AH253" s="2205"/>
      <c r="AI253" s="842">
        <f t="shared" si="30"/>
        <v>0</v>
      </c>
      <c r="AJ253" s="233"/>
      <c r="AK253" s="233"/>
      <c r="AL253" s="233"/>
      <c r="AM253" s="233"/>
      <c r="AN253" s="233"/>
      <c r="AO253" s="233"/>
      <c r="AP253" s="233"/>
      <c r="AQ253" s="233"/>
      <c r="AR253" s="233"/>
      <c r="AS253" s="233"/>
      <c r="AT253" s="363"/>
      <c r="AU253" s="626" t="str">
        <f t="shared" si="31"/>
        <v/>
      </c>
      <c r="AV253" s="2205"/>
      <c r="AW253" s="458"/>
      <c r="AX253" s="458"/>
      <c r="AY253" s="458"/>
      <c r="AZ253" s="458"/>
      <c r="BA253" s="458"/>
      <c r="BB253" s="458"/>
      <c r="BC253" s="458"/>
      <c r="BD253" s="458"/>
      <c r="BE253" s="458"/>
      <c r="BF253" s="458"/>
      <c r="BG253" s="458"/>
      <c r="BH253" s="458"/>
      <c r="BI253" s="458"/>
      <c r="BJ253" s="458"/>
      <c r="BK253" s="592" t="str">
        <f t="shared" si="32"/>
        <v/>
      </c>
      <c r="BM253" s="592" t="str">
        <f t="shared" si="33"/>
        <v/>
      </c>
      <c r="BO253" s="592">
        <f t="shared" si="34"/>
        <v>0</v>
      </c>
      <c r="BP253" s="592">
        <f t="shared" si="35"/>
        <v>0</v>
      </c>
      <c r="BQ253" s="592" t="str">
        <f t="shared" si="36"/>
        <v/>
      </c>
      <c r="BR253" s="592" t="str">
        <f t="shared" si="37"/>
        <v/>
      </c>
    </row>
    <row r="254" spans="1:70" ht="15.6">
      <c r="A254" s="1805"/>
      <c r="B254" s="656"/>
      <c r="C254" s="454"/>
      <c r="D254" s="233"/>
      <c r="E254" s="233"/>
      <c r="F254" s="233"/>
      <c r="G254" s="233"/>
      <c r="H254" s="233"/>
      <c r="I254" s="233"/>
      <c r="J254" s="233"/>
      <c r="K254" s="233"/>
      <c r="L254" s="233"/>
      <c r="M254" s="233"/>
      <c r="N254" s="2145"/>
      <c r="O254" s="2146"/>
      <c r="P254" s="2146"/>
      <c r="Q254" s="2147"/>
      <c r="R254" s="824">
        <f t="shared" si="29"/>
        <v>0</v>
      </c>
      <c r="S254" s="1191"/>
      <c r="T254" s="758"/>
      <c r="U254" s="758"/>
      <c r="V254" s="758"/>
      <c r="W254" s="758"/>
      <c r="X254" s="758"/>
      <c r="Y254" s="758"/>
      <c r="Z254" s="758"/>
      <c r="AA254" s="758"/>
      <c r="AB254" s="458"/>
      <c r="AC254" s="458"/>
      <c r="AD254" s="458"/>
      <c r="AE254" s="458"/>
      <c r="AF254" s="458"/>
      <c r="AG254" s="758"/>
      <c r="AH254" s="2205"/>
      <c r="AI254" s="842">
        <f t="shared" si="30"/>
        <v>0</v>
      </c>
      <c r="AJ254" s="233"/>
      <c r="AK254" s="233"/>
      <c r="AL254" s="233"/>
      <c r="AM254" s="233"/>
      <c r="AN254" s="233"/>
      <c r="AO254" s="233"/>
      <c r="AP254" s="233"/>
      <c r="AQ254" s="233"/>
      <c r="AR254" s="233"/>
      <c r="AS254" s="233"/>
      <c r="AT254" s="363"/>
      <c r="AU254" s="626" t="str">
        <f t="shared" si="31"/>
        <v/>
      </c>
      <c r="AV254" s="2205"/>
      <c r="AW254" s="458"/>
      <c r="AX254" s="458"/>
      <c r="AY254" s="458"/>
      <c r="AZ254" s="458"/>
      <c r="BA254" s="458"/>
      <c r="BB254" s="458"/>
      <c r="BC254" s="458"/>
      <c r="BD254" s="458"/>
      <c r="BE254" s="458"/>
      <c r="BF254" s="458"/>
      <c r="BG254" s="458"/>
      <c r="BH254" s="458"/>
      <c r="BI254" s="458"/>
      <c r="BJ254" s="458"/>
      <c r="BK254" s="592" t="str">
        <f t="shared" si="32"/>
        <v/>
      </c>
      <c r="BM254" s="592" t="str">
        <f t="shared" si="33"/>
        <v/>
      </c>
      <c r="BO254" s="592">
        <f t="shared" si="34"/>
        <v>0</v>
      </c>
      <c r="BP254" s="592">
        <f t="shared" si="35"/>
        <v>0</v>
      </c>
      <c r="BQ254" s="592" t="str">
        <f t="shared" si="36"/>
        <v/>
      </c>
      <c r="BR254" s="592" t="str">
        <f t="shared" si="37"/>
        <v/>
      </c>
    </row>
    <row r="255" spans="1:70" ht="15.6">
      <c r="A255" s="1805"/>
      <c r="B255" s="656"/>
      <c r="C255" s="454"/>
      <c r="D255" s="233"/>
      <c r="E255" s="233"/>
      <c r="F255" s="233"/>
      <c r="G255" s="233"/>
      <c r="H255" s="233"/>
      <c r="I255" s="233"/>
      <c r="J255" s="233"/>
      <c r="K255" s="233"/>
      <c r="L255" s="233"/>
      <c r="M255" s="233"/>
      <c r="N255" s="2145"/>
      <c r="O255" s="2146"/>
      <c r="P255" s="2146"/>
      <c r="Q255" s="2147"/>
      <c r="R255" s="824">
        <f t="shared" si="29"/>
        <v>0</v>
      </c>
      <c r="S255" s="1191"/>
      <c r="T255" s="758"/>
      <c r="U255" s="758"/>
      <c r="V255" s="758"/>
      <c r="W255" s="758"/>
      <c r="X255" s="758"/>
      <c r="Y255" s="758"/>
      <c r="Z255" s="758"/>
      <c r="AA255" s="758"/>
      <c r="AB255" s="458"/>
      <c r="AC255" s="458"/>
      <c r="AD255" s="458"/>
      <c r="AE255" s="458"/>
      <c r="AF255" s="458"/>
      <c r="AG255" s="758"/>
      <c r="AH255" s="2205"/>
      <c r="AI255" s="842">
        <f t="shared" si="30"/>
        <v>0</v>
      </c>
      <c r="AJ255" s="233"/>
      <c r="AK255" s="233"/>
      <c r="AL255" s="233"/>
      <c r="AM255" s="233"/>
      <c r="AN255" s="233"/>
      <c r="AO255" s="233"/>
      <c r="AP255" s="233"/>
      <c r="AQ255" s="233"/>
      <c r="AR255" s="233"/>
      <c r="AS255" s="233"/>
      <c r="AT255" s="363"/>
      <c r="AU255" s="626" t="str">
        <f t="shared" si="31"/>
        <v/>
      </c>
      <c r="AV255" s="2205"/>
      <c r="AW255" s="458"/>
      <c r="AX255" s="458"/>
      <c r="AY255" s="458"/>
      <c r="AZ255" s="458"/>
      <c r="BA255" s="458"/>
      <c r="BB255" s="458"/>
      <c r="BC255" s="458"/>
      <c r="BD255" s="458"/>
      <c r="BE255" s="458"/>
      <c r="BF255" s="458"/>
      <c r="BG255" s="458"/>
      <c r="BH255" s="458"/>
      <c r="BI255" s="458"/>
      <c r="BJ255" s="458"/>
      <c r="BK255" s="592" t="str">
        <f t="shared" si="32"/>
        <v/>
      </c>
      <c r="BM255" s="592" t="str">
        <f t="shared" si="33"/>
        <v/>
      </c>
      <c r="BO255" s="592">
        <f t="shared" si="34"/>
        <v>0</v>
      </c>
      <c r="BP255" s="592">
        <f t="shared" si="35"/>
        <v>0</v>
      </c>
      <c r="BQ255" s="592" t="str">
        <f t="shared" si="36"/>
        <v/>
      </c>
      <c r="BR255" s="592" t="str">
        <f t="shared" si="37"/>
        <v/>
      </c>
    </row>
    <row r="256" spans="1:70" ht="15.6">
      <c r="A256" s="1805"/>
      <c r="B256" s="656"/>
      <c r="C256" s="454"/>
      <c r="D256" s="233"/>
      <c r="E256" s="233"/>
      <c r="F256" s="233"/>
      <c r="G256" s="233"/>
      <c r="H256" s="233"/>
      <c r="I256" s="233"/>
      <c r="J256" s="233"/>
      <c r="K256" s="233"/>
      <c r="L256" s="233"/>
      <c r="M256" s="233"/>
      <c r="N256" s="2145"/>
      <c r="O256" s="2146"/>
      <c r="P256" s="2146"/>
      <c r="Q256" s="2147"/>
      <c r="R256" s="824">
        <f t="shared" si="29"/>
        <v>0</v>
      </c>
      <c r="S256" s="1191"/>
      <c r="T256" s="758"/>
      <c r="U256" s="758"/>
      <c r="V256" s="758"/>
      <c r="W256" s="758"/>
      <c r="X256" s="758"/>
      <c r="Y256" s="758"/>
      <c r="Z256" s="758"/>
      <c r="AA256" s="758"/>
      <c r="AB256" s="458"/>
      <c r="AC256" s="458"/>
      <c r="AD256" s="458"/>
      <c r="AE256" s="458"/>
      <c r="AF256" s="458"/>
      <c r="AG256" s="758"/>
      <c r="AH256" s="2205"/>
      <c r="AI256" s="842">
        <f t="shared" si="30"/>
        <v>0</v>
      </c>
      <c r="AJ256" s="233"/>
      <c r="AK256" s="233"/>
      <c r="AL256" s="233"/>
      <c r="AM256" s="233"/>
      <c r="AN256" s="233"/>
      <c r="AO256" s="233"/>
      <c r="AP256" s="233"/>
      <c r="AQ256" s="233"/>
      <c r="AR256" s="233"/>
      <c r="AS256" s="233"/>
      <c r="AT256" s="363"/>
      <c r="AU256" s="626" t="str">
        <f t="shared" si="31"/>
        <v/>
      </c>
      <c r="AV256" s="2205"/>
      <c r="AW256" s="458"/>
      <c r="AX256" s="458"/>
      <c r="AY256" s="458"/>
      <c r="AZ256" s="458"/>
      <c r="BA256" s="458"/>
      <c r="BB256" s="458"/>
      <c r="BC256" s="458"/>
      <c r="BD256" s="458"/>
      <c r="BE256" s="458"/>
      <c r="BF256" s="458"/>
      <c r="BG256" s="458"/>
      <c r="BH256" s="458"/>
      <c r="BI256" s="458"/>
      <c r="BJ256" s="458"/>
      <c r="BK256" s="592" t="str">
        <f t="shared" si="32"/>
        <v/>
      </c>
      <c r="BM256" s="592" t="str">
        <f t="shared" si="33"/>
        <v/>
      </c>
      <c r="BO256" s="592">
        <f t="shared" si="34"/>
        <v>0</v>
      </c>
      <c r="BP256" s="592">
        <f t="shared" si="35"/>
        <v>0</v>
      </c>
      <c r="BQ256" s="592" t="str">
        <f t="shared" si="36"/>
        <v/>
      </c>
      <c r="BR256" s="592" t="str">
        <f t="shared" si="37"/>
        <v/>
      </c>
    </row>
    <row r="257" spans="1:70" ht="15.6">
      <c r="A257" s="1805"/>
      <c r="B257" s="656"/>
      <c r="C257" s="454"/>
      <c r="D257" s="233"/>
      <c r="E257" s="233"/>
      <c r="F257" s="233"/>
      <c r="G257" s="233"/>
      <c r="H257" s="233"/>
      <c r="I257" s="233"/>
      <c r="J257" s="233"/>
      <c r="K257" s="233"/>
      <c r="L257" s="233"/>
      <c r="M257" s="233"/>
      <c r="N257" s="2145"/>
      <c r="O257" s="2146"/>
      <c r="P257" s="2146"/>
      <c r="Q257" s="2147"/>
      <c r="R257" s="824">
        <f t="shared" si="29"/>
        <v>0</v>
      </c>
      <c r="S257" s="1191"/>
      <c r="T257" s="758"/>
      <c r="U257" s="758"/>
      <c r="V257" s="758"/>
      <c r="W257" s="758"/>
      <c r="X257" s="758"/>
      <c r="Y257" s="758"/>
      <c r="Z257" s="758"/>
      <c r="AA257" s="758"/>
      <c r="AB257" s="458"/>
      <c r="AC257" s="458"/>
      <c r="AD257" s="458"/>
      <c r="AE257" s="458"/>
      <c r="AF257" s="458"/>
      <c r="AG257" s="758"/>
      <c r="AH257" s="2205"/>
      <c r="AI257" s="842">
        <f t="shared" si="30"/>
        <v>0</v>
      </c>
      <c r="AJ257" s="233"/>
      <c r="AK257" s="233"/>
      <c r="AL257" s="233"/>
      <c r="AM257" s="233"/>
      <c r="AN257" s="233"/>
      <c r="AO257" s="233"/>
      <c r="AP257" s="233"/>
      <c r="AQ257" s="233"/>
      <c r="AR257" s="233"/>
      <c r="AS257" s="233"/>
      <c r="AT257" s="363"/>
      <c r="AU257" s="626" t="str">
        <f t="shared" si="31"/>
        <v/>
      </c>
      <c r="AV257" s="2205"/>
      <c r="AW257" s="458"/>
      <c r="AX257" s="458"/>
      <c r="AY257" s="458"/>
      <c r="AZ257" s="458"/>
      <c r="BA257" s="458"/>
      <c r="BB257" s="458"/>
      <c r="BC257" s="458"/>
      <c r="BD257" s="458"/>
      <c r="BE257" s="458"/>
      <c r="BF257" s="458"/>
      <c r="BG257" s="458"/>
      <c r="BH257" s="458"/>
      <c r="BI257" s="458"/>
      <c r="BJ257" s="458"/>
      <c r="BK257" s="592" t="str">
        <f t="shared" si="32"/>
        <v/>
      </c>
      <c r="BM257" s="592" t="str">
        <f t="shared" si="33"/>
        <v/>
      </c>
      <c r="BO257" s="592">
        <f t="shared" si="34"/>
        <v>0</v>
      </c>
      <c r="BP257" s="592">
        <f t="shared" si="35"/>
        <v>0</v>
      </c>
      <c r="BQ257" s="592" t="str">
        <f t="shared" si="36"/>
        <v/>
      </c>
      <c r="BR257" s="592" t="str">
        <f t="shared" si="37"/>
        <v/>
      </c>
    </row>
    <row r="258" spans="1:70" ht="15.6">
      <c r="A258" s="1805"/>
      <c r="B258" s="656"/>
      <c r="C258" s="454"/>
      <c r="D258" s="233"/>
      <c r="E258" s="233"/>
      <c r="F258" s="233"/>
      <c r="G258" s="233"/>
      <c r="H258" s="233"/>
      <c r="I258" s="233"/>
      <c r="J258" s="233"/>
      <c r="K258" s="233"/>
      <c r="L258" s="233"/>
      <c r="M258" s="233"/>
      <c r="N258" s="2145"/>
      <c r="O258" s="2146"/>
      <c r="P258" s="2146"/>
      <c r="Q258" s="2147"/>
      <c r="R258" s="824">
        <f t="shared" si="29"/>
        <v>0</v>
      </c>
      <c r="S258" s="1191"/>
      <c r="T258" s="758"/>
      <c r="U258" s="758"/>
      <c r="V258" s="758"/>
      <c r="W258" s="758"/>
      <c r="X258" s="758"/>
      <c r="Y258" s="758"/>
      <c r="Z258" s="758"/>
      <c r="AA258" s="758"/>
      <c r="AB258" s="458"/>
      <c r="AC258" s="458"/>
      <c r="AD258" s="458"/>
      <c r="AE258" s="458"/>
      <c r="AF258" s="458"/>
      <c r="AG258" s="758"/>
      <c r="AH258" s="2205"/>
      <c r="AI258" s="842">
        <f t="shared" si="30"/>
        <v>0</v>
      </c>
      <c r="AJ258" s="233"/>
      <c r="AK258" s="233"/>
      <c r="AL258" s="233"/>
      <c r="AM258" s="233"/>
      <c r="AN258" s="233"/>
      <c r="AO258" s="233"/>
      <c r="AP258" s="233"/>
      <c r="AQ258" s="233"/>
      <c r="AR258" s="233"/>
      <c r="AS258" s="233"/>
      <c r="AT258" s="363"/>
      <c r="AU258" s="626" t="str">
        <f t="shared" si="31"/>
        <v/>
      </c>
      <c r="AV258" s="2205"/>
      <c r="AW258" s="458"/>
      <c r="AX258" s="458"/>
      <c r="AY258" s="458"/>
      <c r="AZ258" s="458"/>
      <c r="BA258" s="458"/>
      <c r="BB258" s="458"/>
      <c r="BC258" s="458"/>
      <c r="BD258" s="458"/>
      <c r="BE258" s="458"/>
      <c r="BF258" s="458"/>
      <c r="BG258" s="458"/>
      <c r="BH258" s="458"/>
      <c r="BI258" s="458"/>
      <c r="BJ258" s="458"/>
      <c r="BK258" s="592" t="str">
        <f t="shared" si="32"/>
        <v/>
      </c>
      <c r="BM258" s="592" t="str">
        <f t="shared" si="33"/>
        <v/>
      </c>
      <c r="BO258" s="592">
        <f t="shared" si="34"/>
        <v>0</v>
      </c>
      <c r="BP258" s="592">
        <f t="shared" si="35"/>
        <v>0</v>
      </c>
      <c r="BQ258" s="592" t="str">
        <f t="shared" si="36"/>
        <v/>
      </c>
      <c r="BR258" s="592" t="str">
        <f t="shared" si="37"/>
        <v/>
      </c>
    </row>
    <row r="259" spans="1:70" ht="15.6">
      <c r="A259" s="1805"/>
      <c r="B259" s="656"/>
      <c r="C259" s="454"/>
      <c r="D259" s="233"/>
      <c r="E259" s="233"/>
      <c r="F259" s="233"/>
      <c r="G259" s="233"/>
      <c r="H259" s="233"/>
      <c r="I259" s="233"/>
      <c r="J259" s="233"/>
      <c r="K259" s="233"/>
      <c r="L259" s="233"/>
      <c r="M259" s="233"/>
      <c r="N259" s="2145"/>
      <c r="O259" s="2146"/>
      <c r="P259" s="2146"/>
      <c r="Q259" s="2147"/>
      <c r="R259" s="824">
        <f t="shared" si="29"/>
        <v>0</v>
      </c>
      <c r="S259" s="1191"/>
      <c r="T259" s="758"/>
      <c r="U259" s="758"/>
      <c r="V259" s="758"/>
      <c r="W259" s="758"/>
      <c r="X259" s="758"/>
      <c r="Y259" s="758"/>
      <c r="Z259" s="758"/>
      <c r="AA259" s="758"/>
      <c r="AB259" s="458"/>
      <c r="AC259" s="458"/>
      <c r="AD259" s="458"/>
      <c r="AE259" s="458"/>
      <c r="AF259" s="458"/>
      <c r="AG259" s="758"/>
      <c r="AH259" s="2205"/>
      <c r="AI259" s="842">
        <f t="shared" si="30"/>
        <v>0</v>
      </c>
      <c r="AJ259" s="233"/>
      <c r="AK259" s="233"/>
      <c r="AL259" s="233"/>
      <c r="AM259" s="233"/>
      <c r="AN259" s="233"/>
      <c r="AO259" s="233"/>
      <c r="AP259" s="233"/>
      <c r="AQ259" s="233"/>
      <c r="AR259" s="233"/>
      <c r="AS259" s="233"/>
      <c r="AT259" s="363"/>
      <c r="AU259" s="626" t="str">
        <f t="shared" si="31"/>
        <v/>
      </c>
      <c r="AV259" s="2205"/>
      <c r="AW259" s="458"/>
      <c r="AX259" s="458"/>
      <c r="AY259" s="458"/>
      <c r="AZ259" s="458"/>
      <c r="BA259" s="458"/>
      <c r="BB259" s="458"/>
      <c r="BC259" s="458"/>
      <c r="BD259" s="458"/>
      <c r="BE259" s="458"/>
      <c r="BF259" s="458"/>
      <c r="BG259" s="458"/>
      <c r="BH259" s="458"/>
      <c r="BI259" s="458"/>
      <c r="BJ259" s="458"/>
      <c r="BK259" s="592" t="str">
        <f t="shared" si="32"/>
        <v/>
      </c>
      <c r="BM259" s="592" t="str">
        <f t="shared" si="33"/>
        <v/>
      </c>
      <c r="BO259" s="592">
        <f t="shared" si="34"/>
        <v>0</v>
      </c>
      <c r="BP259" s="592">
        <f t="shared" si="35"/>
        <v>0</v>
      </c>
      <c r="BQ259" s="592" t="str">
        <f t="shared" si="36"/>
        <v/>
      </c>
      <c r="BR259" s="592" t="str">
        <f t="shared" si="37"/>
        <v/>
      </c>
    </row>
    <row r="260" spans="1:70" ht="15.6">
      <c r="A260" s="1805"/>
      <c r="B260" s="656"/>
      <c r="C260" s="454"/>
      <c r="D260" s="233"/>
      <c r="E260" s="233"/>
      <c r="F260" s="233"/>
      <c r="G260" s="233"/>
      <c r="H260" s="233"/>
      <c r="I260" s="233"/>
      <c r="J260" s="233"/>
      <c r="K260" s="233"/>
      <c r="L260" s="233"/>
      <c r="M260" s="233"/>
      <c r="N260" s="2145"/>
      <c r="O260" s="2146"/>
      <c r="P260" s="2146"/>
      <c r="Q260" s="2147"/>
      <c r="R260" s="824">
        <f t="shared" si="29"/>
        <v>0</v>
      </c>
      <c r="S260" s="1191"/>
      <c r="T260" s="758"/>
      <c r="U260" s="758"/>
      <c r="V260" s="758"/>
      <c r="W260" s="758"/>
      <c r="X260" s="758"/>
      <c r="Y260" s="758"/>
      <c r="Z260" s="758"/>
      <c r="AA260" s="758"/>
      <c r="AB260" s="458"/>
      <c r="AC260" s="458"/>
      <c r="AD260" s="458"/>
      <c r="AE260" s="458"/>
      <c r="AF260" s="458"/>
      <c r="AG260" s="758"/>
      <c r="AH260" s="2205"/>
      <c r="AI260" s="842">
        <f t="shared" si="30"/>
        <v>0</v>
      </c>
      <c r="AJ260" s="233"/>
      <c r="AK260" s="233"/>
      <c r="AL260" s="233"/>
      <c r="AM260" s="233"/>
      <c r="AN260" s="233"/>
      <c r="AO260" s="233"/>
      <c r="AP260" s="233"/>
      <c r="AQ260" s="233"/>
      <c r="AR260" s="233"/>
      <c r="AS260" s="233"/>
      <c r="AT260" s="363"/>
      <c r="AU260" s="626" t="str">
        <f t="shared" si="31"/>
        <v/>
      </c>
      <c r="AV260" s="2205"/>
      <c r="AW260" s="458"/>
      <c r="AX260" s="458"/>
      <c r="AY260" s="458"/>
      <c r="AZ260" s="458"/>
      <c r="BA260" s="458"/>
      <c r="BB260" s="458"/>
      <c r="BC260" s="458"/>
      <c r="BD260" s="458"/>
      <c r="BE260" s="458"/>
      <c r="BF260" s="458"/>
      <c r="BG260" s="458"/>
      <c r="BH260" s="458"/>
      <c r="BI260" s="458"/>
      <c r="BJ260" s="458"/>
      <c r="BK260" s="592" t="str">
        <f t="shared" si="32"/>
        <v/>
      </c>
      <c r="BM260" s="592" t="str">
        <f t="shared" si="33"/>
        <v/>
      </c>
      <c r="BO260" s="592">
        <f t="shared" si="34"/>
        <v>0</v>
      </c>
      <c r="BP260" s="592">
        <f t="shared" si="35"/>
        <v>0</v>
      </c>
      <c r="BQ260" s="592" t="str">
        <f t="shared" si="36"/>
        <v/>
      </c>
      <c r="BR260" s="592" t="str">
        <f t="shared" si="37"/>
        <v/>
      </c>
    </row>
    <row r="261" spans="1:70" ht="15.6">
      <c r="A261" s="1805"/>
      <c r="B261" s="656"/>
      <c r="C261" s="454"/>
      <c r="D261" s="233"/>
      <c r="E261" s="233"/>
      <c r="F261" s="233"/>
      <c r="G261" s="233"/>
      <c r="H261" s="233"/>
      <c r="I261" s="233"/>
      <c r="J261" s="233"/>
      <c r="K261" s="233"/>
      <c r="L261" s="233"/>
      <c r="M261" s="233"/>
      <c r="N261" s="2145"/>
      <c r="O261" s="2146"/>
      <c r="P261" s="2146"/>
      <c r="Q261" s="2147"/>
      <c r="R261" s="824">
        <f t="shared" si="29"/>
        <v>0</v>
      </c>
      <c r="S261" s="1191"/>
      <c r="T261" s="758"/>
      <c r="U261" s="758"/>
      <c r="V261" s="758"/>
      <c r="W261" s="758"/>
      <c r="X261" s="758"/>
      <c r="Y261" s="758"/>
      <c r="Z261" s="758"/>
      <c r="AA261" s="758"/>
      <c r="AB261" s="458"/>
      <c r="AC261" s="458"/>
      <c r="AD261" s="458"/>
      <c r="AE261" s="458"/>
      <c r="AF261" s="458"/>
      <c r="AG261" s="758"/>
      <c r="AH261" s="2205"/>
      <c r="AI261" s="842">
        <f t="shared" si="30"/>
        <v>0</v>
      </c>
      <c r="AJ261" s="233"/>
      <c r="AK261" s="233"/>
      <c r="AL261" s="233"/>
      <c r="AM261" s="233"/>
      <c r="AN261" s="233"/>
      <c r="AO261" s="233"/>
      <c r="AP261" s="233"/>
      <c r="AQ261" s="233"/>
      <c r="AR261" s="233"/>
      <c r="AS261" s="233"/>
      <c r="AT261" s="363"/>
      <c r="AU261" s="626" t="str">
        <f t="shared" si="31"/>
        <v/>
      </c>
      <c r="AV261" s="2205"/>
      <c r="AW261" s="458"/>
      <c r="AX261" s="458"/>
      <c r="AY261" s="458"/>
      <c r="AZ261" s="458"/>
      <c r="BA261" s="458"/>
      <c r="BB261" s="458"/>
      <c r="BC261" s="458"/>
      <c r="BD261" s="458"/>
      <c r="BE261" s="458"/>
      <c r="BF261" s="458"/>
      <c r="BG261" s="458"/>
      <c r="BH261" s="458"/>
      <c r="BI261" s="458"/>
      <c r="BJ261" s="458"/>
      <c r="BK261" s="592" t="str">
        <f t="shared" si="32"/>
        <v/>
      </c>
      <c r="BM261" s="592" t="str">
        <f t="shared" si="33"/>
        <v/>
      </c>
      <c r="BO261" s="592">
        <f t="shared" si="34"/>
        <v>0</v>
      </c>
      <c r="BP261" s="592">
        <f t="shared" si="35"/>
        <v>0</v>
      </c>
      <c r="BQ261" s="592" t="str">
        <f t="shared" si="36"/>
        <v/>
      </c>
      <c r="BR261" s="592" t="str">
        <f t="shared" si="37"/>
        <v/>
      </c>
    </row>
    <row r="262" spans="1:70" ht="15.6">
      <c r="A262" s="1805"/>
      <c r="B262" s="656"/>
      <c r="C262" s="454"/>
      <c r="D262" s="233"/>
      <c r="E262" s="233"/>
      <c r="F262" s="233"/>
      <c r="G262" s="233"/>
      <c r="H262" s="233"/>
      <c r="I262" s="233"/>
      <c r="J262" s="233"/>
      <c r="K262" s="233"/>
      <c r="L262" s="233"/>
      <c r="M262" s="233"/>
      <c r="N262" s="2145"/>
      <c r="O262" s="2146"/>
      <c r="P262" s="2146"/>
      <c r="Q262" s="2147"/>
      <c r="R262" s="824">
        <f t="shared" si="29"/>
        <v>0</v>
      </c>
      <c r="S262" s="1191"/>
      <c r="T262" s="758"/>
      <c r="U262" s="758"/>
      <c r="V262" s="758"/>
      <c r="W262" s="758"/>
      <c r="X262" s="758"/>
      <c r="Y262" s="758"/>
      <c r="Z262" s="758"/>
      <c r="AA262" s="758"/>
      <c r="AB262" s="458"/>
      <c r="AC262" s="458"/>
      <c r="AD262" s="458"/>
      <c r="AE262" s="458"/>
      <c r="AF262" s="458"/>
      <c r="AG262" s="758"/>
      <c r="AH262" s="2205"/>
      <c r="AI262" s="842">
        <f t="shared" si="30"/>
        <v>0</v>
      </c>
      <c r="AJ262" s="233"/>
      <c r="AK262" s="233"/>
      <c r="AL262" s="233"/>
      <c r="AM262" s="233"/>
      <c r="AN262" s="233"/>
      <c r="AO262" s="233"/>
      <c r="AP262" s="233"/>
      <c r="AQ262" s="233"/>
      <c r="AR262" s="233"/>
      <c r="AS262" s="233"/>
      <c r="AT262" s="363"/>
      <c r="AU262" s="626" t="str">
        <f t="shared" si="31"/>
        <v/>
      </c>
      <c r="AV262" s="2205"/>
      <c r="AW262" s="458"/>
      <c r="AX262" s="458"/>
      <c r="AY262" s="458"/>
      <c r="AZ262" s="458"/>
      <c r="BA262" s="458"/>
      <c r="BB262" s="458"/>
      <c r="BC262" s="458"/>
      <c r="BD262" s="458"/>
      <c r="BE262" s="458"/>
      <c r="BF262" s="458"/>
      <c r="BG262" s="458"/>
      <c r="BH262" s="458"/>
      <c r="BI262" s="458"/>
      <c r="BJ262" s="458"/>
      <c r="BK262" s="592" t="str">
        <f t="shared" si="32"/>
        <v/>
      </c>
      <c r="BM262" s="592" t="str">
        <f t="shared" si="33"/>
        <v/>
      </c>
      <c r="BO262" s="592">
        <f t="shared" si="34"/>
        <v>0</v>
      </c>
      <c r="BP262" s="592">
        <f t="shared" si="35"/>
        <v>0</v>
      </c>
      <c r="BQ262" s="592" t="str">
        <f t="shared" si="36"/>
        <v/>
      </c>
      <c r="BR262" s="592" t="str">
        <f t="shared" si="37"/>
        <v/>
      </c>
    </row>
    <row r="263" spans="1:70" ht="15.6">
      <c r="A263" s="1805"/>
      <c r="B263" s="656"/>
      <c r="C263" s="454"/>
      <c r="D263" s="233"/>
      <c r="E263" s="233"/>
      <c r="F263" s="233"/>
      <c r="G263" s="233"/>
      <c r="H263" s="233"/>
      <c r="I263" s="233"/>
      <c r="J263" s="233"/>
      <c r="K263" s="233"/>
      <c r="L263" s="233"/>
      <c r="M263" s="233"/>
      <c r="N263" s="2145"/>
      <c r="O263" s="2146"/>
      <c r="P263" s="2146"/>
      <c r="Q263" s="2147"/>
      <c r="R263" s="824">
        <f t="shared" si="29"/>
        <v>0</v>
      </c>
      <c r="S263" s="1191"/>
      <c r="T263" s="758"/>
      <c r="U263" s="758"/>
      <c r="V263" s="758"/>
      <c r="W263" s="758"/>
      <c r="X263" s="758"/>
      <c r="Y263" s="758"/>
      <c r="Z263" s="758"/>
      <c r="AA263" s="758"/>
      <c r="AB263" s="458"/>
      <c r="AC263" s="458"/>
      <c r="AD263" s="458"/>
      <c r="AE263" s="458"/>
      <c r="AF263" s="458"/>
      <c r="AG263" s="758"/>
      <c r="AH263" s="2205"/>
      <c r="AI263" s="842">
        <f t="shared" si="30"/>
        <v>0</v>
      </c>
      <c r="AJ263" s="233"/>
      <c r="AK263" s="233"/>
      <c r="AL263" s="233"/>
      <c r="AM263" s="233"/>
      <c r="AN263" s="233"/>
      <c r="AO263" s="233"/>
      <c r="AP263" s="233"/>
      <c r="AQ263" s="233"/>
      <c r="AR263" s="233"/>
      <c r="AS263" s="233"/>
      <c r="AT263" s="363"/>
      <c r="AU263" s="626" t="str">
        <f t="shared" si="31"/>
        <v/>
      </c>
      <c r="AV263" s="2205"/>
      <c r="AW263" s="458"/>
      <c r="AX263" s="458"/>
      <c r="AY263" s="458"/>
      <c r="AZ263" s="458"/>
      <c r="BA263" s="458"/>
      <c r="BB263" s="458"/>
      <c r="BC263" s="458"/>
      <c r="BD263" s="458"/>
      <c r="BE263" s="458"/>
      <c r="BF263" s="458"/>
      <c r="BG263" s="458"/>
      <c r="BH263" s="458"/>
      <c r="BI263" s="458"/>
      <c r="BJ263" s="458"/>
      <c r="BK263" s="592" t="str">
        <f t="shared" si="32"/>
        <v/>
      </c>
      <c r="BM263" s="592" t="str">
        <f t="shared" si="33"/>
        <v/>
      </c>
      <c r="BO263" s="592">
        <f t="shared" si="34"/>
        <v>0</v>
      </c>
      <c r="BP263" s="592">
        <f t="shared" si="35"/>
        <v>0</v>
      </c>
      <c r="BQ263" s="592" t="str">
        <f t="shared" si="36"/>
        <v/>
      </c>
      <c r="BR263" s="592" t="str">
        <f t="shared" si="37"/>
        <v/>
      </c>
    </row>
    <row r="264" spans="1:70" ht="15.6">
      <c r="A264" s="1805"/>
      <c r="B264" s="656"/>
      <c r="C264" s="454"/>
      <c r="D264" s="233"/>
      <c r="E264" s="233"/>
      <c r="F264" s="233"/>
      <c r="G264" s="233"/>
      <c r="H264" s="233"/>
      <c r="I264" s="233"/>
      <c r="J264" s="233"/>
      <c r="K264" s="233"/>
      <c r="L264" s="233"/>
      <c r="M264" s="233"/>
      <c r="N264" s="2145"/>
      <c r="O264" s="2146"/>
      <c r="P264" s="2146"/>
      <c r="Q264" s="2147"/>
      <c r="R264" s="824">
        <f t="shared" si="29"/>
        <v>0</v>
      </c>
      <c r="S264" s="1191"/>
      <c r="T264" s="758"/>
      <c r="U264" s="758"/>
      <c r="V264" s="758"/>
      <c r="W264" s="758"/>
      <c r="X264" s="758"/>
      <c r="Y264" s="758"/>
      <c r="Z264" s="758"/>
      <c r="AA264" s="758"/>
      <c r="AB264" s="458"/>
      <c r="AC264" s="458"/>
      <c r="AD264" s="458"/>
      <c r="AE264" s="458"/>
      <c r="AF264" s="458"/>
      <c r="AG264" s="758"/>
      <c r="AH264" s="2205"/>
      <c r="AI264" s="842">
        <f t="shared" si="30"/>
        <v>0</v>
      </c>
      <c r="AJ264" s="233"/>
      <c r="AK264" s="233"/>
      <c r="AL264" s="233"/>
      <c r="AM264" s="233"/>
      <c r="AN264" s="233"/>
      <c r="AO264" s="233"/>
      <c r="AP264" s="233"/>
      <c r="AQ264" s="233"/>
      <c r="AR264" s="233"/>
      <c r="AS264" s="233"/>
      <c r="AT264" s="363"/>
      <c r="AU264" s="626" t="str">
        <f t="shared" si="31"/>
        <v/>
      </c>
      <c r="AV264" s="2205"/>
      <c r="AW264" s="458"/>
      <c r="AX264" s="458"/>
      <c r="AY264" s="458"/>
      <c r="AZ264" s="458"/>
      <c r="BA264" s="458"/>
      <c r="BB264" s="458"/>
      <c r="BC264" s="458"/>
      <c r="BD264" s="458"/>
      <c r="BE264" s="458"/>
      <c r="BF264" s="458"/>
      <c r="BG264" s="458"/>
      <c r="BH264" s="458"/>
      <c r="BI264" s="458"/>
      <c r="BJ264" s="458"/>
      <c r="BK264" s="592" t="str">
        <f t="shared" si="32"/>
        <v/>
      </c>
      <c r="BM264" s="592" t="str">
        <f t="shared" si="33"/>
        <v/>
      </c>
      <c r="BO264" s="592">
        <f t="shared" si="34"/>
        <v>0</v>
      </c>
      <c r="BP264" s="592">
        <f t="shared" si="35"/>
        <v>0</v>
      </c>
      <c r="BQ264" s="592" t="str">
        <f t="shared" si="36"/>
        <v/>
      </c>
      <c r="BR264" s="592" t="str">
        <f t="shared" si="37"/>
        <v/>
      </c>
    </row>
    <row r="265" spans="1:70" ht="15.6">
      <c r="A265" s="1805"/>
      <c r="B265" s="656"/>
      <c r="C265" s="454"/>
      <c r="D265" s="233"/>
      <c r="E265" s="233"/>
      <c r="F265" s="233"/>
      <c r="G265" s="233"/>
      <c r="H265" s="233"/>
      <c r="I265" s="233"/>
      <c r="J265" s="233"/>
      <c r="K265" s="233"/>
      <c r="L265" s="233"/>
      <c r="M265" s="233"/>
      <c r="N265" s="2145"/>
      <c r="O265" s="2146"/>
      <c r="P265" s="2146"/>
      <c r="Q265" s="2147"/>
      <c r="R265" s="824">
        <f t="shared" si="29"/>
        <v>0</v>
      </c>
      <c r="S265" s="1191"/>
      <c r="T265" s="758"/>
      <c r="U265" s="758"/>
      <c r="V265" s="758"/>
      <c r="W265" s="758"/>
      <c r="X265" s="758"/>
      <c r="Y265" s="758"/>
      <c r="Z265" s="758"/>
      <c r="AA265" s="758"/>
      <c r="AB265" s="458"/>
      <c r="AC265" s="458"/>
      <c r="AD265" s="458"/>
      <c r="AE265" s="458"/>
      <c r="AF265" s="458"/>
      <c r="AG265" s="758"/>
      <c r="AH265" s="2205"/>
      <c r="AI265" s="842">
        <f t="shared" si="30"/>
        <v>0</v>
      </c>
      <c r="AJ265" s="233"/>
      <c r="AK265" s="233"/>
      <c r="AL265" s="233"/>
      <c r="AM265" s="233"/>
      <c r="AN265" s="233"/>
      <c r="AO265" s="233"/>
      <c r="AP265" s="233"/>
      <c r="AQ265" s="233"/>
      <c r="AR265" s="233"/>
      <c r="AS265" s="233"/>
      <c r="AT265" s="363"/>
      <c r="AU265" s="626" t="str">
        <f t="shared" si="31"/>
        <v/>
      </c>
      <c r="AV265" s="2205"/>
      <c r="AW265" s="458"/>
      <c r="AX265" s="458"/>
      <c r="AY265" s="458"/>
      <c r="AZ265" s="458"/>
      <c r="BA265" s="458"/>
      <c r="BB265" s="458"/>
      <c r="BC265" s="458"/>
      <c r="BD265" s="458"/>
      <c r="BE265" s="458"/>
      <c r="BF265" s="458"/>
      <c r="BG265" s="458"/>
      <c r="BH265" s="458"/>
      <c r="BI265" s="458"/>
      <c r="BJ265" s="458"/>
      <c r="BK265" s="592" t="str">
        <f t="shared" si="32"/>
        <v/>
      </c>
      <c r="BM265" s="592" t="str">
        <f t="shared" si="33"/>
        <v/>
      </c>
      <c r="BO265" s="592">
        <f t="shared" si="34"/>
        <v>0</v>
      </c>
      <c r="BP265" s="592">
        <f t="shared" si="35"/>
        <v>0</v>
      </c>
      <c r="BQ265" s="592" t="str">
        <f t="shared" si="36"/>
        <v/>
      </c>
      <c r="BR265" s="592" t="str">
        <f t="shared" si="37"/>
        <v/>
      </c>
    </row>
    <row r="266" spans="1:70" ht="15.6">
      <c r="A266" s="1805"/>
      <c r="B266" s="656"/>
      <c r="C266" s="454"/>
      <c r="D266" s="233"/>
      <c r="E266" s="233"/>
      <c r="F266" s="233"/>
      <c r="G266" s="233"/>
      <c r="H266" s="233"/>
      <c r="I266" s="233"/>
      <c r="J266" s="233"/>
      <c r="K266" s="233"/>
      <c r="L266" s="233"/>
      <c r="M266" s="233"/>
      <c r="N266" s="2145"/>
      <c r="O266" s="2146"/>
      <c r="P266" s="2146"/>
      <c r="Q266" s="2147"/>
      <c r="R266" s="824">
        <f t="shared" si="29"/>
        <v>0</v>
      </c>
      <c r="S266" s="1191"/>
      <c r="T266" s="758"/>
      <c r="U266" s="758"/>
      <c r="V266" s="758"/>
      <c r="W266" s="758"/>
      <c r="X266" s="758"/>
      <c r="Y266" s="758"/>
      <c r="Z266" s="758"/>
      <c r="AA266" s="758"/>
      <c r="AB266" s="458"/>
      <c r="AC266" s="458"/>
      <c r="AD266" s="458"/>
      <c r="AE266" s="458"/>
      <c r="AF266" s="458"/>
      <c r="AG266" s="758"/>
      <c r="AH266" s="2205"/>
      <c r="AI266" s="842">
        <f t="shared" si="30"/>
        <v>0</v>
      </c>
      <c r="AJ266" s="233"/>
      <c r="AK266" s="233"/>
      <c r="AL266" s="233"/>
      <c r="AM266" s="233"/>
      <c r="AN266" s="233"/>
      <c r="AO266" s="233"/>
      <c r="AP266" s="233"/>
      <c r="AQ266" s="233"/>
      <c r="AR266" s="233"/>
      <c r="AS266" s="233"/>
      <c r="AT266" s="363"/>
      <c r="AU266" s="626" t="str">
        <f t="shared" si="31"/>
        <v/>
      </c>
      <c r="AV266" s="2205"/>
      <c r="AW266" s="458"/>
      <c r="AX266" s="458"/>
      <c r="AY266" s="458"/>
      <c r="AZ266" s="458"/>
      <c r="BA266" s="458"/>
      <c r="BB266" s="458"/>
      <c r="BC266" s="458"/>
      <c r="BD266" s="458"/>
      <c r="BE266" s="458"/>
      <c r="BF266" s="458"/>
      <c r="BG266" s="458"/>
      <c r="BH266" s="458"/>
      <c r="BI266" s="458"/>
      <c r="BJ266" s="458"/>
      <c r="BK266" s="592" t="str">
        <f t="shared" si="32"/>
        <v/>
      </c>
      <c r="BM266" s="592" t="str">
        <f t="shared" si="33"/>
        <v/>
      </c>
      <c r="BO266" s="592">
        <f t="shared" si="34"/>
        <v>0</v>
      </c>
      <c r="BP266" s="592">
        <f t="shared" si="35"/>
        <v>0</v>
      </c>
      <c r="BQ266" s="592" t="str">
        <f t="shared" si="36"/>
        <v/>
      </c>
      <c r="BR266" s="592" t="str">
        <f t="shared" si="37"/>
        <v/>
      </c>
    </row>
    <row r="267" spans="1:70" ht="15.6">
      <c r="A267" s="1805"/>
      <c r="B267" s="656"/>
      <c r="C267" s="454"/>
      <c r="D267" s="233"/>
      <c r="E267" s="233"/>
      <c r="F267" s="233"/>
      <c r="G267" s="233"/>
      <c r="H267" s="233"/>
      <c r="I267" s="233"/>
      <c r="J267" s="233"/>
      <c r="K267" s="233"/>
      <c r="L267" s="233"/>
      <c r="M267" s="233"/>
      <c r="N267" s="2145"/>
      <c r="O267" s="2146"/>
      <c r="P267" s="2146"/>
      <c r="Q267" s="2147"/>
      <c r="R267" s="824">
        <f t="shared" si="29"/>
        <v>0</v>
      </c>
      <c r="S267" s="1191"/>
      <c r="T267" s="758"/>
      <c r="U267" s="758"/>
      <c r="V267" s="758"/>
      <c r="W267" s="758"/>
      <c r="X267" s="758"/>
      <c r="Y267" s="758"/>
      <c r="Z267" s="758"/>
      <c r="AA267" s="758"/>
      <c r="AB267" s="458"/>
      <c r="AC267" s="458"/>
      <c r="AD267" s="458"/>
      <c r="AE267" s="458"/>
      <c r="AF267" s="458"/>
      <c r="AG267" s="758"/>
      <c r="AH267" s="2205"/>
      <c r="AI267" s="842">
        <f t="shared" si="30"/>
        <v>0</v>
      </c>
      <c r="AJ267" s="233"/>
      <c r="AK267" s="233"/>
      <c r="AL267" s="233"/>
      <c r="AM267" s="233"/>
      <c r="AN267" s="233"/>
      <c r="AO267" s="233"/>
      <c r="AP267" s="233"/>
      <c r="AQ267" s="233"/>
      <c r="AR267" s="233"/>
      <c r="AS267" s="233"/>
      <c r="AT267" s="363"/>
      <c r="AU267" s="626" t="str">
        <f t="shared" si="31"/>
        <v/>
      </c>
      <c r="AV267" s="2205"/>
      <c r="AW267" s="458"/>
      <c r="AX267" s="458"/>
      <c r="AY267" s="458"/>
      <c r="AZ267" s="458"/>
      <c r="BA267" s="458"/>
      <c r="BB267" s="458"/>
      <c r="BC267" s="458"/>
      <c r="BD267" s="458"/>
      <c r="BE267" s="458"/>
      <c r="BF267" s="458"/>
      <c r="BG267" s="458"/>
      <c r="BH267" s="458"/>
      <c r="BI267" s="458"/>
      <c r="BJ267" s="458"/>
      <c r="BK267" s="592" t="str">
        <f t="shared" si="32"/>
        <v/>
      </c>
      <c r="BM267" s="592" t="str">
        <f t="shared" si="33"/>
        <v/>
      </c>
      <c r="BO267" s="592">
        <f t="shared" si="34"/>
        <v>0</v>
      </c>
      <c r="BP267" s="592">
        <f t="shared" si="35"/>
        <v>0</v>
      </c>
      <c r="BQ267" s="592" t="str">
        <f t="shared" si="36"/>
        <v/>
      </c>
      <c r="BR267" s="592" t="str">
        <f t="shared" si="37"/>
        <v/>
      </c>
    </row>
    <row r="268" spans="1:70" ht="15.6">
      <c r="A268" s="1805"/>
      <c r="B268" s="656"/>
      <c r="C268" s="454"/>
      <c r="D268" s="233"/>
      <c r="E268" s="233"/>
      <c r="F268" s="233"/>
      <c r="G268" s="233"/>
      <c r="H268" s="233"/>
      <c r="I268" s="233"/>
      <c r="J268" s="233"/>
      <c r="K268" s="233"/>
      <c r="L268" s="233"/>
      <c r="M268" s="233"/>
      <c r="N268" s="2145"/>
      <c r="O268" s="2146"/>
      <c r="P268" s="2146"/>
      <c r="Q268" s="2147"/>
      <c r="R268" s="824">
        <f t="shared" si="29"/>
        <v>0</v>
      </c>
      <c r="S268" s="1191"/>
      <c r="T268" s="758"/>
      <c r="U268" s="758"/>
      <c r="V268" s="758"/>
      <c r="W268" s="758"/>
      <c r="X268" s="758"/>
      <c r="Y268" s="758"/>
      <c r="Z268" s="758"/>
      <c r="AA268" s="758"/>
      <c r="AB268" s="458"/>
      <c r="AC268" s="458"/>
      <c r="AD268" s="458"/>
      <c r="AE268" s="458"/>
      <c r="AF268" s="458"/>
      <c r="AG268" s="758"/>
      <c r="AH268" s="2205"/>
      <c r="AI268" s="842">
        <f t="shared" si="30"/>
        <v>0</v>
      </c>
      <c r="AJ268" s="233"/>
      <c r="AK268" s="233"/>
      <c r="AL268" s="233"/>
      <c r="AM268" s="233"/>
      <c r="AN268" s="233"/>
      <c r="AO268" s="233"/>
      <c r="AP268" s="233"/>
      <c r="AQ268" s="233"/>
      <c r="AR268" s="233"/>
      <c r="AS268" s="233"/>
      <c r="AT268" s="363"/>
      <c r="AU268" s="626" t="str">
        <f t="shared" si="31"/>
        <v/>
      </c>
      <c r="AV268" s="2205"/>
      <c r="AW268" s="458"/>
      <c r="AX268" s="458"/>
      <c r="AY268" s="458"/>
      <c r="AZ268" s="458"/>
      <c r="BA268" s="458"/>
      <c r="BB268" s="458"/>
      <c r="BC268" s="458"/>
      <c r="BD268" s="458"/>
      <c r="BE268" s="458"/>
      <c r="BF268" s="458"/>
      <c r="BG268" s="458"/>
      <c r="BH268" s="458"/>
      <c r="BI268" s="458"/>
      <c r="BJ268" s="458"/>
      <c r="BK268" s="592" t="str">
        <f t="shared" si="32"/>
        <v/>
      </c>
      <c r="BM268" s="592" t="str">
        <f t="shared" si="33"/>
        <v/>
      </c>
      <c r="BO268" s="592">
        <f t="shared" si="34"/>
        <v>0</v>
      </c>
      <c r="BP268" s="592">
        <f t="shared" si="35"/>
        <v>0</v>
      </c>
      <c r="BQ268" s="592" t="str">
        <f t="shared" si="36"/>
        <v/>
      </c>
      <c r="BR268" s="592" t="str">
        <f t="shared" si="37"/>
        <v/>
      </c>
    </row>
    <row r="269" spans="1:70" ht="15.6">
      <c r="A269" s="1805"/>
      <c r="B269" s="656"/>
      <c r="C269" s="454"/>
      <c r="D269" s="233"/>
      <c r="E269" s="233"/>
      <c r="F269" s="233"/>
      <c r="G269" s="233"/>
      <c r="H269" s="233"/>
      <c r="I269" s="233"/>
      <c r="J269" s="233"/>
      <c r="K269" s="233"/>
      <c r="L269" s="233"/>
      <c r="M269" s="233"/>
      <c r="N269" s="2145"/>
      <c r="O269" s="2146"/>
      <c r="P269" s="2146"/>
      <c r="Q269" s="2147"/>
      <c r="R269" s="824">
        <f t="shared" si="29"/>
        <v>0</v>
      </c>
      <c r="S269" s="1191"/>
      <c r="T269" s="758"/>
      <c r="U269" s="758"/>
      <c r="V269" s="758"/>
      <c r="W269" s="758"/>
      <c r="X269" s="758"/>
      <c r="Y269" s="758"/>
      <c r="Z269" s="758"/>
      <c r="AA269" s="758"/>
      <c r="AB269" s="458"/>
      <c r="AC269" s="458"/>
      <c r="AD269" s="458"/>
      <c r="AE269" s="458"/>
      <c r="AF269" s="458"/>
      <c r="AG269" s="758"/>
      <c r="AH269" s="2205"/>
      <c r="AI269" s="842">
        <f t="shared" si="30"/>
        <v>0</v>
      </c>
      <c r="AJ269" s="233"/>
      <c r="AK269" s="233"/>
      <c r="AL269" s="233"/>
      <c r="AM269" s="233"/>
      <c r="AN269" s="233"/>
      <c r="AO269" s="233"/>
      <c r="AP269" s="233"/>
      <c r="AQ269" s="233"/>
      <c r="AR269" s="233"/>
      <c r="AS269" s="233"/>
      <c r="AT269" s="363"/>
      <c r="AU269" s="626" t="str">
        <f t="shared" si="31"/>
        <v/>
      </c>
      <c r="AV269" s="2205"/>
      <c r="AW269" s="458"/>
      <c r="AX269" s="458"/>
      <c r="AY269" s="458"/>
      <c r="AZ269" s="458"/>
      <c r="BA269" s="458"/>
      <c r="BB269" s="458"/>
      <c r="BC269" s="458"/>
      <c r="BD269" s="458"/>
      <c r="BE269" s="458"/>
      <c r="BF269" s="458"/>
      <c r="BG269" s="458"/>
      <c r="BH269" s="458"/>
      <c r="BI269" s="458"/>
      <c r="BJ269" s="458"/>
      <c r="BK269" s="592" t="str">
        <f t="shared" si="32"/>
        <v/>
      </c>
      <c r="BM269" s="592" t="str">
        <f t="shared" si="33"/>
        <v/>
      </c>
      <c r="BO269" s="592">
        <f t="shared" si="34"/>
        <v>0</v>
      </c>
      <c r="BP269" s="592">
        <f t="shared" si="35"/>
        <v>0</v>
      </c>
      <c r="BQ269" s="592" t="str">
        <f t="shared" si="36"/>
        <v/>
      </c>
      <c r="BR269" s="592" t="str">
        <f t="shared" si="37"/>
        <v/>
      </c>
    </row>
    <row r="270" spans="1:70" ht="15.6">
      <c r="A270" s="1805"/>
      <c r="B270" s="656"/>
      <c r="C270" s="454"/>
      <c r="D270" s="233"/>
      <c r="E270" s="233"/>
      <c r="F270" s="233"/>
      <c r="G270" s="233"/>
      <c r="H270" s="233"/>
      <c r="I270" s="233"/>
      <c r="J270" s="233"/>
      <c r="K270" s="233"/>
      <c r="L270" s="233"/>
      <c r="M270" s="233"/>
      <c r="N270" s="2145"/>
      <c r="O270" s="2146"/>
      <c r="P270" s="2146"/>
      <c r="Q270" s="2147"/>
      <c r="R270" s="824">
        <f t="shared" si="29"/>
        <v>0</v>
      </c>
      <c r="S270" s="1191"/>
      <c r="T270" s="758"/>
      <c r="U270" s="758"/>
      <c r="V270" s="758"/>
      <c r="W270" s="758"/>
      <c r="X270" s="758"/>
      <c r="Y270" s="758"/>
      <c r="Z270" s="758"/>
      <c r="AA270" s="758"/>
      <c r="AB270" s="458"/>
      <c r="AC270" s="458"/>
      <c r="AD270" s="458"/>
      <c r="AE270" s="458"/>
      <c r="AF270" s="458"/>
      <c r="AG270" s="758"/>
      <c r="AH270" s="2205"/>
      <c r="AI270" s="842">
        <f t="shared" si="30"/>
        <v>0</v>
      </c>
      <c r="AJ270" s="233"/>
      <c r="AK270" s="233"/>
      <c r="AL270" s="233"/>
      <c r="AM270" s="233"/>
      <c r="AN270" s="233"/>
      <c r="AO270" s="233"/>
      <c r="AP270" s="233"/>
      <c r="AQ270" s="233"/>
      <c r="AR270" s="233"/>
      <c r="AS270" s="233"/>
      <c r="AT270" s="363"/>
      <c r="AU270" s="626" t="str">
        <f t="shared" si="31"/>
        <v/>
      </c>
      <c r="AV270" s="2205"/>
      <c r="AW270" s="458"/>
      <c r="AX270" s="458"/>
      <c r="AY270" s="458"/>
      <c r="AZ270" s="458"/>
      <c r="BA270" s="458"/>
      <c r="BB270" s="458"/>
      <c r="BC270" s="458"/>
      <c r="BD270" s="458"/>
      <c r="BE270" s="458"/>
      <c r="BF270" s="458"/>
      <c r="BG270" s="458"/>
      <c r="BH270" s="458"/>
      <c r="BI270" s="458"/>
      <c r="BJ270" s="458"/>
      <c r="BK270" s="592" t="str">
        <f t="shared" si="32"/>
        <v/>
      </c>
      <c r="BM270" s="592" t="str">
        <f t="shared" si="33"/>
        <v/>
      </c>
      <c r="BO270" s="592">
        <f t="shared" si="34"/>
        <v>0</v>
      </c>
      <c r="BP270" s="592">
        <f t="shared" si="35"/>
        <v>0</v>
      </c>
      <c r="BQ270" s="592" t="str">
        <f t="shared" si="36"/>
        <v/>
      </c>
      <c r="BR270" s="592" t="str">
        <f t="shared" si="37"/>
        <v/>
      </c>
    </row>
    <row r="271" spans="1:70" ht="15.6">
      <c r="A271" s="1805"/>
      <c r="B271" s="656"/>
      <c r="C271" s="454"/>
      <c r="D271" s="233"/>
      <c r="E271" s="233"/>
      <c r="F271" s="233"/>
      <c r="G271" s="233"/>
      <c r="H271" s="233"/>
      <c r="I271" s="233"/>
      <c r="J271" s="233"/>
      <c r="K271" s="233"/>
      <c r="L271" s="233"/>
      <c r="M271" s="233"/>
      <c r="N271" s="2145"/>
      <c r="O271" s="2146"/>
      <c r="P271" s="2146"/>
      <c r="Q271" s="2147"/>
      <c r="R271" s="824">
        <f t="shared" si="29"/>
        <v>0</v>
      </c>
      <c r="S271" s="1191"/>
      <c r="T271" s="758"/>
      <c r="U271" s="758"/>
      <c r="V271" s="758"/>
      <c r="W271" s="758"/>
      <c r="X271" s="758"/>
      <c r="Y271" s="758"/>
      <c r="Z271" s="758"/>
      <c r="AA271" s="758"/>
      <c r="AB271" s="458"/>
      <c r="AC271" s="458"/>
      <c r="AD271" s="458"/>
      <c r="AE271" s="458"/>
      <c r="AF271" s="458"/>
      <c r="AG271" s="758"/>
      <c r="AH271" s="2205"/>
      <c r="AI271" s="842">
        <f t="shared" si="30"/>
        <v>0</v>
      </c>
      <c r="AJ271" s="233"/>
      <c r="AK271" s="233"/>
      <c r="AL271" s="233"/>
      <c r="AM271" s="233"/>
      <c r="AN271" s="233"/>
      <c r="AO271" s="233"/>
      <c r="AP271" s="233"/>
      <c r="AQ271" s="233"/>
      <c r="AR271" s="233"/>
      <c r="AS271" s="233"/>
      <c r="AT271" s="363"/>
      <c r="AU271" s="626" t="str">
        <f t="shared" si="31"/>
        <v/>
      </c>
      <c r="AV271" s="2205"/>
      <c r="AW271" s="458"/>
      <c r="AX271" s="458"/>
      <c r="AY271" s="458"/>
      <c r="AZ271" s="458"/>
      <c r="BA271" s="458"/>
      <c r="BB271" s="458"/>
      <c r="BC271" s="458"/>
      <c r="BD271" s="458"/>
      <c r="BE271" s="458"/>
      <c r="BF271" s="458"/>
      <c r="BG271" s="458"/>
      <c r="BH271" s="458"/>
      <c r="BI271" s="458"/>
      <c r="BJ271" s="458"/>
      <c r="BK271" s="592" t="str">
        <f t="shared" si="32"/>
        <v/>
      </c>
      <c r="BM271" s="592" t="str">
        <f t="shared" si="33"/>
        <v/>
      </c>
      <c r="BO271" s="592">
        <f t="shared" si="34"/>
        <v>0</v>
      </c>
      <c r="BP271" s="592">
        <f t="shared" si="35"/>
        <v>0</v>
      </c>
      <c r="BQ271" s="592" t="str">
        <f t="shared" si="36"/>
        <v/>
      </c>
      <c r="BR271" s="592" t="str">
        <f t="shared" si="37"/>
        <v/>
      </c>
    </row>
    <row r="272" spans="1:70" ht="15.6">
      <c r="A272" s="1805"/>
      <c r="B272" s="656"/>
      <c r="C272" s="454"/>
      <c r="D272" s="233"/>
      <c r="E272" s="233"/>
      <c r="F272" s="233"/>
      <c r="G272" s="233"/>
      <c r="H272" s="233"/>
      <c r="I272" s="233"/>
      <c r="J272" s="233"/>
      <c r="K272" s="233"/>
      <c r="L272" s="233"/>
      <c r="M272" s="233"/>
      <c r="N272" s="2145"/>
      <c r="O272" s="2146"/>
      <c r="P272" s="2146"/>
      <c r="Q272" s="2147"/>
      <c r="R272" s="824">
        <f t="shared" si="29"/>
        <v>0</v>
      </c>
      <c r="S272" s="1191"/>
      <c r="T272" s="758"/>
      <c r="U272" s="758"/>
      <c r="V272" s="758"/>
      <c r="W272" s="758"/>
      <c r="X272" s="758"/>
      <c r="Y272" s="758"/>
      <c r="Z272" s="758"/>
      <c r="AA272" s="758"/>
      <c r="AB272" s="458"/>
      <c r="AC272" s="458"/>
      <c r="AD272" s="458"/>
      <c r="AE272" s="458"/>
      <c r="AF272" s="458"/>
      <c r="AG272" s="758"/>
      <c r="AH272" s="2205"/>
      <c r="AI272" s="842">
        <f t="shared" si="30"/>
        <v>0</v>
      </c>
      <c r="AJ272" s="233"/>
      <c r="AK272" s="233"/>
      <c r="AL272" s="233"/>
      <c r="AM272" s="233"/>
      <c r="AN272" s="233"/>
      <c r="AO272" s="233"/>
      <c r="AP272" s="233"/>
      <c r="AQ272" s="233"/>
      <c r="AR272" s="233"/>
      <c r="AS272" s="233"/>
      <c r="AT272" s="363"/>
      <c r="AU272" s="626" t="str">
        <f t="shared" si="31"/>
        <v/>
      </c>
      <c r="AV272" s="2205"/>
      <c r="AW272" s="458"/>
      <c r="AX272" s="458"/>
      <c r="AY272" s="458"/>
      <c r="AZ272" s="458"/>
      <c r="BA272" s="458"/>
      <c r="BB272" s="458"/>
      <c r="BC272" s="458"/>
      <c r="BD272" s="458"/>
      <c r="BE272" s="458"/>
      <c r="BF272" s="458"/>
      <c r="BG272" s="458"/>
      <c r="BH272" s="458"/>
      <c r="BI272" s="458"/>
      <c r="BJ272" s="458"/>
      <c r="BK272" s="592" t="str">
        <f t="shared" si="32"/>
        <v/>
      </c>
      <c r="BM272" s="592" t="str">
        <f t="shared" si="33"/>
        <v/>
      </c>
      <c r="BO272" s="592">
        <f t="shared" si="34"/>
        <v>0</v>
      </c>
      <c r="BP272" s="592">
        <f t="shared" si="35"/>
        <v>0</v>
      </c>
      <c r="BQ272" s="592" t="str">
        <f t="shared" si="36"/>
        <v/>
      </c>
      <c r="BR272" s="592" t="str">
        <f t="shared" si="37"/>
        <v/>
      </c>
    </row>
    <row r="273" spans="1:70" ht="16.2" thickBot="1">
      <c r="A273" s="1806"/>
      <c r="B273" s="656"/>
      <c r="C273" s="454"/>
      <c r="D273" s="233"/>
      <c r="E273" s="233"/>
      <c r="F273" s="233"/>
      <c r="G273" s="233"/>
      <c r="H273" s="233"/>
      <c r="I273" s="233"/>
      <c r="J273" s="233"/>
      <c r="K273" s="233"/>
      <c r="L273" s="233"/>
      <c r="M273" s="233"/>
      <c r="N273" s="2148"/>
      <c r="O273" s="2149"/>
      <c r="P273" s="2149"/>
      <c r="Q273" s="2150"/>
      <c r="R273" s="824">
        <f t="shared" si="29"/>
        <v>0</v>
      </c>
      <c r="S273" s="1673"/>
      <c r="T273" s="758"/>
      <c r="U273" s="758"/>
      <c r="V273" s="758"/>
      <c r="W273" s="758"/>
      <c r="X273" s="758"/>
      <c r="Y273" s="758"/>
      <c r="Z273" s="758"/>
      <c r="AA273" s="758"/>
      <c r="AB273" s="458"/>
      <c r="AC273" s="458"/>
      <c r="AD273" s="458"/>
      <c r="AE273" s="458"/>
      <c r="AF273" s="458"/>
      <c r="AG273" s="758"/>
      <c r="AH273" s="2206"/>
      <c r="AI273" s="842">
        <f t="shared" si="30"/>
        <v>0</v>
      </c>
      <c r="AJ273" s="233"/>
      <c r="AK273" s="233"/>
      <c r="AL273" s="233"/>
      <c r="AM273" s="233"/>
      <c r="AN273" s="233"/>
      <c r="AO273" s="233"/>
      <c r="AP273" s="233"/>
      <c r="AQ273" s="233"/>
      <c r="AR273" s="233"/>
      <c r="AS273" s="233"/>
      <c r="AT273" s="363"/>
      <c r="AU273" s="626" t="str">
        <f t="shared" si="31"/>
        <v/>
      </c>
      <c r="AV273" s="2206"/>
      <c r="AW273" s="458"/>
      <c r="AX273" s="458"/>
      <c r="AY273" s="458"/>
      <c r="AZ273" s="458"/>
      <c r="BA273" s="458"/>
      <c r="BB273" s="458"/>
      <c r="BC273" s="458"/>
      <c r="BD273" s="458"/>
      <c r="BE273" s="458"/>
      <c r="BF273" s="458"/>
      <c r="BG273" s="458"/>
      <c r="BH273" s="458"/>
      <c r="BI273" s="458"/>
      <c r="BJ273" s="458"/>
      <c r="BK273" s="592" t="str">
        <f>IF(OR(AU273="",R273=""),"",AU273*R273)</f>
        <v/>
      </c>
      <c r="BM273" s="592" t="str">
        <f t="shared" si="33"/>
        <v/>
      </c>
      <c r="BO273" s="592">
        <f xml:space="preserve"> SQRT(    ((AK273^2+40^2)*((D273*$D$162)^2))      +        ((40^2+AL273^2)*(($E$162*E273)^2))       +        ((40^2+AM273^2)*(($F$162*F273)^2))       +        ((40^2+AN273^2)*(($G$162*G273)^2))       +        ((40^2+AO273^2)*(($H$162*H273)^2))       +        ((40^2+AP273^2)*(($I$162*I273)^2))       +        ((40^2+AQ273^2)*(($J$162*J273)^2))       +       ((40^2+AR273^2)*(($K$162*K273)^2))       +        ((40^2+AS273^2)*(($L$162*L273)^2))       +        ((40^2+AT273^2)*(($M$162*M273)^2))           )</f>
        <v>0</v>
      </c>
      <c r="BP273" s="592">
        <f>((D273*$D$162)+($E$162*E273)+($F$162*F273)+($G$162*G273)+($H$162*H273)+($I$162*I273)+($J$162*J273)+($K$162*K273)+($L$162*L273)+($M$162*M273))</f>
        <v>0</v>
      </c>
      <c r="BQ273" s="592" t="str">
        <f t="shared" si="36"/>
        <v/>
      </c>
      <c r="BR273" s="592" t="str">
        <f t="shared" si="37"/>
        <v/>
      </c>
    </row>
    <row r="274" spans="1:70" ht="30" customHeight="1" thickBot="1">
      <c r="A274" s="1065"/>
      <c r="B274" s="1066"/>
      <c r="C274" s="1066"/>
      <c r="D274" s="1066"/>
      <c r="E274" s="1066"/>
      <c r="F274" s="1066"/>
      <c r="G274" s="1066"/>
      <c r="H274" s="1066"/>
      <c r="I274" s="1066"/>
      <c r="J274" s="1066"/>
      <c r="K274" s="1066"/>
      <c r="L274" s="1066"/>
      <c r="M274" s="1066"/>
      <c r="N274" s="1066"/>
      <c r="O274" s="1066"/>
      <c r="P274" s="1066"/>
      <c r="Q274" s="1066"/>
      <c r="R274" s="1066"/>
      <c r="S274" s="1067"/>
      <c r="T274" s="758"/>
      <c r="U274" s="758"/>
      <c r="V274" s="758"/>
      <c r="W274" s="758"/>
      <c r="X274" s="758"/>
      <c r="Y274" s="758"/>
      <c r="Z274" s="758"/>
      <c r="AA274" s="758"/>
      <c r="AB274" s="458"/>
      <c r="AC274" s="458"/>
      <c r="AD274" s="458"/>
      <c r="AE274" s="458"/>
      <c r="AF274" s="458"/>
      <c r="AG274" s="758"/>
      <c r="AH274" s="2207"/>
      <c r="AI274" s="2208"/>
      <c r="AJ274" s="2208"/>
      <c r="AK274" s="2208"/>
      <c r="AL274" s="2208"/>
      <c r="AM274" s="2208"/>
      <c r="AN274" s="2208"/>
      <c r="AO274" s="2208"/>
      <c r="AP274" s="2208"/>
      <c r="AQ274" s="2208"/>
      <c r="AR274" s="2208"/>
      <c r="AS274" s="2208"/>
      <c r="AT274" s="2208"/>
      <c r="AU274" s="2208"/>
      <c r="AV274" s="2209"/>
      <c r="AW274" s="458"/>
      <c r="AX274" s="458"/>
      <c r="AY274" s="458"/>
      <c r="AZ274" s="458"/>
      <c r="BA274" s="458"/>
      <c r="BB274" s="458"/>
      <c r="BC274" s="458"/>
      <c r="BD274" s="458"/>
      <c r="BE274" s="458"/>
      <c r="BF274" s="458"/>
      <c r="BG274" s="458"/>
      <c r="BH274" s="458"/>
      <c r="BI274" s="458"/>
      <c r="BJ274" s="458"/>
    </row>
    <row r="275" spans="1:70" ht="30" customHeight="1">
      <c r="A275" s="458"/>
      <c r="B275" s="458"/>
      <c r="C275" s="458"/>
      <c r="D275" s="758"/>
      <c r="E275" s="758"/>
      <c r="F275" s="758"/>
      <c r="G275" s="758"/>
      <c r="H275" s="758"/>
      <c r="I275" s="758"/>
      <c r="J275" s="758"/>
      <c r="K275" s="758"/>
      <c r="L275" s="758"/>
      <c r="M275" s="758"/>
      <c r="N275" s="758"/>
      <c r="O275" s="758"/>
      <c r="P275" s="758"/>
      <c r="Q275" s="758"/>
      <c r="R275" s="758"/>
      <c r="S275" s="758"/>
      <c r="T275" s="758"/>
      <c r="U275" s="758"/>
      <c r="V275" s="758"/>
      <c r="W275" s="758"/>
      <c r="X275" s="758"/>
      <c r="Y275" s="758"/>
      <c r="Z275" s="758"/>
      <c r="AA275" s="758"/>
      <c r="AB275" s="458"/>
      <c r="AC275" s="458"/>
      <c r="AD275" s="458"/>
      <c r="AE275" s="458"/>
      <c r="AF275" s="458"/>
      <c r="AG275" s="458"/>
      <c r="AH275" s="458"/>
      <c r="AI275" s="458"/>
      <c r="AJ275" s="458"/>
      <c r="AK275" s="458"/>
      <c r="AL275" s="458"/>
      <c r="AM275" s="458"/>
      <c r="AN275" s="458"/>
      <c r="AO275" s="458"/>
      <c r="AP275" s="458"/>
      <c r="AQ275" s="458"/>
      <c r="AR275" s="458"/>
      <c r="AS275" s="458"/>
      <c r="AT275" s="458"/>
      <c r="AU275" s="458"/>
      <c r="AV275" s="458"/>
      <c r="AW275" s="458"/>
      <c r="AX275" s="458"/>
      <c r="AY275" s="458"/>
      <c r="AZ275" s="458"/>
      <c r="BA275" s="458"/>
      <c r="BB275" s="458"/>
      <c r="BC275" s="458"/>
      <c r="BD275" s="458"/>
      <c r="BE275" s="458"/>
      <c r="BF275" s="458"/>
      <c r="BG275" s="458"/>
      <c r="BH275" s="458"/>
      <c r="BI275" s="458"/>
      <c r="BJ275" s="458"/>
    </row>
    <row r="276" spans="1:70" ht="17.55" customHeight="1">
      <c r="A276" s="2151"/>
      <c r="B276" s="2151"/>
      <c r="C276" s="2151"/>
      <c r="D276" s="2151"/>
      <c r="E276" s="2151"/>
      <c r="F276" s="2151"/>
      <c r="G276" s="2151"/>
      <c r="H276" s="2151"/>
      <c r="I276" s="2151"/>
      <c r="J276" s="2151"/>
      <c r="K276" s="2151"/>
      <c r="L276" s="2151"/>
      <c r="M276" s="2151"/>
      <c r="N276" s="2151"/>
      <c r="O276" s="2151"/>
      <c r="P276" s="2151"/>
      <c r="Q276" s="2151"/>
      <c r="R276" s="2151"/>
      <c r="S276" s="2151"/>
      <c r="T276" s="758"/>
      <c r="U276" s="758"/>
      <c r="V276" s="758"/>
      <c r="W276" s="758"/>
      <c r="X276" s="758"/>
      <c r="Y276" s="758"/>
      <c r="Z276" s="758"/>
      <c r="AA276" s="758"/>
      <c r="AB276" s="458"/>
      <c r="AC276" s="458"/>
      <c r="AD276" s="458"/>
      <c r="AE276" s="458"/>
      <c r="AF276" s="458"/>
      <c r="AG276" s="458"/>
      <c r="AH276" s="458"/>
      <c r="AI276" s="458"/>
      <c r="AJ276" s="458"/>
      <c r="AK276" s="458"/>
      <c r="AL276" s="458"/>
      <c r="AM276" s="458"/>
      <c r="AN276" s="458"/>
      <c r="AO276" s="458"/>
      <c r="AP276" s="458"/>
      <c r="AQ276" s="458"/>
      <c r="AR276" s="458"/>
      <c r="AS276" s="458"/>
      <c r="AT276" s="458"/>
      <c r="AU276" s="458"/>
      <c r="AV276" s="458"/>
      <c r="AW276" s="458"/>
      <c r="AX276" s="458"/>
      <c r="AY276" s="458"/>
      <c r="AZ276" s="458"/>
      <c r="BA276" s="458"/>
      <c r="BB276" s="458"/>
      <c r="BC276" s="458"/>
      <c r="BD276" s="458"/>
      <c r="BE276" s="458"/>
      <c r="BF276" s="458"/>
      <c r="BG276" s="458"/>
      <c r="BH276" s="458"/>
      <c r="BI276" s="458"/>
      <c r="BJ276" s="458"/>
    </row>
    <row r="277" spans="1:70" ht="17.55" customHeight="1">
      <c r="A277" s="2151"/>
      <c r="B277" s="2151"/>
      <c r="C277" s="2151"/>
      <c r="D277" s="2151"/>
      <c r="E277" s="2151"/>
      <c r="F277" s="2151"/>
      <c r="G277" s="2151"/>
      <c r="H277" s="2151"/>
      <c r="I277" s="2151"/>
      <c r="J277" s="2151"/>
      <c r="K277" s="2151"/>
      <c r="L277" s="2151"/>
      <c r="M277" s="2151"/>
      <c r="N277" s="2151"/>
      <c r="O277" s="2151"/>
      <c r="P277" s="2151"/>
      <c r="Q277" s="2151"/>
      <c r="R277" s="2151"/>
      <c r="S277" s="2151"/>
      <c r="T277" s="758"/>
      <c r="U277" s="758"/>
      <c r="V277" s="758"/>
      <c r="W277" s="758"/>
      <c r="X277" s="758"/>
      <c r="Y277" s="758"/>
      <c r="Z277" s="758"/>
      <c r="AA277" s="758"/>
      <c r="AB277" s="458"/>
      <c r="AC277" s="458"/>
      <c r="AD277" s="458"/>
      <c r="AE277" s="458"/>
      <c r="AF277" s="458"/>
      <c r="AG277" s="758"/>
      <c r="AH277" s="458"/>
      <c r="AI277" s="458"/>
      <c r="AJ277" s="458"/>
      <c r="AK277" s="458"/>
      <c r="AL277" s="458"/>
      <c r="AM277" s="458"/>
      <c r="AN277" s="458"/>
      <c r="AO277" s="458"/>
      <c r="AP277" s="458"/>
      <c r="AQ277" s="458"/>
      <c r="AR277" s="458"/>
      <c r="AS277" s="458"/>
      <c r="AT277" s="458"/>
      <c r="AU277" s="458"/>
      <c r="AV277" s="458"/>
      <c r="AW277" s="458"/>
      <c r="AX277" s="458"/>
      <c r="AY277" s="458"/>
      <c r="AZ277" s="458"/>
      <c r="BA277" s="458"/>
      <c r="BB277" s="458"/>
      <c r="BC277" s="458"/>
      <c r="BD277" s="458"/>
      <c r="BE277" s="458"/>
      <c r="BF277" s="458"/>
      <c r="BG277" s="458"/>
      <c r="BH277" s="458"/>
      <c r="BI277" s="458"/>
      <c r="BJ277" s="458"/>
    </row>
    <row r="278" spans="1:70" ht="17.55" customHeight="1">
      <c r="A278" s="2151"/>
      <c r="B278" s="2151"/>
      <c r="C278" s="2151"/>
      <c r="D278" s="2151"/>
      <c r="E278" s="2151"/>
      <c r="F278" s="2151"/>
      <c r="G278" s="2151"/>
      <c r="H278" s="2151"/>
      <c r="I278" s="2151"/>
      <c r="J278" s="2151"/>
      <c r="K278" s="2151"/>
      <c r="L278" s="2151"/>
      <c r="M278" s="2151"/>
      <c r="N278" s="2151"/>
      <c r="O278" s="2151"/>
      <c r="P278" s="2151"/>
      <c r="Q278" s="2151"/>
      <c r="R278" s="2151"/>
      <c r="S278" s="2151"/>
      <c r="T278" s="758"/>
      <c r="U278" s="758"/>
      <c r="V278" s="758"/>
      <c r="W278" s="758"/>
      <c r="X278" s="758"/>
      <c r="Y278" s="758"/>
      <c r="Z278" s="758"/>
      <c r="AA278" s="758"/>
      <c r="AB278" s="458"/>
      <c r="AC278" s="458"/>
      <c r="AD278" s="458"/>
      <c r="AE278" s="458"/>
      <c r="AF278" s="458"/>
      <c r="AG278" s="758"/>
      <c r="AH278" s="458"/>
      <c r="AI278" s="458"/>
      <c r="AJ278" s="458"/>
      <c r="AK278" s="458"/>
      <c r="AL278" s="458"/>
      <c r="AM278" s="458"/>
      <c r="AN278" s="458"/>
      <c r="AO278" s="458"/>
      <c r="AP278" s="458"/>
      <c r="AQ278" s="458"/>
      <c r="AR278" s="458"/>
      <c r="AS278" s="458"/>
      <c r="AT278" s="458"/>
      <c r="AU278" s="458"/>
      <c r="AV278" s="458"/>
      <c r="AW278" s="458"/>
      <c r="AX278" s="458"/>
      <c r="AY278" s="458"/>
      <c r="AZ278" s="458"/>
      <c r="BA278" s="458"/>
      <c r="BB278" s="458"/>
      <c r="BC278" s="458"/>
      <c r="BD278" s="458"/>
      <c r="BE278" s="458"/>
      <c r="BF278" s="458"/>
      <c r="BG278" s="458"/>
      <c r="BH278" s="458"/>
      <c r="BI278" s="458"/>
      <c r="BJ278" s="458"/>
    </row>
    <row r="279" spans="1:70" ht="17.55" customHeight="1" thickBot="1">
      <c r="A279" s="2151"/>
      <c r="B279" s="2151"/>
      <c r="C279" s="2151"/>
      <c r="D279" s="2151"/>
      <c r="E279" s="2151"/>
      <c r="F279" s="2151"/>
      <c r="G279" s="2151"/>
      <c r="H279" s="2151"/>
      <c r="I279" s="2151"/>
      <c r="J279" s="2151"/>
      <c r="K279" s="2151"/>
      <c r="L279" s="2151"/>
      <c r="M279" s="2151"/>
      <c r="N279" s="2151"/>
      <c r="O279" s="2151"/>
      <c r="P279" s="2151"/>
      <c r="Q279" s="2151"/>
      <c r="R279" s="2151"/>
      <c r="S279" s="2151"/>
      <c r="T279" s="758"/>
      <c r="U279" s="758"/>
      <c r="V279" s="758"/>
      <c r="W279" s="758"/>
      <c r="X279" s="758"/>
      <c r="Y279" s="758"/>
      <c r="Z279" s="758"/>
      <c r="AA279" s="758"/>
      <c r="AB279" s="458"/>
      <c r="AC279" s="458"/>
      <c r="AD279" s="458"/>
      <c r="AE279" s="458"/>
      <c r="AF279" s="458"/>
      <c r="AG279" s="758"/>
      <c r="AH279" s="458"/>
      <c r="AI279" s="458"/>
      <c r="AJ279" s="458"/>
      <c r="AK279" s="458"/>
      <c r="AL279" s="458"/>
      <c r="AM279" s="458"/>
      <c r="AN279" s="458"/>
      <c r="AO279" s="458"/>
      <c r="AP279" s="458"/>
      <c r="AQ279" s="458"/>
      <c r="AR279" s="458"/>
      <c r="AS279" s="458"/>
      <c r="AT279" s="458"/>
      <c r="AU279" s="458"/>
      <c r="AV279" s="458"/>
      <c r="AW279" s="458"/>
      <c r="AX279" s="458"/>
      <c r="AY279" s="458"/>
      <c r="AZ279" s="458"/>
      <c r="BA279" s="458"/>
      <c r="BB279" s="458"/>
      <c r="BC279" s="458"/>
      <c r="BD279" s="458"/>
      <c r="BE279" s="458"/>
      <c r="BF279" s="458"/>
      <c r="BG279" s="458"/>
      <c r="BH279" s="458"/>
      <c r="BI279" s="458"/>
      <c r="BJ279" s="458"/>
    </row>
    <row r="280" spans="1:70" ht="30" customHeight="1" thickBot="1">
      <c r="A280" s="2107" t="s">
        <v>688</v>
      </c>
      <c r="B280" s="2108"/>
      <c r="C280" s="2108"/>
      <c r="D280" s="2108"/>
      <c r="E280" s="2108"/>
      <c r="F280" s="2108"/>
      <c r="G280" s="2108"/>
      <c r="H280" s="2108"/>
      <c r="I280" s="2108"/>
      <c r="J280" s="2108"/>
      <c r="K280" s="2108"/>
      <c r="L280" s="2108"/>
      <c r="M280" s="2108"/>
      <c r="N280" s="2108"/>
      <c r="O280" s="2108"/>
      <c r="P280" s="2108"/>
      <c r="Q280" s="2108"/>
      <c r="R280" s="758"/>
      <c r="S280" s="758"/>
      <c r="T280" s="758"/>
      <c r="U280" s="758"/>
      <c r="V280" s="758"/>
      <c r="W280" s="758"/>
      <c r="X280" s="758"/>
      <c r="Y280" s="758"/>
      <c r="Z280" s="758"/>
      <c r="AA280" s="758"/>
      <c r="AB280" s="458"/>
      <c r="AC280" s="458"/>
      <c r="AD280" s="458"/>
      <c r="AE280" s="458"/>
      <c r="AF280" s="458"/>
      <c r="AG280" s="758"/>
      <c r="AH280" s="2213" t="s">
        <v>1559</v>
      </c>
      <c r="AI280" s="2214"/>
      <c r="AJ280" s="2214"/>
      <c r="AK280" s="2214"/>
      <c r="AL280" s="2214"/>
      <c r="AM280" s="2214"/>
      <c r="AN280" s="2214"/>
      <c r="AO280" s="2214"/>
      <c r="AP280" s="2214"/>
      <c r="AQ280" s="2214"/>
      <c r="AR280" s="2214"/>
      <c r="AS280" s="2214"/>
      <c r="AT280" s="2215"/>
      <c r="AU280" s="458"/>
      <c r="AV280" s="458"/>
      <c r="AW280" s="458"/>
      <c r="AX280" s="458"/>
      <c r="AY280" s="458"/>
      <c r="AZ280" s="458"/>
      <c r="BA280" s="458"/>
      <c r="BB280" s="458"/>
      <c r="BC280" s="458"/>
      <c r="BD280" s="458"/>
      <c r="BE280" s="458"/>
      <c r="BF280" s="458"/>
      <c r="BG280" s="458"/>
      <c r="BH280" s="458"/>
      <c r="BI280" s="458"/>
      <c r="BJ280" s="458"/>
    </row>
    <row r="281" spans="1:70" ht="30" customHeight="1" thickBot="1">
      <c r="A281" s="1065" t="s">
        <v>658</v>
      </c>
      <c r="B281" s="1066"/>
      <c r="C281" s="1066"/>
      <c r="D281" s="1066"/>
      <c r="E281" s="1066"/>
      <c r="F281" s="1066"/>
      <c r="G281" s="1066"/>
      <c r="H281" s="1066"/>
      <c r="I281" s="1066"/>
      <c r="J281" s="1066"/>
      <c r="K281" s="1066"/>
      <c r="L281" s="1066"/>
      <c r="M281" s="1066"/>
      <c r="N281" s="1066"/>
      <c r="O281" s="1066"/>
      <c r="P281" s="1066"/>
      <c r="Q281" s="1067"/>
      <c r="R281" s="758"/>
      <c r="S281" s="758"/>
      <c r="T281" s="758"/>
      <c r="U281" s="758"/>
      <c r="V281" s="758"/>
      <c r="W281" s="758"/>
      <c r="X281" s="758"/>
      <c r="Y281" s="758"/>
      <c r="Z281" s="758"/>
      <c r="AA281" s="758"/>
      <c r="AB281" s="458"/>
      <c r="AC281" s="458"/>
      <c r="AD281" s="458"/>
      <c r="AE281" s="458"/>
      <c r="AF281" s="458"/>
      <c r="AG281" s="758"/>
      <c r="AH281" s="2216"/>
      <c r="AI281" s="2217"/>
      <c r="AJ281" s="2217"/>
      <c r="AK281" s="2217"/>
      <c r="AL281" s="2217"/>
      <c r="AM281" s="2217"/>
      <c r="AN281" s="2217"/>
      <c r="AO281" s="2217"/>
      <c r="AP281" s="2217"/>
      <c r="AQ281" s="2217"/>
      <c r="AR281" s="2217"/>
      <c r="AS281" s="2217"/>
      <c r="AT281" s="2218"/>
      <c r="AU281" s="458"/>
      <c r="AV281" s="458"/>
      <c r="AW281" s="458"/>
      <c r="AX281" s="458"/>
      <c r="AY281" s="458"/>
      <c r="AZ281" s="458"/>
      <c r="BA281" s="458"/>
      <c r="BB281" s="458"/>
      <c r="BC281" s="458"/>
      <c r="BD281" s="458"/>
      <c r="BE281" s="458"/>
      <c r="BF281" s="458"/>
      <c r="BG281" s="458"/>
      <c r="BH281" s="458"/>
      <c r="BI281" s="458"/>
      <c r="BJ281" s="458"/>
    </row>
    <row r="282" spans="1:70" ht="25.8" thickBot="1">
      <c r="A282" s="1804"/>
      <c r="B282" s="2139" t="s">
        <v>636</v>
      </c>
      <c r="C282" s="2141" t="s">
        <v>656</v>
      </c>
      <c r="D282" s="1073" t="s">
        <v>821</v>
      </c>
      <c r="E282" s="1074"/>
      <c r="F282" s="1074"/>
      <c r="G282" s="1074"/>
      <c r="H282" s="1074"/>
      <c r="I282" s="1074"/>
      <c r="J282" s="1074"/>
      <c r="K282" s="1075"/>
      <c r="L282" s="1073" t="s">
        <v>659</v>
      </c>
      <c r="M282" s="1074"/>
      <c r="N282" s="1074"/>
      <c r="O282" s="1074"/>
      <c r="P282" s="1074"/>
      <c r="Q282" s="1189"/>
      <c r="R282" s="758"/>
      <c r="S282" s="758"/>
      <c r="T282" s="758"/>
      <c r="U282" s="758"/>
      <c r="V282" s="758"/>
      <c r="W282" s="758"/>
      <c r="X282" s="758"/>
      <c r="Y282" s="758"/>
      <c r="Z282" s="758"/>
      <c r="AA282" s="758"/>
      <c r="AB282" s="458"/>
      <c r="AC282" s="458"/>
      <c r="AD282" s="458"/>
      <c r="AE282" s="458"/>
      <c r="AF282" s="458"/>
      <c r="AG282" s="758"/>
      <c r="AH282" s="2216"/>
      <c r="AI282" s="2217"/>
      <c r="AJ282" s="2217"/>
      <c r="AK282" s="2217"/>
      <c r="AL282" s="2217"/>
      <c r="AM282" s="2217"/>
      <c r="AN282" s="2217"/>
      <c r="AO282" s="2217"/>
      <c r="AP282" s="2217"/>
      <c r="AQ282" s="2217"/>
      <c r="AR282" s="2217"/>
      <c r="AS282" s="2217"/>
      <c r="AT282" s="2218"/>
      <c r="AU282" s="458"/>
      <c r="AV282" s="458"/>
      <c r="AW282" s="458"/>
      <c r="AX282" s="458"/>
      <c r="AY282" s="458"/>
      <c r="AZ282" s="458"/>
      <c r="BA282" s="458"/>
      <c r="BB282" s="458"/>
      <c r="BC282" s="458"/>
      <c r="BD282" s="458"/>
      <c r="BE282" s="458"/>
      <c r="BF282" s="458"/>
      <c r="BG282" s="458"/>
      <c r="BH282" s="458"/>
      <c r="BI282" s="458"/>
      <c r="BJ282" s="458"/>
    </row>
    <row r="283" spans="1:70" ht="66" customHeight="1">
      <c r="A283" s="1805"/>
      <c r="B283" s="2139"/>
      <c r="C283" s="2142"/>
      <c r="D283" s="2131" t="s">
        <v>638</v>
      </c>
      <c r="E283" s="2131" t="s">
        <v>673</v>
      </c>
      <c r="F283" s="2131" t="s">
        <v>654</v>
      </c>
      <c r="G283" s="2131" t="s">
        <v>675</v>
      </c>
      <c r="H283" s="2131" t="s">
        <v>1177</v>
      </c>
      <c r="I283" s="2131" t="s">
        <v>1178</v>
      </c>
      <c r="J283" s="2131" t="s">
        <v>686</v>
      </c>
      <c r="K283" s="2133" t="s">
        <v>687</v>
      </c>
      <c r="L283" s="821" t="s">
        <v>40</v>
      </c>
      <c r="M283" s="696" t="s">
        <v>39</v>
      </c>
      <c r="N283" s="696" t="s">
        <v>145</v>
      </c>
      <c r="O283" s="696" t="s">
        <v>147</v>
      </c>
      <c r="P283" s="9" t="s">
        <v>31</v>
      </c>
      <c r="Q283" s="1191"/>
      <c r="R283" s="758"/>
      <c r="S283" s="758"/>
      <c r="T283" s="758"/>
      <c r="U283" s="758"/>
      <c r="V283" s="758"/>
      <c r="W283" s="758"/>
      <c r="X283" s="758"/>
      <c r="Y283" s="758"/>
      <c r="Z283" s="758"/>
      <c r="AA283" s="758"/>
      <c r="AB283" s="458"/>
      <c r="AC283" s="458"/>
      <c r="AD283" s="458"/>
      <c r="AE283" s="458"/>
      <c r="AF283" s="458"/>
      <c r="AG283" s="758"/>
      <c r="AH283" s="2216"/>
      <c r="AI283" s="2217"/>
      <c r="AJ283" s="2217"/>
      <c r="AK283" s="2217"/>
      <c r="AL283" s="2217"/>
      <c r="AM283" s="2217"/>
      <c r="AN283" s="2217"/>
      <c r="AO283" s="2217"/>
      <c r="AP283" s="2217"/>
      <c r="AQ283" s="2217"/>
      <c r="AR283" s="2217"/>
      <c r="AS283" s="2217"/>
      <c r="AT283" s="2218"/>
      <c r="AU283" s="458"/>
      <c r="AV283" s="458"/>
      <c r="AW283" s="458"/>
      <c r="AX283" s="458"/>
      <c r="AY283" s="458"/>
      <c r="AZ283" s="458"/>
      <c r="BA283" s="458"/>
      <c r="BB283" s="458"/>
      <c r="BC283" s="458"/>
      <c r="BD283" s="458"/>
      <c r="BE283" s="458"/>
      <c r="BF283" s="458"/>
      <c r="BG283" s="458"/>
      <c r="BH283" s="458"/>
      <c r="BI283" s="458"/>
      <c r="BJ283" s="458"/>
    </row>
    <row r="284" spans="1:70" ht="55.95" customHeight="1" thickBot="1">
      <c r="A284" s="1805"/>
      <c r="B284" s="2139"/>
      <c r="C284" s="2142"/>
      <c r="D284" s="2132"/>
      <c r="E284" s="2132"/>
      <c r="F284" s="2132"/>
      <c r="G284" s="2132"/>
      <c r="H284" s="2132"/>
      <c r="I284" s="2132"/>
      <c r="J284" s="2132"/>
      <c r="K284" s="2134"/>
      <c r="L284" s="822" t="s">
        <v>146</v>
      </c>
      <c r="M284" s="697" t="s">
        <v>146</v>
      </c>
      <c r="N284" s="697" t="s">
        <v>146</v>
      </c>
      <c r="O284" s="697" t="s">
        <v>146</v>
      </c>
      <c r="P284" s="812" t="s">
        <v>146</v>
      </c>
      <c r="Q284" s="1191"/>
      <c r="R284" s="758"/>
      <c r="S284" s="758"/>
      <c r="T284" s="758"/>
      <c r="U284" s="758"/>
      <c r="V284" s="758"/>
      <c r="W284" s="758"/>
      <c r="X284" s="758"/>
      <c r="Y284" s="758"/>
      <c r="Z284" s="758"/>
      <c r="AA284" s="758"/>
      <c r="AB284" s="458"/>
      <c r="AC284" s="458"/>
      <c r="AD284" s="458"/>
      <c r="AE284" s="458"/>
      <c r="AF284" s="458"/>
      <c r="AG284" s="758"/>
      <c r="AH284" s="2216"/>
      <c r="AI284" s="2217"/>
      <c r="AJ284" s="2217"/>
      <c r="AK284" s="2217"/>
      <c r="AL284" s="2217"/>
      <c r="AM284" s="2217"/>
      <c r="AN284" s="2217"/>
      <c r="AO284" s="2217"/>
      <c r="AP284" s="2217"/>
      <c r="AQ284" s="2217"/>
      <c r="AR284" s="2217"/>
      <c r="AS284" s="2217"/>
      <c r="AT284" s="2218"/>
      <c r="AU284" s="458"/>
      <c r="AV284" s="458"/>
      <c r="AW284" s="458"/>
      <c r="AX284" s="458"/>
      <c r="AY284" s="458"/>
      <c r="AZ284" s="458"/>
      <c r="BA284" s="458"/>
      <c r="BB284" s="458"/>
      <c r="BC284" s="458"/>
      <c r="BD284" s="458"/>
      <c r="BE284" s="458"/>
      <c r="BF284" s="458"/>
      <c r="BG284" s="458"/>
      <c r="BH284" s="458"/>
      <c r="BI284" s="458"/>
      <c r="BJ284" s="458"/>
    </row>
    <row r="285" spans="1:70" ht="21" thickBot="1">
      <c r="A285" s="1805"/>
      <c r="B285" s="2139"/>
      <c r="C285" s="2141"/>
      <c r="D285" s="443">
        <v>1.3000000000000001E-5</v>
      </c>
      <c r="E285" s="443">
        <v>4.3000000000000002E-5</v>
      </c>
      <c r="F285" s="443">
        <v>6.5000000000000008E-5</v>
      </c>
      <c r="G285" s="443">
        <v>5.4000000000000012E-4</v>
      </c>
      <c r="H285" s="443">
        <v>1.2E-4</v>
      </c>
      <c r="I285" s="443">
        <v>1.3000000000000002E-4</v>
      </c>
      <c r="J285" s="443">
        <v>4.2000000000000004E-5</v>
      </c>
      <c r="K285" s="443">
        <v>7.9999999999999996E-6</v>
      </c>
      <c r="L285" s="1840" t="s">
        <v>657</v>
      </c>
      <c r="M285" s="1841"/>
      <c r="N285" s="1841"/>
      <c r="O285" s="2144"/>
      <c r="P285" s="453">
        <f>SUM(P289:P396)</f>
        <v>0</v>
      </c>
      <c r="Q285" s="1191"/>
      <c r="R285" s="758"/>
      <c r="S285" s="758"/>
      <c r="T285" s="758"/>
      <c r="U285" s="758"/>
      <c r="V285" s="758"/>
      <c r="W285" s="758"/>
      <c r="X285" s="758"/>
      <c r="Y285" s="758"/>
      <c r="Z285" s="758"/>
      <c r="AA285" s="758"/>
      <c r="AB285" s="458"/>
      <c r="AC285" s="458"/>
      <c r="AD285" s="458"/>
      <c r="AE285" s="458"/>
      <c r="AF285" s="458"/>
      <c r="AG285" s="758"/>
      <c r="AH285" s="2219"/>
      <c r="AI285" s="2220"/>
      <c r="AJ285" s="2220"/>
      <c r="AK285" s="2220"/>
      <c r="AL285" s="2220"/>
      <c r="AM285" s="2220"/>
      <c r="AN285" s="2220"/>
      <c r="AO285" s="2220"/>
      <c r="AP285" s="2220"/>
      <c r="AQ285" s="2220"/>
      <c r="AR285" s="2220"/>
      <c r="AS285" s="2220"/>
      <c r="AT285" s="2221"/>
      <c r="AU285" s="458"/>
      <c r="AV285" s="458"/>
      <c r="AW285" s="458"/>
      <c r="AX285" s="458"/>
      <c r="AY285" s="458"/>
      <c r="AZ285" s="458"/>
      <c r="BA285" s="458"/>
      <c r="BB285" s="458"/>
      <c r="BC285" s="458"/>
      <c r="BD285" s="458"/>
      <c r="BE285" s="458"/>
      <c r="BF285" s="458"/>
      <c r="BG285" s="458"/>
      <c r="BH285" s="458"/>
      <c r="BI285" s="458"/>
      <c r="BJ285" s="458"/>
    </row>
    <row r="286" spans="1:70" ht="25.8" thickBot="1">
      <c r="A286" s="1805"/>
      <c r="B286" s="2139"/>
      <c r="C286" s="2141"/>
      <c r="D286" s="1204" t="s">
        <v>637</v>
      </c>
      <c r="E286" s="1205"/>
      <c r="F286" s="1205"/>
      <c r="G286" s="1205"/>
      <c r="H286" s="1205"/>
      <c r="I286" s="1205"/>
      <c r="J286" s="1205"/>
      <c r="K286" s="1206"/>
      <c r="L286" s="1232" t="s">
        <v>660</v>
      </c>
      <c r="M286" s="1233"/>
      <c r="N286" s="1233"/>
      <c r="O286" s="1233"/>
      <c r="P286" s="1233"/>
      <c r="Q286" s="1191"/>
      <c r="R286" s="758"/>
      <c r="S286" s="758"/>
      <c r="T286" s="758"/>
      <c r="U286" s="758"/>
      <c r="V286" s="758"/>
      <c r="W286" s="758"/>
      <c r="X286" s="758"/>
      <c r="Y286" s="758"/>
      <c r="Z286" s="758"/>
      <c r="AA286" s="758"/>
      <c r="AB286" s="458"/>
      <c r="AC286" s="458"/>
      <c r="AD286" s="458"/>
      <c r="AE286" s="458"/>
      <c r="AF286" s="458"/>
      <c r="AG286" s="758"/>
      <c r="AH286" s="2207"/>
      <c r="AI286" s="2208"/>
      <c r="AJ286" s="2208"/>
      <c r="AK286" s="2208"/>
      <c r="AL286" s="2208"/>
      <c r="AM286" s="2208"/>
      <c r="AN286" s="2208"/>
      <c r="AO286" s="2208"/>
      <c r="AP286" s="2208"/>
      <c r="AQ286" s="2208"/>
      <c r="AR286" s="2208"/>
      <c r="AS286" s="2208"/>
      <c r="AT286" s="2209"/>
      <c r="AU286" s="458"/>
      <c r="AV286" s="458"/>
      <c r="AW286" s="458"/>
      <c r="AX286" s="458"/>
      <c r="AY286" s="458"/>
      <c r="AZ286" s="458"/>
      <c r="BA286" s="458"/>
      <c r="BB286" s="458"/>
      <c r="BC286" s="458"/>
      <c r="BD286" s="458"/>
      <c r="BE286" s="458"/>
      <c r="BF286" s="458"/>
      <c r="BG286" s="458"/>
      <c r="BH286" s="458"/>
      <c r="BI286" s="458"/>
      <c r="BJ286" s="458"/>
    </row>
    <row r="287" spans="1:70" ht="50.55" customHeight="1">
      <c r="A287" s="1805"/>
      <c r="B287" s="2139"/>
      <c r="C287" s="2141"/>
      <c r="D287" s="2131" t="s">
        <v>618</v>
      </c>
      <c r="E287" s="2131" t="s">
        <v>662</v>
      </c>
      <c r="F287" s="2131" t="s">
        <v>621</v>
      </c>
      <c r="G287" s="2131" t="s">
        <v>670</v>
      </c>
      <c r="H287" s="2131" t="s">
        <v>684</v>
      </c>
      <c r="I287" s="2131" t="s">
        <v>685</v>
      </c>
      <c r="J287" s="2131" t="s">
        <v>671</v>
      </c>
      <c r="K287" s="2133" t="s">
        <v>672</v>
      </c>
      <c r="L287" s="821" t="s">
        <v>40</v>
      </c>
      <c r="M287" s="696" t="s">
        <v>39</v>
      </c>
      <c r="N287" s="696" t="s">
        <v>145</v>
      </c>
      <c r="O287" s="696" t="s">
        <v>147</v>
      </c>
      <c r="P287" s="9" t="s">
        <v>31</v>
      </c>
      <c r="Q287" s="1191"/>
      <c r="R287" s="758"/>
      <c r="S287" s="758"/>
      <c r="T287" s="758"/>
      <c r="U287" s="758"/>
      <c r="V287" s="758"/>
      <c r="W287" s="758"/>
      <c r="X287" s="758"/>
      <c r="Y287" s="758"/>
      <c r="Z287" s="758"/>
      <c r="AA287" s="758"/>
      <c r="AB287" s="458"/>
      <c r="AC287" s="458"/>
      <c r="AD287" s="458"/>
      <c r="AE287" s="458"/>
      <c r="AF287" s="458"/>
      <c r="AG287" s="758"/>
      <c r="AH287" s="2204"/>
      <c r="AI287" s="2193" t="str">
        <f>B282</f>
        <v>شماره جريان</v>
      </c>
      <c r="AJ287" s="2162" t="s">
        <v>1408</v>
      </c>
      <c r="AK287" s="2157" t="s">
        <v>1384</v>
      </c>
      <c r="AL287" s="2157" t="s">
        <v>1424</v>
      </c>
      <c r="AM287" s="2157" t="s">
        <v>1388</v>
      </c>
      <c r="AN287" s="2157" t="s">
        <v>1432</v>
      </c>
      <c r="AO287" s="2157" t="s">
        <v>1433</v>
      </c>
      <c r="AP287" s="2157" t="s">
        <v>1434</v>
      </c>
      <c r="AQ287" s="2157" t="s">
        <v>1435</v>
      </c>
      <c r="AR287" s="2210" t="s">
        <v>1436</v>
      </c>
      <c r="AS287" s="2173" t="s">
        <v>1407</v>
      </c>
      <c r="AT287" s="2204"/>
      <c r="AU287" s="458"/>
      <c r="AV287" s="458"/>
      <c r="AW287" s="458"/>
      <c r="AX287" s="458"/>
      <c r="AY287" s="458"/>
      <c r="AZ287" s="458"/>
      <c r="BA287" s="458"/>
      <c r="BB287" s="458"/>
      <c r="BC287" s="458"/>
      <c r="BD287" s="458"/>
      <c r="BE287" s="458"/>
      <c r="BF287" s="458"/>
      <c r="BG287" s="458"/>
      <c r="BH287" s="458"/>
      <c r="BI287" s="458"/>
      <c r="BJ287" s="458"/>
      <c r="BK287" s="722" t="s">
        <v>31</v>
      </c>
      <c r="BL287" s="438"/>
      <c r="BM287" s="722" t="s">
        <v>31</v>
      </c>
      <c r="BN287" s="438"/>
      <c r="BO287" s="1332" t="s">
        <v>1409</v>
      </c>
      <c r="BP287" s="1332"/>
      <c r="BQ287" s="1332"/>
      <c r="BR287" s="438"/>
    </row>
    <row r="288" spans="1:70" ht="50.55" customHeight="1" thickBot="1">
      <c r="A288" s="1805"/>
      <c r="B288" s="2140"/>
      <c r="C288" s="2143"/>
      <c r="D288" s="2132"/>
      <c r="E288" s="2132"/>
      <c r="F288" s="2132"/>
      <c r="G288" s="2132"/>
      <c r="H288" s="2132"/>
      <c r="I288" s="2132"/>
      <c r="J288" s="2132"/>
      <c r="K288" s="2134"/>
      <c r="L288" s="822" t="s">
        <v>146</v>
      </c>
      <c r="M288" s="697" t="s">
        <v>146</v>
      </c>
      <c r="N288" s="697" t="s">
        <v>146</v>
      </c>
      <c r="O288" s="697" t="s">
        <v>146</v>
      </c>
      <c r="P288" s="812" t="s">
        <v>146</v>
      </c>
      <c r="Q288" s="1191"/>
      <c r="R288" s="758"/>
      <c r="S288" s="758"/>
      <c r="T288" s="758"/>
      <c r="U288" s="758"/>
      <c r="V288" s="758"/>
      <c r="W288" s="758"/>
      <c r="X288" s="758"/>
      <c r="Y288" s="758"/>
      <c r="Z288" s="758"/>
      <c r="AA288" s="758"/>
      <c r="AB288" s="458"/>
      <c r="AC288" s="458"/>
      <c r="AD288" s="458"/>
      <c r="AE288" s="458"/>
      <c r="AF288" s="458"/>
      <c r="AG288" s="758"/>
      <c r="AH288" s="2205"/>
      <c r="AI288" s="2194"/>
      <c r="AJ288" s="2163"/>
      <c r="AK288" s="2158"/>
      <c r="AL288" s="2158"/>
      <c r="AM288" s="2158"/>
      <c r="AN288" s="2158"/>
      <c r="AO288" s="2158"/>
      <c r="AP288" s="2158"/>
      <c r="AQ288" s="2158"/>
      <c r="AR288" s="2185"/>
      <c r="AS288" s="2174"/>
      <c r="AT288" s="2205"/>
      <c r="AU288" s="458"/>
      <c r="AV288" s="458"/>
      <c r="AW288" s="458"/>
      <c r="AX288" s="458"/>
      <c r="AY288" s="458"/>
      <c r="AZ288" s="458"/>
      <c r="BA288" s="458"/>
      <c r="BB288" s="458"/>
      <c r="BC288" s="458"/>
      <c r="BD288" s="458"/>
      <c r="BE288" s="458"/>
      <c r="BF288" s="458"/>
      <c r="BG288" s="458"/>
      <c r="BH288" s="458"/>
      <c r="BI288" s="458"/>
      <c r="BJ288" s="458"/>
      <c r="BK288" s="592" t="s">
        <v>1413</v>
      </c>
      <c r="BM288" s="592" t="s">
        <v>1286</v>
      </c>
      <c r="BO288" s="593" t="s">
        <v>1410</v>
      </c>
      <c r="BP288" s="593" t="s">
        <v>1411</v>
      </c>
      <c r="BQ288" s="593" t="s">
        <v>1409</v>
      </c>
      <c r="BR288" s="593" t="s">
        <v>1412</v>
      </c>
    </row>
    <row r="289" spans="1:70" ht="15.45" customHeight="1">
      <c r="A289" s="1805"/>
      <c r="B289" s="455"/>
      <c r="C289" s="456"/>
      <c r="D289" s="233"/>
      <c r="E289" s="233"/>
      <c r="F289" s="684"/>
      <c r="G289" s="684"/>
      <c r="H289" s="684"/>
      <c r="I289" s="684"/>
      <c r="J289" s="684"/>
      <c r="K289" s="684"/>
      <c r="L289" s="2145" t="s">
        <v>657</v>
      </c>
      <c r="M289" s="2146"/>
      <c r="N289" s="2146"/>
      <c r="O289" s="2147"/>
      <c r="P289" s="824">
        <f>((D289*$D$285)+($E$285*E289)+($F$285*F289)+($G$285*G289)+($H$285*H289)+($I$285*I289)+($J$285*J289)+($K$285*K289))*C289*8.76</f>
        <v>0</v>
      </c>
      <c r="Q289" s="1191"/>
      <c r="R289" s="758"/>
      <c r="S289" s="758"/>
      <c r="T289" s="758"/>
      <c r="U289" s="758"/>
      <c r="V289" s="758"/>
      <c r="W289" s="758"/>
      <c r="X289" s="758"/>
      <c r="Y289" s="758"/>
      <c r="Z289" s="758"/>
      <c r="AA289" s="758"/>
      <c r="AB289" s="458"/>
      <c r="AC289" s="458"/>
      <c r="AD289" s="458"/>
      <c r="AE289" s="458"/>
      <c r="AF289" s="458"/>
      <c r="AG289" s="758"/>
      <c r="AH289" s="2205"/>
      <c r="AI289" s="842">
        <f>B289</f>
        <v>0</v>
      </c>
      <c r="AJ289" s="233"/>
      <c r="AK289" s="233"/>
      <c r="AL289" s="233"/>
      <c r="AM289" s="233"/>
      <c r="AN289" s="233"/>
      <c r="AO289" s="233"/>
      <c r="AP289" s="233"/>
      <c r="AQ289" s="233"/>
      <c r="AR289" s="233"/>
      <c r="AS289" s="626" t="str">
        <f>BR289</f>
        <v/>
      </c>
      <c r="AT289" s="2205"/>
      <c r="AU289" s="458"/>
      <c r="AV289" s="458"/>
      <c r="AW289" s="458"/>
      <c r="AX289" s="458"/>
      <c r="AY289" s="458"/>
      <c r="AZ289" s="458"/>
      <c r="BA289" s="458"/>
      <c r="BB289" s="458"/>
      <c r="BC289" s="458"/>
      <c r="BD289" s="458"/>
      <c r="BE289" s="458"/>
      <c r="BF289" s="458"/>
      <c r="BG289" s="458"/>
      <c r="BH289" s="458"/>
      <c r="BI289" s="458"/>
      <c r="BJ289" s="458"/>
      <c r="BK289" s="592" t="str">
        <f>IF(OR(AS289="",P289=""),"",AS289*P289)</f>
        <v/>
      </c>
      <c r="BM289" s="592" t="str">
        <f>IF(BK289="","",BK289^2)</f>
        <v/>
      </c>
      <c r="BO289" s="592">
        <f xml:space="preserve"> SQRT(    ((AK289^2+40^2)*((D289*$D$285)^2))      +        ((40^2+AL289^2)*(($E$285*E289)^2))       +        ((40^2+AM289^2)*(($F$285*F289)^2))       +        ((40^2+AN289^2)*(($G$285*G289)^2))       +        ((40^2+AO289^2)*(($H$285*H289)^2))       +        ((40^2+AP289^2)*(($I$285*I289)^2))       +        ((40^2+AQ289^2)*(($J$285*J289)^2))       +       ((40^2+AR289^2)*(($K$285*K289)^2))               )</f>
        <v>0</v>
      </c>
      <c r="BP289" s="592">
        <f>((D289*$D$285)+($E$285*E289)+($F$285*F289)+($G$285*G289)+($H$285*H289)+($I$285*I289)+($J$285*J289)+($K$285*K289))</f>
        <v>0</v>
      </c>
      <c r="BQ289" s="592" t="str">
        <f>IF(OR(BP289=0,BP289=""),"",BO289/BP289)</f>
        <v/>
      </c>
      <c r="BR289" s="592" t="str">
        <f>IF(OR(BQ289="",AJ289=""),"",SQRT((BQ289)^2+(AJ289)^2))</f>
        <v/>
      </c>
    </row>
    <row r="290" spans="1:70" ht="15.6">
      <c r="A290" s="1805"/>
      <c r="B290" s="457"/>
      <c r="C290" s="454"/>
      <c r="D290" s="684"/>
      <c r="E290" s="684"/>
      <c r="F290" s="684"/>
      <c r="G290" s="684"/>
      <c r="H290" s="684"/>
      <c r="I290" s="684"/>
      <c r="J290" s="684"/>
      <c r="K290" s="684"/>
      <c r="L290" s="2145"/>
      <c r="M290" s="2146"/>
      <c r="N290" s="2146"/>
      <c r="O290" s="2147"/>
      <c r="P290" s="824">
        <f t="shared" ref="P290:P320" si="38">((D290*$D$285)+($E$285*E290)+($F$285*F290)+($G$285*G290)+($H$285*H290)+($I$285*I290)+($J$285*J290)+($K$285*K290))*C290*8.76</f>
        <v>0</v>
      </c>
      <c r="Q290" s="1191"/>
      <c r="R290" s="758"/>
      <c r="S290" s="758"/>
      <c r="T290" s="758"/>
      <c r="U290" s="758"/>
      <c r="V290" s="758"/>
      <c r="W290" s="758"/>
      <c r="X290" s="758"/>
      <c r="Y290" s="758"/>
      <c r="Z290" s="758"/>
      <c r="AA290" s="758"/>
      <c r="AB290" s="458"/>
      <c r="AC290" s="458"/>
      <c r="AD290" s="458"/>
      <c r="AE290" s="458"/>
      <c r="AF290" s="458"/>
      <c r="AG290" s="758"/>
      <c r="AH290" s="2205"/>
      <c r="AI290" s="842">
        <f t="shared" ref="AI290:AI321" si="39">B290</f>
        <v>0</v>
      </c>
      <c r="AJ290" s="233"/>
      <c r="AK290" s="233"/>
      <c r="AL290" s="233"/>
      <c r="AM290" s="233"/>
      <c r="AN290" s="233"/>
      <c r="AO290" s="684"/>
      <c r="AP290" s="684"/>
      <c r="AQ290" s="684"/>
      <c r="AR290" s="684"/>
      <c r="AS290" s="626" t="str">
        <f t="shared" ref="AS290:AS353" si="40">BR290</f>
        <v/>
      </c>
      <c r="AT290" s="2205"/>
      <c r="AU290" s="458"/>
      <c r="AV290" s="458"/>
      <c r="AW290" s="458"/>
      <c r="AX290" s="458"/>
      <c r="AY290" s="458"/>
      <c r="AZ290" s="458"/>
      <c r="BA290" s="458"/>
      <c r="BB290" s="458"/>
      <c r="BC290" s="458"/>
      <c r="BD290" s="458"/>
      <c r="BE290" s="458"/>
      <c r="BF290" s="458"/>
      <c r="BG290" s="458"/>
      <c r="BH290" s="458"/>
      <c r="BI290" s="458"/>
      <c r="BJ290" s="458"/>
      <c r="BK290" s="592" t="str">
        <f t="shared" ref="BK290:BK353" si="41">IF(OR(AS290="",P290=""),"",AS290*P290)</f>
        <v/>
      </c>
      <c r="BM290" s="592" t="str">
        <f t="shared" ref="BM290:BM353" si="42">IF(BK290="","",BK290^2)</f>
        <v/>
      </c>
      <c r="BO290" s="592">
        <f t="shared" ref="BO290:BO353" si="43" xml:space="preserve"> SQRT(    ((AK290^2+40^2)*((D290*$D$285)^2))      +        ((40^2+AL290^2)*(($E$285*E290)^2))       +        ((40^2+AM290^2)*(($F$285*F290)^2))       +        ((40^2+AN290^2)*(($G$285*G290)^2))       +        ((40^2+AO290^2)*(($H$285*H290)^2))       +        ((40^2+AP290^2)*(($I$285*I290)^2))       +        ((40^2+AQ290^2)*(($J$285*J290)^2))       +       ((40^2+AR290^2)*(($K$285*K290)^2))               )</f>
        <v>0</v>
      </c>
      <c r="BP290" s="592">
        <f t="shared" ref="BP290:BP353" si="44">((D290*$D$285)+($E$285*E290)+($F$285*F290)+($G$285*G290)+($H$285*H290)+($I$285*I290)+($J$285*J290)+($K$285*K290))</f>
        <v>0</v>
      </c>
      <c r="BQ290" s="592" t="str">
        <f t="shared" ref="BQ290:BQ353" si="45">IF(OR(BP290=0,BP290=""),"",BO290/BP290)</f>
        <v/>
      </c>
      <c r="BR290" s="592" t="str">
        <f t="shared" ref="BR290:BR353" si="46">IF(OR(BQ290="",AJ290=""),"",SQRT((BQ290)^2+(AJ290)^2))</f>
        <v/>
      </c>
    </row>
    <row r="291" spans="1:70" ht="15.6">
      <c r="A291" s="1805"/>
      <c r="B291" s="457"/>
      <c r="C291" s="454"/>
      <c r="D291" s="684"/>
      <c r="E291" s="684"/>
      <c r="F291" s="684"/>
      <c r="G291" s="684"/>
      <c r="H291" s="684"/>
      <c r="I291" s="684"/>
      <c r="J291" s="684"/>
      <c r="K291" s="684"/>
      <c r="L291" s="2145"/>
      <c r="M291" s="2146"/>
      <c r="N291" s="2146"/>
      <c r="O291" s="2147"/>
      <c r="P291" s="824">
        <f t="shared" si="38"/>
        <v>0</v>
      </c>
      <c r="Q291" s="1191"/>
      <c r="R291" s="758"/>
      <c r="S291" s="758"/>
      <c r="T291" s="758"/>
      <c r="U291" s="758"/>
      <c r="V291" s="758"/>
      <c r="W291" s="758"/>
      <c r="X291" s="758"/>
      <c r="Y291" s="758"/>
      <c r="Z291" s="758"/>
      <c r="AA291" s="758"/>
      <c r="AB291" s="458"/>
      <c r="AC291" s="458"/>
      <c r="AD291" s="458"/>
      <c r="AE291" s="458"/>
      <c r="AF291" s="458"/>
      <c r="AG291" s="758"/>
      <c r="AH291" s="2205"/>
      <c r="AI291" s="842">
        <f t="shared" si="39"/>
        <v>0</v>
      </c>
      <c r="AJ291" s="233"/>
      <c r="AK291" s="233"/>
      <c r="AL291" s="233"/>
      <c r="AM291" s="233"/>
      <c r="AN291" s="233"/>
      <c r="AO291" s="684"/>
      <c r="AP291" s="684"/>
      <c r="AQ291" s="684"/>
      <c r="AR291" s="684"/>
      <c r="AS291" s="626" t="str">
        <f t="shared" si="40"/>
        <v/>
      </c>
      <c r="AT291" s="2205"/>
      <c r="AU291" s="458"/>
      <c r="AV291" s="458"/>
      <c r="AW291" s="458"/>
      <c r="AX291" s="458"/>
      <c r="AY291" s="458"/>
      <c r="AZ291" s="458"/>
      <c r="BA291" s="458"/>
      <c r="BB291" s="458"/>
      <c r="BC291" s="458"/>
      <c r="BD291" s="458"/>
      <c r="BE291" s="458"/>
      <c r="BF291" s="458"/>
      <c r="BG291" s="458"/>
      <c r="BH291" s="458"/>
      <c r="BI291" s="458"/>
      <c r="BJ291" s="458"/>
      <c r="BK291" s="592" t="str">
        <f t="shared" si="41"/>
        <v/>
      </c>
      <c r="BM291" s="592" t="str">
        <f t="shared" si="42"/>
        <v/>
      </c>
      <c r="BO291" s="592">
        <f t="shared" si="43"/>
        <v>0</v>
      </c>
      <c r="BP291" s="592">
        <f t="shared" si="44"/>
        <v>0</v>
      </c>
      <c r="BQ291" s="592" t="str">
        <f t="shared" si="45"/>
        <v/>
      </c>
      <c r="BR291" s="592" t="str">
        <f t="shared" si="46"/>
        <v/>
      </c>
    </row>
    <row r="292" spans="1:70" ht="15.6">
      <c r="A292" s="1805"/>
      <c r="B292" s="457"/>
      <c r="C292" s="454"/>
      <c r="D292" s="684"/>
      <c r="E292" s="684"/>
      <c r="F292" s="684"/>
      <c r="G292" s="684"/>
      <c r="H292" s="684"/>
      <c r="I292" s="684"/>
      <c r="J292" s="684"/>
      <c r="K292" s="684"/>
      <c r="L292" s="2145"/>
      <c r="M292" s="2146"/>
      <c r="N292" s="2146"/>
      <c r="O292" s="2147"/>
      <c r="P292" s="824">
        <f t="shared" si="38"/>
        <v>0</v>
      </c>
      <c r="Q292" s="1191"/>
      <c r="R292" s="758"/>
      <c r="S292" s="758"/>
      <c r="T292" s="758"/>
      <c r="U292" s="758"/>
      <c r="V292" s="758"/>
      <c r="W292" s="758"/>
      <c r="X292" s="758"/>
      <c r="Y292" s="758"/>
      <c r="Z292" s="758"/>
      <c r="AA292" s="758"/>
      <c r="AB292" s="458"/>
      <c r="AC292" s="458"/>
      <c r="AD292" s="458"/>
      <c r="AE292" s="458"/>
      <c r="AF292" s="458"/>
      <c r="AG292" s="758"/>
      <c r="AH292" s="2205"/>
      <c r="AI292" s="842">
        <f t="shared" si="39"/>
        <v>0</v>
      </c>
      <c r="AJ292" s="233"/>
      <c r="AK292" s="233"/>
      <c r="AL292" s="233"/>
      <c r="AM292" s="233"/>
      <c r="AN292" s="233"/>
      <c r="AO292" s="684"/>
      <c r="AP292" s="684"/>
      <c r="AQ292" s="684"/>
      <c r="AR292" s="684"/>
      <c r="AS292" s="626" t="str">
        <f t="shared" si="40"/>
        <v/>
      </c>
      <c r="AT292" s="2205"/>
      <c r="AU292" s="458"/>
      <c r="AV292" s="458"/>
      <c r="AW292" s="458"/>
      <c r="AX292" s="458"/>
      <c r="AY292" s="458"/>
      <c r="AZ292" s="458"/>
      <c r="BA292" s="458"/>
      <c r="BB292" s="458"/>
      <c r="BC292" s="458"/>
      <c r="BD292" s="458"/>
      <c r="BE292" s="458"/>
      <c r="BF292" s="458"/>
      <c r="BG292" s="458"/>
      <c r="BH292" s="458"/>
      <c r="BI292" s="458"/>
      <c r="BJ292" s="458"/>
      <c r="BK292" s="592" t="str">
        <f t="shared" si="41"/>
        <v/>
      </c>
      <c r="BM292" s="592" t="str">
        <f t="shared" si="42"/>
        <v/>
      </c>
      <c r="BO292" s="592">
        <f t="shared" si="43"/>
        <v>0</v>
      </c>
      <c r="BP292" s="592">
        <f t="shared" si="44"/>
        <v>0</v>
      </c>
      <c r="BQ292" s="592" t="str">
        <f t="shared" si="45"/>
        <v/>
      </c>
      <c r="BR292" s="592" t="str">
        <f t="shared" si="46"/>
        <v/>
      </c>
    </row>
    <row r="293" spans="1:70" ht="15.6">
      <c r="A293" s="1805"/>
      <c r="B293" s="457"/>
      <c r="C293" s="454"/>
      <c r="D293" s="684"/>
      <c r="E293" s="684"/>
      <c r="F293" s="684"/>
      <c r="G293" s="684"/>
      <c r="H293" s="684"/>
      <c r="I293" s="684"/>
      <c r="J293" s="684"/>
      <c r="K293" s="684"/>
      <c r="L293" s="2145"/>
      <c r="M293" s="2146"/>
      <c r="N293" s="2146"/>
      <c r="O293" s="2147"/>
      <c r="P293" s="824">
        <f t="shared" si="38"/>
        <v>0</v>
      </c>
      <c r="Q293" s="1191"/>
      <c r="R293" s="758"/>
      <c r="S293" s="758"/>
      <c r="T293" s="758"/>
      <c r="U293" s="758"/>
      <c r="V293" s="758"/>
      <c r="W293" s="758"/>
      <c r="X293" s="758"/>
      <c r="Y293" s="758"/>
      <c r="Z293" s="758"/>
      <c r="AA293" s="758"/>
      <c r="AB293" s="458"/>
      <c r="AC293" s="458"/>
      <c r="AD293" s="458"/>
      <c r="AE293" s="458"/>
      <c r="AF293" s="458"/>
      <c r="AG293" s="758"/>
      <c r="AH293" s="2205"/>
      <c r="AI293" s="842">
        <f t="shared" si="39"/>
        <v>0</v>
      </c>
      <c r="AJ293" s="233"/>
      <c r="AK293" s="233"/>
      <c r="AL293" s="233"/>
      <c r="AM293" s="233"/>
      <c r="AN293" s="233"/>
      <c r="AO293" s="684"/>
      <c r="AP293" s="684"/>
      <c r="AQ293" s="684"/>
      <c r="AR293" s="684"/>
      <c r="AS293" s="626" t="str">
        <f t="shared" si="40"/>
        <v/>
      </c>
      <c r="AT293" s="2205"/>
      <c r="AU293" s="458"/>
      <c r="AV293" s="458"/>
      <c r="AW293" s="458"/>
      <c r="AX293" s="458"/>
      <c r="AY293" s="458"/>
      <c r="AZ293" s="458"/>
      <c r="BA293" s="458"/>
      <c r="BB293" s="458"/>
      <c r="BC293" s="458"/>
      <c r="BD293" s="458"/>
      <c r="BE293" s="458"/>
      <c r="BF293" s="458"/>
      <c r="BG293" s="458"/>
      <c r="BH293" s="458"/>
      <c r="BI293" s="458"/>
      <c r="BJ293" s="458"/>
      <c r="BK293" s="592" t="str">
        <f t="shared" si="41"/>
        <v/>
      </c>
      <c r="BM293" s="592" t="str">
        <f t="shared" si="42"/>
        <v/>
      </c>
      <c r="BO293" s="592">
        <f t="shared" si="43"/>
        <v>0</v>
      </c>
      <c r="BP293" s="592">
        <f t="shared" si="44"/>
        <v>0</v>
      </c>
      <c r="BQ293" s="592" t="str">
        <f t="shared" si="45"/>
        <v/>
      </c>
      <c r="BR293" s="592" t="str">
        <f t="shared" si="46"/>
        <v/>
      </c>
    </row>
    <row r="294" spans="1:70" ht="15.6">
      <c r="A294" s="1805"/>
      <c r="B294" s="457"/>
      <c r="C294" s="454"/>
      <c r="D294" s="684"/>
      <c r="E294" s="684"/>
      <c r="F294" s="684"/>
      <c r="G294" s="684"/>
      <c r="H294" s="684"/>
      <c r="I294" s="684"/>
      <c r="J294" s="684"/>
      <c r="K294" s="684"/>
      <c r="L294" s="2145"/>
      <c r="M294" s="2146"/>
      <c r="N294" s="2146"/>
      <c r="O294" s="2147"/>
      <c r="P294" s="824">
        <f t="shared" si="38"/>
        <v>0</v>
      </c>
      <c r="Q294" s="1191"/>
      <c r="R294" s="758"/>
      <c r="S294" s="758"/>
      <c r="T294" s="758"/>
      <c r="U294" s="758"/>
      <c r="V294" s="758"/>
      <c r="W294" s="758"/>
      <c r="X294" s="758"/>
      <c r="Y294" s="758"/>
      <c r="Z294" s="758"/>
      <c r="AA294" s="758"/>
      <c r="AB294" s="458"/>
      <c r="AC294" s="458"/>
      <c r="AD294" s="458"/>
      <c r="AE294" s="458"/>
      <c r="AF294" s="458"/>
      <c r="AG294" s="758"/>
      <c r="AH294" s="2205"/>
      <c r="AI294" s="842">
        <f t="shared" si="39"/>
        <v>0</v>
      </c>
      <c r="AJ294" s="233"/>
      <c r="AK294" s="233"/>
      <c r="AL294" s="233"/>
      <c r="AM294" s="233"/>
      <c r="AN294" s="233"/>
      <c r="AO294" s="684"/>
      <c r="AP294" s="684"/>
      <c r="AQ294" s="684"/>
      <c r="AR294" s="684"/>
      <c r="AS294" s="626" t="str">
        <f t="shared" si="40"/>
        <v/>
      </c>
      <c r="AT294" s="2205"/>
      <c r="AU294" s="458"/>
      <c r="AV294" s="458"/>
      <c r="AW294" s="458"/>
      <c r="AX294" s="458"/>
      <c r="AY294" s="458"/>
      <c r="AZ294" s="458"/>
      <c r="BA294" s="458"/>
      <c r="BB294" s="458"/>
      <c r="BC294" s="458"/>
      <c r="BD294" s="458"/>
      <c r="BE294" s="458"/>
      <c r="BF294" s="458"/>
      <c r="BG294" s="458"/>
      <c r="BH294" s="458"/>
      <c r="BI294" s="458"/>
      <c r="BJ294" s="458"/>
      <c r="BK294" s="592" t="str">
        <f t="shared" si="41"/>
        <v/>
      </c>
      <c r="BM294" s="592" t="str">
        <f t="shared" si="42"/>
        <v/>
      </c>
      <c r="BO294" s="592">
        <f t="shared" si="43"/>
        <v>0</v>
      </c>
      <c r="BP294" s="592">
        <f t="shared" si="44"/>
        <v>0</v>
      </c>
      <c r="BQ294" s="592" t="str">
        <f t="shared" si="45"/>
        <v/>
      </c>
      <c r="BR294" s="592" t="str">
        <f t="shared" si="46"/>
        <v/>
      </c>
    </row>
    <row r="295" spans="1:70" ht="15.6">
      <c r="A295" s="1805"/>
      <c r="B295" s="455"/>
      <c r="C295" s="456"/>
      <c r="D295" s="233"/>
      <c r="E295" s="233"/>
      <c r="F295" s="684"/>
      <c r="G295" s="684"/>
      <c r="H295" s="684"/>
      <c r="I295" s="684"/>
      <c r="J295" s="684"/>
      <c r="K295" s="684"/>
      <c r="L295" s="2145"/>
      <c r="M295" s="2146"/>
      <c r="N295" s="2146"/>
      <c r="O295" s="2147"/>
      <c r="P295" s="824">
        <f t="shared" si="38"/>
        <v>0</v>
      </c>
      <c r="Q295" s="1191"/>
      <c r="R295" s="758"/>
      <c r="S295" s="758"/>
      <c r="T295" s="758"/>
      <c r="U295" s="758"/>
      <c r="V295" s="758"/>
      <c r="W295" s="758"/>
      <c r="X295" s="758"/>
      <c r="Y295" s="758"/>
      <c r="Z295" s="758"/>
      <c r="AA295" s="758"/>
      <c r="AB295" s="458"/>
      <c r="AC295" s="458"/>
      <c r="AD295" s="458"/>
      <c r="AE295" s="458"/>
      <c r="AF295" s="458"/>
      <c r="AG295" s="758"/>
      <c r="AH295" s="2205"/>
      <c r="AI295" s="842">
        <f t="shared" si="39"/>
        <v>0</v>
      </c>
      <c r="AJ295" s="233"/>
      <c r="AK295" s="233"/>
      <c r="AL295" s="233"/>
      <c r="AM295" s="233"/>
      <c r="AN295" s="233"/>
      <c r="AO295" s="684"/>
      <c r="AP295" s="684"/>
      <c r="AQ295" s="684"/>
      <c r="AR295" s="684"/>
      <c r="AS295" s="626" t="str">
        <f t="shared" si="40"/>
        <v/>
      </c>
      <c r="AT295" s="2205"/>
      <c r="AU295" s="458"/>
      <c r="AV295" s="458"/>
      <c r="AW295" s="458"/>
      <c r="AX295" s="458"/>
      <c r="AY295" s="458"/>
      <c r="AZ295" s="458"/>
      <c r="BA295" s="458"/>
      <c r="BB295" s="458"/>
      <c r="BC295" s="458"/>
      <c r="BD295" s="458"/>
      <c r="BE295" s="458"/>
      <c r="BF295" s="458"/>
      <c r="BG295" s="458"/>
      <c r="BH295" s="458"/>
      <c r="BI295" s="458"/>
      <c r="BJ295" s="458"/>
      <c r="BK295" s="592" t="str">
        <f t="shared" si="41"/>
        <v/>
      </c>
      <c r="BM295" s="592" t="str">
        <f t="shared" si="42"/>
        <v/>
      </c>
      <c r="BO295" s="592">
        <f t="shared" si="43"/>
        <v>0</v>
      </c>
      <c r="BP295" s="592">
        <f t="shared" si="44"/>
        <v>0</v>
      </c>
      <c r="BQ295" s="592" t="str">
        <f t="shared" si="45"/>
        <v/>
      </c>
      <c r="BR295" s="592" t="str">
        <f t="shared" si="46"/>
        <v/>
      </c>
    </row>
    <row r="296" spans="1:70" ht="15.6">
      <c r="A296" s="1805"/>
      <c r="B296" s="457"/>
      <c r="C296" s="454"/>
      <c r="D296" s="684"/>
      <c r="E296" s="684"/>
      <c r="F296" s="684"/>
      <c r="G296" s="684"/>
      <c r="H296" s="684"/>
      <c r="I296" s="684"/>
      <c r="J296" s="684"/>
      <c r="K296" s="684"/>
      <c r="L296" s="2145"/>
      <c r="M296" s="2146"/>
      <c r="N296" s="2146"/>
      <c r="O296" s="2147"/>
      <c r="P296" s="824">
        <f t="shared" si="38"/>
        <v>0</v>
      </c>
      <c r="Q296" s="1191"/>
      <c r="R296" s="758"/>
      <c r="S296" s="758"/>
      <c r="T296" s="758"/>
      <c r="U296" s="758"/>
      <c r="V296" s="758"/>
      <c r="W296" s="758"/>
      <c r="X296" s="758"/>
      <c r="Y296" s="758"/>
      <c r="Z296" s="758"/>
      <c r="AA296" s="758"/>
      <c r="AB296" s="458"/>
      <c r="AC296" s="458"/>
      <c r="AD296" s="458"/>
      <c r="AE296" s="458"/>
      <c r="AF296" s="458"/>
      <c r="AG296" s="758"/>
      <c r="AH296" s="2205"/>
      <c r="AI296" s="842">
        <f t="shared" si="39"/>
        <v>0</v>
      </c>
      <c r="AJ296" s="233"/>
      <c r="AK296" s="233"/>
      <c r="AL296" s="233"/>
      <c r="AM296" s="233"/>
      <c r="AN296" s="233"/>
      <c r="AO296" s="684"/>
      <c r="AP296" s="684"/>
      <c r="AQ296" s="684"/>
      <c r="AR296" s="684"/>
      <c r="AS296" s="626" t="str">
        <f t="shared" si="40"/>
        <v/>
      </c>
      <c r="AT296" s="2205"/>
      <c r="AU296" s="458"/>
      <c r="AV296" s="458"/>
      <c r="AW296" s="458"/>
      <c r="AX296" s="458"/>
      <c r="AY296" s="458"/>
      <c r="AZ296" s="458"/>
      <c r="BA296" s="458"/>
      <c r="BB296" s="458"/>
      <c r="BC296" s="458"/>
      <c r="BD296" s="458"/>
      <c r="BE296" s="458"/>
      <c r="BF296" s="458"/>
      <c r="BG296" s="458"/>
      <c r="BH296" s="458"/>
      <c r="BI296" s="458"/>
      <c r="BJ296" s="458"/>
      <c r="BK296" s="592" t="str">
        <f t="shared" si="41"/>
        <v/>
      </c>
      <c r="BM296" s="592" t="str">
        <f t="shared" si="42"/>
        <v/>
      </c>
      <c r="BO296" s="592">
        <f t="shared" si="43"/>
        <v>0</v>
      </c>
      <c r="BP296" s="592">
        <f t="shared" si="44"/>
        <v>0</v>
      </c>
      <c r="BQ296" s="592" t="str">
        <f t="shared" si="45"/>
        <v/>
      </c>
      <c r="BR296" s="592" t="str">
        <f t="shared" si="46"/>
        <v/>
      </c>
    </row>
    <row r="297" spans="1:70" ht="15.6">
      <c r="A297" s="1805"/>
      <c r="B297" s="457"/>
      <c r="C297" s="454"/>
      <c r="D297" s="684"/>
      <c r="E297" s="684"/>
      <c r="F297" s="684"/>
      <c r="G297" s="684"/>
      <c r="H297" s="684"/>
      <c r="I297" s="684"/>
      <c r="J297" s="684"/>
      <c r="K297" s="684"/>
      <c r="L297" s="2145"/>
      <c r="M297" s="2146"/>
      <c r="N297" s="2146"/>
      <c r="O297" s="2147"/>
      <c r="P297" s="824">
        <f t="shared" si="38"/>
        <v>0</v>
      </c>
      <c r="Q297" s="1191"/>
      <c r="R297" s="758"/>
      <c r="S297" s="758"/>
      <c r="T297" s="758"/>
      <c r="U297" s="758"/>
      <c r="V297" s="758"/>
      <c r="W297" s="758"/>
      <c r="X297" s="758"/>
      <c r="Y297" s="758"/>
      <c r="Z297" s="758"/>
      <c r="AA297" s="758"/>
      <c r="AB297" s="458"/>
      <c r="AC297" s="458"/>
      <c r="AD297" s="458"/>
      <c r="AE297" s="458"/>
      <c r="AF297" s="458"/>
      <c r="AG297" s="758"/>
      <c r="AH297" s="2205"/>
      <c r="AI297" s="842">
        <f t="shared" si="39"/>
        <v>0</v>
      </c>
      <c r="AJ297" s="233"/>
      <c r="AK297" s="233"/>
      <c r="AL297" s="233"/>
      <c r="AM297" s="233"/>
      <c r="AN297" s="233"/>
      <c r="AO297" s="684"/>
      <c r="AP297" s="684"/>
      <c r="AQ297" s="684"/>
      <c r="AR297" s="684"/>
      <c r="AS297" s="626" t="str">
        <f t="shared" si="40"/>
        <v/>
      </c>
      <c r="AT297" s="2205"/>
      <c r="AU297" s="458"/>
      <c r="AV297" s="458"/>
      <c r="AW297" s="458"/>
      <c r="AX297" s="458"/>
      <c r="AY297" s="458"/>
      <c r="AZ297" s="458"/>
      <c r="BA297" s="458"/>
      <c r="BB297" s="458"/>
      <c r="BC297" s="458"/>
      <c r="BD297" s="458"/>
      <c r="BE297" s="458"/>
      <c r="BF297" s="458"/>
      <c r="BG297" s="458"/>
      <c r="BH297" s="458"/>
      <c r="BI297" s="458"/>
      <c r="BJ297" s="458"/>
      <c r="BK297" s="592" t="str">
        <f t="shared" si="41"/>
        <v/>
      </c>
      <c r="BM297" s="592" t="str">
        <f t="shared" si="42"/>
        <v/>
      </c>
      <c r="BO297" s="592">
        <f t="shared" si="43"/>
        <v>0</v>
      </c>
      <c r="BP297" s="592">
        <f t="shared" si="44"/>
        <v>0</v>
      </c>
      <c r="BQ297" s="592" t="str">
        <f t="shared" si="45"/>
        <v/>
      </c>
      <c r="BR297" s="592" t="str">
        <f t="shared" si="46"/>
        <v/>
      </c>
    </row>
    <row r="298" spans="1:70" ht="15.6">
      <c r="A298" s="1805"/>
      <c r="B298" s="457"/>
      <c r="C298" s="454"/>
      <c r="D298" s="684"/>
      <c r="E298" s="684"/>
      <c r="F298" s="684"/>
      <c r="G298" s="684"/>
      <c r="H298" s="684"/>
      <c r="I298" s="684"/>
      <c r="J298" s="684"/>
      <c r="K298" s="684"/>
      <c r="L298" s="2145"/>
      <c r="M298" s="2146"/>
      <c r="N298" s="2146"/>
      <c r="O298" s="2147"/>
      <c r="P298" s="824">
        <f t="shared" si="38"/>
        <v>0</v>
      </c>
      <c r="Q298" s="1191"/>
      <c r="R298" s="758"/>
      <c r="S298" s="758"/>
      <c r="T298" s="758"/>
      <c r="U298" s="758"/>
      <c r="V298" s="758"/>
      <c r="W298" s="758"/>
      <c r="X298" s="758"/>
      <c r="Y298" s="758"/>
      <c r="Z298" s="758"/>
      <c r="AA298" s="758"/>
      <c r="AB298" s="458"/>
      <c r="AC298" s="458"/>
      <c r="AD298" s="458"/>
      <c r="AE298" s="458"/>
      <c r="AF298" s="458"/>
      <c r="AG298" s="758"/>
      <c r="AH298" s="2205"/>
      <c r="AI298" s="842">
        <f t="shared" si="39"/>
        <v>0</v>
      </c>
      <c r="AJ298" s="233"/>
      <c r="AK298" s="233"/>
      <c r="AL298" s="233"/>
      <c r="AM298" s="233"/>
      <c r="AN298" s="233"/>
      <c r="AO298" s="684"/>
      <c r="AP298" s="684"/>
      <c r="AQ298" s="684"/>
      <c r="AR298" s="684"/>
      <c r="AS298" s="626" t="str">
        <f t="shared" si="40"/>
        <v/>
      </c>
      <c r="AT298" s="2205"/>
      <c r="AU298" s="458"/>
      <c r="AV298" s="458"/>
      <c r="AW298" s="458"/>
      <c r="AX298" s="458"/>
      <c r="AY298" s="458"/>
      <c r="AZ298" s="458"/>
      <c r="BA298" s="458"/>
      <c r="BB298" s="458"/>
      <c r="BC298" s="458"/>
      <c r="BD298" s="458"/>
      <c r="BE298" s="458"/>
      <c r="BF298" s="458"/>
      <c r="BG298" s="458"/>
      <c r="BH298" s="458"/>
      <c r="BI298" s="458"/>
      <c r="BJ298" s="458"/>
      <c r="BK298" s="592" t="str">
        <f t="shared" si="41"/>
        <v/>
      </c>
      <c r="BM298" s="592" t="str">
        <f t="shared" si="42"/>
        <v/>
      </c>
      <c r="BO298" s="592">
        <f t="shared" si="43"/>
        <v>0</v>
      </c>
      <c r="BP298" s="592">
        <f t="shared" si="44"/>
        <v>0</v>
      </c>
      <c r="BQ298" s="592" t="str">
        <f t="shared" si="45"/>
        <v/>
      </c>
      <c r="BR298" s="592" t="str">
        <f t="shared" si="46"/>
        <v/>
      </c>
    </row>
    <row r="299" spans="1:70" ht="15.6">
      <c r="A299" s="1805"/>
      <c r="B299" s="457"/>
      <c r="C299" s="454"/>
      <c r="D299" s="684"/>
      <c r="E299" s="684"/>
      <c r="F299" s="684"/>
      <c r="G299" s="684"/>
      <c r="H299" s="684"/>
      <c r="I299" s="684"/>
      <c r="J299" s="684"/>
      <c r="K299" s="684"/>
      <c r="L299" s="2145"/>
      <c r="M299" s="2146"/>
      <c r="N299" s="2146"/>
      <c r="O299" s="2147"/>
      <c r="P299" s="824">
        <f t="shared" si="38"/>
        <v>0</v>
      </c>
      <c r="Q299" s="1191"/>
      <c r="R299" s="758"/>
      <c r="S299" s="758"/>
      <c r="T299" s="758"/>
      <c r="U299" s="758"/>
      <c r="V299" s="758"/>
      <c r="W299" s="758"/>
      <c r="X299" s="758"/>
      <c r="Y299" s="758"/>
      <c r="Z299" s="758"/>
      <c r="AA299" s="758"/>
      <c r="AB299" s="458"/>
      <c r="AC299" s="458"/>
      <c r="AD299" s="458"/>
      <c r="AE299" s="458"/>
      <c r="AF299" s="458"/>
      <c r="AG299" s="758"/>
      <c r="AH299" s="2205"/>
      <c r="AI299" s="842">
        <f t="shared" si="39"/>
        <v>0</v>
      </c>
      <c r="AJ299" s="233"/>
      <c r="AK299" s="233"/>
      <c r="AL299" s="233"/>
      <c r="AM299" s="233"/>
      <c r="AN299" s="233"/>
      <c r="AO299" s="684"/>
      <c r="AP299" s="684"/>
      <c r="AQ299" s="684"/>
      <c r="AR299" s="684"/>
      <c r="AS299" s="626" t="str">
        <f t="shared" si="40"/>
        <v/>
      </c>
      <c r="AT299" s="2205"/>
      <c r="AU299" s="458"/>
      <c r="AV299" s="458"/>
      <c r="AW299" s="458"/>
      <c r="AX299" s="458"/>
      <c r="AY299" s="458"/>
      <c r="AZ299" s="458"/>
      <c r="BA299" s="458"/>
      <c r="BB299" s="458"/>
      <c r="BC299" s="458"/>
      <c r="BD299" s="458"/>
      <c r="BE299" s="458"/>
      <c r="BF299" s="458"/>
      <c r="BG299" s="458"/>
      <c r="BH299" s="458"/>
      <c r="BI299" s="458"/>
      <c r="BJ299" s="458"/>
      <c r="BK299" s="592" t="str">
        <f t="shared" si="41"/>
        <v/>
      </c>
      <c r="BM299" s="592" t="str">
        <f t="shared" si="42"/>
        <v/>
      </c>
      <c r="BO299" s="592">
        <f t="shared" si="43"/>
        <v>0</v>
      </c>
      <c r="BP299" s="592">
        <f t="shared" si="44"/>
        <v>0</v>
      </c>
      <c r="BQ299" s="592" t="str">
        <f t="shared" si="45"/>
        <v/>
      </c>
      <c r="BR299" s="592" t="str">
        <f t="shared" si="46"/>
        <v/>
      </c>
    </row>
    <row r="300" spans="1:70" ht="15.6">
      <c r="A300" s="1805"/>
      <c r="B300" s="457"/>
      <c r="C300" s="454"/>
      <c r="D300" s="684"/>
      <c r="E300" s="684"/>
      <c r="F300" s="684"/>
      <c r="G300" s="684"/>
      <c r="H300" s="684"/>
      <c r="I300" s="684"/>
      <c r="J300" s="684"/>
      <c r="K300" s="684"/>
      <c r="L300" s="2145"/>
      <c r="M300" s="2146"/>
      <c r="N300" s="2146"/>
      <c r="O300" s="2147"/>
      <c r="P300" s="824">
        <f t="shared" si="38"/>
        <v>0</v>
      </c>
      <c r="Q300" s="1191"/>
      <c r="R300" s="758"/>
      <c r="S300" s="758"/>
      <c r="T300" s="758"/>
      <c r="U300" s="758"/>
      <c r="V300" s="758"/>
      <c r="W300" s="758"/>
      <c r="X300" s="758"/>
      <c r="Y300" s="758"/>
      <c r="Z300" s="758"/>
      <c r="AA300" s="758"/>
      <c r="AB300" s="458"/>
      <c r="AC300" s="458"/>
      <c r="AD300" s="458"/>
      <c r="AE300" s="458"/>
      <c r="AF300" s="458"/>
      <c r="AG300" s="758"/>
      <c r="AH300" s="2205"/>
      <c r="AI300" s="842">
        <f t="shared" si="39"/>
        <v>0</v>
      </c>
      <c r="AJ300" s="233"/>
      <c r="AK300" s="233"/>
      <c r="AL300" s="233"/>
      <c r="AM300" s="233"/>
      <c r="AN300" s="233"/>
      <c r="AO300" s="684"/>
      <c r="AP300" s="684"/>
      <c r="AQ300" s="684"/>
      <c r="AR300" s="684"/>
      <c r="AS300" s="626" t="str">
        <f t="shared" si="40"/>
        <v/>
      </c>
      <c r="AT300" s="2205"/>
      <c r="AU300" s="458"/>
      <c r="AV300" s="458"/>
      <c r="AW300" s="458"/>
      <c r="AX300" s="458"/>
      <c r="AY300" s="458"/>
      <c r="AZ300" s="458"/>
      <c r="BA300" s="458"/>
      <c r="BB300" s="458"/>
      <c r="BC300" s="458"/>
      <c r="BD300" s="458"/>
      <c r="BE300" s="458"/>
      <c r="BF300" s="458"/>
      <c r="BG300" s="458"/>
      <c r="BH300" s="458"/>
      <c r="BI300" s="458"/>
      <c r="BJ300" s="458"/>
      <c r="BK300" s="592" t="str">
        <f t="shared" si="41"/>
        <v/>
      </c>
      <c r="BM300" s="592" t="str">
        <f t="shared" si="42"/>
        <v/>
      </c>
      <c r="BO300" s="592">
        <f t="shared" si="43"/>
        <v>0</v>
      </c>
      <c r="BP300" s="592">
        <f t="shared" si="44"/>
        <v>0</v>
      </c>
      <c r="BQ300" s="592" t="str">
        <f t="shared" si="45"/>
        <v/>
      </c>
      <c r="BR300" s="592" t="str">
        <f t="shared" si="46"/>
        <v/>
      </c>
    </row>
    <row r="301" spans="1:70" ht="15.6">
      <c r="A301" s="1805"/>
      <c r="B301" s="455"/>
      <c r="C301" s="456"/>
      <c r="D301" s="233"/>
      <c r="E301" s="233"/>
      <c r="F301" s="684"/>
      <c r="G301" s="684"/>
      <c r="H301" s="684"/>
      <c r="I301" s="684"/>
      <c r="J301" s="684"/>
      <c r="K301" s="684"/>
      <c r="L301" s="2145"/>
      <c r="M301" s="2146"/>
      <c r="N301" s="2146"/>
      <c r="O301" s="2147"/>
      <c r="P301" s="824">
        <f t="shared" si="38"/>
        <v>0</v>
      </c>
      <c r="Q301" s="1191"/>
      <c r="R301" s="758"/>
      <c r="S301" s="758"/>
      <c r="T301" s="758"/>
      <c r="U301" s="758"/>
      <c r="V301" s="758"/>
      <c r="W301" s="758"/>
      <c r="X301" s="758"/>
      <c r="Y301" s="758"/>
      <c r="Z301" s="758"/>
      <c r="AA301" s="758"/>
      <c r="AB301" s="458"/>
      <c r="AC301" s="458"/>
      <c r="AD301" s="458"/>
      <c r="AE301" s="458"/>
      <c r="AF301" s="458"/>
      <c r="AG301" s="758"/>
      <c r="AH301" s="2205"/>
      <c r="AI301" s="842">
        <f t="shared" si="39"/>
        <v>0</v>
      </c>
      <c r="AJ301" s="233"/>
      <c r="AK301" s="233"/>
      <c r="AL301" s="233"/>
      <c r="AM301" s="233"/>
      <c r="AN301" s="233"/>
      <c r="AO301" s="684"/>
      <c r="AP301" s="684"/>
      <c r="AQ301" s="684"/>
      <c r="AR301" s="684"/>
      <c r="AS301" s="626" t="str">
        <f t="shared" si="40"/>
        <v/>
      </c>
      <c r="AT301" s="2205"/>
      <c r="AU301" s="458"/>
      <c r="AV301" s="458"/>
      <c r="AW301" s="458"/>
      <c r="AX301" s="458"/>
      <c r="AY301" s="458"/>
      <c r="AZ301" s="458"/>
      <c r="BA301" s="458"/>
      <c r="BB301" s="458"/>
      <c r="BC301" s="458"/>
      <c r="BD301" s="458"/>
      <c r="BE301" s="458"/>
      <c r="BF301" s="458"/>
      <c r="BG301" s="458"/>
      <c r="BH301" s="458"/>
      <c r="BI301" s="458"/>
      <c r="BJ301" s="458"/>
      <c r="BK301" s="592" t="str">
        <f t="shared" si="41"/>
        <v/>
      </c>
      <c r="BM301" s="592" t="str">
        <f t="shared" si="42"/>
        <v/>
      </c>
      <c r="BO301" s="592">
        <f t="shared" si="43"/>
        <v>0</v>
      </c>
      <c r="BP301" s="592">
        <f t="shared" si="44"/>
        <v>0</v>
      </c>
      <c r="BQ301" s="592" t="str">
        <f t="shared" si="45"/>
        <v/>
      </c>
      <c r="BR301" s="592" t="str">
        <f t="shared" si="46"/>
        <v/>
      </c>
    </row>
    <row r="302" spans="1:70" ht="15.6">
      <c r="A302" s="1805"/>
      <c r="B302" s="457"/>
      <c r="C302" s="454"/>
      <c r="D302" s="684"/>
      <c r="E302" s="684"/>
      <c r="F302" s="684"/>
      <c r="G302" s="684"/>
      <c r="H302" s="684"/>
      <c r="I302" s="684"/>
      <c r="J302" s="684"/>
      <c r="K302" s="684"/>
      <c r="L302" s="2145"/>
      <c r="M302" s="2146"/>
      <c r="N302" s="2146"/>
      <c r="O302" s="2147"/>
      <c r="P302" s="824">
        <f t="shared" si="38"/>
        <v>0</v>
      </c>
      <c r="Q302" s="1191"/>
      <c r="R302" s="758"/>
      <c r="S302" s="758"/>
      <c r="T302" s="758"/>
      <c r="U302" s="758"/>
      <c r="V302" s="758"/>
      <c r="W302" s="758"/>
      <c r="X302" s="758"/>
      <c r="Y302" s="758"/>
      <c r="Z302" s="758"/>
      <c r="AA302" s="758"/>
      <c r="AB302" s="458"/>
      <c r="AC302" s="458"/>
      <c r="AD302" s="458"/>
      <c r="AE302" s="458"/>
      <c r="AF302" s="458"/>
      <c r="AG302" s="758"/>
      <c r="AH302" s="2205"/>
      <c r="AI302" s="842">
        <f t="shared" si="39"/>
        <v>0</v>
      </c>
      <c r="AJ302" s="233"/>
      <c r="AK302" s="233"/>
      <c r="AL302" s="233"/>
      <c r="AM302" s="233"/>
      <c r="AN302" s="233"/>
      <c r="AO302" s="684"/>
      <c r="AP302" s="684"/>
      <c r="AQ302" s="684"/>
      <c r="AR302" s="684"/>
      <c r="AS302" s="626" t="str">
        <f t="shared" si="40"/>
        <v/>
      </c>
      <c r="AT302" s="2205"/>
      <c r="AU302" s="458"/>
      <c r="AV302" s="458"/>
      <c r="AW302" s="458"/>
      <c r="AX302" s="458"/>
      <c r="AY302" s="458"/>
      <c r="AZ302" s="458"/>
      <c r="BA302" s="458"/>
      <c r="BB302" s="458"/>
      <c r="BC302" s="458"/>
      <c r="BD302" s="458"/>
      <c r="BE302" s="458"/>
      <c r="BF302" s="458"/>
      <c r="BG302" s="458"/>
      <c r="BH302" s="458"/>
      <c r="BI302" s="458"/>
      <c r="BJ302" s="458"/>
      <c r="BK302" s="592" t="str">
        <f t="shared" si="41"/>
        <v/>
      </c>
      <c r="BM302" s="592" t="str">
        <f t="shared" si="42"/>
        <v/>
      </c>
      <c r="BO302" s="592">
        <f t="shared" si="43"/>
        <v>0</v>
      </c>
      <c r="BP302" s="592">
        <f t="shared" si="44"/>
        <v>0</v>
      </c>
      <c r="BQ302" s="592" t="str">
        <f t="shared" si="45"/>
        <v/>
      </c>
      <c r="BR302" s="592" t="str">
        <f t="shared" si="46"/>
        <v/>
      </c>
    </row>
    <row r="303" spans="1:70" ht="15.6">
      <c r="A303" s="1805"/>
      <c r="B303" s="457"/>
      <c r="C303" s="454"/>
      <c r="D303" s="684"/>
      <c r="E303" s="684"/>
      <c r="F303" s="684"/>
      <c r="G303" s="684"/>
      <c r="H303" s="684"/>
      <c r="I303" s="684"/>
      <c r="J303" s="684"/>
      <c r="K303" s="684"/>
      <c r="L303" s="2145"/>
      <c r="M303" s="2146"/>
      <c r="N303" s="2146"/>
      <c r="O303" s="2147"/>
      <c r="P303" s="824">
        <f t="shared" si="38"/>
        <v>0</v>
      </c>
      <c r="Q303" s="1191"/>
      <c r="R303" s="758"/>
      <c r="S303" s="758"/>
      <c r="T303" s="758"/>
      <c r="U303" s="758"/>
      <c r="V303" s="758"/>
      <c r="W303" s="758"/>
      <c r="X303" s="758"/>
      <c r="Y303" s="758"/>
      <c r="Z303" s="758"/>
      <c r="AA303" s="758"/>
      <c r="AB303" s="458"/>
      <c r="AC303" s="458"/>
      <c r="AD303" s="458"/>
      <c r="AE303" s="458"/>
      <c r="AF303" s="458"/>
      <c r="AG303" s="758"/>
      <c r="AH303" s="2205"/>
      <c r="AI303" s="842">
        <f t="shared" si="39"/>
        <v>0</v>
      </c>
      <c r="AJ303" s="233"/>
      <c r="AK303" s="233"/>
      <c r="AL303" s="233"/>
      <c r="AM303" s="233"/>
      <c r="AN303" s="233"/>
      <c r="AO303" s="684"/>
      <c r="AP303" s="684"/>
      <c r="AQ303" s="684"/>
      <c r="AR303" s="684"/>
      <c r="AS303" s="626" t="str">
        <f t="shared" si="40"/>
        <v/>
      </c>
      <c r="AT303" s="2205"/>
      <c r="AU303" s="458"/>
      <c r="AV303" s="458"/>
      <c r="AW303" s="458"/>
      <c r="AX303" s="458"/>
      <c r="AY303" s="458"/>
      <c r="AZ303" s="458"/>
      <c r="BA303" s="458"/>
      <c r="BB303" s="458"/>
      <c r="BC303" s="458"/>
      <c r="BD303" s="458"/>
      <c r="BE303" s="458"/>
      <c r="BF303" s="458"/>
      <c r="BG303" s="458"/>
      <c r="BH303" s="458"/>
      <c r="BI303" s="458"/>
      <c r="BJ303" s="458"/>
      <c r="BK303" s="592" t="str">
        <f t="shared" si="41"/>
        <v/>
      </c>
      <c r="BM303" s="592" t="str">
        <f t="shared" si="42"/>
        <v/>
      </c>
      <c r="BO303" s="592">
        <f t="shared" si="43"/>
        <v>0</v>
      </c>
      <c r="BP303" s="592">
        <f t="shared" si="44"/>
        <v>0</v>
      </c>
      <c r="BQ303" s="592" t="str">
        <f t="shared" si="45"/>
        <v/>
      </c>
      <c r="BR303" s="592" t="str">
        <f t="shared" si="46"/>
        <v/>
      </c>
    </row>
    <row r="304" spans="1:70" ht="15.6">
      <c r="A304" s="1805"/>
      <c r="B304" s="457"/>
      <c r="C304" s="454"/>
      <c r="D304" s="684"/>
      <c r="E304" s="684"/>
      <c r="F304" s="684"/>
      <c r="G304" s="684"/>
      <c r="H304" s="684"/>
      <c r="I304" s="684"/>
      <c r="J304" s="684"/>
      <c r="K304" s="684"/>
      <c r="L304" s="2145"/>
      <c r="M304" s="2146"/>
      <c r="N304" s="2146"/>
      <c r="O304" s="2147"/>
      <c r="P304" s="824">
        <f t="shared" si="38"/>
        <v>0</v>
      </c>
      <c r="Q304" s="1191"/>
      <c r="R304" s="758"/>
      <c r="S304" s="758"/>
      <c r="T304" s="758"/>
      <c r="U304" s="758"/>
      <c r="V304" s="758"/>
      <c r="W304" s="758"/>
      <c r="X304" s="758"/>
      <c r="Y304" s="758"/>
      <c r="Z304" s="758"/>
      <c r="AA304" s="758"/>
      <c r="AB304" s="458"/>
      <c r="AC304" s="458"/>
      <c r="AD304" s="458"/>
      <c r="AE304" s="458"/>
      <c r="AF304" s="458"/>
      <c r="AG304" s="758"/>
      <c r="AH304" s="2205"/>
      <c r="AI304" s="842">
        <f t="shared" si="39"/>
        <v>0</v>
      </c>
      <c r="AJ304" s="233"/>
      <c r="AK304" s="233"/>
      <c r="AL304" s="233"/>
      <c r="AM304" s="233"/>
      <c r="AN304" s="233"/>
      <c r="AO304" s="684"/>
      <c r="AP304" s="684"/>
      <c r="AQ304" s="684"/>
      <c r="AR304" s="684"/>
      <c r="AS304" s="626" t="str">
        <f t="shared" si="40"/>
        <v/>
      </c>
      <c r="AT304" s="2205"/>
      <c r="AU304" s="458"/>
      <c r="AV304" s="458"/>
      <c r="AW304" s="458"/>
      <c r="AX304" s="458"/>
      <c r="AY304" s="458"/>
      <c r="AZ304" s="458"/>
      <c r="BA304" s="458"/>
      <c r="BB304" s="458"/>
      <c r="BC304" s="458"/>
      <c r="BD304" s="458"/>
      <c r="BE304" s="458"/>
      <c r="BF304" s="458"/>
      <c r="BG304" s="458"/>
      <c r="BH304" s="458"/>
      <c r="BI304" s="458"/>
      <c r="BJ304" s="458"/>
      <c r="BK304" s="592" t="str">
        <f t="shared" si="41"/>
        <v/>
      </c>
      <c r="BM304" s="592" t="str">
        <f t="shared" si="42"/>
        <v/>
      </c>
      <c r="BO304" s="592">
        <f t="shared" si="43"/>
        <v>0</v>
      </c>
      <c r="BP304" s="592">
        <f t="shared" si="44"/>
        <v>0</v>
      </c>
      <c r="BQ304" s="592" t="str">
        <f t="shared" si="45"/>
        <v/>
      </c>
      <c r="BR304" s="592" t="str">
        <f t="shared" si="46"/>
        <v/>
      </c>
    </row>
    <row r="305" spans="1:70" ht="15.6">
      <c r="A305" s="1805"/>
      <c r="B305" s="457"/>
      <c r="C305" s="454"/>
      <c r="D305" s="684"/>
      <c r="E305" s="684"/>
      <c r="F305" s="684"/>
      <c r="G305" s="684"/>
      <c r="H305" s="684"/>
      <c r="I305" s="684"/>
      <c r="J305" s="684"/>
      <c r="K305" s="684"/>
      <c r="L305" s="2145"/>
      <c r="M305" s="2146"/>
      <c r="N305" s="2146"/>
      <c r="O305" s="2147"/>
      <c r="P305" s="824">
        <f t="shared" si="38"/>
        <v>0</v>
      </c>
      <c r="Q305" s="1191"/>
      <c r="R305" s="758"/>
      <c r="S305" s="758"/>
      <c r="T305" s="758"/>
      <c r="U305" s="758"/>
      <c r="V305" s="758"/>
      <c r="W305" s="758"/>
      <c r="X305" s="758"/>
      <c r="Y305" s="758"/>
      <c r="Z305" s="758"/>
      <c r="AA305" s="758"/>
      <c r="AB305" s="458"/>
      <c r="AC305" s="458"/>
      <c r="AD305" s="458"/>
      <c r="AE305" s="458"/>
      <c r="AF305" s="458"/>
      <c r="AG305" s="758"/>
      <c r="AH305" s="2205"/>
      <c r="AI305" s="842">
        <f t="shared" si="39"/>
        <v>0</v>
      </c>
      <c r="AJ305" s="233"/>
      <c r="AK305" s="233"/>
      <c r="AL305" s="233"/>
      <c r="AM305" s="233"/>
      <c r="AN305" s="233"/>
      <c r="AO305" s="684"/>
      <c r="AP305" s="684"/>
      <c r="AQ305" s="684"/>
      <c r="AR305" s="684"/>
      <c r="AS305" s="626" t="str">
        <f t="shared" si="40"/>
        <v/>
      </c>
      <c r="AT305" s="2205"/>
      <c r="AU305" s="458"/>
      <c r="AV305" s="458"/>
      <c r="AW305" s="458"/>
      <c r="AX305" s="458"/>
      <c r="AY305" s="458"/>
      <c r="AZ305" s="458"/>
      <c r="BA305" s="458"/>
      <c r="BB305" s="458"/>
      <c r="BC305" s="458"/>
      <c r="BD305" s="458"/>
      <c r="BE305" s="458"/>
      <c r="BF305" s="458"/>
      <c r="BG305" s="458"/>
      <c r="BH305" s="458"/>
      <c r="BI305" s="458"/>
      <c r="BJ305" s="458"/>
      <c r="BK305" s="592" t="str">
        <f t="shared" si="41"/>
        <v/>
      </c>
      <c r="BM305" s="592" t="str">
        <f t="shared" si="42"/>
        <v/>
      </c>
      <c r="BO305" s="592">
        <f t="shared" si="43"/>
        <v>0</v>
      </c>
      <c r="BP305" s="592">
        <f t="shared" si="44"/>
        <v>0</v>
      </c>
      <c r="BQ305" s="592" t="str">
        <f t="shared" si="45"/>
        <v/>
      </c>
      <c r="BR305" s="592" t="str">
        <f t="shared" si="46"/>
        <v/>
      </c>
    </row>
    <row r="306" spans="1:70" ht="15.6">
      <c r="A306" s="1805"/>
      <c r="B306" s="457"/>
      <c r="C306" s="454"/>
      <c r="D306" s="684"/>
      <c r="E306" s="684"/>
      <c r="F306" s="684"/>
      <c r="G306" s="684"/>
      <c r="H306" s="684"/>
      <c r="I306" s="684"/>
      <c r="J306" s="684"/>
      <c r="K306" s="684"/>
      <c r="L306" s="2145"/>
      <c r="M306" s="2146"/>
      <c r="N306" s="2146"/>
      <c r="O306" s="2147"/>
      <c r="P306" s="824">
        <f t="shared" si="38"/>
        <v>0</v>
      </c>
      <c r="Q306" s="1191"/>
      <c r="R306" s="758"/>
      <c r="S306" s="758"/>
      <c r="T306" s="758"/>
      <c r="U306" s="758"/>
      <c r="V306" s="758"/>
      <c r="W306" s="758"/>
      <c r="X306" s="758"/>
      <c r="Y306" s="758"/>
      <c r="Z306" s="758"/>
      <c r="AA306" s="758"/>
      <c r="AB306" s="458"/>
      <c r="AC306" s="458"/>
      <c r="AD306" s="458"/>
      <c r="AE306" s="458"/>
      <c r="AF306" s="458"/>
      <c r="AG306" s="758"/>
      <c r="AH306" s="2205"/>
      <c r="AI306" s="842">
        <f t="shared" si="39"/>
        <v>0</v>
      </c>
      <c r="AJ306" s="233"/>
      <c r="AK306" s="233"/>
      <c r="AL306" s="233"/>
      <c r="AM306" s="233"/>
      <c r="AN306" s="233"/>
      <c r="AO306" s="684"/>
      <c r="AP306" s="684"/>
      <c r="AQ306" s="684"/>
      <c r="AR306" s="684"/>
      <c r="AS306" s="626" t="str">
        <f t="shared" si="40"/>
        <v/>
      </c>
      <c r="AT306" s="2205"/>
      <c r="AU306" s="458"/>
      <c r="AV306" s="458"/>
      <c r="AW306" s="458"/>
      <c r="AX306" s="458"/>
      <c r="AY306" s="458"/>
      <c r="AZ306" s="458"/>
      <c r="BA306" s="458"/>
      <c r="BB306" s="458"/>
      <c r="BC306" s="458"/>
      <c r="BD306" s="458"/>
      <c r="BE306" s="458"/>
      <c r="BF306" s="458"/>
      <c r="BG306" s="458"/>
      <c r="BH306" s="458"/>
      <c r="BI306" s="458"/>
      <c r="BJ306" s="458"/>
      <c r="BK306" s="592" t="str">
        <f t="shared" si="41"/>
        <v/>
      </c>
      <c r="BM306" s="592" t="str">
        <f t="shared" si="42"/>
        <v/>
      </c>
      <c r="BO306" s="592">
        <f t="shared" si="43"/>
        <v>0</v>
      </c>
      <c r="BP306" s="592">
        <f t="shared" si="44"/>
        <v>0</v>
      </c>
      <c r="BQ306" s="592" t="str">
        <f t="shared" si="45"/>
        <v/>
      </c>
      <c r="BR306" s="592" t="str">
        <f t="shared" si="46"/>
        <v/>
      </c>
    </row>
    <row r="307" spans="1:70" ht="15.6">
      <c r="A307" s="1805"/>
      <c r="B307" s="455"/>
      <c r="C307" s="456"/>
      <c r="D307" s="233"/>
      <c r="E307" s="233"/>
      <c r="F307" s="684"/>
      <c r="G307" s="684"/>
      <c r="H307" s="684"/>
      <c r="I307" s="684"/>
      <c r="J307" s="684"/>
      <c r="K307" s="684"/>
      <c r="L307" s="2145"/>
      <c r="M307" s="2146"/>
      <c r="N307" s="2146"/>
      <c r="O307" s="2147"/>
      <c r="P307" s="824">
        <f t="shared" si="38"/>
        <v>0</v>
      </c>
      <c r="Q307" s="1191"/>
      <c r="R307" s="758"/>
      <c r="S307" s="758"/>
      <c r="T307" s="758"/>
      <c r="U307" s="758"/>
      <c r="V307" s="758"/>
      <c r="W307" s="758"/>
      <c r="X307" s="758"/>
      <c r="Y307" s="758"/>
      <c r="Z307" s="758"/>
      <c r="AA307" s="758"/>
      <c r="AB307" s="458"/>
      <c r="AC307" s="458"/>
      <c r="AD307" s="458"/>
      <c r="AE307" s="458"/>
      <c r="AF307" s="458"/>
      <c r="AG307" s="758"/>
      <c r="AH307" s="2205"/>
      <c r="AI307" s="842">
        <f t="shared" si="39"/>
        <v>0</v>
      </c>
      <c r="AJ307" s="233"/>
      <c r="AK307" s="233"/>
      <c r="AL307" s="233"/>
      <c r="AM307" s="233"/>
      <c r="AN307" s="233"/>
      <c r="AO307" s="684"/>
      <c r="AP307" s="684"/>
      <c r="AQ307" s="684"/>
      <c r="AR307" s="684"/>
      <c r="AS307" s="626" t="str">
        <f t="shared" si="40"/>
        <v/>
      </c>
      <c r="AT307" s="2205"/>
      <c r="AU307" s="458"/>
      <c r="AV307" s="458"/>
      <c r="AW307" s="458"/>
      <c r="AX307" s="458"/>
      <c r="AY307" s="458"/>
      <c r="AZ307" s="458"/>
      <c r="BA307" s="458"/>
      <c r="BB307" s="458"/>
      <c r="BC307" s="458"/>
      <c r="BD307" s="458"/>
      <c r="BE307" s="458"/>
      <c r="BF307" s="458"/>
      <c r="BG307" s="458"/>
      <c r="BH307" s="458"/>
      <c r="BI307" s="458"/>
      <c r="BJ307" s="458"/>
      <c r="BK307" s="592" t="str">
        <f t="shared" si="41"/>
        <v/>
      </c>
      <c r="BM307" s="592" t="str">
        <f t="shared" si="42"/>
        <v/>
      </c>
      <c r="BO307" s="592">
        <f t="shared" si="43"/>
        <v>0</v>
      </c>
      <c r="BP307" s="592">
        <f t="shared" si="44"/>
        <v>0</v>
      </c>
      <c r="BQ307" s="592" t="str">
        <f t="shared" si="45"/>
        <v/>
      </c>
      <c r="BR307" s="592" t="str">
        <f t="shared" si="46"/>
        <v/>
      </c>
    </row>
    <row r="308" spans="1:70" ht="15.6">
      <c r="A308" s="1805"/>
      <c r="B308" s="457"/>
      <c r="C308" s="454"/>
      <c r="D308" s="684"/>
      <c r="E308" s="684"/>
      <c r="F308" s="684"/>
      <c r="G308" s="684"/>
      <c r="H308" s="684"/>
      <c r="I308" s="684"/>
      <c r="J308" s="684"/>
      <c r="K308" s="684"/>
      <c r="L308" s="2145"/>
      <c r="M308" s="2146"/>
      <c r="N308" s="2146"/>
      <c r="O308" s="2147"/>
      <c r="P308" s="824">
        <f t="shared" si="38"/>
        <v>0</v>
      </c>
      <c r="Q308" s="1191"/>
      <c r="R308" s="758"/>
      <c r="S308" s="758"/>
      <c r="T308" s="758"/>
      <c r="U308" s="758"/>
      <c r="V308" s="758"/>
      <c r="W308" s="758"/>
      <c r="X308" s="758"/>
      <c r="Y308" s="758"/>
      <c r="Z308" s="758"/>
      <c r="AA308" s="758"/>
      <c r="AB308" s="458"/>
      <c r="AC308" s="458"/>
      <c r="AD308" s="458"/>
      <c r="AE308" s="458"/>
      <c r="AF308" s="458"/>
      <c r="AG308" s="758"/>
      <c r="AH308" s="2205"/>
      <c r="AI308" s="842">
        <f t="shared" si="39"/>
        <v>0</v>
      </c>
      <c r="AJ308" s="233"/>
      <c r="AK308" s="233"/>
      <c r="AL308" s="233"/>
      <c r="AM308" s="233"/>
      <c r="AN308" s="233"/>
      <c r="AO308" s="684"/>
      <c r="AP308" s="684"/>
      <c r="AQ308" s="684"/>
      <c r="AR308" s="684"/>
      <c r="AS308" s="626" t="str">
        <f t="shared" si="40"/>
        <v/>
      </c>
      <c r="AT308" s="2205"/>
      <c r="AU308" s="458"/>
      <c r="AV308" s="458"/>
      <c r="AW308" s="458"/>
      <c r="AX308" s="458"/>
      <c r="AY308" s="458"/>
      <c r="AZ308" s="458"/>
      <c r="BA308" s="458"/>
      <c r="BB308" s="458"/>
      <c r="BC308" s="458"/>
      <c r="BD308" s="458"/>
      <c r="BE308" s="458"/>
      <c r="BF308" s="458"/>
      <c r="BG308" s="458"/>
      <c r="BH308" s="458"/>
      <c r="BI308" s="458"/>
      <c r="BJ308" s="458"/>
      <c r="BK308" s="592" t="str">
        <f t="shared" si="41"/>
        <v/>
      </c>
      <c r="BM308" s="592" t="str">
        <f t="shared" si="42"/>
        <v/>
      </c>
      <c r="BO308" s="592">
        <f t="shared" si="43"/>
        <v>0</v>
      </c>
      <c r="BP308" s="592">
        <f t="shared" si="44"/>
        <v>0</v>
      </c>
      <c r="BQ308" s="592" t="str">
        <f t="shared" si="45"/>
        <v/>
      </c>
      <c r="BR308" s="592" t="str">
        <f t="shared" si="46"/>
        <v/>
      </c>
    </row>
    <row r="309" spans="1:70" ht="15.6">
      <c r="A309" s="1805"/>
      <c r="B309" s="457"/>
      <c r="C309" s="454"/>
      <c r="D309" s="684"/>
      <c r="E309" s="684"/>
      <c r="F309" s="684"/>
      <c r="G309" s="684"/>
      <c r="H309" s="684"/>
      <c r="I309" s="684"/>
      <c r="J309" s="684"/>
      <c r="K309" s="684"/>
      <c r="L309" s="2145"/>
      <c r="M309" s="2146"/>
      <c r="N309" s="2146"/>
      <c r="O309" s="2147"/>
      <c r="P309" s="824">
        <f t="shared" si="38"/>
        <v>0</v>
      </c>
      <c r="Q309" s="1191"/>
      <c r="R309" s="758"/>
      <c r="S309" s="758"/>
      <c r="T309" s="758"/>
      <c r="U309" s="758"/>
      <c r="V309" s="758"/>
      <c r="W309" s="758"/>
      <c r="X309" s="758"/>
      <c r="Y309" s="758"/>
      <c r="Z309" s="758"/>
      <c r="AA309" s="758"/>
      <c r="AB309" s="458"/>
      <c r="AC309" s="458"/>
      <c r="AD309" s="458"/>
      <c r="AE309" s="458"/>
      <c r="AF309" s="458"/>
      <c r="AG309" s="758"/>
      <c r="AH309" s="2205"/>
      <c r="AI309" s="842">
        <f t="shared" si="39"/>
        <v>0</v>
      </c>
      <c r="AJ309" s="233"/>
      <c r="AK309" s="233"/>
      <c r="AL309" s="233"/>
      <c r="AM309" s="233"/>
      <c r="AN309" s="233"/>
      <c r="AO309" s="684"/>
      <c r="AP309" s="684"/>
      <c r="AQ309" s="684"/>
      <c r="AR309" s="684"/>
      <c r="AS309" s="626" t="str">
        <f t="shared" si="40"/>
        <v/>
      </c>
      <c r="AT309" s="2205"/>
      <c r="AU309" s="458"/>
      <c r="AV309" s="458"/>
      <c r="AW309" s="458"/>
      <c r="AX309" s="458"/>
      <c r="AY309" s="458"/>
      <c r="AZ309" s="458"/>
      <c r="BA309" s="458"/>
      <c r="BB309" s="458"/>
      <c r="BC309" s="458"/>
      <c r="BD309" s="458"/>
      <c r="BE309" s="458"/>
      <c r="BF309" s="458"/>
      <c r="BG309" s="458"/>
      <c r="BH309" s="458"/>
      <c r="BI309" s="458"/>
      <c r="BJ309" s="458"/>
      <c r="BK309" s="592" t="str">
        <f t="shared" si="41"/>
        <v/>
      </c>
      <c r="BM309" s="592" t="str">
        <f t="shared" si="42"/>
        <v/>
      </c>
      <c r="BO309" s="592">
        <f t="shared" si="43"/>
        <v>0</v>
      </c>
      <c r="BP309" s="592">
        <f t="shared" si="44"/>
        <v>0</v>
      </c>
      <c r="BQ309" s="592" t="str">
        <f t="shared" si="45"/>
        <v/>
      </c>
      <c r="BR309" s="592" t="str">
        <f t="shared" si="46"/>
        <v/>
      </c>
    </row>
    <row r="310" spans="1:70" ht="15.6">
      <c r="A310" s="1805"/>
      <c r="B310" s="457"/>
      <c r="C310" s="454"/>
      <c r="D310" s="684"/>
      <c r="E310" s="684"/>
      <c r="F310" s="684"/>
      <c r="G310" s="684"/>
      <c r="H310" s="684"/>
      <c r="I310" s="684"/>
      <c r="J310" s="684"/>
      <c r="K310" s="684"/>
      <c r="L310" s="2145"/>
      <c r="M310" s="2146"/>
      <c r="N310" s="2146"/>
      <c r="O310" s="2147"/>
      <c r="P310" s="824">
        <f t="shared" si="38"/>
        <v>0</v>
      </c>
      <c r="Q310" s="1191"/>
      <c r="R310" s="758"/>
      <c r="S310" s="758"/>
      <c r="T310" s="758"/>
      <c r="U310" s="758"/>
      <c r="V310" s="758"/>
      <c r="W310" s="758"/>
      <c r="X310" s="758"/>
      <c r="Y310" s="758"/>
      <c r="Z310" s="758"/>
      <c r="AA310" s="758"/>
      <c r="AB310" s="458"/>
      <c r="AC310" s="458"/>
      <c r="AD310" s="458"/>
      <c r="AE310" s="458"/>
      <c r="AF310" s="458"/>
      <c r="AG310" s="758"/>
      <c r="AH310" s="2205"/>
      <c r="AI310" s="842">
        <f t="shared" si="39"/>
        <v>0</v>
      </c>
      <c r="AJ310" s="233"/>
      <c r="AK310" s="233"/>
      <c r="AL310" s="233"/>
      <c r="AM310" s="233"/>
      <c r="AN310" s="233"/>
      <c r="AO310" s="684"/>
      <c r="AP310" s="684"/>
      <c r="AQ310" s="684"/>
      <c r="AR310" s="684"/>
      <c r="AS310" s="626" t="str">
        <f t="shared" si="40"/>
        <v/>
      </c>
      <c r="AT310" s="2205"/>
      <c r="AU310" s="458"/>
      <c r="AV310" s="458"/>
      <c r="AW310" s="458"/>
      <c r="AX310" s="458"/>
      <c r="AY310" s="458"/>
      <c r="AZ310" s="458"/>
      <c r="BA310" s="458"/>
      <c r="BB310" s="458"/>
      <c r="BC310" s="458"/>
      <c r="BD310" s="458"/>
      <c r="BE310" s="458"/>
      <c r="BF310" s="458"/>
      <c r="BG310" s="458"/>
      <c r="BH310" s="458"/>
      <c r="BI310" s="458"/>
      <c r="BJ310" s="458"/>
      <c r="BK310" s="592" t="str">
        <f t="shared" si="41"/>
        <v/>
      </c>
      <c r="BM310" s="592" t="str">
        <f t="shared" si="42"/>
        <v/>
      </c>
      <c r="BO310" s="592">
        <f t="shared" si="43"/>
        <v>0</v>
      </c>
      <c r="BP310" s="592">
        <f t="shared" si="44"/>
        <v>0</v>
      </c>
      <c r="BQ310" s="592" t="str">
        <f t="shared" si="45"/>
        <v/>
      </c>
      <c r="BR310" s="592" t="str">
        <f t="shared" si="46"/>
        <v/>
      </c>
    </row>
    <row r="311" spans="1:70" ht="15.6">
      <c r="A311" s="1805"/>
      <c r="B311" s="457"/>
      <c r="C311" s="454"/>
      <c r="D311" s="684"/>
      <c r="E311" s="684"/>
      <c r="F311" s="684"/>
      <c r="G311" s="684"/>
      <c r="H311" s="684"/>
      <c r="I311" s="684"/>
      <c r="J311" s="684"/>
      <c r="K311" s="684"/>
      <c r="L311" s="2145"/>
      <c r="M311" s="2146"/>
      <c r="N311" s="2146"/>
      <c r="O311" s="2147"/>
      <c r="P311" s="824">
        <f t="shared" si="38"/>
        <v>0</v>
      </c>
      <c r="Q311" s="1191"/>
      <c r="R311" s="758"/>
      <c r="S311" s="758"/>
      <c r="T311" s="758"/>
      <c r="U311" s="758"/>
      <c r="V311" s="758"/>
      <c r="W311" s="758"/>
      <c r="X311" s="758"/>
      <c r="Y311" s="758"/>
      <c r="Z311" s="758"/>
      <c r="AA311" s="758"/>
      <c r="AB311" s="458"/>
      <c r="AC311" s="458"/>
      <c r="AD311" s="458"/>
      <c r="AE311" s="458"/>
      <c r="AF311" s="458"/>
      <c r="AG311" s="758"/>
      <c r="AH311" s="2205"/>
      <c r="AI311" s="842">
        <f t="shared" si="39"/>
        <v>0</v>
      </c>
      <c r="AJ311" s="233"/>
      <c r="AK311" s="233"/>
      <c r="AL311" s="233"/>
      <c r="AM311" s="233"/>
      <c r="AN311" s="233"/>
      <c r="AO311" s="684"/>
      <c r="AP311" s="684"/>
      <c r="AQ311" s="684"/>
      <c r="AR311" s="684"/>
      <c r="AS311" s="626" t="str">
        <f t="shared" si="40"/>
        <v/>
      </c>
      <c r="AT311" s="2205"/>
      <c r="AU311" s="458"/>
      <c r="AV311" s="458"/>
      <c r="AW311" s="458"/>
      <c r="AX311" s="458"/>
      <c r="AY311" s="458"/>
      <c r="AZ311" s="458"/>
      <c r="BA311" s="458"/>
      <c r="BB311" s="458"/>
      <c r="BC311" s="458"/>
      <c r="BD311" s="458"/>
      <c r="BE311" s="458"/>
      <c r="BF311" s="458"/>
      <c r="BG311" s="458"/>
      <c r="BH311" s="458"/>
      <c r="BI311" s="458"/>
      <c r="BJ311" s="458"/>
      <c r="BK311" s="592" t="str">
        <f t="shared" si="41"/>
        <v/>
      </c>
      <c r="BM311" s="592" t="str">
        <f t="shared" si="42"/>
        <v/>
      </c>
      <c r="BO311" s="592">
        <f t="shared" si="43"/>
        <v>0</v>
      </c>
      <c r="BP311" s="592">
        <f t="shared" si="44"/>
        <v>0</v>
      </c>
      <c r="BQ311" s="592" t="str">
        <f t="shared" si="45"/>
        <v/>
      </c>
      <c r="BR311" s="592" t="str">
        <f t="shared" si="46"/>
        <v/>
      </c>
    </row>
    <row r="312" spans="1:70" ht="15.6">
      <c r="A312" s="1805"/>
      <c r="B312" s="457"/>
      <c r="C312" s="454"/>
      <c r="D312" s="684"/>
      <c r="E312" s="684"/>
      <c r="F312" s="684"/>
      <c r="G312" s="684"/>
      <c r="H312" s="684"/>
      <c r="I312" s="684"/>
      <c r="J312" s="684"/>
      <c r="K312" s="684"/>
      <c r="L312" s="2145"/>
      <c r="M312" s="2146"/>
      <c r="N312" s="2146"/>
      <c r="O312" s="2147"/>
      <c r="P312" s="824">
        <f t="shared" si="38"/>
        <v>0</v>
      </c>
      <c r="Q312" s="1191"/>
      <c r="R312" s="758"/>
      <c r="S312" s="758"/>
      <c r="T312" s="758"/>
      <c r="U312" s="758"/>
      <c r="V312" s="758"/>
      <c r="W312" s="758"/>
      <c r="X312" s="758"/>
      <c r="Y312" s="758"/>
      <c r="Z312" s="758"/>
      <c r="AA312" s="758"/>
      <c r="AB312" s="458"/>
      <c r="AC312" s="458"/>
      <c r="AD312" s="458"/>
      <c r="AE312" s="458"/>
      <c r="AF312" s="458"/>
      <c r="AG312" s="758"/>
      <c r="AH312" s="2205"/>
      <c r="AI312" s="842">
        <f t="shared" si="39"/>
        <v>0</v>
      </c>
      <c r="AJ312" s="233"/>
      <c r="AK312" s="233"/>
      <c r="AL312" s="233"/>
      <c r="AM312" s="233"/>
      <c r="AN312" s="233"/>
      <c r="AO312" s="684"/>
      <c r="AP312" s="684"/>
      <c r="AQ312" s="684"/>
      <c r="AR312" s="684"/>
      <c r="AS312" s="626" t="str">
        <f t="shared" si="40"/>
        <v/>
      </c>
      <c r="AT312" s="2205"/>
      <c r="AU312" s="458"/>
      <c r="AV312" s="458"/>
      <c r="AW312" s="458"/>
      <c r="AX312" s="458"/>
      <c r="AY312" s="458"/>
      <c r="AZ312" s="458"/>
      <c r="BA312" s="458"/>
      <c r="BB312" s="458"/>
      <c r="BC312" s="458"/>
      <c r="BD312" s="458"/>
      <c r="BE312" s="458"/>
      <c r="BF312" s="458"/>
      <c r="BG312" s="458"/>
      <c r="BH312" s="458"/>
      <c r="BI312" s="458"/>
      <c r="BJ312" s="458"/>
      <c r="BK312" s="592" t="str">
        <f t="shared" si="41"/>
        <v/>
      </c>
      <c r="BM312" s="592" t="str">
        <f t="shared" si="42"/>
        <v/>
      </c>
      <c r="BO312" s="592">
        <f t="shared" si="43"/>
        <v>0</v>
      </c>
      <c r="BP312" s="592">
        <f t="shared" si="44"/>
        <v>0</v>
      </c>
      <c r="BQ312" s="592" t="str">
        <f t="shared" si="45"/>
        <v/>
      </c>
      <c r="BR312" s="592" t="str">
        <f t="shared" si="46"/>
        <v/>
      </c>
    </row>
    <row r="313" spans="1:70" ht="15.6">
      <c r="A313" s="1805"/>
      <c r="B313" s="455"/>
      <c r="C313" s="456"/>
      <c r="D313" s="233"/>
      <c r="E313" s="233"/>
      <c r="F313" s="684"/>
      <c r="G313" s="684"/>
      <c r="H313" s="684"/>
      <c r="I313" s="684"/>
      <c r="J313" s="684"/>
      <c r="K313" s="684"/>
      <c r="L313" s="2145"/>
      <c r="M313" s="2146"/>
      <c r="N313" s="2146"/>
      <c r="O313" s="2147"/>
      <c r="P313" s="824">
        <f t="shared" si="38"/>
        <v>0</v>
      </c>
      <c r="Q313" s="1191"/>
      <c r="R313" s="758"/>
      <c r="S313" s="758"/>
      <c r="T313" s="758"/>
      <c r="U313" s="758"/>
      <c r="V313" s="758"/>
      <c r="W313" s="758"/>
      <c r="X313" s="758"/>
      <c r="Y313" s="758"/>
      <c r="Z313" s="758"/>
      <c r="AA313" s="758"/>
      <c r="AB313" s="458"/>
      <c r="AC313" s="458"/>
      <c r="AD313" s="458"/>
      <c r="AE313" s="458"/>
      <c r="AF313" s="458"/>
      <c r="AG313" s="758"/>
      <c r="AH313" s="2205"/>
      <c r="AI313" s="842">
        <f t="shared" si="39"/>
        <v>0</v>
      </c>
      <c r="AJ313" s="233"/>
      <c r="AK313" s="233"/>
      <c r="AL313" s="233"/>
      <c r="AM313" s="233"/>
      <c r="AN313" s="233"/>
      <c r="AO313" s="684"/>
      <c r="AP313" s="684"/>
      <c r="AQ313" s="684"/>
      <c r="AR313" s="684"/>
      <c r="AS313" s="626" t="str">
        <f t="shared" si="40"/>
        <v/>
      </c>
      <c r="AT313" s="2205"/>
      <c r="AU313" s="458"/>
      <c r="AV313" s="458"/>
      <c r="AW313" s="458"/>
      <c r="AX313" s="458"/>
      <c r="AY313" s="458"/>
      <c r="AZ313" s="458"/>
      <c r="BA313" s="458"/>
      <c r="BB313" s="458"/>
      <c r="BC313" s="458"/>
      <c r="BD313" s="458"/>
      <c r="BE313" s="458"/>
      <c r="BF313" s="458"/>
      <c r="BG313" s="458"/>
      <c r="BH313" s="458"/>
      <c r="BI313" s="458"/>
      <c r="BJ313" s="458"/>
      <c r="BK313" s="592" t="str">
        <f t="shared" si="41"/>
        <v/>
      </c>
      <c r="BM313" s="592" t="str">
        <f t="shared" si="42"/>
        <v/>
      </c>
      <c r="BO313" s="592">
        <f t="shared" si="43"/>
        <v>0</v>
      </c>
      <c r="BP313" s="592">
        <f t="shared" si="44"/>
        <v>0</v>
      </c>
      <c r="BQ313" s="592" t="str">
        <f t="shared" si="45"/>
        <v/>
      </c>
      <c r="BR313" s="592" t="str">
        <f t="shared" si="46"/>
        <v/>
      </c>
    </row>
    <row r="314" spans="1:70" ht="15.6">
      <c r="A314" s="1805"/>
      <c r="B314" s="457"/>
      <c r="C314" s="454"/>
      <c r="D314" s="684"/>
      <c r="E314" s="684"/>
      <c r="F314" s="684"/>
      <c r="G314" s="684"/>
      <c r="H314" s="684"/>
      <c r="I314" s="684"/>
      <c r="J314" s="684"/>
      <c r="K314" s="684"/>
      <c r="L314" s="2145"/>
      <c r="M314" s="2146"/>
      <c r="N314" s="2146"/>
      <c r="O314" s="2147"/>
      <c r="P314" s="824">
        <f t="shared" si="38"/>
        <v>0</v>
      </c>
      <c r="Q314" s="1191"/>
      <c r="R314" s="758"/>
      <c r="S314" s="758"/>
      <c r="T314" s="758"/>
      <c r="U314" s="758"/>
      <c r="V314" s="758"/>
      <c r="W314" s="758"/>
      <c r="X314" s="758"/>
      <c r="Y314" s="758"/>
      <c r="Z314" s="758"/>
      <c r="AA314" s="758"/>
      <c r="AB314" s="458"/>
      <c r="AC314" s="458"/>
      <c r="AD314" s="458"/>
      <c r="AE314" s="458"/>
      <c r="AF314" s="458"/>
      <c r="AG314" s="758"/>
      <c r="AH314" s="2205"/>
      <c r="AI314" s="842">
        <f t="shared" si="39"/>
        <v>0</v>
      </c>
      <c r="AJ314" s="233"/>
      <c r="AK314" s="233"/>
      <c r="AL314" s="233"/>
      <c r="AM314" s="233"/>
      <c r="AN314" s="233"/>
      <c r="AO314" s="684"/>
      <c r="AP314" s="684"/>
      <c r="AQ314" s="684"/>
      <c r="AR314" s="684"/>
      <c r="AS314" s="626" t="str">
        <f t="shared" si="40"/>
        <v/>
      </c>
      <c r="AT314" s="2205"/>
      <c r="AU314" s="458"/>
      <c r="AV314" s="458"/>
      <c r="AW314" s="458"/>
      <c r="AX314" s="458"/>
      <c r="AY314" s="458"/>
      <c r="AZ314" s="458"/>
      <c r="BA314" s="458"/>
      <c r="BB314" s="458"/>
      <c r="BC314" s="458"/>
      <c r="BD314" s="458"/>
      <c r="BE314" s="458"/>
      <c r="BF314" s="458"/>
      <c r="BG314" s="458"/>
      <c r="BH314" s="458"/>
      <c r="BI314" s="458"/>
      <c r="BJ314" s="458"/>
      <c r="BK314" s="592" t="str">
        <f t="shared" si="41"/>
        <v/>
      </c>
      <c r="BM314" s="592" t="str">
        <f t="shared" si="42"/>
        <v/>
      </c>
      <c r="BO314" s="592">
        <f t="shared" si="43"/>
        <v>0</v>
      </c>
      <c r="BP314" s="592">
        <f t="shared" si="44"/>
        <v>0</v>
      </c>
      <c r="BQ314" s="592" t="str">
        <f t="shared" si="45"/>
        <v/>
      </c>
      <c r="BR314" s="592" t="str">
        <f t="shared" si="46"/>
        <v/>
      </c>
    </row>
    <row r="315" spans="1:70" ht="15.6">
      <c r="A315" s="1805"/>
      <c r="B315" s="457"/>
      <c r="C315" s="454"/>
      <c r="D315" s="684"/>
      <c r="E315" s="684"/>
      <c r="F315" s="684"/>
      <c r="G315" s="684"/>
      <c r="H315" s="684"/>
      <c r="I315" s="684"/>
      <c r="J315" s="684"/>
      <c r="K315" s="684"/>
      <c r="L315" s="2145"/>
      <c r="M315" s="2146"/>
      <c r="N315" s="2146"/>
      <c r="O315" s="2147"/>
      <c r="P315" s="824">
        <f t="shared" si="38"/>
        <v>0</v>
      </c>
      <c r="Q315" s="1191"/>
      <c r="R315" s="758"/>
      <c r="S315" s="758"/>
      <c r="T315" s="758"/>
      <c r="U315" s="758"/>
      <c r="V315" s="758"/>
      <c r="W315" s="758"/>
      <c r="X315" s="758"/>
      <c r="Y315" s="758"/>
      <c r="Z315" s="758"/>
      <c r="AA315" s="758"/>
      <c r="AB315" s="458"/>
      <c r="AC315" s="458"/>
      <c r="AD315" s="458"/>
      <c r="AE315" s="458"/>
      <c r="AF315" s="458"/>
      <c r="AG315" s="758"/>
      <c r="AH315" s="2205"/>
      <c r="AI315" s="842">
        <f t="shared" si="39"/>
        <v>0</v>
      </c>
      <c r="AJ315" s="233"/>
      <c r="AK315" s="233"/>
      <c r="AL315" s="233"/>
      <c r="AM315" s="233"/>
      <c r="AN315" s="233"/>
      <c r="AO315" s="684"/>
      <c r="AP315" s="684"/>
      <c r="AQ315" s="684"/>
      <c r="AR315" s="684"/>
      <c r="AS315" s="626" t="str">
        <f t="shared" si="40"/>
        <v/>
      </c>
      <c r="AT315" s="2205"/>
      <c r="AU315" s="458"/>
      <c r="AV315" s="458"/>
      <c r="AW315" s="458"/>
      <c r="AX315" s="458"/>
      <c r="AY315" s="458"/>
      <c r="AZ315" s="458"/>
      <c r="BA315" s="458"/>
      <c r="BB315" s="458"/>
      <c r="BC315" s="458"/>
      <c r="BD315" s="458"/>
      <c r="BE315" s="458"/>
      <c r="BF315" s="458"/>
      <c r="BG315" s="458"/>
      <c r="BH315" s="458"/>
      <c r="BI315" s="458"/>
      <c r="BJ315" s="458"/>
      <c r="BK315" s="592" t="str">
        <f t="shared" si="41"/>
        <v/>
      </c>
      <c r="BM315" s="592" t="str">
        <f t="shared" si="42"/>
        <v/>
      </c>
      <c r="BO315" s="592">
        <f t="shared" si="43"/>
        <v>0</v>
      </c>
      <c r="BP315" s="592">
        <f t="shared" si="44"/>
        <v>0</v>
      </c>
      <c r="BQ315" s="592" t="str">
        <f t="shared" si="45"/>
        <v/>
      </c>
      <c r="BR315" s="592" t="str">
        <f t="shared" si="46"/>
        <v/>
      </c>
    </row>
    <row r="316" spans="1:70" ht="15.6">
      <c r="A316" s="1805"/>
      <c r="B316" s="457"/>
      <c r="C316" s="454"/>
      <c r="D316" s="684"/>
      <c r="E316" s="684"/>
      <c r="F316" s="684"/>
      <c r="G316" s="684"/>
      <c r="H316" s="684"/>
      <c r="I316" s="684"/>
      <c r="J316" s="684"/>
      <c r="K316" s="684"/>
      <c r="L316" s="2145"/>
      <c r="M316" s="2146"/>
      <c r="N316" s="2146"/>
      <c r="O316" s="2147"/>
      <c r="P316" s="824">
        <f t="shared" si="38"/>
        <v>0</v>
      </c>
      <c r="Q316" s="1191"/>
      <c r="R316" s="758"/>
      <c r="S316" s="758"/>
      <c r="T316" s="758"/>
      <c r="U316" s="758"/>
      <c r="V316" s="758"/>
      <c r="W316" s="758"/>
      <c r="X316" s="758"/>
      <c r="Y316" s="758"/>
      <c r="Z316" s="758"/>
      <c r="AA316" s="758"/>
      <c r="AB316" s="458"/>
      <c r="AC316" s="458"/>
      <c r="AD316" s="458"/>
      <c r="AE316" s="458"/>
      <c r="AF316" s="458"/>
      <c r="AG316" s="758"/>
      <c r="AH316" s="2205"/>
      <c r="AI316" s="842">
        <f t="shared" si="39"/>
        <v>0</v>
      </c>
      <c r="AJ316" s="233"/>
      <c r="AK316" s="233"/>
      <c r="AL316" s="233"/>
      <c r="AM316" s="233"/>
      <c r="AN316" s="233"/>
      <c r="AO316" s="684"/>
      <c r="AP316" s="684"/>
      <c r="AQ316" s="684"/>
      <c r="AR316" s="684"/>
      <c r="AS316" s="626" t="str">
        <f t="shared" si="40"/>
        <v/>
      </c>
      <c r="AT316" s="2205"/>
      <c r="AU316" s="458"/>
      <c r="AV316" s="458"/>
      <c r="AW316" s="458"/>
      <c r="AX316" s="458"/>
      <c r="AY316" s="458"/>
      <c r="AZ316" s="458"/>
      <c r="BA316" s="458"/>
      <c r="BB316" s="458"/>
      <c r="BC316" s="458"/>
      <c r="BD316" s="458"/>
      <c r="BE316" s="458"/>
      <c r="BF316" s="458"/>
      <c r="BG316" s="458"/>
      <c r="BH316" s="458"/>
      <c r="BI316" s="458"/>
      <c r="BJ316" s="458"/>
      <c r="BK316" s="592" t="str">
        <f t="shared" si="41"/>
        <v/>
      </c>
      <c r="BM316" s="592" t="str">
        <f t="shared" si="42"/>
        <v/>
      </c>
      <c r="BO316" s="592">
        <f t="shared" si="43"/>
        <v>0</v>
      </c>
      <c r="BP316" s="592">
        <f t="shared" si="44"/>
        <v>0</v>
      </c>
      <c r="BQ316" s="592" t="str">
        <f t="shared" si="45"/>
        <v/>
      </c>
      <c r="BR316" s="592" t="str">
        <f t="shared" si="46"/>
        <v/>
      </c>
    </row>
    <row r="317" spans="1:70" ht="15.6">
      <c r="A317" s="1805"/>
      <c r="B317" s="457"/>
      <c r="C317" s="454"/>
      <c r="D317" s="684"/>
      <c r="E317" s="684"/>
      <c r="F317" s="684"/>
      <c r="G317" s="684"/>
      <c r="H317" s="684"/>
      <c r="I317" s="684"/>
      <c r="J317" s="684"/>
      <c r="K317" s="684"/>
      <c r="L317" s="2145"/>
      <c r="M317" s="2146"/>
      <c r="N317" s="2146"/>
      <c r="O317" s="2147"/>
      <c r="P317" s="824">
        <f t="shared" si="38"/>
        <v>0</v>
      </c>
      <c r="Q317" s="1191"/>
      <c r="R317" s="758"/>
      <c r="S317" s="758"/>
      <c r="T317" s="758"/>
      <c r="U317" s="758"/>
      <c r="V317" s="758"/>
      <c r="W317" s="758"/>
      <c r="X317" s="758"/>
      <c r="Y317" s="758"/>
      <c r="Z317" s="758"/>
      <c r="AA317" s="758"/>
      <c r="AB317" s="458"/>
      <c r="AC317" s="458"/>
      <c r="AD317" s="458"/>
      <c r="AE317" s="458"/>
      <c r="AF317" s="458"/>
      <c r="AG317" s="758"/>
      <c r="AH317" s="2205"/>
      <c r="AI317" s="842">
        <f t="shared" si="39"/>
        <v>0</v>
      </c>
      <c r="AJ317" s="233"/>
      <c r="AK317" s="233"/>
      <c r="AL317" s="233"/>
      <c r="AM317" s="233"/>
      <c r="AN317" s="233"/>
      <c r="AO317" s="684"/>
      <c r="AP317" s="684"/>
      <c r="AQ317" s="684"/>
      <c r="AR317" s="684"/>
      <c r="AS317" s="626" t="str">
        <f t="shared" si="40"/>
        <v/>
      </c>
      <c r="AT317" s="2205"/>
      <c r="AU317" s="458"/>
      <c r="AV317" s="458"/>
      <c r="AW317" s="458"/>
      <c r="AX317" s="458"/>
      <c r="AY317" s="458"/>
      <c r="AZ317" s="458"/>
      <c r="BA317" s="458"/>
      <c r="BB317" s="458"/>
      <c r="BC317" s="458"/>
      <c r="BD317" s="458"/>
      <c r="BE317" s="458"/>
      <c r="BF317" s="458"/>
      <c r="BG317" s="458"/>
      <c r="BH317" s="458"/>
      <c r="BI317" s="458"/>
      <c r="BJ317" s="458"/>
      <c r="BK317" s="592" t="str">
        <f t="shared" si="41"/>
        <v/>
      </c>
      <c r="BM317" s="592" t="str">
        <f t="shared" si="42"/>
        <v/>
      </c>
      <c r="BO317" s="592">
        <f t="shared" si="43"/>
        <v>0</v>
      </c>
      <c r="BP317" s="592">
        <f t="shared" si="44"/>
        <v>0</v>
      </c>
      <c r="BQ317" s="592" t="str">
        <f t="shared" si="45"/>
        <v/>
      </c>
      <c r="BR317" s="592" t="str">
        <f t="shared" si="46"/>
        <v/>
      </c>
    </row>
    <row r="318" spans="1:70" ht="15.6">
      <c r="A318" s="1805"/>
      <c r="B318" s="457"/>
      <c r="C318" s="454"/>
      <c r="D318" s="684"/>
      <c r="E318" s="684"/>
      <c r="F318" s="684"/>
      <c r="G318" s="684"/>
      <c r="H318" s="684"/>
      <c r="I318" s="684"/>
      <c r="J318" s="684"/>
      <c r="K318" s="684"/>
      <c r="L318" s="2145"/>
      <c r="M318" s="2146"/>
      <c r="N318" s="2146"/>
      <c r="O318" s="2147"/>
      <c r="P318" s="824">
        <f t="shared" si="38"/>
        <v>0</v>
      </c>
      <c r="Q318" s="1191"/>
      <c r="R318" s="758"/>
      <c r="S318" s="758"/>
      <c r="T318" s="758"/>
      <c r="U318" s="758"/>
      <c r="V318" s="758"/>
      <c r="W318" s="758"/>
      <c r="X318" s="758"/>
      <c r="Y318" s="758"/>
      <c r="Z318" s="758"/>
      <c r="AA318" s="758"/>
      <c r="AB318" s="458"/>
      <c r="AC318" s="458"/>
      <c r="AD318" s="458"/>
      <c r="AE318" s="458"/>
      <c r="AF318" s="458"/>
      <c r="AG318" s="758"/>
      <c r="AH318" s="2205"/>
      <c r="AI318" s="842">
        <f t="shared" si="39"/>
        <v>0</v>
      </c>
      <c r="AJ318" s="233"/>
      <c r="AK318" s="233"/>
      <c r="AL318" s="233"/>
      <c r="AM318" s="233"/>
      <c r="AN318" s="233"/>
      <c r="AO318" s="684"/>
      <c r="AP318" s="684"/>
      <c r="AQ318" s="684"/>
      <c r="AR318" s="684"/>
      <c r="AS318" s="626" t="str">
        <f t="shared" si="40"/>
        <v/>
      </c>
      <c r="AT318" s="2205"/>
      <c r="AU318" s="458"/>
      <c r="AV318" s="458"/>
      <c r="AW318" s="458"/>
      <c r="AX318" s="458"/>
      <c r="AY318" s="458"/>
      <c r="AZ318" s="458"/>
      <c r="BA318" s="458"/>
      <c r="BB318" s="458"/>
      <c r="BC318" s="458"/>
      <c r="BD318" s="458"/>
      <c r="BE318" s="458"/>
      <c r="BF318" s="458"/>
      <c r="BG318" s="458"/>
      <c r="BH318" s="458"/>
      <c r="BI318" s="458"/>
      <c r="BJ318" s="458"/>
      <c r="BK318" s="592" t="str">
        <f t="shared" si="41"/>
        <v/>
      </c>
      <c r="BM318" s="592" t="str">
        <f t="shared" si="42"/>
        <v/>
      </c>
      <c r="BO318" s="592">
        <f t="shared" si="43"/>
        <v>0</v>
      </c>
      <c r="BP318" s="592">
        <f t="shared" si="44"/>
        <v>0</v>
      </c>
      <c r="BQ318" s="592" t="str">
        <f t="shared" si="45"/>
        <v/>
      </c>
      <c r="BR318" s="592" t="str">
        <f t="shared" si="46"/>
        <v/>
      </c>
    </row>
    <row r="319" spans="1:70" ht="15.6">
      <c r="A319" s="1805"/>
      <c r="B319" s="455"/>
      <c r="C319" s="456"/>
      <c r="D319" s="233"/>
      <c r="E319" s="233"/>
      <c r="F319" s="684"/>
      <c r="G319" s="684"/>
      <c r="H319" s="684"/>
      <c r="I319" s="684"/>
      <c r="J319" s="684"/>
      <c r="K319" s="684"/>
      <c r="L319" s="2145"/>
      <c r="M319" s="2146"/>
      <c r="N319" s="2146"/>
      <c r="O319" s="2147"/>
      <c r="P319" s="824">
        <f t="shared" si="38"/>
        <v>0</v>
      </c>
      <c r="Q319" s="1191"/>
      <c r="R319" s="758"/>
      <c r="S319" s="758"/>
      <c r="T319" s="758"/>
      <c r="U319" s="758"/>
      <c r="V319" s="758"/>
      <c r="W319" s="758"/>
      <c r="X319" s="758"/>
      <c r="Y319" s="758"/>
      <c r="Z319" s="758"/>
      <c r="AA319" s="758"/>
      <c r="AB319" s="458"/>
      <c r="AC319" s="458"/>
      <c r="AD319" s="458"/>
      <c r="AE319" s="458"/>
      <c r="AF319" s="458"/>
      <c r="AG319" s="758"/>
      <c r="AH319" s="2205"/>
      <c r="AI319" s="842">
        <f t="shared" si="39"/>
        <v>0</v>
      </c>
      <c r="AJ319" s="233"/>
      <c r="AK319" s="233"/>
      <c r="AL319" s="233"/>
      <c r="AM319" s="233"/>
      <c r="AN319" s="233"/>
      <c r="AO319" s="684"/>
      <c r="AP319" s="684"/>
      <c r="AQ319" s="684"/>
      <c r="AR319" s="684"/>
      <c r="AS319" s="626" t="str">
        <f t="shared" si="40"/>
        <v/>
      </c>
      <c r="AT319" s="2205"/>
      <c r="AU319" s="458"/>
      <c r="AV319" s="458"/>
      <c r="AW319" s="458"/>
      <c r="AX319" s="458"/>
      <c r="AY319" s="458"/>
      <c r="AZ319" s="458"/>
      <c r="BA319" s="458"/>
      <c r="BB319" s="458"/>
      <c r="BC319" s="458"/>
      <c r="BD319" s="458"/>
      <c r="BE319" s="458"/>
      <c r="BF319" s="458"/>
      <c r="BG319" s="458"/>
      <c r="BH319" s="458"/>
      <c r="BI319" s="458"/>
      <c r="BJ319" s="458"/>
      <c r="BK319" s="592" t="str">
        <f t="shared" si="41"/>
        <v/>
      </c>
      <c r="BM319" s="592" t="str">
        <f t="shared" si="42"/>
        <v/>
      </c>
      <c r="BO319" s="592">
        <f t="shared" si="43"/>
        <v>0</v>
      </c>
      <c r="BP319" s="592">
        <f t="shared" si="44"/>
        <v>0</v>
      </c>
      <c r="BQ319" s="592" t="str">
        <f t="shared" si="45"/>
        <v/>
      </c>
      <c r="BR319" s="592" t="str">
        <f t="shared" si="46"/>
        <v/>
      </c>
    </row>
    <row r="320" spans="1:70" ht="15.6">
      <c r="A320" s="1805"/>
      <c r="B320" s="457"/>
      <c r="C320" s="454"/>
      <c r="D320" s="684"/>
      <c r="E320" s="684"/>
      <c r="F320" s="684"/>
      <c r="G320" s="684"/>
      <c r="H320" s="684"/>
      <c r="I320" s="684"/>
      <c r="J320" s="684"/>
      <c r="K320" s="684"/>
      <c r="L320" s="2145"/>
      <c r="M320" s="2146"/>
      <c r="N320" s="2146"/>
      <c r="O320" s="2147"/>
      <c r="P320" s="824">
        <f t="shared" si="38"/>
        <v>0</v>
      </c>
      <c r="Q320" s="1191"/>
      <c r="R320" s="758"/>
      <c r="S320" s="758"/>
      <c r="T320" s="758"/>
      <c r="U320" s="758"/>
      <c r="V320" s="758"/>
      <c r="W320" s="758"/>
      <c r="X320" s="758"/>
      <c r="Y320" s="758"/>
      <c r="Z320" s="758"/>
      <c r="AA320" s="758"/>
      <c r="AB320" s="458"/>
      <c r="AC320" s="458"/>
      <c r="AD320" s="458"/>
      <c r="AE320" s="458"/>
      <c r="AF320" s="458"/>
      <c r="AG320" s="758"/>
      <c r="AH320" s="2205"/>
      <c r="AI320" s="842">
        <f t="shared" si="39"/>
        <v>0</v>
      </c>
      <c r="AJ320" s="233"/>
      <c r="AK320" s="233"/>
      <c r="AL320" s="233"/>
      <c r="AM320" s="233"/>
      <c r="AN320" s="233"/>
      <c r="AO320" s="684"/>
      <c r="AP320" s="684"/>
      <c r="AQ320" s="684"/>
      <c r="AR320" s="684"/>
      <c r="AS320" s="626" t="str">
        <f t="shared" si="40"/>
        <v/>
      </c>
      <c r="AT320" s="2205"/>
      <c r="AU320" s="458"/>
      <c r="AV320" s="458"/>
      <c r="AW320" s="458"/>
      <c r="AX320" s="458"/>
      <c r="AY320" s="458"/>
      <c r="AZ320" s="458"/>
      <c r="BA320" s="458"/>
      <c r="BB320" s="458"/>
      <c r="BC320" s="458"/>
      <c r="BD320" s="458"/>
      <c r="BE320" s="458"/>
      <c r="BF320" s="458"/>
      <c r="BG320" s="458"/>
      <c r="BH320" s="458"/>
      <c r="BI320" s="458"/>
      <c r="BJ320" s="458"/>
      <c r="BK320" s="592" t="str">
        <f t="shared" si="41"/>
        <v/>
      </c>
      <c r="BM320" s="592" t="str">
        <f t="shared" si="42"/>
        <v/>
      </c>
      <c r="BO320" s="592">
        <f t="shared" si="43"/>
        <v>0</v>
      </c>
      <c r="BP320" s="592">
        <f t="shared" si="44"/>
        <v>0</v>
      </c>
      <c r="BQ320" s="592" t="str">
        <f t="shared" si="45"/>
        <v/>
      </c>
      <c r="BR320" s="592" t="str">
        <f t="shared" si="46"/>
        <v/>
      </c>
    </row>
    <row r="321" spans="1:70" ht="15.6">
      <c r="A321" s="1805"/>
      <c r="B321" s="457"/>
      <c r="C321" s="454"/>
      <c r="D321" s="684"/>
      <c r="E321" s="684"/>
      <c r="F321" s="684"/>
      <c r="G321" s="684"/>
      <c r="H321" s="684"/>
      <c r="I321" s="684"/>
      <c r="J321" s="684"/>
      <c r="K321" s="684"/>
      <c r="L321" s="2145"/>
      <c r="M321" s="2146"/>
      <c r="N321" s="2146"/>
      <c r="O321" s="2147"/>
      <c r="P321" s="824">
        <f t="shared" ref="P321:P353" si="47">((D321*$D$285)+($E$285*E321)+($F$285*F321)+($G$285*G321)+($H$285*H321)+($I$285*I321)+($J$285*J321)+($K$285*K321))*C321*8.76</f>
        <v>0</v>
      </c>
      <c r="Q321" s="1191"/>
      <c r="R321" s="758"/>
      <c r="S321" s="758"/>
      <c r="T321" s="758"/>
      <c r="U321" s="758"/>
      <c r="V321" s="758"/>
      <c r="W321" s="758"/>
      <c r="X321" s="758"/>
      <c r="Y321" s="758"/>
      <c r="Z321" s="758"/>
      <c r="AA321" s="758"/>
      <c r="AB321" s="458"/>
      <c r="AC321" s="458"/>
      <c r="AD321" s="458"/>
      <c r="AE321" s="458"/>
      <c r="AF321" s="458"/>
      <c r="AG321" s="758"/>
      <c r="AH321" s="2205"/>
      <c r="AI321" s="842">
        <f t="shared" si="39"/>
        <v>0</v>
      </c>
      <c r="AJ321" s="233"/>
      <c r="AK321" s="233"/>
      <c r="AL321" s="233"/>
      <c r="AM321" s="233"/>
      <c r="AN321" s="233"/>
      <c r="AO321" s="684"/>
      <c r="AP321" s="684"/>
      <c r="AQ321" s="684"/>
      <c r="AR321" s="684"/>
      <c r="AS321" s="626" t="str">
        <f t="shared" si="40"/>
        <v/>
      </c>
      <c r="AT321" s="2205"/>
      <c r="AU321" s="458"/>
      <c r="AV321" s="458"/>
      <c r="AW321" s="458"/>
      <c r="AX321" s="458"/>
      <c r="AY321" s="458"/>
      <c r="AZ321" s="458"/>
      <c r="BA321" s="458"/>
      <c r="BB321" s="458"/>
      <c r="BC321" s="458"/>
      <c r="BD321" s="458"/>
      <c r="BE321" s="458"/>
      <c r="BF321" s="458"/>
      <c r="BG321" s="458"/>
      <c r="BH321" s="458"/>
      <c r="BI321" s="458"/>
      <c r="BJ321" s="458"/>
      <c r="BK321" s="592" t="str">
        <f t="shared" si="41"/>
        <v/>
      </c>
      <c r="BM321" s="592" t="str">
        <f t="shared" si="42"/>
        <v/>
      </c>
      <c r="BO321" s="592">
        <f t="shared" si="43"/>
        <v>0</v>
      </c>
      <c r="BP321" s="592">
        <f t="shared" si="44"/>
        <v>0</v>
      </c>
      <c r="BQ321" s="592" t="str">
        <f t="shared" si="45"/>
        <v/>
      </c>
      <c r="BR321" s="592" t="str">
        <f t="shared" si="46"/>
        <v/>
      </c>
    </row>
    <row r="322" spans="1:70" ht="15.6">
      <c r="A322" s="1805"/>
      <c r="B322" s="457"/>
      <c r="C322" s="454"/>
      <c r="D322" s="684"/>
      <c r="E322" s="684"/>
      <c r="F322" s="684"/>
      <c r="G322" s="684"/>
      <c r="H322" s="684"/>
      <c r="I322" s="684"/>
      <c r="J322" s="684"/>
      <c r="K322" s="684"/>
      <c r="L322" s="2145"/>
      <c r="M322" s="2146"/>
      <c r="N322" s="2146"/>
      <c r="O322" s="2147"/>
      <c r="P322" s="824">
        <f t="shared" si="47"/>
        <v>0</v>
      </c>
      <c r="Q322" s="1191"/>
      <c r="R322" s="758"/>
      <c r="S322" s="758"/>
      <c r="T322" s="758"/>
      <c r="U322" s="758"/>
      <c r="V322" s="758"/>
      <c r="W322" s="758"/>
      <c r="X322" s="758"/>
      <c r="Y322" s="758"/>
      <c r="Z322" s="758"/>
      <c r="AA322" s="758"/>
      <c r="AB322" s="458"/>
      <c r="AC322" s="458"/>
      <c r="AD322" s="458"/>
      <c r="AE322" s="458"/>
      <c r="AF322" s="458"/>
      <c r="AG322" s="758"/>
      <c r="AH322" s="2205"/>
      <c r="AI322" s="842">
        <f t="shared" ref="AI322:AI385" si="48">B322</f>
        <v>0</v>
      </c>
      <c r="AJ322" s="233"/>
      <c r="AK322" s="233"/>
      <c r="AL322" s="233"/>
      <c r="AM322" s="233"/>
      <c r="AN322" s="233"/>
      <c r="AO322" s="684"/>
      <c r="AP322" s="684"/>
      <c r="AQ322" s="684"/>
      <c r="AR322" s="684"/>
      <c r="AS322" s="626" t="str">
        <f t="shared" si="40"/>
        <v/>
      </c>
      <c r="AT322" s="2205"/>
      <c r="AU322" s="458"/>
      <c r="AV322" s="458"/>
      <c r="AW322" s="458"/>
      <c r="AX322" s="458"/>
      <c r="AY322" s="458"/>
      <c r="AZ322" s="458"/>
      <c r="BA322" s="458"/>
      <c r="BB322" s="458"/>
      <c r="BC322" s="458"/>
      <c r="BD322" s="458"/>
      <c r="BE322" s="458"/>
      <c r="BF322" s="458"/>
      <c r="BG322" s="458"/>
      <c r="BH322" s="458"/>
      <c r="BI322" s="458"/>
      <c r="BJ322" s="458"/>
      <c r="BK322" s="592" t="str">
        <f t="shared" si="41"/>
        <v/>
      </c>
      <c r="BM322" s="592" t="str">
        <f t="shared" si="42"/>
        <v/>
      </c>
      <c r="BO322" s="592">
        <f t="shared" si="43"/>
        <v>0</v>
      </c>
      <c r="BP322" s="592">
        <f t="shared" si="44"/>
        <v>0</v>
      </c>
      <c r="BQ322" s="592" t="str">
        <f t="shared" si="45"/>
        <v/>
      </c>
      <c r="BR322" s="592" t="str">
        <f t="shared" si="46"/>
        <v/>
      </c>
    </row>
    <row r="323" spans="1:70" ht="15.6">
      <c r="A323" s="1805"/>
      <c r="B323" s="457"/>
      <c r="C323" s="454"/>
      <c r="D323" s="684"/>
      <c r="E323" s="684"/>
      <c r="F323" s="684"/>
      <c r="G323" s="684"/>
      <c r="H323" s="684"/>
      <c r="I323" s="684"/>
      <c r="J323" s="684"/>
      <c r="K323" s="684"/>
      <c r="L323" s="2145"/>
      <c r="M323" s="2146"/>
      <c r="N323" s="2146"/>
      <c r="O323" s="2147"/>
      <c r="P323" s="824">
        <f t="shared" si="47"/>
        <v>0</v>
      </c>
      <c r="Q323" s="1191"/>
      <c r="R323" s="758"/>
      <c r="S323" s="758"/>
      <c r="T323" s="758"/>
      <c r="U323" s="758"/>
      <c r="V323" s="758"/>
      <c r="W323" s="758"/>
      <c r="X323" s="758"/>
      <c r="Y323" s="758"/>
      <c r="Z323" s="758"/>
      <c r="AA323" s="758"/>
      <c r="AB323" s="458"/>
      <c r="AC323" s="458"/>
      <c r="AD323" s="458"/>
      <c r="AE323" s="458"/>
      <c r="AF323" s="458"/>
      <c r="AG323" s="758"/>
      <c r="AH323" s="2205"/>
      <c r="AI323" s="842">
        <f t="shared" si="48"/>
        <v>0</v>
      </c>
      <c r="AJ323" s="233"/>
      <c r="AK323" s="233"/>
      <c r="AL323" s="233"/>
      <c r="AM323" s="233"/>
      <c r="AN323" s="233"/>
      <c r="AO323" s="684"/>
      <c r="AP323" s="684"/>
      <c r="AQ323" s="684"/>
      <c r="AR323" s="684"/>
      <c r="AS323" s="626" t="str">
        <f t="shared" si="40"/>
        <v/>
      </c>
      <c r="AT323" s="2205"/>
      <c r="AU323" s="458"/>
      <c r="AV323" s="458"/>
      <c r="AW323" s="458"/>
      <c r="AX323" s="458"/>
      <c r="AY323" s="458"/>
      <c r="AZ323" s="458"/>
      <c r="BA323" s="458"/>
      <c r="BB323" s="458"/>
      <c r="BC323" s="458"/>
      <c r="BD323" s="458"/>
      <c r="BE323" s="458"/>
      <c r="BF323" s="458"/>
      <c r="BG323" s="458"/>
      <c r="BH323" s="458"/>
      <c r="BI323" s="458"/>
      <c r="BJ323" s="458"/>
      <c r="BK323" s="592" t="str">
        <f t="shared" si="41"/>
        <v/>
      </c>
      <c r="BM323" s="592" t="str">
        <f t="shared" si="42"/>
        <v/>
      </c>
      <c r="BO323" s="592">
        <f t="shared" si="43"/>
        <v>0</v>
      </c>
      <c r="BP323" s="592">
        <f t="shared" si="44"/>
        <v>0</v>
      </c>
      <c r="BQ323" s="592" t="str">
        <f t="shared" si="45"/>
        <v/>
      </c>
      <c r="BR323" s="592" t="str">
        <f t="shared" si="46"/>
        <v/>
      </c>
    </row>
    <row r="324" spans="1:70" ht="15.6">
      <c r="A324" s="1805"/>
      <c r="B324" s="457"/>
      <c r="C324" s="454"/>
      <c r="D324" s="684"/>
      <c r="E324" s="684"/>
      <c r="F324" s="684"/>
      <c r="G324" s="684"/>
      <c r="H324" s="684"/>
      <c r="I324" s="684"/>
      <c r="J324" s="684"/>
      <c r="K324" s="684"/>
      <c r="L324" s="2145"/>
      <c r="M324" s="2146"/>
      <c r="N324" s="2146"/>
      <c r="O324" s="2147"/>
      <c r="P324" s="824">
        <f t="shared" si="47"/>
        <v>0</v>
      </c>
      <c r="Q324" s="1191"/>
      <c r="R324" s="758"/>
      <c r="S324" s="758"/>
      <c r="T324" s="758"/>
      <c r="U324" s="758"/>
      <c r="V324" s="758"/>
      <c r="W324" s="758"/>
      <c r="X324" s="758"/>
      <c r="Y324" s="758"/>
      <c r="Z324" s="758"/>
      <c r="AA324" s="758"/>
      <c r="AB324" s="458"/>
      <c r="AC324" s="458"/>
      <c r="AD324" s="458"/>
      <c r="AE324" s="458"/>
      <c r="AF324" s="458"/>
      <c r="AG324" s="758"/>
      <c r="AH324" s="2205"/>
      <c r="AI324" s="842">
        <f t="shared" si="48"/>
        <v>0</v>
      </c>
      <c r="AJ324" s="233"/>
      <c r="AK324" s="233"/>
      <c r="AL324" s="233"/>
      <c r="AM324" s="233"/>
      <c r="AN324" s="233"/>
      <c r="AO324" s="684"/>
      <c r="AP324" s="684"/>
      <c r="AQ324" s="684"/>
      <c r="AR324" s="684"/>
      <c r="AS324" s="626" t="str">
        <f t="shared" si="40"/>
        <v/>
      </c>
      <c r="AT324" s="2205"/>
      <c r="AU324" s="458"/>
      <c r="AV324" s="458"/>
      <c r="AW324" s="458"/>
      <c r="AX324" s="458"/>
      <c r="AY324" s="458"/>
      <c r="AZ324" s="458"/>
      <c r="BA324" s="458"/>
      <c r="BB324" s="458"/>
      <c r="BC324" s="458"/>
      <c r="BD324" s="458"/>
      <c r="BE324" s="458"/>
      <c r="BF324" s="458"/>
      <c r="BG324" s="458"/>
      <c r="BH324" s="458"/>
      <c r="BI324" s="458"/>
      <c r="BJ324" s="458"/>
      <c r="BK324" s="592" t="str">
        <f t="shared" si="41"/>
        <v/>
      </c>
      <c r="BM324" s="592" t="str">
        <f t="shared" si="42"/>
        <v/>
      </c>
      <c r="BO324" s="592">
        <f t="shared" si="43"/>
        <v>0</v>
      </c>
      <c r="BP324" s="592">
        <f t="shared" si="44"/>
        <v>0</v>
      </c>
      <c r="BQ324" s="592" t="str">
        <f t="shared" si="45"/>
        <v/>
      </c>
      <c r="BR324" s="592" t="str">
        <f t="shared" si="46"/>
        <v/>
      </c>
    </row>
    <row r="325" spans="1:70" ht="15.6">
      <c r="A325" s="1805"/>
      <c r="B325" s="457"/>
      <c r="C325" s="454"/>
      <c r="D325" s="684"/>
      <c r="E325" s="684"/>
      <c r="F325" s="684"/>
      <c r="G325" s="684"/>
      <c r="H325" s="684"/>
      <c r="I325" s="684"/>
      <c r="J325" s="684"/>
      <c r="K325" s="684"/>
      <c r="L325" s="2145"/>
      <c r="M325" s="2146"/>
      <c r="N325" s="2146"/>
      <c r="O325" s="2147"/>
      <c r="P325" s="824">
        <f t="shared" si="47"/>
        <v>0</v>
      </c>
      <c r="Q325" s="1191"/>
      <c r="R325" s="758"/>
      <c r="S325" s="758"/>
      <c r="T325" s="758"/>
      <c r="U325" s="758"/>
      <c r="V325" s="758"/>
      <c r="W325" s="758"/>
      <c r="X325" s="758"/>
      <c r="Y325" s="758"/>
      <c r="Z325" s="758"/>
      <c r="AA325" s="758"/>
      <c r="AB325" s="458"/>
      <c r="AC325" s="458"/>
      <c r="AD325" s="458"/>
      <c r="AE325" s="458"/>
      <c r="AF325" s="458"/>
      <c r="AG325" s="758"/>
      <c r="AH325" s="2205"/>
      <c r="AI325" s="842">
        <f t="shared" si="48"/>
        <v>0</v>
      </c>
      <c r="AJ325" s="233"/>
      <c r="AK325" s="233"/>
      <c r="AL325" s="233"/>
      <c r="AM325" s="233"/>
      <c r="AN325" s="233"/>
      <c r="AO325" s="684"/>
      <c r="AP325" s="684"/>
      <c r="AQ325" s="684"/>
      <c r="AR325" s="684"/>
      <c r="AS325" s="626" t="str">
        <f t="shared" si="40"/>
        <v/>
      </c>
      <c r="AT325" s="2205"/>
      <c r="AU325" s="458"/>
      <c r="AV325" s="458"/>
      <c r="AW325" s="458"/>
      <c r="AX325" s="458"/>
      <c r="AY325" s="458"/>
      <c r="AZ325" s="458"/>
      <c r="BA325" s="458"/>
      <c r="BB325" s="458"/>
      <c r="BC325" s="458"/>
      <c r="BD325" s="458"/>
      <c r="BE325" s="458"/>
      <c r="BF325" s="458"/>
      <c r="BG325" s="458"/>
      <c r="BH325" s="458"/>
      <c r="BI325" s="458"/>
      <c r="BJ325" s="458"/>
      <c r="BK325" s="592" t="str">
        <f t="shared" si="41"/>
        <v/>
      </c>
      <c r="BM325" s="592" t="str">
        <f t="shared" si="42"/>
        <v/>
      </c>
      <c r="BO325" s="592">
        <f t="shared" si="43"/>
        <v>0</v>
      </c>
      <c r="BP325" s="592">
        <f t="shared" si="44"/>
        <v>0</v>
      </c>
      <c r="BQ325" s="592" t="str">
        <f t="shared" si="45"/>
        <v/>
      </c>
      <c r="BR325" s="592" t="str">
        <f t="shared" si="46"/>
        <v/>
      </c>
    </row>
    <row r="326" spans="1:70" ht="15.6">
      <c r="A326" s="1805"/>
      <c r="B326" s="457"/>
      <c r="C326" s="454"/>
      <c r="D326" s="684"/>
      <c r="E326" s="684"/>
      <c r="F326" s="684"/>
      <c r="G326" s="684"/>
      <c r="H326" s="684"/>
      <c r="I326" s="684"/>
      <c r="J326" s="684"/>
      <c r="K326" s="684"/>
      <c r="L326" s="2145"/>
      <c r="M326" s="2146"/>
      <c r="N326" s="2146"/>
      <c r="O326" s="2147"/>
      <c r="P326" s="824">
        <f t="shared" si="47"/>
        <v>0</v>
      </c>
      <c r="Q326" s="1191"/>
      <c r="R326" s="758"/>
      <c r="S326" s="758"/>
      <c r="T326" s="758"/>
      <c r="U326" s="758"/>
      <c r="V326" s="758"/>
      <c r="W326" s="758"/>
      <c r="X326" s="758"/>
      <c r="Y326" s="758"/>
      <c r="Z326" s="758"/>
      <c r="AA326" s="758"/>
      <c r="AB326" s="458"/>
      <c r="AC326" s="458"/>
      <c r="AD326" s="458"/>
      <c r="AE326" s="458"/>
      <c r="AF326" s="458"/>
      <c r="AG326" s="758"/>
      <c r="AH326" s="2205"/>
      <c r="AI326" s="842">
        <f t="shared" si="48"/>
        <v>0</v>
      </c>
      <c r="AJ326" s="233"/>
      <c r="AK326" s="233"/>
      <c r="AL326" s="233"/>
      <c r="AM326" s="233"/>
      <c r="AN326" s="233"/>
      <c r="AO326" s="684"/>
      <c r="AP326" s="684"/>
      <c r="AQ326" s="684"/>
      <c r="AR326" s="684"/>
      <c r="AS326" s="626" t="str">
        <f t="shared" si="40"/>
        <v/>
      </c>
      <c r="AT326" s="2205"/>
      <c r="AU326" s="458"/>
      <c r="AV326" s="458"/>
      <c r="AW326" s="458"/>
      <c r="AX326" s="458"/>
      <c r="AY326" s="458"/>
      <c r="AZ326" s="458"/>
      <c r="BA326" s="458"/>
      <c r="BB326" s="458"/>
      <c r="BC326" s="458"/>
      <c r="BD326" s="458"/>
      <c r="BE326" s="458"/>
      <c r="BF326" s="458"/>
      <c r="BG326" s="458"/>
      <c r="BH326" s="458"/>
      <c r="BI326" s="458"/>
      <c r="BJ326" s="458"/>
      <c r="BK326" s="592" t="str">
        <f t="shared" si="41"/>
        <v/>
      </c>
      <c r="BM326" s="592" t="str">
        <f t="shared" si="42"/>
        <v/>
      </c>
      <c r="BO326" s="592">
        <f t="shared" si="43"/>
        <v>0</v>
      </c>
      <c r="BP326" s="592">
        <f t="shared" si="44"/>
        <v>0</v>
      </c>
      <c r="BQ326" s="592" t="str">
        <f t="shared" si="45"/>
        <v/>
      </c>
      <c r="BR326" s="592" t="str">
        <f t="shared" si="46"/>
        <v/>
      </c>
    </row>
    <row r="327" spans="1:70" ht="15.6">
      <c r="A327" s="1805"/>
      <c r="B327" s="457"/>
      <c r="C327" s="454"/>
      <c r="D327" s="684"/>
      <c r="E327" s="684"/>
      <c r="F327" s="684"/>
      <c r="G327" s="684"/>
      <c r="H327" s="684"/>
      <c r="I327" s="684"/>
      <c r="J327" s="684"/>
      <c r="K327" s="684"/>
      <c r="L327" s="2145"/>
      <c r="M327" s="2146"/>
      <c r="N327" s="2146"/>
      <c r="O327" s="2147"/>
      <c r="P327" s="824">
        <f t="shared" si="47"/>
        <v>0</v>
      </c>
      <c r="Q327" s="1191"/>
      <c r="R327" s="758"/>
      <c r="S327" s="758"/>
      <c r="T327" s="758"/>
      <c r="U327" s="758"/>
      <c r="V327" s="758"/>
      <c r="W327" s="758"/>
      <c r="X327" s="758"/>
      <c r="Y327" s="758"/>
      <c r="Z327" s="758"/>
      <c r="AA327" s="758"/>
      <c r="AB327" s="458"/>
      <c r="AC327" s="458"/>
      <c r="AD327" s="458"/>
      <c r="AE327" s="458"/>
      <c r="AF327" s="458"/>
      <c r="AG327" s="758"/>
      <c r="AH327" s="2205"/>
      <c r="AI327" s="842">
        <f t="shared" si="48"/>
        <v>0</v>
      </c>
      <c r="AJ327" s="233"/>
      <c r="AK327" s="233"/>
      <c r="AL327" s="233"/>
      <c r="AM327" s="233"/>
      <c r="AN327" s="233"/>
      <c r="AO327" s="684"/>
      <c r="AP327" s="684"/>
      <c r="AQ327" s="684"/>
      <c r="AR327" s="684"/>
      <c r="AS327" s="626" t="str">
        <f t="shared" si="40"/>
        <v/>
      </c>
      <c r="AT327" s="2205"/>
      <c r="AU327" s="458"/>
      <c r="AV327" s="458"/>
      <c r="AW327" s="458"/>
      <c r="AX327" s="458"/>
      <c r="AY327" s="458"/>
      <c r="AZ327" s="458"/>
      <c r="BA327" s="458"/>
      <c r="BB327" s="458"/>
      <c r="BC327" s="458"/>
      <c r="BD327" s="458"/>
      <c r="BE327" s="458"/>
      <c r="BF327" s="458"/>
      <c r="BG327" s="458"/>
      <c r="BH327" s="458"/>
      <c r="BI327" s="458"/>
      <c r="BJ327" s="458"/>
      <c r="BK327" s="592" t="str">
        <f t="shared" si="41"/>
        <v/>
      </c>
      <c r="BM327" s="592" t="str">
        <f t="shared" si="42"/>
        <v/>
      </c>
      <c r="BO327" s="592">
        <f t="shared" si="43"/>
        <v>0</v>
      </c>
      <c r="BP327" s="592">
        <f t="shared" si="44"/>
        <v>0</v>
      </c>
      <c r="BQ327" s="592" t="str">
        <f t="shared" si="45"/>
        <v/>
      </c>
      <c r="BR327" s="592" t="str">
        <f t="shared" si="46"/>
        <v/>
      </c>
    </row>
    <row r="328" spans="1:70" ht="15.6">
      <c r="A328" s="1805"/>
      <c r="B328" s="457"/>
      <c r="C328" s="454"/>
      <c r="D328" s="684"/>
      <c r="E328" s="684"/>
      <c r="F328" s="684"/>
      <c r="G328" s="684"/>
      <c r="H328" s="684"/>
      <c r="I328" s="684"/>
      <c r="J328" s="684"/>
      <c r="K328" s="684"/>
      <c r="L328" s="2145"/>
      <c r="M328" s="2146"/>
      <c r="N328" s="2146"/>
      <c r="O328" s="2147"/>
      <c r="P328" s="824">
        <f t="shared" si="47"/>
        <v>0</v>
      </c>
      <c r="Q328" s="1191"/>
      <c r="R328" s="758"/>
      <c r="S328" s="758"/>
      <c r="T328" s="758"/>
      <c r="U328" s="758"/>
      <c r="V328" s="758"/>
      <c r="W328" s="758"/>
      <c r="X328" s="758"/>
      <c r="Y328" s="758"/>
      <c r="Z328" s="758"/>
      <c r="AA328" s="758"/>
      <c r="AB328" s="458"/>
      <c r="AC328" s="458"/>
      <c r="AD328" s="458"/>
      <c r="AE328" s="458"/>
      <c r="AF328" s="458"/>
      <c r="AG328" s="758"/>
      <c r="AH328" s="2205"/>
      <c r="AI328" s="842">
        <f t="shared" si="48"/>
        <v>0</v>
      </c>
      <c r="AJ328" s="233"/>
      <c r="AK328" s="233"/>
      <c r="AL328" s="233"/>
      <c r="AM328" s="233"/>
      <c r="AN328" s="233"/>
      <c r="AO328" s="684"/>
      <c r="AP328" s="684"/>
      <c r="AQ328" s="684"/>
      <c r="AR328" s="684"/>
      <c r="AS328" s="626" t="str">
        <f t="shared" si="40"/>
        <v/>
      </c>
      <c r="AT328" s="2205"/>
      <c r="AU328" s="458"/>
      <c r="AV328" s="458"/>
      <c r="AW328" s="458"/>
      <c r="AX328" s="458"/>
      <c r="AY328" s="458"/>
      <c r="AZ328" s="458"/>
      <c r="BA328" s="458"/>
      <c r="BB328" s="458"/>
      <c r="BC328" s="458"/>
      <c r="BD328" s="458"/>
      <c r="BE328" s="458"/>
      <c r="BF328" s="458"/>
      <c r="BG328" s="458"/>
      <c r="BH328" s="458"/>
      <c r="BI328" s="458"/>
      <c r="BJ328" s="458"/>
      <c r="BK328" s="592" t="str">
        <f t="shared" si="41"/>
        <v/>
      </c>
      <c r="BM328" s="592" t="str">
        <f t="shared" si="42"/>
        <v/>
      </c>
      <c r="BO328" s="592">
        <f t="shared" si="43"/>
        <v>0</v>
      </c>
      <c r="BP328" s="592">
        <f t="shared" si="44"/>
        <v>0</v>
      </c>
      <c r="BQ328" s="592" t="str">
        <f t="shared" si="45"/>
        <v/>
      </c>
      <c r="BR328" s="592" t="str">
        <f t="shared" si="46"/>
        <v/>
      </c>
    </row>
    <row r="329" spans="1:70" ht="15.6">
      <c r="A329" s="1805"/>
      <c r="B329" s="457"/>
      <c r="C329" s="454"/>
      <c r="D329" s="684"/>
      <c r="E329" s="684"/>
      <c r="F329" s="684"/>
      <c r="G329" s="684"/>
      <c r="H329" s="684"/>
      <c r="I329" s="684"/>
      <c r="J329" s="684"/>
      <c r="K329" s="684"/>
      <c r="L329" s="2145"/>
      <c r="M329" s="2146"/>
      <c r="N329" s="2146"/>
      <c r="O329" s="2147"/>
      <c r="P329" s="824">
        <f t="shared" si="47"/>
        <v>0</v>
      </c>
      <c r="Q329" s="1191"/>
      <c r="R329" s="758"/>
      <c r="S329" s="758"/>
      <c r="T329" s="758"/>
      <c r="U329" s="758"/>
      <c r="V329" s="758"/>
      <c r="W329" s="758"/>
      <c r="X329" s="758"/>
      <c r="Y329" s="758"/>
      <c r="Z329" s="758"/>
      <c r="AA329" s="758"/>
      <c r="AB329" s="458"/>
      <c r="AC329" s="458"/>
      <c r="AD329" s="458"/>
      <c r="AE329" s="458"/>
      <c r="AF329" s="458"/>
      <c r="AG329" s="758"/>
      <c r="AH329" s="2205"/>
      <c r="AI329" s="842">
        <f t="shared" si="48"/>
        <v>0</v>
      </c>
      <c r="AJ329" s="233"/>
      <c r="AK329" s="233"/>
      <c r="AL329" s="233"/>
      <c r="AM329" s="233"/>
      <c r="AN329" s="233"/>
      <c r="AO329" s="684"/>
      <c r="AP329" s="684"/>
      <c r="AQ329" s="684"/>
      <c r="AR329" s="684"/>
      <c r="AS329" s="626" t="str">
        <f t="shared" si="40"/>
        <v/>
      </c>
      <c r="AT329" s="2205"/>
      <c r="AU329" s="458"/>
      <c r="AV329" s="458"/>
      <c r="AW329" s="458"/>
      <c r="AX329" s="458"/>
      <c r="AY329" s="458"/>
      <c r="AZ329" s="458"/>
      <c r="BA329" s="458"/>
      <c r="BB329" s="458"/>
      <c r="BC329" s="458"/>
      <c r="BD329" s="458"/>
      <c r="BE329" s="458"/>
      <c r="BF329" s="458"/>
      <c r="BG329" s="458"/>
      <c r="BH329" s="458"/>
      <c r="BI329" s="458"/>
      <c r="BJ329" s="458"/>
      <c r="BK329" s="592" t="str">
        <f t="shared" si="41"/>
        <v/>
      </c>
      <c r="BM329" s="592" t="str">
        <f t="shared" si="42"/>
        <v/>
      </c>
      <c r="BO329" s="592">
        <f t="shared" si="43"/>
        <v>0</v>
      </c>
      <c r="BP329" s="592">
        <f t="shared" si="44"/>
        <v>0</v>
      </c>
      <c r="BQ329" s="592" t="str">
        <f t="shared" si="45"/>
        <v/>
      </c>
      <c r="BR329" s="592" t="str">
        <f t="shared" si="46"/>
        <v/>
      </c>
    </row>
    <row r="330" spans="1:70" ht="15.6">
      <c r="A330" s="1805"/>
      <c r="B330" s="457"/>
      <c r="C330" s="454"/>
      <c r="D330" s="684"/>
      <c r="E330" s="684"/>
      <c r="F330" s="684"/>
      <c r="G330" s="684"/>
      <c r="H330" s="684"/>
      <c r="I330" s="684"/>
      <c r="J330" s="684"/>
      <c r="K330" s="684"/>
      <c r="L330" s="2145"/>
      <c r="M330" s="2146"/>
      <c r="N330" s="2146"/>
      <c r="O330" s="2147"/>
      <c r="P330" s="824">
        <f t="shared" si="47"/>
        <v>0</v>
      </c>
      <c r="Q330" s="1191"/>
      <c r="R330" s="758"/>
      <c r="S330" s="758"/>
      <c r="T330" s="758"/>
      <c r="U330" s="758"/>
      <c r="V330" s="758"/>
      <c r="W330" s="758"/>
      <c r="X330" s="758"/>
      <c r="Y330" s="758"/>
      <c r="Z330" s="758"/>
      <c r="AA330" s="758"/>
      <c r="AB330" s="458"/>
      <c r="AC330" s="458"/>
      <c r="AD330" s="458"/>
      <c r="AE330" s="458"/>
      <c r="AF330" s="458"/>
      <c r="AG330" s="758"/>
      <c r="AH330" s="2205"/>
      <c r="AI330" s="842">
        <f t="shared" si="48"/>
        <v>0</v>
      </c>
      <c r="AJ330" s="233"/>
      <c r="AK330" s="233"/>
      <c r="AL330" s="233"/>
      <c r="AM330" s="233"/>
      <c r="AN330" s="233"/>
      <c r="AO330" s="684"/>
      <c r="AP330" s="684"/>
      <c r="AQ330" s="684"/>
      <c r="AR330" s="684"/>
      <c r="AS330" s="626" t="str">
        <f t="shared" si="40"/>
        <v/>
      </c>
      <c r="AT330" s="2205"/>
      <c r="AU330" s="458"/>
      <c r="AV330" s="458"/>
      <c r="AW330" s="458"/>
      <c r="AX330" s="458"/>
      <c r="AY330" s="458"/>
      <c r="AZ330" s="458"/>
      <c r="BA330" s="458"/>
      <c r="BB330" s="458"/>
      <c r="BC330" s="458"/>
      <c r="BD330" s="458"/>
      <c r="BE330" s="458"/>
      <c r="BF330" s="458"/>
      <c r="BG330" s="458"/>
      <c r="BH330" s="458"/>
      <c r="BI330" s="458"/>
      <c r="BJ330" s="458"/>
      <c r="BK330" s="592" t="str">
        <f t="shared" si="41"/>
        <v/>
      </c>
      <c r="BM330" s="592" t="str">
        <f t="shared" si="42"/>
        <v/>
      </c>
      <c r="BO330" s="592">
        <f t="shared" si="43"/>
        <v>0</v>
      </c>
      <c r="BP330" s="592">
        <f t="shared" si="44"/>
        <v>0</v>
      </c>
      <c r="BQ330" s="592" t="str">
        <f t="shared" si="45"/>
        <v/>
      </c>
      <c r="BR330" s="592" t="str">
        <f t="shared" si="46"/>
        <v/>
      </c>
    </row>
    <row r="331" spans="1:70" ht="15.6">
      <c r="A331" s="1805"/>
      <c r="B331" s="457"/>
      <c r="C331" s="454"/>
      <c r="D331" s="684"/>
      <c r="E331" s="684"/>
      <c r="F331" s="684"/>
      <c r="G331" s="684"/>
      <c r="H331" s="684"/>
      <c r="I331" s="684"/>
      <c r="J331" s="684"/>
      <c r="K331" s="684"/>
      <c r="L331" s="2145"/>
      <c r="M331" s="2146"/>
      <c r="N331" s="2146"/>
      <c r="O331" s="2147"/>
      <c r="P331" s="824">
        <f t="shared" si="47"/>
        <v>0</v>
      </c>
      <c r="Q331" s="1191"/>
      <c r="R331" s="758"/>
      <c r="S331" s="758"/>
      <c r="T331" s="758"/>
      <c r="U331" s="758"/>
      <c r="V331" s="758"/>
      <c r="W331" s="758"/>
      <c r="X331" s="758"/>
      <c r="Y331" s="758"/>
      <c r="Z331" s="758"/>
      <c r="AA331" s="758"/>
      <c r="AB331" s="458"/>
      <c r="AC331" s="458"/>
      <c r="AD331" s="458"/>
      <c r="AE331" s="458"/>
      <c r="AF331" s="458"/>
      <c r="AG331" s="758"/>
      <c r="AH331" s="2205"/>
      <c r="AI331" s="842">
        <f t="shared" si="48"/>
        <v>0</v>
      </c>
      <c r="AJ331" s="233"/>
      <c r="AK331" s="233"/>
      <c r="AL331" s="233"/>
      <c r="AM331" s="233"/>
      <c r="AN331" s="233"/>
      <c r="AO331" s="684"/>
      <c r="AP331" s="684"/>
      <c r="AQ331" s="684"/>
      <c r="AR331" s="684"/>
      <c r="AS331" s="626" t="str">
        <f t="shared" si="40"/>
        <v/>
      </c>
      <c r="AT331" s="2205"/>
      <c r="AU331" s="458"/>
      <c r="AV331" s="458"/>
      <c r="AW331" s="458"/>
      <c r="AX331" s="458"/>
      <c r="AY331" s="458"/>
      <c r="AZ331" s="458"/>
      <c r="BA331" s="458"/>
      <c r="BB331" s="458"/>
      <c r="BC331" s="458"/>
      <c r="BD331" s="458"/>
      <c r="BE331" s="458"/>
      <c r="BF331" s="458"/>
      <c r="BG331" s="458"/>
      <c r="BH331" s="458"/>
      <c r="BI331" s="458"/>
      <c r="BJ331" s="458"/>
      <c r="BK331" s="592" t="str">
        <f t="shared" si="41"/>
        <v/>
      </c>
      <c r="BM331" s="592" t="str">
        <f t="shared" si="42"/>
        <v/>
      </c>
      <c r="BO331" s="592">
        <f t="shared" si="43"/>
        <v>0</v>
      </c>
      <c r="BP331" s="592">
        <f t="shared" si="44"/>
        <v>0</v>
      </c>
      <c r="BQ331" s="592" t="str">
        <f t="shared" si="45"/>
        <v/>
      </c>
      <c r="BR331" s="592" t="str">
        <f t="shared" si="46"/>
        <v/>
      </c>
    </row>
    <row r="332" spans="1:70" ht="15.6">
      <c r="A332" s="1805"/>
      <c r="B332" s="457"/>
      <c r="C332" s="454"/>
      <c r="D332" s="684"/>
      <c r="E332" s="684"/>
      <c r="F332" s="684"/>
      <c r="G332" s="684"/>
      <c r="H332" s="684"/>
      <c r="I332" s="684"/>
      <c r="J332" s="684"/>
      <c r="K332" s="684"/>
      <c r="L332" s="2145"/>
      <c r="M332" s="2146"/>
      <c r="N332" s="2146"/>
      <c r="O332" s="2147"/>
      <c r="P332" s="824">
        <f t="shared" si="47"/>
        <v>0</v>
      </c>
      <c r="Q332" s="1191"/>
      <c r="R332" s="758"/>
      <c r="S332" s="758"/>
      <c r="T332" s="758"/>
      <c r="U332" s="758"/>
      <c r="V332" s="758"/>
      <c r="W332" s="758"/>
      <c r="X332" s="758"/>
      <c r="Y332" s="758"/>
      <c r="Z332" s="758"/>
      <c r="AA332" s="758"/>
      <c r="AB332" s="458"/>
      <c r="AC332" s="458"/>
      <c r="AD332" s="458"/>
      <c r="AE332" s="458"/>
      <c r="AF332" s="458"/>
      <c r="AG332" s="758"/>
      <c r="AH332" s="2205"/>
      <c r="AI332" s="842">
        <f t="shared" si="48"/>
        <v>0</v>
      </c>
      <c r="AJ332" s="233"/>
      <c r="AK332" s="233"/>
      <c r="AL332" s="233"/>
      <c r="AM332" s="233"/>
      <c r="AN332" s="233"/>
      <c r="AO332" s="684"/>
      <c r="AP332" s="684"/>
      <c r="AQ332" s="684"/>
      <c r="AR332" s="684"/>
      <c r="AS332" s="626" t="str">
        <f t="shared" si="40"/>
        <v/>
      </c>
      <c r="AT332" s="2205"/>
      <c r="AU332" s="458"/>
      <c r="AV332" s="458"/>
      <c r="AW332" s="458"/>
      <c r="AX332" s="458"/>
      <c r="AY332" s="458"/>
      <c r="AZ332" s="458"/>
      <c r="BA332" s="458"/>
      <c r="BB332" s="458"/>
      <c r="BC332" s="458"/>
      <c r="BD332" s="458"/>
      <c r="BE332" s="458"/>
      <c r="BF332" s="458"/>
      <c r="BG332" s="458"/>
      <c r="BH332" s="458"/>
      <c r="BI332" s="458"/>
      <c r="BJ332" s="458"/>
      <c r="BK332" s="592" t="str">
        <f t="shared" si="41"/>
        <v/>
      </c>
      <c r="BM332" s="592" t="str">
        <f t="shared" si="42"/>
        <v/>
      </c>
      <c r="BO332" s="592">
        <f t="shared" si="43"/>
        <v>0</v>
      </c>
      <c r="BP332" s="592">
        <f t="shared" si="44"/>
        <v>0</v>
      </c>
      <c r="BQ332" s="592" t="str">
        <f t="shared" si="45"/>
        <v/>
      </c>
      <c r="BR332" s="592" t="str">
        <f t="shared" si="46"/>
        <v/>
      </c>
    </row>
    <row r="333" spans="1:70" ht="15.6">
      <c r="A333" s="1805"/>
      <c r="B333" s="457"/>
      <c r="C333" s="454"/>
      <c r="D333" s="684"/>
      <c r="E333" s="684"/>
      <c r="F333" s="684"/>
      <c r="G333" s="684"/>
      <c r="H333" s="684"/>
      <c r="I333" s="684"/>
      <c r="J333" s="684"/>
      <c r="K333" s="684"/>
      <c r="L333" s="2145"/>
      <c r="M333" s="2146"/>
      <c r="N333" s="2146"/>
      <c r="O333" s="2147"/>
      <c r="P333" s="824">
        <f t="shared" si="47"/>
        <v>0</v>
      </c>
      <c r="Q333" s="1191"/>
      <c r="R333" s="758"/>
      <c r="S333" s="758"/>
      <c r="T333" s="758"/>
      <c r="U333" s="758"/>
      <c r="V333" s="758"/>
      <c r="W333" s="758"/>
      <c r="X333" s="758"/>
      <c r="Y333" s="758"/>
      <c r="Z333" s="758"/>
      <c r="AA333" s="758"/>
      <c r="AB333" s="458"/>
      <c r="AC333" s="458"/>
      <c r="AD333" s="458"/>
      <c r="AE333" s="458"/>
      <c r="AF333" s="458"/>
      <c r="AG333" s="758"/>
      <c r="AH333" s="2205"/>
      <c r="AI333" s="842">
        <f t="shared" si="48"/>
        <v>0</v>
      </c>
      <c r="AJ333" s="233"/>
      <c r="AK333" s="233"/>
      <c r="AL333" s="233"/>
      <c r="AM333" s="233"/>
      <c r="AN333" s="233"/>
      <c r="AO333" s="684"/>
      <c r="AP333" s="684"/>
      <c r="AQ333" s="684"/>
      <c r="AR333" s="684"/>
      <c r="AS333" s="626" t="str">
        <f t="shared" si="40"/>
        <v/>
      </c>
      <c r="AT333" s="2205"/>
      <c r="AU333" s="458"/>
      <c r="AV333" s="458"/>
      <c r="AW333" s="458"/>
      <c r="AX333" s="458"/>
      <c r="AY333" s="458"/>
      <c r="AZ333" s="458"/>
      <c r="BA333" s="458"/>
      <c r="BB333" s="458"/>
      <c r="BC333" s="458"/>
      <c r="BD333" s="458"/>
      <c r="BE333" s="458"/>
      <c r="BF333" s="458"/>
      <c r="BG333" s="458"/>
      <c r="BH333" s="458"/>
      <c r="BI333" s="458"/>
      <c r="BJ333" s="458"/>
      <c r="BK333" s="592" t="str">
        <f t="shared" si="41"/>
        <v/>
      </c>
      <c r="BM333" s="592" t="str">
        <f t="shared" si="42"/>
        <v/>
      </c>
      <c r="BO333" s="592">
        <f t="shared" si="43"/>
        <v>0</v>
      </c>
      <c r="BP333" s="592">
        <f t="shared" si="44"/>
        <v>0</v>
      </c>
      <c r="BQ333" s="592" t="str">
        <f t="shared" si="45"/>
        <v/>
      </c>
      <c r="BR333" s="592" t="str">
        <f t="shared" si="46"/>
        <v/>
      </c>
    </row>
    <row r="334" spans="1:70" ht="15.6">
      <c r="A334" s="1805"/>
      <c r="B334" s="457"/>
      <c r="C334" s="454"/>
      <c r="D334" s="684"/>
      <c r="E334" s="684"/>
      <c r="F334" s="684"/>
      <c r="G334" s="684"/>
      <c r="H334" s="684"/>
      <c r="I334" s="684"/>
      <c r="J334" s="684"/>
      <c r="K334" s="684"/>
      <c r="L334" s="2145"/>
      <c r="M334" s="2146"/>
      <c r="N334" s="2146"/>
      <c r="O334" s="2147"/>
      <c r="P334" s="824">
        <f t="shared" si="47"/>
        <v>0</v>
      </c>
      <c r="Q334" s="1191"/>
      <c r="R334" s="758"/>
      <c r="S334" s="758"/>
      <c r="T334" s="758"/>
      <c r="U334" s="758"/>
      <c r="V334" s="758"/>
      <c r="W334" s="758"/>
      <c r="X334" s="758"/>
      <c r="Y334" s="758"/>
      <c r="Z334" s="758"/>
      <c r="AA334" s="758"/>
      <c r="AB334" s="458"/>
      <c r="AC334" s="458"/>
      <c r="AD334" s="458"/>
      <c r="AE334" s="458"/>
      <c r="AF334" s="458"/>
      <c r="AG334" s="758"/>
      <c r="AH334" s="2205"/>
      <c r="AI334" s="842">
        <f t="shared" si="48"/>
        <v>0</v>
      </c>
      <c r="AJ334" s="233"/>
      <c r="AK334" s="233"/>
      <c r="AL334" s="233"/>
      <c r="AM334" s="233"/>
      <c r="AN334" s="233"/>
      <c r="AO334" s="684"/>
      <c r="AP334" s="684"/>
      <c r="AQ334" s="684"/>
      <c r="AR334" s="684"/>
      <c r="AS334" s="626" t="str">
        <f t="shared" si="40"/>
        <v/>
      </c>
      <c r="AT334" s="2205"/>
      <c r="AU334" s="458"/>
      <c r="AV334" s="458"/>
      <c r="AW334" s="458"/>
      <c r="AX334" s="458"/>
      <c r="AY334" s="458"/>
      <c r="AZ334" s="458"/>
      <c r="BA334" s="458"/>
      <c r="BB334" s="458"/>
      <c r="BC334" s="458"/>
      <c r="BD334" s="458"/>
      <c r="BE334" s="458"/>
      <c r="BF334" s="458"/>
      <c r="BG334" s="458"/>
      <c r="BH334" s="458"/>
      <c r="BI334" s="458"/>
      <c r="BJ334" s="458"/>
      <c r="BK334" s="592" t="str">
        <f t="shared" si="41"/>
        <v/>
      </c>
      <c r="BM334" s="592" t="str">
        <f t="shared" si="42"/>
        <v/>
      </c>
      <c r="BO334" s="592">
        <f t="shared" si="43"/>
        <v>0</v>
      </c>
      <c r="BP334" s="592">
        <f t="shared" si="44"/>
        <v>0</v>
      </c>
      <c r="BQ334" s="592" t="str">
        <f t="shared" si="45"/>
        <v/>
      </c>
      <c r="BR334" s="592" t="str">
        <f t="shared" si="46"/>
        <v/>
      </c>
    </row>
    <row r="335" spans="1:70" ht="15.6">
      <c r="A335" s="1805"/>
      <c r="B335" s="457"/>
      <c r="C335" s="454"/>
      <c r="D335" s="684"/>
      <c r="E335" s="684"/>
      <c r="F335" s="684"/>
      <c r="G335" s="684"/>
      <c r="H335" s="684"/>
      <c r="I335" s="684"/>
      <c r="J335" s="684"/>
      <c r="K335" s="684"/>
      <c r="L335" s="2145"/>
      <c r="M335" s="2146"/>
      <c r="N335" s="2146"/>
      <c r="O335" s="2147"/>
      <c r="P335" s="824">
        <f t="shared" si="47"/>
        <v>0</v>
      </c>
      <c r="Q335" s="1191"/>
      <c r="R335" s="758"/>
      <c r="S335" s="758"/>
      <c r="T335" s="758"/>
      <c r="U335" s="758"/>
      <c r="V335" s="758"/>
      <c r="W335" s="758"/>
      <c r="X335" s="758"/>
      <c r="Y335" s="758"/>
      <c r="Z335" s="758"/>
      <c r="AA335" s="758"/>
      <c r="AB335" s="458"/>
      <c r="AC335" s="458"/>
      <c r="AD335" s="458"/>
      <c r="AE335" s="458"/>
      <c r="AF335" s="458"/>
      <c r="AG335" s="758"/>
      <c r="AH335" s="2205"/>
      <c r="AI335" s="842">
        <f t="shared" si="48"/>
        <v>0</v>
      </c>
      <c r="AJ335" s="233"/>
      <c r="AK335" s="233"/>
      <c r="AL335" s="233"/>
      <c r="AM335" s="233"/>
      <c r="AN335" s="233"/>
      <c r="AO335" s="684"/>
      <c r="AP335" s="684"/>
      <c r="AQ335" s="684"/>
      <c r="AR335" s="684"/>
      <c r="AS335" s="626" t="str">
        <f t="shared" si="40"/>
        <v/>
      </c>
      <c r="AT335" s="2205"/>
      <c r="AU335" s="458"/>
      <c r="AV335" s="458"/>
      <c r="AW335" s="458"/>
      <c r="AX335" s="458"/>
      <c r="AY335" s="458"/>
      <c r="AZ335" s="458"/>
      <c r="BA335" s="458"/>
      <c r="BB335" s="458"/>
      <c r="BC335" s="458"/>
      <c r="BD335" s="458"/>
      <c r="BE335" s="458"/>
      <c r="BF335" s="458"/>
      <c r="BG335" s="458"/>
      <c r="BH335" s="458"/>
      <c r="BI335" s="458"/>
      <c r="BJ335" s="458"/>
      <c r="BK335" s="592" t="str">
        <f t="shared" si="41"/>
        <v/>
      </c>
      <c r="BM335" s="592" t="str">
        <f t="shared" si="42"/>
        <v/>
      </c>
      <c r="BO335" s="592">
        <f t="shared" si="43"/>
        <v>0</v>
      </c>
      <c r="BP335" s="592">
        <f t="shared" si="44"/>
        <v>0</v>
      </c>
      <c r="BQ335" s="592" t="str">
        <f t="shared" si="45"/>
        <v/>
      </c>
      <c r="BR335" s="592" t="str">
        <f t="shared" si="46"/>
        <v/>
      </c>
    </row>
    <row r="336" spans="1:70" ht="15.6">
      <c r="A336" s="1805"/>
      <c r="B336" s="457"/>
      <c r="C336" s="454"/>
      <c r="D336" s="684"/>
      <c r="E336" s="684"/>
      <c r="F336" s="684"/>
      <c r="G336" s="684"/>
      <c r="H336" s="684"/>
      <c r="I336" s="684"/>
      <c r="J336" s="684"/>
      <c r="K336" s="684"/>
      <c r="L336" s="2145"/>
      <c r="M336" s="2146"/>
      <c r="N336" s="2146"/>
      <c r="O336" s="2147"/>
      <c r="P336" s="824">
        <f t="shared" si="47"/>
        <v>0</v>
      </c>
      <c r="Q336" s="1191"/>
      <c r="R336" s="758"/>
      <c r="S336" s="758"/>
      <c r="T336" s="758"/>
      <c r="U336" s="758"/>
      <c r="V336" s="758"/>
      <c r="W336" s="758"/>
      <c r="X336" s="758"/>
      <c r="Y336" s="758"/>
      <c r="Z336" s="758"/>
      <c r="AA336" s="758"/>
      <c r="AB336" s="458"/>
      <c r="AC336" s="458"/>
      <c r="AD336" s="458"/>
      <c r="AE336" s="458"/>
      <c r="AF336" s="458"/>
      <c r="AG336" s="758"/>
      <c r="AH336" s="2205"/>
      <c r="AI336" s="842">
        <f t="shared" si="48"/>
        <v>0</v>
      </c>
      <c r="AJ336" s="233"/>
      <c r="AK336" s="233"/>
      <c r="AL336" s="233"/>
      <c r="AM336" s="233"/>
      <c r="AN336" s="233"/>
      <c r="AO336" s="684"/>
      <c r="AP336" s="684"/>
      <c r="AQ336" s="684"/>
      <c r="AR336" s="684"/>
      <c r="AS336" s="626" t="str">
        <f t="shared" si="40"/>
        <v/>
      </c>
      <c r="AT336" s="2205"/>
      <c r="AU336" s="458"/>
      <c r="AV336" s="458"/>
      <c r="AW336" s="458"/>
      <c r="AX336" s="458"/>
      <c r="AY336" s="458"/>
      <c r="AZ336" s="458"/>
      <c r="BA336" s="458"/>
      <c r="BB336" s="458"/>
      <c r="BC336" s="458"/>
      <c r="BD336" s="458"/>
      <c r="BE336" s="458"/>
      <c r="BF336" s="458"/>
      <c r="BG336" s="458"/>
      <c r="BH336" s="458"/>
      <c r="BI336" s="458"/>
      <c r="BJ336" s="458"/>
      <c r="BK336" s="592" t="str">
        <f t="shared" si="41"/>
        <v/>
      </c>
      <c r="BM336" s="592" t="str">
        <f t="shared" si="42"/>
        <v/>
      </c>
      <c r="BO336" s="592">
        <f t="shared" si="43"/>
        <v>0</v>
      </c>
      <c r="BP336" s="592">
        <f t="shared" si="44"/>
        <v>0</v>
      </c>
      <c r="BQ336" s="592" t="str">
        <f t="shared" si="45"/>
        <v/>
      </c>
      <c r="BR336" s="592" t="str">
        <f t="shared" si="46"/>
        <v/>
      </c>
    </row>
    <row r="337" spans="1:70" ht="15.6">
      <c r="A337" s="1805"/>
      <c r="B337" s="457"/>
      <c r="C337" s="454"/>
      <c r="D337" s="684"/>
      <c r="E337" s="684"/>
      <c r="F337" s="684"/>
      <c r="G337" s="684"/>
      <c r="H337" s="684"/>
      <c r="I337" s="684"/>
      <c r="J337" s="684"/>
      <c r="K337" s="684"/>
      <c r="L337" s="2145"/>
      <c r="M337" s="2146"/>
      <c r="N337" s="2146"/>
      <c r="O337" s="2147"/>
      <c r="P337" s="824">
        <f t="shared" si="47"/>
        <v>0</v>
      </c>
      <c r="Q337" s="1191"/>
      <c r="R337" s="758"/>
      <c r="S337" s="758"/>
      <c r="T337" s="758"/>
      <c r="U337" s="758"/>
      <c r="V337" s="758"/>
      <c r="W337" s="758"/>
      <c r="X337" s="758"/>
      <c r="Y337" s="758"/>
      <c r="Z337" s="758"/>
      <c r="AA337" s="758"/>
      <c r="AB337" s="458"/>
      <c r="AC337" s="458"/>
      <c r="AD337" s="458"/>
      <c r="AE337" s="458"/>
      <c r="AF337" s="458"/>
      <c r="AG337" s="758"/>
      <c r="AH337" s="2205"/>
      <c r="AI337" s="842">
        <f t="shared" si="48"/>
        <v>0</v>
      </c>
      <c r="AJ337" s="233"/>
      <c r="AK337" s="233"/>
      <c r="AL337" s="233"/>
      <c r="AM337" s="233"/>
      <c r="AN337" s="233"/>
      <c r="AO337" s="684"/>
      <c r="AP337" s="684"/>
      <c r="AQ337" s="684"/>
      <c r="AR337" s="684"/>
      <c r="AS337" s="626" t="str">
        <f t="shared" si="40"/>
        <v/>
      </c>
      <c r="AT337" s="2205"/>
      <c r="AU337" s="458"/>
      <c r="AV337" s="458"/>
      <c r="AW337" s="458"/>
      <c r="AX337" s="458"/>
      <c r="AY337" s="458"/>
      <c r="AZ337" s="458"/>
      <c r="BA337" s="458"/>
      <c r="BB337" s="458"/>
      <c r="BC337" s="458"/>
      <c r="BD337" s="458"/>
      <c r="BE337" s="458"/>
      <c r="BF337" s="458"/>
      <c r="BG337" s="458"/>
      <c r="BH337" s="458"/>
      <c r="BI337" s="458"/>
      <c r="BJ337" s="458"/>
      <c r="BK337" s="592" t="str">
        <f t="shared" si="41"/>
        <v/>
      </c>
      <c r="BM337" s="592" t="str">
        <f t="shared" si="42"/>
        <v/>
      </c>
      <c r="BO337" s="592">
        <f t="shared" si="43"/>
        <v>0</v>
      </c>
      <c r="BP337" s="592">
        <f t="shared" si="44"/>
        <v>0</v>
      </c>
      <c r="BQ337" s="592" t="str">
        <f t="shared" si="45"/>
        <v/>
      </c>
      <c r="BR337" s="592" t="str">
        <f t="shared" si="46"/>
        <v/>
      </c>
    </row>
    <row r="338" spans="1:70" ht="15.6">
      <c r="A338" s="1805"/>
      <c r="B338" s="457"/>
      <c r="C338" s="454"/>
      <c r="D338" s="684"/>
      <c r="E338" s="684"/>
      <c r="F338" s="684"/>
      <c r="G338" s="684"/>
      <c r="H338" s="684"/>
      <c r="I338" s="684"/>
      <c r="J338" s="684"/>
      <c r="K338" s="684"/>
      <c r="L338" s="2145"/>
      <c r="M338" s="2146"/>
      <c r="N338" s="2146"/>
      <c r="O338" s="2147"/>
      <c r="P338" s="824">
        <f t="shared" si="47"/>
        <v>0</v>
      </c>
      <c r="Q338" s="1191"/>
      <c r="R338" s="758"/>
      <c r="S338" s="758"/>
      <c r="T338" s="758"/>
      <c r="U338" s="758"/>
      <c r="V338" s="758"/>
      <c r="W338" s="758"/>
      <c r="X338" s="758"/>
      <c r="Y338" s="758"/>
      <c r="Z338" s="758"/>
      <c r="AA338" s="758"/>
      <c r="AB338" s="458"/>
      <c r="AC338" s="458"/>
      <c r="AD338" s="458"/>
      <c r="AE338" s="458"/>
      <c r="AF338" s="458"/>
      <c r="AG338" s="758"/>
      <c r="AH338" s="2205"/>
      <c r="AI338" s="842">
        <f t="shared" si="48"/>
        <v>0</v>
      </c>
      <c r="AJ338" s="233"/>
      <c r="AK338" s="233"/>
      <c r="AL338" s="233"/>
      <c r="AM338" s="233"/>
      <c r="AN338" s="233"/>
      <c r="AO338" s="684"/>
      <c r="AP338" s="684"/>
      <c r="AQ338" s="684"/>
      <c r="AR338" s="684"/>
      <c r="AS338" s="626" t="str">
        <f t="shared" si="40"/>
        <v/>
      </c>
      <c r="AT338" s="2205"/>
      <c r="AU338" s="458"/>
      <c r="AV338" s="458"/>
      <c r="AW338" s="458"/>
      <c r="AX338" s="458"/>
      <c r="AY338" s="458"/>
      <c r="AZ338" s="458"/>
      <c r="BA338" s="458"/>
      <c r="BB338" s="458"/>
      <c r="BC338" s="458"/>
      <c r="BD338" s="458"/>
      <c r="BE338" s="458"/>
      <c r="BF338" s="458"/>
      <c r="BG338" s="458"/>
      <c r="BH338" s="458"/>
      <c r="BI338" s="458"/>
      <c r="BJ338" s="458"/>
      <c r="BK338" s="592" t="str">
        <f t="shared" si="41"/>
        <v/>
      </c>
      <c r="BM338" s="592" t="str">
        <f t="shared" si="42"/>
        <v/>
      </c>
      <c r="BO338" s="592">
        <f t="shared" si="43"/>
        <v>0</v>
      </c>
      <c r="BP338" s="592">
        <f t="shared" si="44"/>
        <v>0</v>
      </c>
      <c r="BQ338" s="592" t="str">
        <f t="shared" si="45"/>
        <v/>
      </c>
      <c r="BR338" s="592" t="str">
        <f t="shared" si="46"/>
        <v/>
      </c>
    </row>
    <row r="339" spans="1:70" ht="15.6">
      <c r="A339" s="1805"/>
      <c r="B339" s="457"/>
      <c r="C339" s="454"/>
      <c r="D339" s="684"/>
      <c r="E339" s="684"/>
      <c r="F339" s="684"/>
      <c r="G339" s="684"/>
      <c r="H339" s="684"/>
      <c r="I339" s="684"/>
      <c r="J339" s="684"/>
      <c r="K339" s="684"/>
      <c r="L339" s="2145"/>
      <c r="M339" s="2146"/>
      <c r="N339" s="2146"/>
      <c r="O339" s="2147"/>
      <c r="P339" s="824">
        <f t="shared" si="47"/>
        <v>0</v>
      </c>
      <c r="Q339" s="1191"/>
      <c r="R339" s="758"/>
      <c r="S339" s="758"/>
      <c r="T339" s="758"/>
      <c r="U339" s="758"/>
      <c r="V339" s="758"/>
      <c r="W339" s="758"/>
      <c r="X339" s="758"/>
      <c r="Y339" s="758"/>
      <c r="Z339" s="758"/>
      <c r="AA339" s="758"/>
      <c r="AB339" s="458"/>
      <c r="AC339" s="458"/>
      <c r="AD339" s="458"/>
      <c r="AE339" s="458"/>
      <c r="AF339" s="458"/>
      <c r="AG339" s="758"/>
      <c r="AH339" s="2205"/>
      <c r="AI339" s="842">
        <f t="shared" si="48"/>
        <v>0</v>
      </c>
      <c r="AJ339" s="233"/>
      <c r="AK339" s="233"/>
      <c r="AL339" s="233"/>
      <c r="AM339" s="233"/>
      <c r="AN339" s="233"/>
      <c r="AO339" s="684"/>
      <c r="AP339" s="684"/>
      <c r="AQ339" s="684"/>
      <c r="AR339" s="684"/>
      <c r="AS339" s="626" t="str">
        <f t="shared" si="40"/>
        <v/>
      </c>
      <c r="AT339" s="2205"/>
      <c r="AU339" s="458"/>
      <c r="AV339" s="458"/>
      <c r="AW339" s="458"/>
      <c r="AX339" s="458"/>
      <c r="AY339" s="458"/>
      <c r="AZ339" s="458"/>
      <c r="BA339" s="458"/>
      <c r="BB339" s="458"/>
      <c r="BC339" s="458"/>
      <c r="BD339" s="458"/>
      <c r="BE339" s="458"/>
      <c r="BF339" s="458"/>
      <c r="BG339" s="458"/>
      <c r="BH339" s="458"/>
      <c r="BI339" s="458"/>
      <c r="BJ339" s="458"/>
      <c r="BK339" s="592" t="str">
        <f t="shared" si="41"/>
        <v/>
      </c>
      <c r="BM339" s="592" t="str">
        <f t="shared" si="42"/>
        <v/>
      </c>
      <c r="BO339" s="592">
        <f t="shared" si="43"/>
        <v>0</v>
      </c>
      <c r="BP339" s="592">
        <f t="shared" si="44"/>
        <v>0</v>
      </c>
      <c r="BQ339" s="592" t="str">
        <f t="shared" si="45"/>
        <v/>
      </c>
      <c r="BR339" s="592" t="str">
        <f t="shared" si="46"/>
        <v/>
      </c>
    </row>
    <row r="340" spans="1:70" ht="15.6">
      <c r="A340" s="1805"/>
      <c r="B340" s="457"/>
      <c r="C340" s="454"/>
      <c r="D340" s="684"/>
      <c r="E340" s="684"/>
      <c r="F340" s="684"/>
      <c r="G340" s="684"/>
      <c r="H340" s="684"/>
      <c r="I340" s="684"/>
      <c r="J340" s="684"/>
      <c r="K340" s="684"/>
      <c r="L340" s="2145"/>
      <c r="M340" s="2146"/>
      <c r="N340" s="2146"/>
      <c r="O340" s="2147"/>
      <c r="P340" s="824">
        <f t="shared" si="47"/>
        <v>0</v>
      </c>
      <c r="Q340" s="1191"/>
      <c r="R340" s="758"/>
      <c r="S340" s="758"/>
      <c r="T340" s="758"/>
      <c r="U340" s="758"/>
      <c r="V340" s="758"/>
      <c r="W340" s="758"/>
      <c r="X340" s="758"/>
      <c r="Y340" s="758"/>
      <c r="Z340" s="758"/>
      <c r="AA340" s="758"/>
      <c r="AB340" s="458"/>
      <c r="AC340" s="458"/>
      <c r="AD340" s="458"/>
      <c r="AE340" s="458"/>
      <c r="AF340" s="458"/>
      <c r="AG340" s="758"/>
      <c r="AH340" s="2205"/>
      <c r="AI340" s="842">
        <f t="shared" si="48"/>
        <v>0</v>
      </c>
      <c r="AJ340" s="233"/>
      <c r="AK340" s="233"/>
      <c r="AL340" s="233"/>
      <c r="AM340" s="233"/>
      <c r="AN340" s="233"/>
      <c r="AO340" s="684"/>
      <c r="AP340" s="684"/>
      <c r="AQ340" s="684"/>
      <c r="AR340" s="684"/>
      <c r="AS340" s="626" t="str">
        <f t="shared" si="40"/>
        <v/>
      </c>
      <c r="AT340" s="2205"/>
      <c r="AU340" s="458"/>
      <c r="AV340" s="458"/>
      <c r="AW340" s="458"/>
      <c r="AX340" s="458"/>
      <c r="AY340" s="458"/>
      <c r="AZ340" s="458"/>
      <c r="BA340" s="458"/>
      <c r="BB340" s="458"/>
      <c r="BC340" s="458"/>
      <c r="BD340" s="458"/>
      <c r="BE340" s="458"/>
      <c r="BF340" s="458"/>
      <c r="BG340" s="458"/>
      <c r="BH340" s="458"/>
      <c r="BI340" s="458"/>
      <c r="BJ340" s="458"/>
      <c r="BK340" s="592" t="str">
        <f t="shared" si="41"/>
        <v/>
      </c>
      <c r="BM340" s="592" t="str">
        <f t="shared" si="42"/>
        <v/>
      </c>
      <c r="BO340" s="592">
        <f t="shared" si="43"/>
        <v>0</v>
      </c>
      <c r="BP340" s="592">
        <f t="shared" si="44"/>
        <v>0</v>
      </c>
      <c r="BQ340" s="592" t="str">
        <f t="shared" si="45"/>
        <v/>
      </c>
      <c r="BR340" s="592" t="str">
        <f t="shared" si="46"/>
        <v/>
      </c>
    </row>
    <row r="341" spans="1:70" ht="15.6">
      <c r="A341" s="1805"/>
      <c r="B341" s="457"/>
      <c r="C341" s="454"/>
      <c r="D341" s="684"/>
      <c r="E341" s="684"/>
      <c r="F341" s="684"/>
      <c r="G341" s="684"/>
      <c r="H341" s="684"/>
      <c r="I341" s="684"/>
      <c r="J341" s="684"/>
      <c r="K341" s="684"/>
      <c r="L341" s="2145"/>
      <c r="M341" s="2146"/>
      <c r="N341" s="2146"/>
      <c r="O341" s="2147"/>
      <c r="P341" s="824">
        <f t="shared" si="47"/>
        <v>0</v>
      </c>
      <c r="Q341" s="1191"/>
      <c r="R341" s="758"/>
      <c r="S341" s="758"/>
      <c r="T341" s="758"/>
      <c r="U341" s="758"/>
      <c r="V341" s="758"/>
      <c r="W341" s="758"/>
      <c r="X341" s="758"/>
      <c r="Y341" s="758"/>
      <c r="Z341" s="758"/>
      <c r="AA341" s="758"/>
      <c r="AB341" s="458"/>
      <c r="AC341" s="458"/>
      <c r="AD341" s="458"/>
      <c r="AE341" s="458"/>
      <c r="AF341" s="458"/>
      <c r="AG341" s="758"/>
      <c r="AH341" s="2205"/>
      <c r="AI341" s="842">
        <f t="shared" si="48"/>
        <v>0</v>
      </c>
      <c r="AJ341" s="233"/>
      <c r="AK341" s="233"/>
      <c r="AL341" s="233"/>
      <c r="AM341" s="233"/>
      <c r="AN341" s="233"/>
      <c r="AO341" s="684"/>
      <c r="AP341" s="684"/>
      <c r="AQ341" s="684"/>
      <c r="AR341" s="684"/>
      <c r="AS341" s="626" t="str">
        <f t="shared" si="40"/>
        <v/>
      </c>
      <c r="AT341" s="2205"/>
      <c r="AU341" s="458"/>
      <c r="AV341" s="458"/>
      <c r="AW341" s="458"/>
      <c r="AX341" s="458"/>
      <c r="AY341" s="458"/>
      <c r="AZ341" s="458"/>
      <c r="BA341" s="458"/>
      <c r="BB341" s="458"/>
      <c r="BC341" s="458"/>
      <c r="BD341" s="458"/>
      <c r="BE341" s="458"/>
      <c r="BF341" s="458"/>
      <c r="BG341" s="458"/>
      <c r="BH341" s="458"/>
      <c r="BI341" s="458"/>
      <c r="BJ341" s="458"/>
      <c r="BK341" s="592" t="str">
        <f t="shared" si="41"/>
        <v/>
      </c>
      <c r="BM341" s="592" t="str">
        <f t="shared" si="42"/>
        <v/>
      </c>
      <c r="BO341" s="592">
        <f t="shared" si="43"/>
        <v>0</v>
      </c>
      <c r="BP341" s="592">
        <f t="shared" si="44"/>
        <v>0</v>
      </c>
      <c r="BQ341" s="592" t="str">
        <f t="shared" si="45"/>
        <v/>
      </c>
      <c r="BR341" s="592" t="str">
        <f t="shared" si="46"/>
        <v/>
      </c>
    </row>
    <row r="342" spans="1:70" ht="15.6">
      <c r="A342" s="1805"/>
      <c r="B342" s="457"/>
      <c r="C342" s="454"/>
      <c r="D342" s="684"/>
      <c r="E342" s="684"/>
      <c r="F342" s="684"/>
      <c r="G342" s="684"/>
      <c r="H342" s="684"/>
      <c r="I342" s="684"/>
      <c r="J342" s="684"/>
      <c r="K342" s="684"/>
      <c r="L342" s="2145"/>
      <c r="M342" s="2146"/>
      <c r="N342" s="2146"/>
      <c r="O342" s="2147"/>
      <c r="P342" s="824">
        <f t="shared" si="47"/>
        <v>0</v>
      </c>
      <c r="Q342" s="1191"/>
      <c r="R342" s="758"/>
      <c r="S342" s="758"/>
      <c r="T342" s="758"/>
      <c r="U342" s="758"/>
      <c r="V342" s="758"/>
      <c r="W342" s="758"/>
      <c r="X342" s="758"/>
      <c r="Y342" s="758"/>
      <c r="Z342" s="758"/>
      <c r="AA342" s="758"/>
      <c r="AB342" s="458"/>
      <c r="AC342" s="458"/>
      <c r="AD342" s="458"/>
      <c r="AE342" s="458"/>
      <c r="AF342" s="458"/>
      <c r="AG342" s="758"/>
      <c r="AH342" s="2205"/>
      <c r="AI342" s="842">
        <f t="shared" si="48"/>
        <v>0</v>
      </c>
      <c r="AJ342" s="233"/>
      <c r="AK342" s="233"/>
      <c r="AL342" s="233"/>
      <c r="AM342" s="233"/>
      <c r="AN342" s="233"/>
      <c r="AO342" s="684"/>
      <c r="AP342" s="684"/>
      <c r="AQ342" s="684"/>
      <c r="AR342" s="684"/>
      <c r="AS342" s="626" t="str">
        <f t="shared" si="40"/>
        <v/>
      </c>
      <c r="AT342" s="2205"/>
      <c r="AU342" s="458"/>
      <c r="AV342" s="458"/>
      <c r="AW342" s="458"/>
      <c r="AX342" s="458"/>
      <c r="AY342" s="458"/>
      <c r="AZ342" s="458"/>
      <c r="BA342" s="458"/>
      <c r="BB342" s="458"/>
      <c r="BC342" s="458"/>
      <c r="BD342" s="458"/>
      <c r="BE342" s="458"/>
      <c r="BF342" s="458"/>
      <c r="BG342" s="458"/>
      <c r="BH342" s="458"/>
      <c r="BI342" s="458"/>
      <c r="BJ342" s="458"/>
      <c r="BK342" s="592" t="str">
        <f t="shared" si="41"/>
        <v/>
      </c>
      <c r="BM342" s="592" t="str">
        <f t="shared" si="42"/>
        <v/>
      </c>
      <c r="BO342" s="592">
        <f t="shared" si="43"/>
        <v>0</v>
      </c>
      <c r="BP342" s="592">
        <f t="shared" si="44"/>
        <v>0</v>
      </c>
      <c r="BQ342" s="592" t="str">
        <f t="shared" si="45"/>
        <v/>
      </c>
      <c r="BR342" s="592" t="str">
        <f t="shared" si="46"/>
        <v/>
      </c>
    </row>
    <row r="343" spans="1:70" ht="15.6">
      <c r="A343" s="1805"/>
      <c r="B343" s="457"/>
      <c r="C343" s="454"/>
      <c r="D343" s="684"/>
      <c r="E343" s="684"/>
      <c r="F343" s="684"/>
      <c r="G343" s="684"/>
      <c r="H343" s="684"/>
      <c r="I343" s="684"/>
      <c r="J343" s="684"/>
      <c r="K343" s="684"/>
      <c r="L343" s="2145"/>
      <c r="M343" s="2146"/>
      <c r="N343" s="2146"/>
      <c r="O343" s="2147"/>
      <c r="P343" s="824">
        <f t="shared" si="47"/>
        <v>0</v>
      </c>
      <c r="Q343" s="1191"/>
      <c r="R343" s="758"/>
      <c r="S343" s="758"/>
      <c r="T343" s="758"/>
      <c r="U343" s="758"/>
      <c r="V343" s="758"/>
      <c r="W343" s="758"/>
      <c r="X343" s="758"/>
      <c r="Y343" s="758"/>
      <c r="Z343" s="758"/>
      <c r="AA343" s="758"/>
      <c r="AB343" s="458"/>
      <c r="AC343" s="458"/>
      <c r="AD343" s="458"/>
      <c r="AE343" s="458"/>
      <c r="AF343" s="458"/>
      <c r="AG343" s="758"/>
      <c r="AH343" s="2205"/>
      <c r="AI343" s="842">
        <f t="shared" si="48"/>
        <v>0</v>
      </c>
      <c r="AJ343" s="233"/>
      <c r="AK343" s="233"/>
      <c r="AL343" s="233"/>
      <c r="AM343" s="233"/>
      <c r="AN343" s="233"/>
      <c r="AO343" s="684"/>
      <c r="AP343" s="684"/>
      <c r="AQ343" s="684"/>
      <c r="AR343" s="684"/>
      <c r="AS343" s="626" t="str">
        <f t="shared" si="40"/>
        <v/>
      </c>
      <c r="AT343" s="2205"/>
      <c r="AU343" s="458"/>
      <c r="AV343" s="458"/>
      <c r="AW343" s="458"/>
      <c r="AX343" s="458"/>
      <c r="AY343" s="458"/>
      <c r="AZ343" s="458"/>
      <c r="BA343" s="458"/>
      <c r="BB343" s="458"/>
      <c r="BC343" s="458"/>
      <c r="BD343" s="458"/>
      <c r="BE343" s="458"/>
      <c r="BF343" s="458"/>
      <c r="BG343" s="458"/>
      <c r="BH343" s="458"/>
      <c r="BI343" s="458"/>
      <c r="BJ343" s="458"/>
      <c r="BK343" s="592" t="str">
        <f t="shared" si="41"/>
        <v/>
      </c>
      <c r="BM343" s="592" t="str">
        <f t="shared" si="42"/>
        <v/>
      </c>
      <c r="BO343" s="592">
        <f t="shared" si="43"/>
        <v>0</v>
      </c>
      <c r="BP343" s="592">
        <f t="shared" si="44"/>
        <v>0</v>
      </c>
      <c r="BQ343" s="592" t="str">
        <f t="shared" si="45"/>
        <v/>
      </c>
      <c r="BR343" s="592" t="str">
        <f t="shared" si="46"/>
        <v/>
      </c>
    </row>
    <row r="344" spans="1:70" ht="15.6">
      <c r="A344" s="1805"/>
      <c r="B344" s="457"/>
      <c r="C344" s="454"/>
      <c r="D344" s="684"/>
      <c r="E344" s="684"/>
      <c r="F344" s="684"/>
      <c r="G344" s="684"/>
      <c r="H344" s="684"/>
      <c r="I344" s="684"/>
      <c r="J344" s="684"/>
      <c r="K344" s="684"/>
      <c r="L344" s="2145"/>
      <c r="M344" s="2146"/>
      <c r="N344" s="2146"/>
      <c r="O344" s="2147"/>
      <c r="P344" s="824">
        <f t="shared" si="47"/>
        <v>0</v>
      </c>
      <c r="Q344" s="1191"/>
      <c r="R344" s="758"/>
      <c r="S344" s="758"/>
      <c r="T344" s="758"/>
      <c r="U344" s="758"/>
      <c r="V344" s="758"/>
      <c r="W344" s="758"/>
      <c r="X344" s="758"/>
      <c r="Y344" s="758"/>
      <c r="Z344" s="758"/>
      <c r="AA344" s="758"/>
      <c r="AB344" s="458"/>
      <c r="AC344" s="458"/>
      <c r="AD344" s="458"/>
      <c r="AE344" s="458"/>
      <c r="AF344" s="458"/>
      <c r="AG344" s="758"/>
      <c r="AH344" s="2205"/>
      <c r="AI344" s="842">
        <f t="shared" si="48"/>
        <v>0</v>
      </c>
      <c r="AJ344" s="233"/>
      <c r="AK344" s="233"/>
      <c r="AL344" s="233"/>
      <c r="AM344" s="233"/>
      <c r="AN344" s="233"/>
      <c r="AO344" s="684"/>
      <c r="AP344" s="684"/>
      <c r="AQ344" s="684"/>
      <c r="AR344" s="684"/>
      <c r="AS344" s="626" t="str">
        <f t="shared" si="40"/>
        <v/>
      </c>
      <c r="AT344" s="2205"/>
      <c r="AU344" s="458"/>
      <c r="AV344" s="458"/>
      <c r="AW344" s="458"/>
      <c r="AX344" s="458"/>
      <c r="AY344" s="458"/>
      <c r="AZ344" s="458"/>
      <c r="BA344" s="458"/>
      <c r="BB344" s="458"/>
      <c r="BC344" s="458"/>
      <c r="BD344" s="458"/>
      <c r="BE344" s="458"/>
      <c r="BF344" s="458"/>
      <c r="BG344" s="458"/>
      <c r="BH344" s="458"/>
      <c r="BI344" s="458"/>
      <c r="BJ344" s="458"/>
      <c r="BK344" s="592" t="str">
        <f t="shared" si="41"/>
        <v/>
      </c>
      <c r="BM344" s="592" t="str">
        <f t="shared" si="42"/>
        <v/>
      </c>
      <c r="BO344" s="592">
        <f t="shared" si="43"/>
        <v>0</v>
      </c>
      <c r="BP344" s="592">
        <f t="shared" si="44"/>
        <v>0</v>
      </c>
      <c r="BQ344" s="592" t="str">
        <f t="shared" si="45"/>
        <v/>
      </c>
      <c r="BR344" s="592" t="str">
        <f t="shared" si="46"/>
        <v/>
      </c>
    </row>
    <row r="345" spans="1:70" ht="15.6">
      <c r="A345" s="1805"/>
      <c r="B345" s="457"/>
      <c r="C345" s="454"/>
      <c r="D345" s="684"/>
      <c r="E345" s="684"/>
      <c r="F345" s="684"/>
      <c r="G345" s="684"/>
      <c r="H345" s="684"/>
      <c r="I345" s="684"/>
      <c r="J345" s="684"/>
      <c r="K345" s="684"/>
      <c r="L345" s="2145"/>
      <c r="M345" s="2146"/>
      <c r="N345" s="2146"/>
      <c r="O345" s="2147"/>
      <c r="P345" s="824">
        <f t="shared" si="47"/>
        <v>0</v>
      </c>
      <c r="Q345" s="1191"/>
      <c r="R345" s="758"/>
      <c r="S345" s="758"/>
      <c r="T345" s="758"/>
      <c r="U345" s="758"/>
      <c r="V345" s="758"/>
      <c r="W345" s="758"/>
      <c r="X345" s="758"/>
      <c r="Y345" s="758"/>
      <c r="Z345" s="758"/>
      <c r="AA345" s="758"/>
      <c r="AB345" s="458"/>
      <c r="AC345" s="458"/>
      <c r="AD345" s="458"/>
      <c r="AE345" s="458"/>
      <c r="AF345" s="458"/>
      <c r="AG345" s="758"/>
      <c r="AH345" s="2205"/>
      <c r="AI345" s="842">
        <f t="shared" si="48"/>
        <v>0</v>
      </c>
      <c r="AJ345" s="233"/>
      <c r="AK345" s="233"/>
      <c r="AL345" s="233"/>
      <c r="AM345" s="233"/>
      <c r="AN345" s="233"/>
      <c r="AO345" s="684"/>
      <c r="AP345" s="684"/>
      <c r="AQ345" s="684"/>
      <c r="AR345" s="684"/>
      <c r="AS345" s="626" t="str">
        <f t="shared" si="40"/>
        <v/>
      </c>
      <c r="AT345" s="2205"/>
      <c r="AU345" s="458"/>
      <c r="AV345" s="458"/>
      <c r="AW345" s="458"/>
      <c r="AX345" s="458"/>
      <c r="AY345" s="458"/>
      <c r="AZ345" s="458"/>
      <c r="BA345" s="458"/>
      <c r="BB345" s="458"/>
      <c r="BC345" s="458"/>
      <c r="BD345" s="458"/>
      <c r="BE345" s="458"/>
      <c r="BF345" s="458"/>
      <c r="BG345" s="458"/>
      <c r="BH345" s="458"/>
      <c r="BI345" s="458"/>
      <c r="BJ345" s="458"/>
      <c r="BK345" s="592" t="str">
        <f t="shared" si="41"/>
        <v/>
      </c>
      <c r="BM345" s="592" t="str">
        <f t="shared" si="42"/>
        <v/>
      </c>
      <c r="BO345" s="592">
        <f t="shared" si="43"/>
        <v>0</v>
      </c>
      <c r="BP345" s="592">
        <f t="shared" si="44"/>
        <v>0</v>
      </c>
      <c r="BQ345" s="592" t="str">
        <f t="shared" si="45"/>
        <v/>
      </c>
      <c r="BR345" s="592" t="str">
        <f t="shared" si="46"/>
        <v/>
      </c>
    </row>
    <row r="346" spans="1:70" ht="15.6">
      <c r="A346" s="1805"/>
      <c r="B346" s="457"/>
      <c r="C346" s="454"/>
      <c r="D346" s="684"/>
      <c r="E346" s="684"/>
      <c r="F346" s="684"/>
      <c r="G346" s="684"/>
      <c r="H346" s="684"/>
      <c r="I346" s="684"/>
      <c r="J346" s="684"/>
      <c r="K346" s="684"/>
      <c r="L346" s="2145"/>
      <c r="M346" s="2146"/>
      <c r="N346" s="2146"/>
      <c r="O346" s="2147"/>
      <c r="P346" s="824">
        <f t="shared" si="47"/>
        <v>0</v>
      </c>
      <c r="Q346" s="1191"/>
      <c r="R346" s="758"/>
      <c r="S346" s="758"/>
      <c r="T346" s="758"/>
      <c r="U346" s="758"/>
      <c r="V346" s="758"/>
      <c r="W346" s="758"/>
      <c r="X346" s="758"/>
      <c r="Y346" s="758"/>
      <c r="Z346" s="758"/>
      <c r="AA346" s="758"/>
      <c r="AB346" s="458"/>
      <c r="AC346" s="458"/>
      <c r="AD346" s="458"/>
      <c r="AE346" s="458"/>
      <c r="AF346" s="458"/>
      <c r="AG346" s="758"/>
      <c r="AH346" s="2205"/>
      <c r="AI346" s="842">
        <f t="shared" si="48"/>
        <v>0</v>
      </c>
      <c r="AJ346" s="233"/>
      <c r="AK346" s="233"/>
      <c r="AL346" s="233"/>
      <c r="AM346" s="233"/>
      <c r="AN346" s="233"/>
      <c r="AO346" s="684"/>
      <c r="AP346" s="684"/>
      <c r="AQ346" s="684"/>
      <c r="AR346" s="684"/>
      <c r="AS346" s="626" t="str">
        <f t="shared" si="40"/>
        <v/>
      </c>
      <c r="AT346" s="2205"/>
      <c r="AU346" s="458"/>
      <c r="AV346" s="458"/>
      <c r="AW346" s="458"/>
      <c r="AX346" s="458"/>
      <c r="AY346" s="458"/>
      <c r="AZ346" s="458"/>
      <c r="BA346" s="458"/>
      <c r="BB346" s="458"/>
      <c r="BC346" s="458"/>
      <c r="BD346" s="458"/>
      <c r="BE346" s="458"/>
      <c r="BF346" s="458"/>
      <c r="BG346" s="458"/>
      <c r="BH346" s="458"/>
      <c r="BI346" s="458"/>
      <c r="BJ346" s="458"/>
      <c r="BK346" s="592" t="str">
        <f t="shared" si="41"/>
        <v/>
      </c>
      <c r="BM346" s="592" t="str">
        <f t="shared" si="42"/>
        <v/>
      </c>
      <c r="BO346" s="592">
        <f t="shared" si="43"/>
        <v>0</v>
      </c>
      <c r="BP346" s="592">
        <f t="shared" si="44"/>
        <v>0</v>
      </c>
      <c r="BQ346" s="592" t="str">
        <f t="shared" si="45"/>
        <v/>
      </c>
      <c r="BR346" s="592" t="str">
        <f t="shared" si="46"/>
        <v/>
      </c>
    </row>
    <row r="347" spans="1:70" ht="15.6">
      <c r="A347" s="1805"/>
      <c r="B347" s="457"/>
      <c r="C347" s="454"/>
      <c r="D347" s="684"/>
      <c r="E347" s="684"/>
      <c r="F347" s="684"/>
      <c r="G347" s="684"/>
      <c r="H347" s="684"/>
      <c r="I347" s="684"/>
      <c r="J347" s="684"/>
      <c r="K347" s="684"/>
      <c r="L347" s="2145"/>
      <c r="M347" s="2146"/>
      <c r="N347" s="2146"/>
      <c r="O347" s="2147"/>
      <c r="P347" s="824">
        <f t="shared" si="47"/>
        <v>0</v>
      </c>
      <c r="Q347" s="1191"/>
      <c r="R347" s="758"/>
      <c r="S347" s="758"/>
      <c r="T347" s="758"/>
      <c r="U347" s="758"/>
      <c r="V347" s="758"/>
      <c r="W347" s="758"/>
      <c r="X347" s="758"/>
      <c r="Y347" s="758"/>
      <c r="Z347" s="758"/>
      <c r="AA347" s="758"/>
      <c r="AB347" s="458"/>
      <c r="AC347" s="458"/>
      <c r="AD347" s="458"/>
      <c r="AE347" s="458"/>
      <c r="AF347" s="458"/>
      <c r="AG347" s="758"/>
      <c r="AH347" s="2205"/>
      <c r="AI347" s="842">
        <f t="shared" si="48"/>
        <v>0</v>
      </c>
      <c r="AJ347" s="233"/>
      <c r="AK347" s="233"/>
      <c r="AL347" s="233"/>
      <c r="AM347" s="233"/>
      <c r="AN347" s="233"/>
      <c r="AO347" s="684"/>
      <c r="AP347" s="684"/>
      <c r="AQ347" s="684"/>
      <c r="AR347" s="684"/>
      <c r="AS347" s="626" t="str">
        <f t="shared" si="40"/>
        <v/>
      </c>
      <c r="AT347" s="2205"/>
      <c r="AU347" s="458"/>
      <c r="AV347" s="458"/>
      <c r="AW347" s="458"/>
      <c r="AX347" s="458"/>
      <c r="AY347" s="458"/>
      <c r="AZ347" s="458"/>
      <c r="BA347" s="458"/>
      <c r="BB347" s="458"/>
      <c r="BC347" s="458"/>
      <c r="BD347" s="458"/>
      <c r="BE347" s="458"/>
      <c r="BF347" s="458"/>
      <c r="BG347" s="458"/>
      <c r="BH347" s="458"/>
      <c r="BI347" s="458"/>
      <c r="BJ347" s="458"/>
      <c r="BK347" s="592" t="str">
        <f t="shared" si="41"/>
        <v/>
      </c>
      <c r="BM347" s="592" t="str">
        <f t="shared" si="42"/>
        <v/>
      </c>
      <c r="BO347" s="592">
        <f t="shared" si="43"/>
        <v>0</v>
      </c>
      <c r="BP347" s="592">
        <f t="shared" si="44"/>
        <v>0</v>
      </c>
      <c r="BQ347" s="592" t="str">
        <f t="shared" si="45"/>
        <v/>
      </c>
      <c r="BR347" s="592" t="str">
        <f t="shared" si="46"/>
        <v/>
      </c>
    </row>
    <row r="348" spans="1:70" ht="15.6">
      <c r="A348" s="1805"/>
      <c r="B348" s="457"/>
      <c r="C348" s="454"/>
      <c r="D348" s="684"/>
      <c r="E348" s="684"/>
      <c r="F348" s="684"/>
      <c r="G348" s="684"/>
      <c r="H348" s="684"/>
      <c r="I348" s="684"/>
      <c r="J348" s="684"/>
      <c r="K348" s="684"/>
      <c r="L348" s="2145"/>
      <c r="M348" s="2146"/>
      <c r="N348" s="2146"/>
      <c r="O348" s="2147"/>
      <c r="P348" s="824">
        <f t="shared" si="47"/>
        <v>0</v>
      </c>
      <c r="Q348" s="1191"/>
      <c r="R348" s="758"/>
      <c r="S348" s="758"/>
      <c r="T348" s="758"/>
      <c r="U348" s="758"/>
      <c r="V348" s="758"/>
      <c r="W348" s="758"/>
      <c r="X348" s="758"/>
      <c r="Y348" s="758"/>
      <c r="Z348" s="758"/>
      <c r="AA348" s="758"/>
      <c r="AB348" s="458"/>
      <c r="AC348" s="458"/>
      <c r="AD348" s="458"/>
      <c r="AE348" s="458"/>
      <c r="AF348" s="458"/>
      <c r="AG348" s="758"/>
      <c r="AH348" s="2205"/>
      <c r="AI348" s="842">
        <f t="shared" si="48"/>
        <v>0</v>
      </c>
      <c r="AJ348" s="233"/>
      <c r="AK348" s="233"/>
      <c r="AL348" s="233"/>
      <c r="AM348" s="233"/>
      <c r="AN348" s="233"/>
      <c r="AO348" s="684"/>
      <c r="AP348" s="684"/>
      <c r="AQ348" s="684"/>
      <c r="AR348" s="684"/>
      <c r="AS348" s="626" t="str">
        <f t="shared" si="40"/>
        <v/>
      </c>
      <c r="AT348" s="2205"/>
      <c r="AU348" s="458"/>
      <c r="AV348" s="458"/>
      <c r="AW348" s="458"/>
      <c r="AX348" s="458"/>
      <c r="AY348" s="458"/>
      <c r="AZ348" s="458"/>
      <c r="BA348" s="458"/>
      <c r="BB348" s="458"/>
      <c r="BC348" s="458"/>
      <c r="BD348" s="458"/>
      <c r="BE348" s="458"/>
      <c r="BF348" s="458"/>
      <c r="BG348" s="458"/>
      <c r="BH348" s="458"/>
      <c r="BI348" s="458"/>
      <c r="BJ348" s="458"/>
      <c r="BK348" s="592" t="str">
        <f t="shared" si="41"/>
        <v/>
      </c>
      <c r="BM348" s="592" t="str">
        <f t="shared" si="42"/>
        <v/>
      </c>
      <c r="BO348" s="592">
        <f t="shared" si="43"/>
        <v>0</v>
      </c>
      <c r="BP348" s="592">
        <f t="shared" si="44"/>
        <v>0</v>
      </c>
      <c r="BQ348" s="592" t="str">
        <f t="shared" si="45"/>
        <v/>
      </c>
      <c r="BR348" s="592" t="str">
        <f t="shared" si="46"/>
        <v/>
      </c>
    </row>
    <row r="349" spans="1:70" ht="15.6">
      <c r="A349" s="1805"/>
      <c r="B349" s="457"/>
      <c r="C349" s="454"/>
      <c r="D349" s="684"/>
      <c r="E349" s="684"/>
      <c r="F349" s="684"/>
      <c r="G349" s="684"/>
      <c r="H349" s="684"/>
      <c r="I349" s="684"/>
      <c r="J349" s="684"/>
      <c r="K349" s="684"/>
      <c r="L349" s="2145"/>
      <c r="M349" s="2146"/>
      <c r="N349" s="2146"/>
      <c r="O349" s="2147"/>
      <c r="P349" s="824">
        <f t="shared" si="47"/>
        <v>0</v>
      </c>
      <c r="Q349" s="1191"/>
      <c r="R349" s="758"/>
      <c r="S349" s="758"/>
      <c r="T349" s="758"/>
      <c r="U349" s="758"/>
      <c r="V349" s="758"/>
      <c r="W349" s="758"/>
      <c r="X349" s="758"/>
      <c r="Y349" s="758"/>
      <c r="Z349" s="758"/>
      <c r="AA349" s="758"/>
      <c r="AB349" s="458"/>
      <c r="AC349" s="458"/>
      <c r="AD349" s="458"/>
      <c r="AE349" s="458"/>
      <c r="AF349" s="458"/>
      <c r="AG349" s="758"/>
      <c r="AH349" s="2205"/>
      <c r="AI349" s="842">
        <f t="shared" si="48"/>
        <v>0</v>
      </c>
      <c r="AJ349" s="233"/>
      <c r="AK349" s="233"/>
      <c r="AL349" s="233"/>
      <c r="AM349" s="233"/>
      <c r="AN349" s="233"/>
      <c r="AO349" s="684"/>
      <c r="AP349" s="684"/>
      <c r="AQ349" s="684"/>
      <c r="AR349" s="684"/>
      <c r="AS349" s="626" t="str">
        <f t="shared" si="40"/>
        <v/>
      </c>
      <c r="AT349" s="2205"/>
      <c r="AU349" s="458"/>
      <c r="AV349" s="458"/>
      <c r="AW349" s="458"/>
      <c r="AX349" s="458"/>
      <c r="AY349" s="458"/>
      <c r="AZ349" s="458"/>
      <c r="BA349" s="458"/>
      <c r="BB349" s="458"/>
      <c r="BC349" s="458"/>
      <c r="BD349" s="458"/>
      <c r="BE349" s="458"/>
      <c r="BF349" s="458"/>
      <c r="BG349" s="458"/>
      <c r="BH349" s="458"/>
      <c r="BI349" s="458"/>
      <c r="BJ349" s="458"/>
      <c r="BK349" s="592" t="str">
        <f t="shared" si="41"/>
        <v/>
      </c>
      <c r="BM349" s="592" t="str">
        <f t="shared" si="42"/>
        <v/>
      </c>
      <c r="BO349" s="592">
        <f t="shared" si="43"/>
        <v>0</v>
      </c>
      <c r="BP349" s="592">
        <f t="shared" si="44"/>
        <v>0</v>
      </c>
      <c r="BQ349" s="592" t="str">
        <f t="shared" si="45"/>
        <v/>
      </c>
      <c r="BR349" s="592" t="str">
        <f t="shared" si="46"/>
        <v/>
      </c>
    </row>
    <row r="350" spans="1:70" ht="15.6">
      <c r="A350" s="1805"/>
      <c r="B350" s="457"/>
      <c r="C350" s="454"/>
      <c r="D350" s="684"/>
      <c r="E350" s="684"/>
      <c r="F350" s="684"/>
      <c r="G350" s="684"/>
      <c r="H350" s="684"/>
      <c r="I350" s="684"/>
      <c r="J350" s="684"/>
      <c r="K350" s="684"/>
      <c r="L350" s="2145"/>
      <c r="M350" s="2146"/>
      <c r="N350" s="2146"/>
      <c r="O350" s="2147"/>
      <c r="P350" s="824">
        <f t="shared" si="47"/>
        <v>0</v>
      </c>
      <c r="Q350" s="1191"/>
      <c r="R350" s="758"/>
      <c r="S350" s="758"/>
      <c r="T350" s="758"/>
      <c r="U350" s="758"/>
      <c r="V350" s="758"/>
      <c r="W350" s="758"/>
      <c r="X350" s="758"/>
      <c r="Y350" s="758"/>
      <c r="Z350" s="758"/>
      <c r="AA350" s="758"/>
      <c r="AB350" s="458"/>
      <c r="AC350" s="458"/>
      <c r="AD350" s="458"/>
      <c r="AE350" s="458"/>
      <c r="AF350" s="458"/>
      <c r="AG350" s="758"/>
      <c r="AH350" s="2205"/>
      <c r="AI350" s="842">
        <f t="shared" si="48"/>
        <v>0</v>
      </c>
      <c r="AJ350" s="233"/>
      <c r="AK350" s="233"/>
      <c r="AL350" s="233"/>
      <c r="AM350" s="233"/>
      <c r="AN350" s="233"/>
      <c r="AO350" s="684"/>
      <c r="AP350" s="684"/>
      <c r="AQ350" s="684"/>
      <c r="AR350" s="684"/>
      <c r="AS350" s="626" t="str">
        <f t="shared" si="40"/>
        <v/>
      </c>
      <c r="AT350" s="2205"/>
      <c r="AU350" s="458"/>
      <c r="AV350" s="458"/>
      <c r="AW350" s="458"/>
      <c r="AX350" s="458"/>
      <c r="AY350" s="458"/>
      <c r="AZ350" s="458"/>
      <c r="BA350" s="458"/>
      <c r="BB350" s="458"/>
      <c r="BC350" s="458"/>
      <c r="BD350" s="458"/>
      <c r="BE350" s="458"/>
      <c r="BF350" s="458"/>
      <c r="BG350" s="458"/>
      <c r="BH350" s="458"/>
      <c r="BI350" s="458"/>
      <c r="BJ350" s="458"/>
      <c r="BK350" s="592" t="str">
        <f t="shared" si="41"/>
        <v/>
      </c>
      <c r="BM350" s="592" t="str">
        <f t="shared" si="42"/>
        <v/>
      </c>
      <c r="BO350" s="592">
        <f t="shared" si="43"/>
        <v>0</v>
      </c>
      <c r="BP350" s="592">
        <f t="shared" si="44"/>
        <v>0</v>
      </c>
      <c r="BQ350" s="592" t="str">
        <f t="shared" si="45"/>
        <v/>
      </c>
      <c r="BR350" s="592" t="str">
        <f t="shared" si="46"/>
        <v/>
      </c>
    </row>
    <row r="351" spans="1:70" ht="15.6">
      <c r="A351" s="1805"/>
      <c r="B351" s="457"/>
      <c r="C351" s="454"/>
      <c r="D351" s="684"/>
      <c r="E351" s="684"/>
      <c r="F351" s="684"/>
      <c r="G351" s="684"/>
      <c r="H351" s="684"/>
      <c r="I351" s="684"/>
      <c r="J351" s="684"/>
      <c r="K351" s="684"/>
      <c r="L351" s="2145"/>
      <c r="M351" s="2146"/>
      <c r="N351" s="2146"/>
      <c r="O351" s="2147"/>
      <c r="P351" s="824">
        <f t="shared" si="47"/>
        <v>0</v>
      </c>
      <c r="Q351" s="1191"/>
      <c r="R351" s="758"/>
      <c r="S351" s="758"/>
      <c r="T351" s="758"/>
      <c r="U351" s="758"/>
      <c r="V351" s="758"/>
      <c r="W351" s="758"/>
      <c r="X351" s="758"/>
      <c r="Y351" s="758"/>
      <c r="Z351" s="758"/>
      <c r="AA351" s="758"/>
      <c r="AB351" s="458"/>
      <c r="AC351" s="458"/>
      <c r="AD351" s="458"/>
      <c r="AE351" s="458"/>
      <c r="AF351" s="458"/>
      <c r="AG351" s="758"/>
      <c r="AH351" s="2205"/>
      <c r="AI351" s="842">
        <f t="shared" si="48"/>
        <v>0</v>
      </c>
      <c r="AJ351" s="233"/>
      <c r="AK351" s="233"/>
      <c r="AL351" s="233"/>
      <c r="AM351" s="233"/>
      <c r="AN351" s="233"/>
      <c r="AO351" s="684"/>
      <c r="AP351" s="684"/>
      <c r="AQ351" s="684"/>
      <c r="AR351" s="684"/>
      <c r="AS351" s="626" t="str">
        <f t="shared" si="40"/>
        <v/>
      </c>
      <c r="AT351" s="2205"/>
      <c r="AU351" s="458"/>
      <c r="AV351" s="458"/>
      <c r="AW351" s="458"/>
      <c r="AX351" s="458"/>
      <c r="AY351" s="458"/>
      <c r="AZ351" s="458"/>
      <c r="BA351" s="458"/>
      <c r="BB351" s="458"/>
      <c r="BC351" s="458"/>
      <c r="BD351" s="458"/>
      <c r="BE351" s="458"/>
      <c r="BF351" s="458"/>
      <c r="BG351" s="458"/>
      <c r="BH351" s="458"/>
      <c r="BI351" s="458"/>
      <c r="BJ351" s="458"/>
      <c r="BK351" s="592" t="str">
        <f t="shared" si="41"/>
        <v/>
      </c>
      <c r="BM351" s="592" t="str">
        <f t="shared" si="42"/>
        <v/>
      </c>
      <c r="BO351" s="592">
        <f t="shared" si="43"/>
        <v>0</v>
      </c>
      <c r="BP351" s="592">
        <f t="shared" si="44"/>
        <v>0</v>
      </c>
      <c r="BQ351" s="592" t="str">
        <f t="shared" si="45"/>
        <v/>
      </c>
      <c r="BR351" s="592" t="str">
        <f t="shared" si="46"/>
        <v/>
      </c>
    </row>
    <row r="352" spans="1:70" ht="15.6">
      <c r="A352" s="1805"/>
      <c r="B352" s="457"/>
      <c r="C352" s="454"/>
      <c r="D352" s="684"/>
      <c r="E352" s="684"/>
      <c r="F352" s="684"/>
      <c r="G352" s="684"/>
      <c r="H352" s="684"/>
      <c r="I352" s="684"/>
      <c r="J352" s="684"/>
      <c r="K352" s="684"/>
      <c r="L352" s="2145"/>
      <c r="M352" s="2146"/>
      <c r="N352" s="2146"/>
      <c r="O352" s="2147"/>
      <c r="P352" s="824">
        <f t="shared" si="47"/>
        <v>0</v>
      </c>
      <c r="Q352" s="1191"/>
      <c r="R352" s="758"/>
      <c r="S352" s="758"/>
      <c r="T352" s="758"/>
      <c r="U352" s="758"/>
      <c r="V352" s="758"/>
      <c r="W352" s="758"/>
      <c r="X352" s="758"/>
      <c r="Y352" s="758"/>
      <c r="Z352" s="758"/>
      <c r="AA352" s="758"/>
      <c r="AB352" s="458"/>
      <c r="AC352" s="458"/>
      <c r="AD352" s="458"/>
      <c r="AE352" s="458"/>
      <c r="AF352" s="458"/>
      <c r="AG352" s="758"/>
      <c r="AH352" s="2205"/>
      <c r="AI352" s="842">
        <f t="shared" si="48"/>
        <v>0</v>
      </c>
      <c r="AJ352" s="233"/>
      <c r="AK352" s="233"/>
      <c r="AL352" s="233"/>
      <c r="AM352" s="233"/>
      <c r="AN352" s="233"/>
      <c r="AO352" s="684"/>
      <c r="AP352" s="684"/>
      <c r="AQ352" s="684"/>
      <c r="AR352" s="684"/>
      <c r="AS352" s="626" t="str">
        <f t="shared" si="40"/>
        <v/>
      </c>
      <c r="AT352" s="2205"/>
      <c r="AU352" s="458"/>
      <c r="AV352" s="458"/>
      <c r="AW352" s="458"/>
      <c r="AX352" s="458"/>
      <c r="AY352" s="458"/>
      <c r="AZ352" s="458"/>
      <c r="BA352" s="458"/>
      <c r="BB352" s="458"/>
      <c r="BC352" s="458"/>
      <c r="BD352" s="458"/>
      <c r="BE352" s="458"/>
      <c r="BF352" s="458"/>
      <c r="BG352" s="458"/>
      <c r="BH352" s="458"/>
      <c r="BI352" s="458"/>
      <c r="BJ352" s="458"/>
      <c r="BK352" s="592" t="str">
        <f t="shared" si="41"/>
        <v/>
      </c>
      <c r="BM352" s="592" t="str">
        <f t="shared" si="42"/>
        <v/>
      </c>
      <c r="BO352" s="592">
        <f t="shared" si="43"/>
        <v>0</v>
      </c>
      <c r="BP352" s="592">
        <f t="shared" si="44"/>
        <v>0</v>
      </c>
      <c r="BQ352" s="592" t="str">
        <f t="shared" si="45"/>
        <v/>
      </c>
      <c r="BR352" s="592" t="str">
        <f t="shared" si="46"/>
        <v/>
      </c>
    </row>
    <row r="353" spans="1:70" ht="15.6">
      <c r="A353" s="1805"/>
      <c r="B353" s="457"/>
      <c r="C353" s="454"/>
      <c r="D353" s="684"/>
      <c r="E353" s="684"/>
      <c r="F353" s="684"/>
      <c r="G353" s="684"/>
      <c r="H353" s="684"/>
      <c r="I353" s="684"/>
      <c r="J353" s="684"/>
      <c r="K353" s="684"/>
      <c r="L353" s="2145"/>
      <c r="M353" s="2146"/>
      <c r="N353" s="2146"/>
      <c r="O353" s="2147"/>
      <c r="P353" s="824">
        <f t="shared" si="47"/>
        <v>0</v>
      </c>
      <c r="Q353" s="1191"/>
      <c r="R353" s="758"/>
      <c r="S353" s="758"/>
      <c r="T353" s="758"/>
      <c r="U353" s="758"/>
      <c r="V353" s="758"/>
      <c r="W353" s="758"/>
      <c r="X353" s="758"/>
      <c r="Y353" s="758"/>
      <c r="Z353" s="758"/>
      <c r="AA353" s="758"/>
      <c r="AB353" s="458"/>
      <c r="AC353" s="458"/>
      <c r="AD353" s="458"/>
      <c r="AE353" s="458"/>
      <c r="AF353" s="458"/>
      <c r="AG353" s="758"/>
      <c r="AH353" s="2205"/>
      <c r="AI353" s="842">
        <f t="shared" si="48"/>
        <v>0</v>
      </c>
      <c r="AJ353" s="233"/>
      <c r="AK353" s="233"/>
      <c r="AL353" s="233"/>
      <c r="AM353" s="233"/>
      <c r="AN353" s="233"/>
      <c r="AO353" s="684"/>
      <c r="AP353" s="684"/>
      <c r="AQ353" s="684"/>
      <c r="AR353" s="684"/>
      <c r="AS353" s="626" t="str">
        <f t="shared" si="40"/>
        <v/>
      </c>
      <c r="AT353" s="2205"/>
      <c r="AU353" s="458"/>
      <c r="AV353" s="458"/>
      <c r="AW353" s="458"/>
      <c r="AX353" s="458"/>
      <c r="AY353" s="458"/>
      <c r="AZ353" s="458"/>
      <c r="BA353" s="458"/>
      <c r="BB353" s="458"/>
      <c r="BC353" s="458"/>
      <c r="BD353" s="458"/>
      <c r="BE353" s="458"/>
      <c r="BF353" s="458"/>
      <c r="BG353" s="458"/>
      <c r="BH353" s="458"/>
      <c r="BI353" s="458"/>
      <c r="BJ353" s="458"/>
      <c r="BK353" s="592" t="str">
        <f t="shared" si="41"/>
        <v/>
      </c>
      <c r="BM353" s="592" t="str">
        <f t="shared" si="42"/>
        <v/>
      </c>
      <c r="BO353" s="592">
        <f t="shared" si="43"/>
        <v>0</v>
      </c>
      <c r="BP353" s="592">
        <f t="shared" si="44"/>
        <v>0</v>
      </c>
      <c r="BQ353" s="592" t="str">
        <f t="shared" si="45"/>
        <v/>
      </c>
      <c r="BR353" s="592" t="str">
        <f t="shared" si="46"/>
        <v/>
      </c>
    </row>
    <row r="354" spans="1:70" ht="15.6">
      <c r="A354" s="1805"/>
      <c r="B354" s="457"/>
      <c r="C354" s="454"/>
      <c r="D354" s="684"/>
      <c r="E354" s="684"/>
      <c r="F354" s="684"/>
      <c r="G354" s="684"/>
      <c r="H354" s="684"/>
      <c r="I354" s="684"/>
      <c r="J354" s="684"/>
      <c r="K354" s="684"/>
      <c r="L354" s="2145"/>
      <c r="M354" s="2146"/>
      <c r="N354" s="2146"/>
      <c r="O354" s="2147"/>
      <c r="P354" s="824">
        <f t="shared" ref="P354:P396" si="49">((D354*$D$285)+($E$285*E354)+($F$285*F354)+($G$285*G354)+($H$285*H354)+($I$285*I354)+($J$285*J354)+($K$285*K354))*C354*8.76</f>
        <v>0</v>
      </c>
      <c r="Q354" s="1191"/>
      <c r="R354" s="758"/>
      <c r="S354" s="758"/>
      <c r="T354" s="758"/>
      <c r="U354" s="758"/>
      <c r="V354" s="758"/>
      <c r="W354" s="758"/>
      <c r="X354" s="758"/>
      <c r="Y354" s="758"/>
      <c r="Z354" s="758"/>
      <c r="AA354" s="758"/>
      <c r="AB354" s="458"/>
      <c r="AC354" s="458"/>
      <c r="AD354" s="458"/>
      <c r="AE354" s="458"/>
      <c r="AF354" s="458"/>
      <c r="AG354" s="758"/>
      <c r="AH354" s="2205"/>
      <c r="AI354" s="842">
        <f t="shared" si="48"/>
        <v>0</v>
      </c>
      <c r="AJ354" s="233"/>
      <c r="AK354" s="233"/>
      <c r="AL354" s="233"/>
      <c r="AM354" s="233"/>
      <c r="AN354" s="233"/>
      <c r="AO354" s="684"/>
      <c r="AP354" s="684"/>
      <c r="AQ354" s="684"/>
      <c r="AR354" s="684"/>
      <c r="AS354" s="626" t="str">
        <f t="shared" ref="AS354:AS395" si="50">BR354</f>
        <v/>
      </c>
      <c r="AT354" s="2205"/>
      <c r="AU354" s="458"/>
      <c r="AV354" s="458"/>
      <c r="AW354" s="458"/>
      <c r="AX354" s="458"/>
      <c r="AY354" s="458"/>
      <c r="AZ354" s="458"/>
      <c r="BA354" s="458"/>
      <c r="BB354" s="458"/>
      <c r="BC354" s="458"/>
      <c r="BD354" s="458"/>
      <c r="BE354" s="458"/>
      <c r="BF354" s="458"/>
      <c r="BG354" s="458"/>
      <c r="BH354" s="458"/>
      <c r="BI354" s="458"/>
      <c r="BJ354" s="458"/>
      <c r="BK354" s="592" t="str">
        <f t="shared" ref="BK354:BK396" si="51">IF(OR(AS354="",P354=""),"",AS354*P354)</f>
        <v/>
      </c>
      <c r="BM354" s="592" t="str">
        <f t="shared" ref="BM354:BM395" si="52">IF(BK354="","",BK354^2)</f>
        <v/>
      </c>
      <c r="BO354" s="592">
        <f t="shared" ref="BO354:BO395" si="53" xml:space="preserve"> SQRT(    ((AK354^2+40^2)*((D354*$D$285)^2))      +        ((40^2+AL354^2)*(($E$285*E354)^2))       +        ((40^2+AM354^2)*(($F$285*F354)^2))       +        ((40^2+AN354^2)*(($G$285*G354)^2))       +        ((40^2+AO354^2)*(($H$285*H354)^2))       +        ((40^2+AP354^2)*(($I$285*I354)^2))       +        ((40^2+AQ354^2)*(($J$285*J354)^2))       +       ((40^2+AR354^2)*(($K$285*K354)^2))               )</f>
        <v>0</v>
      </c>
      <c r="BP354" s="592">
        <f t="shared" ref="BP354:BP395" si="54">((D354*$D$285)+($E$285*E354)+($F$285*F354)+($G$285*G354)+($H$285*H354)+($I$285*I354)+($J$285*J354)+($K$285*K354))</f>
        <v>0</v>
      </c>
      <c r="BQ354" s="592" t="str">
        <f t="shared" ref="BQ354:BQ395" si="55">IF(OR(BP354=0,BP354=""),"",BO354/BP354)</f>
        <v/>
      </c>
      <c r="BR354" s="592" t="str">
        <f t="shared" ref="BR354:BR395" si="56">IF(OR(BQ354="",AJ354=""),"",SQRT((BQ354)^2+(AJ354)^2))</f>
        <v/>
      </c>
    </row>
    <row r="355" spans="1:70" ht="15.6">
      <c r="A355" s="1805"/>
      <c r="B355" s="457"/>
      <c r="C355" s="454"/>
      <c r="D355" s="684"/>
      <c r="E355" s="684"/>
      <c r="F355" s="684"/>
      <c r="G355" s="684"/>
      <c r="H355" s="684"/>
      <c r="I355" s="684"/>
      <c r="J355" s="684"/>
      <c r="K355" s="684"/>
      <c r="L355" s="2145"/>
      <c r="M355" s="2146"/>
      <c r="N355" s="2146"/>
      <c r="O355" s="2147"/>
      <c r="P355" s="824">
        <f t="shared" si="49"/>
        <v>0</v>
      </c>
      <c r="Q355" s="1191"/>
      <c r="R355" s="758"/>
      <c r="S355" s="758"/>
      <c r="T355" s="758"/>
      <c r="U355" s="758"/>
      <c r="V355" s="758"/>
      <c r="W355" s="758"/>
      <c r="X355" s="758"/>
      <c r="Y355" s="758"/>
      <c r="Z355" s="758"/>
      <c r="AA355" s="758"/>
      <c r="AB355" s="458"/>
      <c r="AC355" s="458"/>
      <c r="AD355" s="458"/>
      <c r="AE355" s="458"/>
      <c r="AF355" s="458"/>
      <c r="AG355" s="758"/>
      <c r="AH355" s="2205"/>
      <c r="AI355" s="842">
        <f t="shared" si="48"/>
        <v>0</v>
      </c>
      <c r="AJ355" s="233"/>
      <c r="AK355" s="233"/>
      <c r="AL355" s="233"/>
      <c r="AM355" s="233"/>
      <c r="AN355" s="233"/>
      <c r="AO355" s="684"/>
      <c r="AP355" s="684"/>
      <c r="AQ355" s="684"/>
      <c r="AR355" s="684"/>
      <c r="AS355" s="626" t="str">
        <f t="shared" si="50"/>
        <v/>
      </c>
      <c r="AT355" s="2205"/>
      <c r="AU355" s="458"/>
      <c r="AV355" s="458"/>
      <c r="AW355" s="458"/>
      <c r="AX355" s="458"/>
      <c r="AY355" s="458"/>
      <c r="AZ355" s="458"/>
      <c r="BA355" s="458"/>
      <c r="BB355" s="458"/>
      <c r="BC355" s="458"/>
      <c r="BD355" s="458"/>
      <c r="BE355" s="458"/>
      <c r="BF355" s="458"/>
      <c r="BG355" s="458"/>
      <c r="BH355" s="458"/>
      <c r="BI355" s="458"/>
      <c r="BJ355" s="458"/>
      <c r="BK355" s="592" t="str">
        <f t="shared" si="51"/>
        <v/>
      </c>
      <c r="BM355" s="592" t="str">
        <f t="shared" si="52"/>
        <v/>
      </c>
      <c r="BO355" s="592">
        <f t="shared" si="53"/>
        <v>0</v>
      </c>
      <c r="BP355" s="592">
        <f t="shared" si="54"/>
        <v>0</v>
      </c>
      <c r="BQ355" s="592" t="str">
        <f t="shared" si="55"/>
        <v/>
      </c>
      <c r="BR355" s="592" t="str">
        <f t="shared" si="56"/>
        <v/>
      </c>
    </row>
    <row r="356" spans="1:70" ht="15.6">
      <c r="A356" s="1805"/>
      <c r="B356" s="457"/>
      <c r="C356" s="454"/>
      <c r="D356" s="684"/>
      <c r="E356" s="684"/>
      <c r="F356" s="684"/>
      <c r="G356" s="684"/>
      <c r="H356" s="684"/>
      <c r="I356" s="684"/>
      <c r="J356" s="684"/>
      <c r="K356" s="684"/>
      <c r="L356" s="2145"/>
      <c r="M356" s="2146"/>
      <c r="N356" s="2146"/>
      <c r="O356" s="2147"/>
      <c r="P356" s="824">
        <f t="shared" si="49"/>
        <v>0</v>
      </c>
      <c r="Q356" s="1191"/>
      <c r="R356" s="758"/>
      <c r="S356" s="758"/>
      <c r="T356" s="758"/>
      <c r="U356" s="758"/>
      <c r="V356" s="758"/>
      <c r="W356" s="758"/>
      <c r="X356" s="758"/>
      <c r="Y356" s="758"/>
      <c r="Z356" s="758"/>
      <c r="AA356" s="758"/>
      <c r="AB356" s="458"/>
      <c r="AC356" s="458"/>
      <c r="AD356" s="458"/>
      <c r="AE356" s="458"/>
      <c r="AF356" s="458"/>
      <c r="AG356" s="758"/>
      <c r="AH356" s="2205"/>
      <c r="AI356" s="842">
        <f t="shared" si="48"/>
        <v>0</v>
      </c>
      <c r="AJ356" s="233"/>
      <c r="AK356" s="233"/>
      <c r="AL356" s="233"/>
      <c r="AM356" s="233"/>
      <c r="AN356" s="233"/>
      <c r="AO356" s="684"/>
      <c r="AP356" s="684"/>
      <c r="AQ356" s="684"/>
      <c r="AR356" s="684"/>
      <c r="AS356" s="626" t="str">
        <f t="shared" si="50"/>
        <v/>
      </c>
      <c r="AT356" s="2205"/>
      <c r="AU356" s="458"/>
      <c r="AV356" s="458"/>
      <c r="AW356" s="458"/>
      <c r="AX356" s="458"/>
      <c r="AY356" s="458"/>
      <c r="AZ356" s="458"/>
      <c r="BA356" s="458"/>
      <c r="BB356" s="458"/>
      <c r="BC356" s="458"/>
      <c r="BD356" s="458"/>
      <c r="BE356" s="458"/>
      <c r="BF356" s="458"/>
      <c r="BG356" s="458"/>
      <c r="BH356" s="458"/>
      <c r="BI356" s="458"/>
      <c r="BJ356" s="458"/>
      <c r="BK356" s="592" t="str">
        <f t="shared" si="51"/>
        <v/>
      </c>
      <c r="BM356" s="592" t="str">
        <f t="shared" si="52"/>
        <v/>
      </c>
      <c r="BO356" s="592">
        <f t="shared" si="53"/>
        <v>0</v>
      </c>
      <c r="BP356" s="592">
        <f t="shared" si="54"/>
        <v>0</v>
      </c>
      <c r="BQ356" s="592" t="str">
        <f t="shared" si="55"/>
        <v/>
      </c>
      <c r="BR356" s="592" t="str">
        <f t="shared" si="56"/>
        <v/>
      </c>
    </row>
    <row r="357" spans="1:70" ht="15.6">
      <c r="A357" s="1805"/>
      <c r="B357" s="457"/>
      <c r="C357" s="454"/>
      <c r="D357" s="684"/>
      <c r="E357" s="684"/>
      <c r="F357" s="684"/>
      <c r="G357" s="684"/>
      <c r="H357" s="684"/>
      <c r="I357" s="684"/>
      <c r="J357" s="684"/>
      <c r="K357" s="684"/>
      <c r="L357" s="2145"/>
      <c r="M357" s="2146"/>
      <c r="N357" s="2146"/>
      <c r="O357" s="2147"/>
      <c r="P357" s="824">
        <f t="shared" si="49"/>
        <v>0</v>
      </c>
      <c r="Q357" s="1191"/>
      <c r="R357" s="758"/>
      <c r="S357" s="758"/>
      <c r="T357" s="758"/>
      <c r="U357" s="758"/>
      <c r="V357" s="758"/>
      <c r="W357" s="758"/>
      <c r="X357" s="758"/>
      <c r="Y357" s="758"/>
      <c r="Z357" s="758"/>
      <c r="AA357" s="758"/>
      <c r="AB357" s="458"/>
      <c r="AC357" s="458"/>
      <c r="AD357" s="458"/>
      <c r="AE357" s="458"/>
      <c r="AF357" s="458"/>
      <c r="AG357" s="758"/>
      <c r="AH357" s="2205"/>
      <c r="AI357" s="842">
        <f t="shared" si="48"/>
        <v>0</v>
      </c>
      <c r="AJ357" s="233"/>
      <c r="AK357" s="233"/>
      <c r="AL357" s="233"/>
      <c r="AM357" s="233"/>
      <c r="AN357" s="233"/>
      <c r="AO357" s="684"/>
      <c r="AP357" s="684"/>
      <c r="AQ357" s="684"/>
      <c r="AR357" s="684"/>
      <c r="AS357" s="626" t="str">
        <f t="shared" si="50"/>
        <v/>
      </c>
      <c r="AT357" s="2205"/>
      <c r="AU357" s="458"/>
      <c r="AV357" s="458"/>
      <c r="AW357" s="458"/>
      <c r="AX357" s="458"/>
      <c r="AY357" s="458"/>
      <c r="AZ357" s="458"/>
      <c r="BA357" s="458"/>
      <c r="BB357" s="458"/>
      <c r="BC357" s="458"/>
      <c r="BD357" s="458"/>
      <c r="BE357" s="458"/>
      <c r="BF357" s="458"/>
      <c r="BG357" s="458"/>
      <c r="BH357" s="458"/>
      <c r="BI357" s="458"/>
      <c r="BJ357" s="458"/>
      <c r="BK357" s="592" t="str">
        <f t="shared" si="51"/>
        <v/>
      </c>
      <c r="BM357" s="592" t="str">
        <f t="shared" si="52"/>
        <v/>
      </c>
      <c r="BO357" s="592">
        <f t="shared" si="53"/>
        <v>0</v>
      </c>
      <c r="BP357" s="592">
        <f t="shared" si="54"/>
        <v>0</v>
      </c>
      <c r="BQ357" s="592" t="str">
        <f t="shared" si="55"/>
        <v/>
      </c>
      <c r="BR357" s="592" t="str">
        <f t="shared" si="56"/>
        <v/>
      </c>
    </row>
    <row r="358" spans="1:70" ht="15.6">
      <c r="A358" s="1805"/>
      <c r="B358" s="457"/>
      <c r="C358" s="454"/>
      <c r="D358" s="684"/>
      <c r="E358" s="684"/>
      <c r="F358" s="684"/>
      <c r="G358" s="684"/>
      <c r="H358" s="684"/>
      <c r="I358" s="684"/>
      <c r="J358" s="684"/>
      <c r="K358" s="684"/>
      <c r="L358" s="2145"/>
      <c r="M358" s="2146"/>
      <c r="N358" s="2146"/>
      <c r="O358" s="2147"/>
      <c r="P358" s="824">
        <f t="shared" si="49"/>
        <v>0</v>
      </c>
      <c r="Q358" s="1191"/>
      <c r="R358" s="758"/>
      <c r="S358" s="758"/>
      <c r="T358" s="758"/>
      <c r="U358" s="758"/>
      <c r="V358" s="758"/>
      <c r="W358" s="758"/>
      <c r="X358" s="758"/>
      <c r="Y358" s="758"/>
      <c r="Z358" s="758"/>
      <c r="AA358" s="758"/>
      <c r="AB358" s="458"/>
      <c r="AC358" s="458"/>
      <c r="AD358" s="458"/>
      <c r="AE358" s="458"/>
      <c r="AF358" s="458"/>
      <c r="AG358" s="758"/>
      <c r="AH358" s="2205"/>
      <c r="AI358" s="842">
        <f t="shared" si="48"/>
        <v>0</v>
      </c>
      <c r="AJ358" s="233"/>
      <c r="AK358" s="233"/>
      <c r="AL358" s="233"/>
      <c r="AM358" s="233"/>
      <c r="AN358" s="233"/>
      <c r="AO358" s="684"/>
      <c r="AP358" s="684"/>
      <c r="AQ358" s="684"/>
      <c r="AR358" s="684"/>
      <c r="AS358" s="626" t="str">
        <f t="shared" si="50"/>
        <v/>
      </c>
      <c r="AT358" s="2205"/>
      <c r="AU358" s="458"/>
      <c r="AV358" s="458"/>
      <c r="AW358" s="458"/>
      <c r="AX358" s="458"/>
      <c r="AY358" s="458"/>
      <c r="AZ358" s="458"/>
      <c r="BA358" s="458"/>
      <c r="BB358" s="458"/>
      <c r="BC358" s="458"/>
      <c r="BD358" s="458"/>
      <c r="BE358" s="458"/>
      <c r="BF358" s="458"/>
      <c r="BG358" s="458"/>
      <c r="BH358" s="458"/>
      <c r="BI358" s="458"/>
      <c r="BJ358" s="458"/>
      <c r="BK358" s="592" t="str">
        <f t="shared" si="51"/>
        <v/>
      </c>
      <c r="BM358" s="592" t="str">
        <f t="shared" si="52"/>
        <v/>
      </c>
      <c r="BO358" s="592">
        <f t="shared" si="53"/>
        <v>0</v>
      </c>
      <c r="BP358" s="592">
        <f t="shared" si="54"/>
        <v>0</v>
      </c>
      <c r="BQ358" s="592" t="str">
        <f t="shared" si="55"/>
        <v/>
      </c>
      <c r="BR358" s="592" t="str">
        <f t="shared" si="56"/>
        <v/>
      </c>
    </row>
    <row r="359" spans="1:70" ht="15.6">
      <c r="A359" s="1805"/>
      <c r="B359" s="457"/>
      <c r="C359" s="454"/>
      <c r="D359" s="684"/>
      <c r="E359" s="684"/>
      <c r="F359" s="684"/>
      <c r="G359" s="684"/>
      <c r="H359" s="684"/>
      <c r="I359" s="684"/>
      <c r="J359" s="684"/>
      <c r="K359" s="684"/>
      <c r="L359" s="2145"/>
      <c r="M359" s="2146"/>
      <c r="N359" s="2146"/>
      <c r="O359" s="2147"/>
      <c r="P359" s="824">
        <f t="shared" si="49"/>
        <v>0</v>
      </c>
      <c r="Q359" s="1191"/>
      <c r="R359" s="758"/>
      <c r="S359" s="758"/>
      <c r="T359" s="758"/>
      <c r="U359" s="758"/>
      <c r="V359" s="758"/>
      <c r="W359" s="758"/>
      <c r="X359" s="758"/>
      <c r="Y359" s="758"/>
      <c r="Z359" s="758"/>
      <c r="AA359" s="758"/>
      <c r="AB359" s="458"/>
      <c r="AC359" s="458"/>
      <c r="AD359" s="458"/>
      <c r="AE359" s="458"/>
      <c r="AF359" s="458"/>
      <c r="AG359" s="758"/>
      <c r="AH359" s="2205"/>
      <c r="AI359" s="842">
        <f t="shared" si="48"/>
        <v>0</v>
      </c>
      <c r="AJ359" s="233"/>
      <c r="AK359" s="233"/>
      <c r="AL359" s="233"/>
      <c r="AM359" s="233"/>
      <c r="AN359" s="233"/>
      <c r="AO359" s="684"/>
      <c r="AP359" s="684"/>
      <c r="AQ359" s="684"/>
      <c r="AR359" s="684"/>
      <c r="AS359" s="626" t="str">
        <f t="shared" si="50"/>
        <v/>
      </c>
      <c r="AT359" s="2205"/>
      <c r="AU359" s="458"/>
      <c r="AV359" s="458"/>
      <c r="AW359" s="458"/>
      <c r="AX359" s="458"/>
      <c r="AY359" s="458"/>
      <c r="AZ359" s="458"/>
      <c r="BA359" s="458"/>
      <c r="BB359" s="458"/>
      <c r="BC359" s="458"/>
      <c r="BD359" s="458"/>
      <c r="BE359" s="458"/>
      <c r="BF359" s="458"/>
      <c r="BG359" s="458"/>
      <c r="BH359" s="458"/>
      <c r="BI359" s="458"/>
      <c r="BJ359" s="458"/>
      <c r="BK359" s="592" t="str">
        <f t="shared" si="51"/>
        <v/>
      </c>
      <c r="BM359" s="592" t="str">
        <f t="shared" si="52"/>
        <v/>
      </c>
      <c r="BO359" s="592">
        <f t="shared" si="53"/>
        <v>0</v>
      </c>
      <c r="BP359" s="592">
        <f t="shared" si="54"/>
        <v>0</v>
      </c>
      <c r="BQ359" s="592" t="str">
        <f t="shared" si="55"/>
        <v/>
      </c>
      <c r="BR359" s="592" t="str">
        <f t="shared" si="56"/>
        <v/>
      </c>
    </row>
    <row r="360" spans="1:70" ht="15.6">
      <c r="A360" s="1805"/>
      <c r="B360" s="457"/>
      <c r="C360" s="454"/>
      <c r="D360" s="684"/>
      <c r="E360" s="684"/>
      <c r="F360" s="684"/>
      <c r="G360" s="684"/>
      <c r="H360" s="684"/>
      <c r="I360" s="684"/>
      <c r="J360" s="684"/>
      <c r="K360" s="684"/>
      <c r="L360" s="2145"/>
      <c r="M360" s="2146"/>
      <c r="N360" s="2146"/>
      <c r="O360" s="2147"/>
      <c r="P360" s="824">
        <f t="shared" si="49"/>
        <v>0</v>
      </c>
      <c r="Q360" s="1191"/>
      <c r="R360" s="758"/>
      <c r="S360" s="758"/>
      <c r="T360" s="758"/>
      <c r="U360" s="758"/>
      <c r="V360" s="758"/>
      <c r="W360" s="758"/>
      <c r="X360" s="758"/>
      <c r="Y360" s="758"/>
      <c r="Z360" s="758"/>
      <c r="AA360" s="758"/>
      <c r="AB360" s="458"/>
      <c r="AC360" s="458"/>
      <c r="AD360" s="458"/>
      <c r="AE360" s="458"/>
      <c r="AF360" s="458"/>
      <c r="AG360" s="758"/>
      <c r="AH360" s="2205"/>
      <c r="AI360" s="842">
        <f t="shared" si="48"/>
        <v>0</v>
      </c>
      <c r="AJ360" s="233"/>
      <c r="AK360" s="233"/>
      <c r="AL360" s="233"/>
      <c r="AM360" s="233"/>
      <c r="AN360" s="233"/>
      <c r="AO360" s="684"/>
      <c r="AP360" s="684"/>
      <c r="AQ360" s="684"/>
      <c r="AR360" s="684"/>
      <c r="AS360" s="626" t="str">
        <f t="shared" si="50"/>
        <v/>
      </c>
      <c r="AT360" s="2205"/>
      <c r="AU360" s="458"/>
      <c r="AV360" s="458"/>
      <c r="AW360" s="458"/>
      <c r="AX360" s="458"/>
      <c r="AY360" s="458"/>
      <c r="AZ360" s="458"/>
      <c r="BA360" s="458"/>
      <c r="BB360" s="458"/>
      <c r="BC360" s="458"/>
      <c r="BD360" s="458"/>
      <c r="BE360" s="458"/>
      <c r="BF360" s="458"/>
      <c r="BG360" s="458"/>
      <c r="BH360" s="458"/>
      <c r="BI360" s="458"/>
      <c r="BJ360" s="458"/>
      <c r="BK360" s="592" t="str">
        <f t="shared" si="51"/>
        <v/>
      </c>
      <c r="BM360" s="592" t="str">
        <f t="shared" si="52"/>
        <v/>
      </c>
      <c r="BO360" s="592">
        <f t="shared" si="53"/>
        <v>0</v>
      </c>
      <c r="BP360" s="592">
        <f t="shared" si="54"/>
        <v>0</v>
      </c>
      <c r="BQ360" s="592" t="str">
        <f t="shared" si="55"/>
        <v/>
      </c>
      <c r="BR360" s="592" t="str">
        <f t="shared" si="56"/>
        <v/>
      </c>
    </row>
    <row r="361" spans="1:70" ht="15.6">
      <c r="A361" s="1805"/>
      <c r="B361" s="457"/>
      <c r="C361" s="454"/>
      <c r="D361" s="684"/>
      <c r="E361" s="684"/>
      <c r="F361" s="684"/>
      <c r="G361" s="684"/>
      <c r="H361" s="684"/>
      <c r="I361" s="684"/>
      <c r="J361" s="684"/>
      <c r="K361" s="684"/>
      <c r="L361" s="2145"/>
      <c r="M361" s="2146"/>
      <c r="N361" s="2146"/>
      <c r="O361" s="2147"/>
      <c r="P361" s="824">
        <f t="shared" si="49"/>
        <v>0</v>
      </c>
      <c r="Q361" s="1191"/>
      <c r="R361" s="758"/>
      <c r="S361" s="758"/>
      <c r="T361" s="758"/>
      <c r="U361" s="758"/>
      <c r="V361" s="758"/>
      <c r="W361" s="758"/>
      <c r="X361" s="758"/>
      <c r="Y361" s="758"/>
      <c r="Z361" s="758"/>
      <c r="AA361" s="758"/>
      <c r="AB361" s="458"/>
      <c r="AC361" s="458"/>
      <c r="AD361" s="458"/>
      <c r="AE361" s="458"/>
      <c r="AF361" s="458"/>
      <c r="AG361" s="758"/>
      <c r="AH361" s="2205"/>
      <c r="AI361" s="842">
        <f t="shared" si="48"/>
        <v>0</v>
      </c>
      <c r="AJ361" s="233"/>
      <c r="AK361" s="233"/>
      <c r="AL361" s="233"/>
      <c r="AM361" s="233"/>
      <c r="AN361" s="233"/>
      <c r="AO361" s="684"/>
      <c r="AP361" s="684"/>
      <c r="AQ361" s="684"/>
      <c r="AR361" s="684"/>
      <c r="AS361" s="626" t="str">
        <f t="shared" si="50"/>
        <v/>
      </c>
      <c r="AT361" s="2205"/>
      <c r="AU361" s="458"/>
      <c r="AV361" s="458"/>
      <c r="AW361" s="458"/>
      <c r="AX361" s="458"/>
      <c r="AY361" s="458"/>
      <c r="AZ361" s="458"/>
      <c r="BA361" s="458"/>
      <c r="BB361" s="458"/>
      <c r="BC361" s="458"/>
      <c r="BD361" s="458"/>
      <c r="BE361" s="458"/>
      <c r="BF361" s="458"/>
      <c r="BG361" s="458"/>
      <c r="BH361" s="458"/>
      <c r="BI361" s="458"/>
      <c r="BJ361" s="458"/>
      <c r="BK361" s="592" t="str">
        <f t="shared" si="51"/>
        <v/>
      </c>
      <c r="BM361" s="592" t="str">
        <f t="shared" si="52"/>
        <v/>
      </c>
      <c r="BO361" s="592">
        <f t="shared" si="53"/>
        <v>0</v>
      </c>
      <c r="BP361" s="592">
        <f t="shared" si="54"/>
        <v>0</v>
      </c>
      <c r="BQ361" s="592" t="str">
        <f t="shared" si="55"/>
        <v/>
      </c>
      <c r="BR361" s="592" t="str">
        <f t="shared" si="56"/>
        <v/>
      </c>
    </row>
    <row r="362" spans="1:70" ht="15.6">
      <c r="A362" s="1805"/>
      <c r="B362" s="457"/>
      <c r="C362" s="454"/>
      <c r="D362" s="684"/>
      <c r="E362" s="684"/>
      <c r="F362" s="684"/>
      <c r="G362" s="684"/>
      <c r="H362" s="684"/>
      <c r="I362" s="684"/>
      <c r="J362" s="684"/>
      <c r="K362" s="684"/>
      <c r="L362" s="2145"/>
      <c r="M362" s="2146"/>
      <c r="N362" s="2146"/>
      <c r="O362" s="2147"/>
      <c r="P362" s="824">
        <f t="shared" si="49"/>
        <v>0</v>
      </c>
      <c r="Q362" s="1191"/>
      <c r="R362" s="758"/>
      <c r="S362" s="758"/>
      <c r="T362" s="758"/>
      <c r="U362" s="758"/>
      <c r="V362" s="758"/>
      <c r="W362" s="758"/>
      <c r="X362" s="758"/>
      <c r="Y362" s="758"/>
      <c r="Z362" s="758"/>
      <c r="AA362" s="758"/>
      <c r="AB362" s="458"/>
      <c r="AC362" s="458"/>
      <c r="AD362" s="458"/>
      <c r="AE362" s="458"/>
      <c r="AF362" s="458"/>
      <c r="AG362" s="758"/>
      <c r="AH362" s="2205"/>
      <c r="AI362" s="842">
        <f t="shared" si="48"/>
        <v>0</v>
      </c>
      <c r="AJ362" s="233"/>
      <c r="AK362" s="233"/>
      <c r="AL362" s="233"/>
      <c r="AM362" s="233"/>
      <c r="AN362" s="233"/>
      <c r="AO362" s="684"/>
      <c r="AP362" s="684"/>
      <c r="AQ362" s="684"/>
      <c r="AR362" s="684"/>
      <c r="AS362" s="626" t="str">
        <f t="shared" si="50"/>
        <v/>
      </c>
      <c r="AT362" s="2205"/>
      <c r="AU362" s="458"/>
      <c r="AV362" s="458"/>
      <c r="AW362" s="458"/>
      <c r="AX362" s="458"/>
      <c r="AY362" s="458"/>
      <c r="AZ362" s="458"/>
      <c r="BA362" s="458"/>
      <c r="BB362" s="458"/>
      <c r="BC362" s="458"/>
      <c r="BD362" s="458"/>
      <c r="BE362" s="458"/>
      <c r="BF362" s="458"/>
      <c r="BG362" s="458"/>
      <c r="BH362" s="458"/>
      <c r="BI362" s="458"/>
      <c r="BJ362" s="458"/>
      <c r="BK362" s="592" t="str">
        <f t="shared" si="51"/>
        <v/>
      </c>
      <c r="BM362" s="592" t="str">
        <f t="shared" si="52"/>
        <v/>
      </c>
      <c r="BO362" s="592">
        <f t="shared" si="53"/>
        <v>0</v>
      </c>
      <c r="BP362" s="592">
        <f t="shared" si="54"/>
        <v>0</v>
      </c>
      <c r="BQ362" s="592" t="str">
        <f t="shared" si="55"/>
        <v/>
      </c>
      <c r="BR362" s="592" t="str">
        <f t="shared" si="56"/>
        <v/>
      </c>
    </row>
    <row r="363" spans="1:70" ht="15.6">
      <c r="A363" s="1805"/>
      <c r="B363" s="457"/>
      <c r="C363" s="454"/>
      <c r="D363" s="684"/>
      <c r="E363" s="684"/>
      <c r="F363" s="684"/>
      <c r="G363" s="684"/>
      <c r="H363" s="684"/>
      <c r="I363" s="684"/>
      <c r="J363" s="684"/>
      <c r="K363" s="684"/>
      <c r="L363" s="2145"/>
      <c r="M363" s="2146"/>
      <c r="N363" s="2146"/>
      <c r="O363" s="2147"/>
      <c r="P363" s="824">
        <f t="shared" si="49"/>
        <v>0</v>
      </c>
      <c r="Q363" s="1191"/>
      <c r="R363" s="758"/>
      <c r="S363" s="758"/>
      <c r="T363" s="758"/>
      <c r="U363" s="758"/>
      <c r="V363" s="758"/>
      <c r="W363" s="758"/>
      <c r="X363" s="758"/>
      <c r="Y363" s="758"/>
      <c r="Z363" s="758"/>
      <c r="AA363" s="758"/>
      <c r="AB363" s="458"/>
      <c r="AC363" s="458"/>
      <c r="AD363" s="458"/>
      <c r="AE363" s="458"/>
      <c r="AF363" s="458"/>
      <c r="AG363" s="758"/>
      <c r="AH363" s="2205"/>
      <c r="AI363" s="842">
        <f t="shared" si="48"/>
        <v>0</v>
      </c>
      <c r="AJ363" s="233"/>
      <c r="AK363" s="233"/>
      <c r="AL363" s="233"/>
      <c r="AM363" s="233"/>
      <c r="AN363" s="233"/>
      <c r="AO363" s="684"/>
      <c r="AP363" s="684"/>
      <c r="AQ363" s="684"/>
      <c r="AR363" s="684"/>
      <c r="AS363" s="626" t="str">
        <f t="shared" si="50"/>
        <v/>
      </c>
      <c r="AT363" s="2205"/>
      <c r="AU363" s="458"/>
      <c r="AV363" s="458"/>
      <c r="AW363" s="458"/>
      <c r="AX363" s="458"/>
      <c r="AY363" s="458"/>
      <c r="AZ363" s="458"/>
      <c r="BA363" s="458"/>
      <c r="BB363" s="458"/>
      <c r="BC363" s="458"/>
      <c r="BD363" s="458"/>
      <c r="BE363" s="458"/>
      <c r="BF363" s="458"/>
      <c r="BG363" s="458"/>
      <c r="BH363" s="458"/>
      <c r="BI363" s="458"/>
      <c r="BJ363" s="458"/>
      <c r="BK363" s="592" t="str">
        <f t="shared" si="51"/>
        <v/>
      </c>
      <c r="BM363" s="592" t="str">
        <f t="shared" si="52"/>
        <v/>
      </c>
      <c r="BO363" s="592">
        <f t="shared" si="53"/>
        <v>0</v>
      </c>
      <c r="BP363" s="592">
        <f t="shared" si="54"/>
        <v>0</v>
      </c>
      <c r="BQ363" s="592" t="str">
        <f t="shared" si="55"/>
        <v/>
      </c>
      <c r="BR363" s="592" t="str">
        <f t="shared" si="56"/>
        <v/>
      </c>
    </row>
    <row r="364" spans="1:70" ht="15.6">
      <c r="A364" s="1805"/>
      <c r="B364" s="457"/>
      <c r="C364" s="454"/>
      <c r="D364" s="684"/>
      <c r="E364" s="684"/>
      <c r="F364" s="684"/>
      <c r="G364" s="684"/>
      <c r="H364" s="684"/>
      <c r="I364" s="684"/>
      <c r="J364" s="684"/>
      <c r="K364" s="684"/>
      <c r="L364" s="2145"/>
      <c r="M364" s="2146"/>
      <c r="N364" s="2146"/>
      <c r="O364" s="2147"/>
      <c r="P364" s="824">
        <f t="shared" si="49"/>
        <v>0</v>
      </c>
      <c r="Q364" s="1191"/>
      <c r="R364" s="758"/>
      <c r="S364" s="758"/>
      <c r="T364" s="758"/>
      <c r="U364" s="758"/>
      <c r="V364" s="758"/>
      <c r="W364" s="758"/>
      <c r="X364" s="758"/>
      <c r="Y364" s="758"/>
      <c r="Z364" s="758"/>
      <c r="AA364" s="758"/>
      <c r="AB364" s="458"/>
      <c r="AC364" s="458"/>
      <c r="AD364" s="458"/>
      <c r="AE364" s="458"/>
      <c r="AF364" s="458"/>
      <c r="AG364" s="758"/>
      <c r="AH364" s="2205"/>
      <c r="AI364" s="842">
        <f t="shared" si="48"/>
        <v>0</v>
      </c>
      <c r="AJ364" s="233"/>
      <c r="AK364" s="233"/>
      <c r="AL364" s="233"/>
      <c r="AM364" s="233"/>
      <c r="AN364" s="233"/>
      <c r="AO364" s="684"/>
      <c r="AP364" s="684"/>
      <c r="AQ364" s="684"/>
      <c r="AR364" s="684"/>
      <c r="AS364" s="626" t="str">
        <f t="shared" si="50"/>
        <v/>
      </c>
      <c r="AT364" s="2205"/>
      <c r="AU364" s="458"/>
      <c r="AV364" s="458"/>
      <c r="AW364" s="458"/>
      <c r="AX364" s="458"/>
      <c r="AY364" s="458"/>
      <c r="AZ364" s="458"/>
      <c r="BA364" s="458"/>
      <c r="BB364" s="458"/>
      <c r="BC364" s="458"/>
      <c r="BD364" s="458"/>
      <c r="BE364" s="458"/>
      <c r="BF364" s="458"/>
      <c r="BG364" s="458"/>
      <c r="BH364" s="458"/>
      <c r="BI364" s="458"/>
      <c r="BJ364" s="458"/>
      <c r="BK364" s="592" t="str">
        <f t="shared" si="51"/>
        <v/>
      </c>
      <c r="BM364" s="592" t="str">
        <f t="shared" si="52"/>
        <v/>
      </c>
      <c r="BO364" s="592">
        <f t="shared" si="53"/>
        <v>0</v>
      </c>
      <c r="BP364" s="592">
        <f t="shared" si="54"/>
        <v>0</v>
      </c>
      <c r="BQ364" s="592" t="str">
        <f t="shared" si="55"/>
        <v/>
      </c>
      <c r="BR364" s="592" t="str">
        <f t="shared" si="56"/>
        <v/>
      </c>
    </row>
    <row r="365" spans="1:70" ht="15.6">
      <c r="A365" s="1805"/>
      <c r="B365" s="457"/>
      <c r="C365" s="454"/>
      <c r="D365" s="684"/>
      <c r="E365" s="684"/>
      <c r="F365" s="684"/>
      <c r="G365" s="684"/>
      <c r="H365" s="684"/>
      <c r="I365" s="684"/>
      <c r="J365" s="684"/>
      <c r="K365" s="684"/>
      <c r="L365" s="2145"/>
      <c r="M365" s="2146"/>
      <c r="N365" s="2146"/>
      <c r="O365" s="2147"/>
      <c r="P365" s="824">
        <f t="shared" si="49"/>
        <v>0</v>
      </c>
      <c r="Q365" s="1191"/>
      <c r="R365" s="758"/>
      <c r="S365" s="758"/>
      <c r="T365" s="758"/>
      <c r="U365" s="758"/>
      <c r="V365" s="758"/>
      <c r="W365" s="758"/>
      <c r="X365" s="758"/>
      <c r="Y365" s="758"/>
      <c r="Z365" s="758"/>
      <c r="AA365" s="758"/>
      <c r="AB365" s="458"/>
      <c r="AC365" s="458"/>
      <c r="AD365" s="458"/>
      <c r="AE365" s="458"/>
      <c r="AF365" s="458"/>
      <c r="AG365" s="758"/>
      <c r="AH365" s="2205"/>
      <c r="AI365" s="842">
        <f t="shared" si="48"/>
        <v>0</v>
      </c>
      <c r="AJ365" s="233"/>
      <c r="AK365" s="233"/>
      <c r="AL365" s="233"/>
      <c r="AM365" s="233"/>
      <c r="AN365" s="233"/>
      <c r="AO365" s="684"/>
      <c r="AP365" s="684"/>
      <c r="AQ365" s="684"/>
      <c r="AR365" s="684"/>
      <c r="AS365" s="626" t="str">
        <f t="shared" si="50"/>
        <v/>
      </c>
      <c r="AT365" s="2205"/>
      <c r="AU365" s="458"/>
      <c r="AV365" s="458"/>
      <c r="AW365" s="458"/>
      <c r="AX365" s="458"/>
      <c r="AY365" s="458"/>
      <c r="AZ365" s="458"/>
      <c r="BA365" s="458"/>
      <c r="BB365" s="458"/>
      <c r="BC365" s="458"/>
      <c r="BD365" s="458"/>
      <c r="BE365" s="458"/>
      <c r="BF365" s="458"/>
      <c r="BG365" s="458"/>
      <c r="BH365" s="458"/>
      <c r="BI365" s="458"/>
      <c r="BJ365" s="458"/>
      <c r="BK365" s="592" t="str">
        <f t="shared" si="51"/>
        <v/>
      </c>
      <c r="BM365" s="592" t="str">
        <f t="shared" si="52"/>
        <v/>
      </c>
      <c r="BO365" s="592">
        <f t="shared" si="53"/>
        <v>0</v>
      </c>
      <c r="BP365" s="592">
        <f t="shared" si="54"/>
        <v>0</v>
      </c>
      <c r="BQ365" s="592" t="str">
        <f t="shared" si="55"/>
        <v/>
      </c>
      <c r="BR365" s="592" t="str">
        <f t="shared" si="56"/>
        <v/>
      </c>
    </row>
    <row r="366" spans="1:70" ht="15.6">
      <c r="A366" s="1805"/>
      <c r="B366" s="457"/>
      <c r="C366" s="454"/>
      <c r="D366" s="684"/>
      <c r="E366" s="684"/>
      <c r="F366" s="684"/>
      <c r="G366" s="684"/>
      <c r="H366" s="684"/>
      <c r="I366" s="684"/>
      <c r="J366" s="684"/>
      <c r="K366" s="684"/>
      <c r="L366" s="2145"/>
      <c r="M366" s="2146"/>
      <c r="N366" s="2146"/>
      <c r="O366" s="2147"/>
      <c r="P366" s="824">
        <f t="shared" si="49"/>
        <v>0</v>
      </c>
      <c r="Q366" s="1191"/>
      <c r="R366" s="758"/>
      <c r="S366" s="758"/>
      <c r="T366" s="758"/>
      <c r="U366" s="758"/>
      <c r="V366" s="758"/>
      <c r="W366" s="758"/>
      <c r="X366" s="758"/>
      <c r="Y366" s="758"/>
      <c r="Z366" s="758"/>
      <c r="AA366" s="758"/>
      <c r="AB366" s="458"/>
      <c r="AC366" s="458"/>
      <c r="AD366" s="458"/>
      <c r="AE366" s="458"/>
      <c r="AF366" s="458"/>
      <c r="AG366" s="758"/>
      <c r="AH366" s="2205"/>
      <c r="AI366" s="842">
        <f t="shared" si="48"/>
        <v>0</v>
      </c>
      <c r="AJ366" s="233"/>
      <c r="AK366" s="233"/>
      <c r="AL366" s="233"/>
      <c r="AM366" s="233"/>
      <c r="AN366" s="233"/>
      <c r="AO366" s="684"/>
      <c r="AP366" s="684"/>
      <c r="AQ366" s="684"/>
      <c r="AR366" s="684"/>
      <c r="AS366" s="626" t="str">
        <f t="shared" si="50"/>
        <v/>
      </c>
      <c r="AT366" s="2205"/>
      <c r="AU366" s="458"/>
      <c r="AV366" s="458"/>
      <c r="AW366" s="458"/>
      <c r="AX366" s="458"/>
      <c r="AY366" s="458"/>
      <c r="AZ366" s="458"/>
      <c r="BA366" s="458"/>
      <c r="BB366" s="458"/>
      <c r="BC366" s="458"/>
      <c r="BD366" s="458"/>
      <c r="BE366" s="458"/>
      <c r="BF366" s="458"/>
      <c r="BG366" s="458"/>
      <c r="BH366" s="458"/>
      <c r="BI366" s="458"/>
      <c r="BJ366" s="458"/>
      <c r="BK366" s="592" t="str">
        <f t="shared" si="51"/>
        <v/>
      </c>
      <c r="BM366" s="592" t="str">
        <f t="shared" si="52"/>
        <v/>
      </c>
      <c r="BO366" s="592">
        <f t="shared" si="53"/>
        <v>0</v>
      </c>
      <c r="BP366" s="592">
        <f t="shared" si="54"/>
        <v>0</v>
      </c>
      <c r="BQ366" s="592" t="str">
        <f t="shared" si="55"/>
        <v/>
      </c>
      <c r="BR366" s="592" t="str">
        <f t="shared" si="56"/>
        <v/>
      </c>
    </row>
    <row r="367" spans="1:70" ht="15.6">
      <c r="A367" s="1805"/>
      <c r="B367" s="457"/>
      <c r="C367" s="454"/>
      <c r="D367" s="684"/>
      <c r="E367" s="684"/>
      <c r="F367" s="684"/>
      <c r="G367" s="684"/>
      <c r="H367" s="684"/>
      <c r="I367" s="684"/>
      <c r="J367" s="684"/>
      <c r="K367" s="684"/>
      <c r="L367" s="2145"/>
      <c r="M367" s="2146"/>
      <c r="N367" s="2146"/>
      <c r="O367" s="2147"/>
      <c r="P367" s="824">
        <f t="shared" si="49"/>
        <v>0</v>
      </c>
      <c r="Q367" s="1191"/>
      <c r="R367" s="758"/>
      <c r="S367" s="758"/>
      <c r="T367" s="758"/>
      <c r="U367" s="758"/>
      <c r="V367" s="758"/>
      <c r="W367" s="758"/>
      <c r="X367" s="758"/>
      <c r="Y367" s="758"/>
      <c r="Z367" s="758"/>
      <c r="AA367" s="758"/>
      <c r="AB367" s="458"/>
      <c r="AC367" s="458"/>
      <c r="AD367" s="458"/>
      <c r="AE367" s="458"/>
      <c r="AF367" s="458"/>
      <c r="AG367" s="758"/>
      <c r="AH367" s="2205"/>
      <c r="AI367" s="842">
        <f t="shared" si="48"/>
        <v>0</v>
      </c>
      <c r="AJ367" s="233"/>
      <c r="AK367" s="233"/>
      <c r="AL367" s="233"/>
      <c r="AM367" s="233"/>
      <c r="AN367" s="233"/>
      <c r="AO367" s="684"/>
      <c r="AP367" s="684"/>
      <c r="AQ367" s="684"/>
      <c r="AR367" s="684"/>
      <c r="AS367" s="626" t="str">
        <f t="shared" si="50"/>
        <v/>
      </c>
      <c r="AT367" s="2205"/>
      <c r="AU367" s="458"/>
      <c r="AV367" s="458"/>
      <c r="AW367" s="458"/>
      <c r="AX367" s="458"/>
      <c r="AY367" s="458"/>
      <c r="AZ367" s="458"/>
      <c r="BA367" s="458"/>
      <c r="BB367" s="458"/>
      <c r="BC367" s="458"/>
      <c r="BD367" s="458"/>
      <c r="BE367" s="458"/>
      <c r="BF367" s="458"/>
      <c r="BG367" s="458"/>
      <c r="BH367" s="458"/>
      <c r="BI367" s="458"/>
      <c r="BJ367" s="458"/>
      <c r="BK367" s="592" t="str">
        <f t="shared" si="51"/>
        <v/>
      </c>
      <c r="BM367" s="592" t="str">
        <f t="shared" si="52"/>
        <v/>
      </c>
      <c r="BO367" s="592">
        <f t="shared" si="53"/>
        <v>0</v>
      </c>
      <c r="BP367" s="592">
        <f t="shared" si="54"/>
        <v>0</v>
      </c>
      <c r="BQ367" s="592" t="str">
        <f t="shared" si="55"/>
        <v/>
      </c>
      <c r="BR367" s="592" t="str">
        <f t="shared" si="56"/>
        <v/>
      </c>
    </row>
    <row r="368" spans="1:70" ht="15.6">
      <c r="A368" s="1805"/>
      <c r="B368" s="457"/>
      <c r="C368" s="454"/>
      <c r="D368" s="684"/>
      <c r="E368" s="684"/>
      <c r="F368" s="684"/>
      <c r="G368" s="684"/>
      <c r="H368" s="684"/>
      <c r="I368" s="684"/>
      <c r="J368" s="684"/>
      <c r="K368" s="684"/>
      <c r="L368" s="2145"/>
      <c r="M368" s="2146"/>
      <c r="N368" s="2146"/>
      <c r="O368" s="2147"/>
      <c r="P368" s="824">
        <f t="shared" si="49"/>
        <v>0</v>
      </c>
      <c r="Q368" s="1191"/>
      <c r="R368" s="758"/>
      <c r="S368" s="758"/>
      <c r="T368" s="758"/>
      <c r="U368" s="758"/>
      <c r="V368" s="758"/>
      <c r="W368" s="758"/>
      <c r="X368" s="758"/>
      <c r="Y368" s="758"/>
      <c r="Z368" s="758"/>
      <c r="AA368" s="758"/>
      <c r="AB368" s="458"/>
      <c r="AC368" s="458"/>
      <c r="AD368" s="458"/>
      <c r="AE368" s="458"/>
      <c r="AF368" s="458"/>
      <c r="AG368" s="758"/>
      <c r="AH368" s="2205"/>
      <c r="AI368" s="842">
        <f t="shared" si="48"/>
        <v>0</v>
      </c>
      <c r="AJ368" s="233"/>
      <c r="AK368" s="233"/>
      <c r="AL368" s="233"/>
      <c r="AM368" s="233"/>
      <c r="AN368" s="233"/>
      <c r="AO368" s="684"/>
      <c r="AP368" s="684"/>
      <c r="AQ368" s="684"/>
      <c r="AR368" s="684"/>
      <c r="AS368" s="626" t="str">
        <f t="shared" si="50"/>
        <v/>
      </c>
      <c r="AT368" s="2205"/>
      <c r="AU368" s="458"/>
      <c r="AV368" s="458"/>
      <c r="AW368" s="458"/>
      <c r="AX368" s="458"/>
      <c r="AY368" s="458"/>
      <c r="AZ368" s="458"/>
      <c r="BA368" s="458"/>
      <c r="BB368" s="458"/>
      <c r="BC368" s="458"/>
      <c r="BD368" s="458"/>
      <c r="BE368" s="458"/>
      <c r="BF368" s="458"/>
      <c r="BG368" s="458"/>
      <c r="BH368" s="458"/>
      <c r="BI368" s="458"/>
      <c r="BJ368" s="458"/>
      <c r="BK368" s="592" t="str">
        <f t="shared" si="51"/>
        <v/>
      </c>
      <c r="BM368" s="592" t="str">
        <f t="shared" si="52"/>
        <v/>
      </c>
      <c r="BO368" s="592">
        <f t="shared" si="53"/>
        <v>0</v>
      </c>
      <c r="BP368" s="592">
        <f t="shared" si="54"/>
        <v>0</v>
      </c>
      <c r="BQ368" s="592" t="str">
        <f t="shared" si="55"/>
        <v/>
      </c>
      <c r="BR368" s="592" t="str">
        <f t="shared" si="56"/>
        <v/>
      </c>
    </row>
    <row r="369" spans="1:70" ht="15.6">
      <c r="A369" s="1805"/>
      <c r="B369" s="457"/>
      <c r="C369" s="454"/>
      <c r="D369" s="684"/>
      <c r="E369" s="684"/>
      <c r="F369" s="684"/>
      <c r="G369" s="684"/>
      <c r="H369" s="684"/>
      <c r="I369" s="684"/>
      <c r="J369" s="684"/>
      <c r="K369" s="684"/>
      <c r="L369" s="2145"/>
      <c r="M369" s="2146"/>
      <c r="N369" s="2146"/>
      <c r="O369" s="2147"/>
      <c r="P369" s="824">
        <f t="shared" si="49"/>
        <v>0</v>
      </c>
      <c r="Q369" s="1191"/>
      <c r="R369" s="758"/>
      <c r="S369" s="758"/>
      <c r="T369" s="758"/>
      <c r="U369" s="758"/>
      <c r="V369" s="758"/>
      <c r="W369" s="758"/>
      <c r="X369" s="758"/>
      <c r="Y369" s="758"/>
      <c r="Z369" s="758"/>
      <c r="AA369" s="758"/>
      <c r="AB369" s="458"/>
      <c r="AC369" s="458"/>
      <c r="AD369" s="458"/>
      <c r="AE369" s="458"/>
      <c r="AF369" s="458"/>
      <c r="AG369" s="758"/>
      <c r="AH369" s="2205"/>
      <c r="AI369" s="842">
        <f t="shared" si="48"/>
        <v>0</v>
      </c>
      <c r="AJ369" s="233"/>
      <c r="AK369" s="233"/>
      <c r="AL369" s="233"/>
      <c r="AM369" s="233"/>
      <c r="AN369" s="233"/>
      <c r="AO369" s="684"/>
      <c r="AP369" s="684"/>
      <c r="AQ369" s="684"/>
      <c r="AR369" s="684"/>
      <c r="AS369" s="626" t="str">
        <f t="shared" si="50"/>
        <v/>
      </c>
      <c r="AT369" s="2205"/>
      <c r="AU369" s="458"/>
      <c r="AV369" s="458"/>
      <c r="AW369" s="458"/>
      <c r="AX369" s="458"/>
      <c r="AY369" s="458"/>
      <c r="AZ369" s="458"/>
      <c r="BA369" s="458"/>
      <c r="BB369" s="458"/>
      <c r="BC369" s="458"/>
      <c r="BD369" s="458"/>
      <c r="BE369" s="458"/>
      <c r="BF369" s="458"/>
      <c r="BG369" s="458"/>
      <c r="BH369" s="458"/>
      <c r="BI369" s="458"/>
      <c r="BJ369" s="458"/>
      <c r="BK369" s="592" t="str">
        <f t="shared" si="51"/>
        <v/>
      </c>
      <c r="BM369" s="592" t="str">
        <f t="shared" si="52"/>
        <v/>
      </c>
      <c r="BO369" s="592">
        <f t="shared" si="53"/>
        <v>0</v>
      </c>
      <c r="BP369" s="592">
        <f t="shared" si="54"/>
        <v>0</v>
      </c>
      <c r="BQ369" s="592" t="str">
        <f t="shared" si="55"/>
        <v/>
      </c>
      <c r="BR369" s="592" t="str">
        <f t="shared" si="56"/>
        <v/>
      </c>
    </row>
    <row r="370" spans="1:70" ht="15.6">
      <c r="A370" s="1805"/>
      <c r="B370" s="457"/>
      <c r="C370" s="454"/>
      <c r="D370" s="684"/>
      <c r="E370" s="684"/>
      <c r="F370" s="684"/>
      <c r="G370" s="684"/>
      <c r="H370" s="684"/>
      <c r="I370" s="684"/>
      <c r="J370" s="684"/>
      <c r="K370" s="684"/>
      <c r="L370" s="2145"/>
      <c r="M370" s="2146"/>
      <c r="N370" s="2146"/>
      <c r="O370" s="2147"/>
      <c r="P370" s="824">
        <f t="shared" si="49"/>
        <v>0</v>
      </c>
      <c r="Q370" s="1191"/>
      <c r="R370" s="758"/>
      <c r="S370" s="758"/>
      <c r="T370" s="758"/>
      <c r="U370" s="758"/>
      <c r="V370" s="758"/>
      <c r="W370" s="758"/>
      <c r="X370" s="758"/>
      <c r="Y370" s="758"/>
      <c r="Z370" s="758"/>
      <c r="AA370" s="758"/>
      <c r="AB370" s="458"/>
      <c r="AC370" s="458"/>
      <c r="AD370" s="458"/>
      <c r="AE370" s="458"/>
      <c r="AF370" s="458"/>
      <c r="AG370" s="758"/>
      <c r="AH370" s="2205"/>
      <c r="AI370" s="842">
        <f t="shared" si="48"/>
        <v>0</v>
      </c>
      <c r="AJ370" s="233"/>
      <c r="AK370" s="233"/>
      <c r="AL370" s="233"/>
      <c r="AM370" s="233"/>
      <c r="AN370" s="233"/>
      <c r="AO370" s="684"/>
      <c r="AP370" s="684"/>
      <c r="AQ370" s="684"/>
      <c r="AR370" s="684"/>
      <c r="AS370" s="626" t="str">
        <f t="shared" si="50"/>
        <v/>
      </c>
      <c r="AT370" s="2205"/>
      <c r="AU370" s="458"/>
      <c r="AV370" s="458"/>
      <c r="AW370" s="458"/>
      <c r="AX370" s="458"/>
      <c r="AY370" s="458"/>
      <c r="AZ370" s="458"/>
      <c r="BA370" s="458"/>
      <c r="BB370" s="458"/>
      <c r="BC370" s="458"/>
      <c r="BD370" s="458"/>
      <c r="BE370" s="458"/>
      <c r="BF370" s="458"/>
      <c r="BG370" s="458"/>
      <c r="BH370" s="458"/>
      <c r="BI370" s="458"/>
      <c r="BJ370" s="458"/>
      <c r="BK370" s="592" t="str">
        <f t="shared" si="51"/>
        <v/>
      </c>
      <c r="BM370" s="592" t="str">
        <f t="shared" si="52"/>
        <v/>
      </c>
      <c r="BO370" s="592">
        <f t="shared" si="53"/>
        <v>0</v>
      </c>
      <c r="BP370" s="592">
        <f t="shared" si="54"/>
        <v>0</v>
      </c>
      <c r="BQ370" s="592" t="str">
        <f t="shared" si="55"/>
        <v/>
      </c>
      <c r="BR370" s="592" t="str">
        <f t="shared" si="56"/>
        <v/>
      </c>
    </row>
    <row r="371" spans="1:70" ht="15.6">
      <c r="A371" s="1805"/>
      <c r="B371" s="457"/>
      <c r="C371" s="454"/>
      <c r="D371" s="684"/>
      <c r="E371" s="684"/>
      <c r="F371" s="684"/>
      <c r="G371" s="684"/>
      <c r="H371" s="684"/>
      <c r="I371" s="684"/>
      <c r="J371" s="684"/>
      <c r="K371" s="684"/>
      <c r="L371" s="2145"/>
      <c r="M371" s="2146"/>
      <c r="N371" s="2146"/>
      <c r="O371" s="2147"/>
      <c r="P371" s="824">
        <f t="shared" si="49"/>
        <v>0</v>
      </c>
      <c r="Q371" s="1191"/>
      <c r="R371" s="758"/>
      <c r="S371" s="758"/>
      <c r="T371" s="758"/>
      <c r="U371" s="758"/>
      <c r="V371" s="758"/>
      <c r="W371" s="758"/>
      <c r="X371" s="758"/>
      <c r="Y371" s="758"/>
      <c r="Z371" s="758"/>
      <c r="AA371" s="758"/>
      <c r="AB371" s="458"/>
      <c r="AC371" s="458"/>
      <c r="AD371" s="458"/>
      <c r="AE371" s="458"/>
      <c r="AF371" s="458"/>
      <c r="AG371" s="758"/>
      <c r="AH371" s="2205"/>
      <c r="AI371" s="842">
        <f t="shared" si="48"/>
        <v>0</v>
      </c>
      <c r="AJ371" s="233"/>
      <c r="AK371" s="233"/>
      <c r="AL371" s="233"/>
      <c r="AM371" s="233"/>
      <c r="AN371" s="233"/>
      <c r="AO371" s="684"/>
      <c r="AP371" s="684"/>
      <c r="AQ371" s="684"/>
      <c r="AR371" s="684"/>
      <c r="AS371" s="626" t="str">
        <f t="shared" si="50"/>
        <v/>
      </c>
      <c r="AT371" s="2205"/>
      <c r="AU371" s="458"/>
      <c r="AV371" s="458"/>
      <c r="AW371" s="458"/>
      <c r="AX371" s="458"/>
      <c r="AY371" s="458"/>
      <c r="AZ371" s="458"/>
      <c r="BA371" s="458"/>
      <c r="BB371" s="458"/>
      <c r="BC371" s="458"/>
      <c r="BD371" s="458"/>
      <c r="BE371" s="458"/>
      <c r="BF371" s="458"/>
      <c r="BG371" s="458"/>
      <c r="BH371" s="458"/>
      <c r="BI371" s="458"/>
      <c r="BJ371" s="458"/>
      <c r="BK371" s="592" t="str">
        <f t="shared" si="51"/>
        <v/>
      </c>
      <c r="BM371" s="592" t="str">
        <f t="shared" si="52"/>
        <v/>
      </c>
      <c r="BO371" s="592">
        <f t="shared" si="53"/>
        <v>0</v>
      </c>
      <c r="BP371" s="592">
        <f t="shared" si="54"/>
        <v>0</v>
      </c>
      <c r="BQ371" s="592" t="str">
        <f t="shared" si="55"/>
        <v/>
      </c>
      <c r="BR371" s="592" t="str">
        <f t="shared" si="56"/>
        <v/>
      </c>
    </row>
    <row r="372" spans="1:70" ht="15.6">
      <c r="A372" s="1805"/>
      <c r="B372" s="457"/>
      <c r="C372" s="454"/>
      <c r="D372" s="684"/>
      <c r="E372" s="684"/>
      <c r="F372" s="684"/>
      <c r="G372" s="684"/>
      <c r="H372" s="684"/>
      <c r="I372" s="684"/>
      <c r="J372" s="684"/>
      <c r="K372" s="684"/>
      <c r="L372" s="2145"/>
      <c r="M372" s="2146"/>
      <c r="N372" s="2146"/>
      <c r="O372" s="2147"/>
      <c r="P372" s="824">
        <f t="shared" si="49"/>
        <v>0</v>
      </c>
      <c r="Q372" s="1191"/>
      <c r="R372" s="758"/>
      <c r="S372" s="758"/>
      <c r="T372" s="758"/>
      <c r="U372" s="758"/>
      <c r="V372" s="758"/>
      <c r="W372" s="758"/>
      <c r="X372" s="758"/>
      <c r="Y372" s="758"/>
      <c r="Z372" s="758"/>
      <c r="AA372" s="758"/>
      <c r="AB372" s="458"/>
      <c r="AC372" s="458"/>
      <c r="AD372" s="458"/>
      <c r="AE372" s="458"/>
      <c r="AF372" s="458"/>
      <c r="AG372" s="758"/>
      <c r="AH372" s="2205"/>
      <c r="AI372" s="842">
        <f t="shared" si="48"/>
        <v>0</v>
      </c>
      <c r="AJ372" s="233"/>
      <c r="AK372" s="233"/>
      <c r="AL372" s="233"/>
      <c r="AM372" s="233"/>
      <c r="AN372" s="233"/>
      <c r="AO372" s="684"/>
      <c r="AP372" s="684"/>
      <c r="AQ372" s="684"/>
      <c r="AR372" s="684"/>
      <c r="AS372" s="626" t="str">
        <f t="shared" si="50"/>
        <v/>
      </c>
      <c r="AT372" s="2205"/>
      <c r="AU372" s="458"/>
      <c r="AV372" s="458"/>
      <c r="AW372" s="458"/>
      <c r="AX372" s="458"/>
      <c r="AY372" s="458"/>
      <c r="AZ372" s="458"/>
      <c r="BA372" s="458"/>
      <c r="BB372" s="458"/>
      <c r="BC372" s="458"/>
      <c r="BD372" s="458"/>
      <c r="BE372" s="458"/>
      <c r="BF372" s="458"/>
      <c r="BG372" s="458"/>
      <c r="BH372" s="458"/>
      <c r="BI372" s="458"/>
      <c r="BJ372" s="458"/>
      <c r="BK372" s="592" t="str">
        <f t="shared" si="51"/>
        <v/>
      </c>
      <c r="BM372" s="592" t="str">
        <f t="shared" si="52"/>
        <v/>
      </c>
      <c r="BO372" s="592">
        <f t="shared" si="53"/>
        <v>0</v>
      </c>
      <c r="BP372" s="592">
        <f t="shared" si="54"/>
        <v>0</v>
      </c>
      <c r="BQ372" s="592" t="str">
        <f t="shared" si="55"/>
        <v/>
      </c>
      <c r="BR372" s="592" t="str">
        <f t="shared" si="56"/>
        <v/>
      </c>
    </row>
    <row r="373" spans="1:70" ht="15.6">
      <c r="A373" s="1805"/>
      <c r="B373" s="457"/>
      <c r="C373" s="454"/>
      <c r="D373" s="684"/>
      <c r="E373" s="684"/>
      <c r="F373" s="684"/>
      <c r="G373" s="684"/>
      <c r="H373" s="684"/>
      <c r="I373" s="684"/>
      <c r="J373" s="684"/>
      <c r="K373" s="684"/>
      <c r="L373" s="2145"/>
      <c r="M373" s="2146"/>
      <c r="N373" s="2146"/>
      <c r="O373" s="2147"/>
      <c r="P373" s="824">
        <f t="shared" si="49"/>
        <v>0</v>
      </c>
      <c r="Q373" s="1191"/>
      <c r="R373" s="758"/>
      <c r="S373" s="758"/>
      <c r="T373" s="758"/>
      <c r="U373" s="758"/>
      <c r="V373" s="758"/>
      <c r="W373" s="758"/>
      <c r="X373" s="758"/>
      <c r="Y373" s="758"/>
      <c r="Z373" s="758"/>
      <c r="AA373" s="758"/>
      <c r="AB373" s="458"/>
      <c r="AC373" s="458"/>
      <c r="AD373" s="458"/>
      <c r="AE373" s="458"/>
      <c r="AF373" s="458"/>
      <c r="AG373" s="758"/>
      <c r="AH373" s="2205"/>
      <c r="AI373" s="842">
        <f t="shared" si="48"/>
        <v>0</v>
      </c>
      <c r="AJ373" s="233"/>
      <c r="AK373" s="233"/>
      <c r="AL373" s="233"/>
      <c r="AM373" s="233"/>
      <c r="AN373" s="233"/>
      <c r="AO373" s="684"/>
      <c r="AP373" s="684"/>
      <c r="AQ373" s="684"/>
      <c r="AR373" s="684"/>
      <c r="AS373" s="626" t="str">
        <f t="shared" si="50"/>
        <v/>
      </c>
      <c r="AT373" s="2205"/>
      <c r="AU373" s="458"/>
      <c r="AV373" s="458"/>
      <c r="AW373" s="458"/>
      <c r="AX373" s="458"/>
      <c r="AY373" s="458"/>
      <c r="AZ373" s="458"/>
      <c r="BA373" s="458"/>
      <c r="BB373" s="458"/>
      <c r="BC373" s="458"/>
      <c r="BD373" s="458"/>
      <c r="BE373" s="458"/>
      <c r="BF373" s="458"/>
      <c r="BG373" s="458"/>
      <c r="BH373" s="458"/>
      <c r="BI373" s="458"/>
      <c r="BJ373" s="458"/>
      <c r="BK373" s="592" t="str">
        <f t="shared" si="51"/>
        <v/>
      </c>
      <c r="BM373" s="592" t="str">
        <f t="shared" si="52"/>
        <v/>
      </c>
      <c r="BO373" s="592">
        <f t="shared" si="53"/>
        <v>0</v>
      </c>
      <c r="BP373" s="592">
        <f t="shared" si="54"/>
        <v>0</v>
      </c>
      <c r="BQ373" s="592" t="str">
        <f t="shared" si="55"/>
        <v/>
      </c>
      <c r="BR373" s="592" t="str">
        <f t="shared" si="56"/>
        <v/>
      </c>
    </row>
    <row r="374" spans="1:70" ht="15.6">
      <c r="A374" s="1805"/>
      <c r="B374" s="457"/>
      <c r="C374" s="454"/>
      <c r="D374" s="684"/>
      <c r="E374" s="684"/>
      <c r="F374" s="684"/>
      <c r="G374" s="684"/>
      <c r="H374" s="684"/>
      <c r="I374" s="684"/>
      <c r="J374" s="684"/>
      <c r="K374" s="684"/>
      <c r="L374" s="2145"/>
      <c r="M374" s="2146"/>
      <c r="N374" s="2146"/>
      <c r="O374" s="2147"/>
      <c r="P374" s="824">
        <f t="shared" si="49"/>
        <v>0</v>
      </c>
      <c r="Q374" s="1191"/>
      <c r="R374" s="758"/>
      <c r="S374" s="758"/>
      <c r="T374" s="758"/>
      <c r="U374" s="758"/>
      <c r="V374" s="758"/>
      <c r="W374" s="758"/>
      <c r="X374" s="758"/>
      <c r="Y374" s="758"/>
      <c r="Z374" s="758"/>
      <c r="AA374" s="758"/>
      <c r="AB374" s="458"/>
      <c r="AC374" s="458"/>
      <c r="AD374" s="458"/>
      <c r="AE374" s="458"/>
      <c r="AF374" s="458"/>
      <c r="AG374" s="758"/>
      <c r="AH374" s="2205"/>
      <c r="AI374" s="842">
        <f t="shared" si="48"/>
        <v>0</v>
      </c>
      <c r="AJ374" s="233"/>
      <c r="AK374" s="233"/>
      <c r="AL374" s="233"/>
      <c r="AM374" s="233"/>
      <c r="AN374" s="233"/>
      <c r="AO374" s="684"/>
      <c r="AP374" s="684"/>
      <c r="AQ374" s="684"/>
      <c r="AR374" s="684"/>
      <c r="AS374" s="626" t="str">
        <f t="shared" si="50"/>
        <v/>
      </c>
      <c r="AT374" s="2205"/>
      <c r="AU374" s="458"/>
      <c r="AV374" s="458"/>
      <c r="AW374" s="458"/>
      <c r="AX374" s="458"/>
      <c r="AY374" s="458"/>
      <c r="AZ374" s="458"/>
      <c r="BA374" s="458"/>
      <c r="BB374" s="458"/>
      <c r="BC374" s="458"/>
      <c r="BD374" s="458"/>
      <c r="BE374" s="458"/>
      <c r="BF374" s="458"/>
      <c r="BG374" s="458"/>
      <c r="BH374" s="458"/>
      <c r="BI374" s="458"/>
      <c r="BJ374" s="458"/>
      <c r="BK374" s="592" t="str">
        <f t="shared" si="51"/>
        <v/>
      </c>
      <c r="BM374" s="592" t="str">
        <f t="shared" si="52"/>
        <v/>
      </c>
      <c r="BO374" s="592">
        <f t="shared" si="53"/>
        <v>0</v>
      </c>
      <c r="BP374" s="592">
        <f t="shared" si="54"/>
        <v>0</v>
      </c>
      <c r="BQ374" s="592" t="str">
        <f t="shared" si="55"/>
        <v/>
      </c>
      <c r="BR374" s="592" t="str">
        <f t="shared" si="56"/>
        <v/>
      </c>
    </row>
    <row r="375" spans="1:70" ht="15.6">
      <c r="A375" s="1805"/>
      <c r="B375" s="457"/>
      <c r="C375" s="454"/>
      <c r="D375" s="684"/>
      <c r="E375" s="684"/>
      <c r="F375" s="684"/>
      <c r="G375" s="684"/>
      <c r="H375" s="684"/>
      <c r="I375" s="684"/>
      <c r="J375" s="684"/>
      <c r="K375" s="684"/>
      <c r="L375" s="2145"/>
      <c r="M375" s="2146"/>
      <c r="N375" s="2146"/>
      <c r="O375" s="2147"/>
      <c r="P375" s="824">
        <f t="shared" si="49"/>
        <v>0</v>
      </c>
      <c r="Q375" s="1191"/>
      <c r="R375" s="758"/>
      <c r="S375" s="758"/>
      <c r="T375" s="758"/>
      <c r="U375" s="758"/>
      <c r="V375" s="758"/>
      <c r="W375" s="758"/>
      <c r="X375" s="758"/>
      <c r="Y375" s="758"/>
      <c r="Z375" s="758"/>
      <c r="AA375" s="758"/>
      <c r="AB375" s="458"/>
      <c r="AC375" s="458"/>
      <c r="AD375" s="458"/>
      <c r="AE375" s="458"/>
      <c r="AF375" s="458"/>
      <c r="AG375" s="758"/>
      <c r="AH375" s="2205"/>
      <c r="AI375" s="842">
        <f t="shared" si="48"/>
        <v>0</v>
      </c>
      <c r="AJ375" s="233"/>
      <c r="AK375" s="233"/>
      <c r="AL375" s="233"/>
      <c r="AM375" s="233"/>
      <c r="AN375" s="233"/>
      <c r="AO375" s="684"/>
      <c r="AP375" s="684"/>
      <c r="AQ375" s="684"/>
      <c r="AR375" s="684"/>
      <c r="AS375" s="626" t="str">
        <f t="shared" si="50"/>
        <v/>
      </c>
      <c r="AT375" s="2205"/>
      <c r="AU375" s="458"/>
      <c r="AV375" s="458"/>
      <c r="AW375" s="458"/>
      <c r="AX375" s="458"/>
      <c r="AY375" s="458"/>
      <c r="AZ375" s="458"/>
      <c r="BA375" s="458"/>
      <c r="BB375" s="458"/>
      <c r="BC375" s="458"/>
      <c r="BD375" s="458"/>
      <c r="BE375" s="458"/>
      <c r="BF375" s="458"/>
      <c r="BG375" s="458"/>
      <c r="BH375" s="458"/>
      <c r="BI375" s="458"/>
      <c r="BJ375" s="458"/>
      <c r="BK375" s="592" t="str">
        <f t="shared" si="51"/>
        <v/>
      </c>
      <c r="BM375" s="592" t="str">
        <f t="shared" si="52"/>
        <v/>
      </c>
      <c r="BO375" s="592">
        <f t="shared" si="53"/>
        <v>0</v>
      </c>
      <c r="BP375" s="592">
        <f t="shared" si="54"/>
        <v>0</v>
      </c>
      <c r="BQ375" s="592" t="str">
        <f t="shared" si="55"/>
        <v/>
      </c>
      <c r="BR375" s="592" t="str">
        <f t="shared" si="56"/>
        <v/>
      </c>
    </row>
    <row r="376" spans="1:70" ht="15.6">
      <c r="A376" s="1805"/>
      <c r="B376" s="457"/>
      <c r="C376" s="454"/>
      <c r="D376" s="684"/>
      <c r="E376" s="684"/>
      <c r="F376" s="684"/>
      <c r="G376" s="684"/>
      <c r="H376" s="684"/>
      <c r="I376" s="684"/>
      <c r="J376" s="684"/>
      <c r="K376" s="684"/>
      <c r="L376" s="2145"/>
      <c r="M376" s="2146"/>
      <c r="N376" s="2146"/>
      <c r="O376" s="2147"/>
      <c r="P376" s="824">
        <f t="shared" si="49"/>
        <v>0</v>
      </c>
      <c r="Q376" s="1191"/>
      <c r="R376" s="758"/>
      <c r="S376" s="758"/>
      <c r="T376" s="758"/>
      <c r="U376" s="758"/>
      <c r="V376" s="758"/>
      <c r="W376" s="758"/>
      <c r="X376" s="758"/>
      <c r="Y376" s="758"/>
      <c r="Z376" s="758"/>
      <c r="AA376" s="758"/>
      <c r="AB376" s="458"/>
      <c r="AC376" s="458"/>
      <c r="AD376" s="458"/>
      <c r="AE376" s="458"/>
      <c r="AF376" s="458"/>
      <c r="AG376" s="758"/>
      <c r="AH376" s="2205"/>
      <c r="AI376" s="842">
        <f t="shared" si="48"/>
        <v>0</v>
      </c>
      <c r="AJ376" s="233"/>
      <c r="AK376" s="233"/>
      <c r="AL376" s="233"/>
      <c r="AM376" s="233"/>
      <c r="AN376" s="233"/>
      <c r="AO376" s="684"/>
      <c r="AP376" s="684"/>
      <c r="AQ376" s="684"/>
      <c r="AR376" s="684"/>
      <c r="AS376" s="626" t="str">
        <f t="shared" si="50"/>
        <v/>
      </c>
      <c r="AT376" s="2205"/>
      <c r="AU376" s="458"/>
      <c r="AV376" s="458"/>
      <c r="AW376" s="458"/>
      <c r="AX376" s="458"/>
      <c r="AY376" s="458"/>
      <c r="AZ376" s="458"/>
      <c r="BA376" s="458"/>
      <c r="BB376" s="458"/>
      <c r="BC376" s="458"/>
      <c r="BD376" s="458"/>
      <c r="BE376" s="458"/>
      <c r="BF376" s="458"/>
      <c r="BG376" s="458"/>
      <c r="BH376" s="458"/>
      <c r="BI376" s="458"/>
      <c r="BJ376" s="458"/>
      <c r="BK376" s="592" t="str">
        <f t="shared" si="51"/>
        <v/>
      </c>
      <c r="BM376" s="592" t="str">
        <f t="shared" si="52"/>
        <v/>
      </c>
      <c r="BO376" s="592">
        <f t="shared" si="53"/>
        <v>0</v>
      </c>
      <c r="BP376" s="592">
        <f t="shared" si="54"/>
        <v>0</v>
      </c>
      <c r="BQ376" s="592" t="str">
        <f t="shared" si="55"/>
        <v/>
      </c>
      <c r="BR376" s="592" t="str">
        <f t="shared" si="56"/>
        <v/>
      </c>
    </row>
    <row r="377" spans="1:70" ht="15.6">
      <c r="A377" s="1805"/>
      <c r="B377" s="457"/>
      <c r="C377" s="454"/>
      <c r="D377" s="684"/>
      <c r="E377" s="684"/>
      <c r="F377" s="684"/>
      <c r="G377" s="684"/>
      <c r="H377" s="684"/>
      <c r="I377" s="684"/>
      <c r="J377" s="684"/>
      <c r="K377" s="684"/>
      <c r="L377" s="2145"/>
      <c r="M377" s="2146"/>
      <c r="N377" s="2146"/>
      <c r="O377" s="2147"/>
      <c r="P377" s="824">
        <f t="shared" si="49"/>
        <v>0</v>
      </c>
      <c r="Q377" s="1191"/>
      <c r="R377" s="758"/>
      <c r="S377" s="758"/>
      <c r="T377" s="758"/>
      <c r="U377" s="758"/>
      <c r="V377" s="758"/>
      <c r="W377" s="758"/>
      <c r="X377" s="758"/>
      <c r="Y377" s="758"/>
      <c r="Z377" s="758"/>
      <c r="AA377" s="758"/>
      <c r="AB377" s="458"/>
      <c r="AC377" s="458"/>
      <c r="AD377" s="458"/>
      <c r="AE377" s="458"/>
      <c r="AF377" s="458"/>
      <c r="AG377" s="758"/>
      <c r="AH377" s="2205"/>
      <c r="AI377" s="842">
        <f t="shared" si="48"/>
        <v>0</v>
      </c>
      <c r="AJ377" s="233"/>
      <c r="AK377" s="233"/>
      <c r="AL377" s="233"/>
      <c r="AM377" s="233"/>
      <c r="AN377" s="233"/>
      <c r="AO377" s="684"/>
      <c r="AP377" s="684"/>
      <c r="AQ377" s="684"/>
      <c r="AR377" s="684"/>
      <c r="AS377" s="626" t="str">
        <f t="shared" si="50"/>
        <v/>
      </c>
      <c r="AT377" s="2205"/>
      <c r="AU377" s="458"/>
      <c r="AV377" s="458"/>
      <c r="AW377" s="458"/>
      <c r="AX377" s="458"/>
      <c r="AY377" s="458"/>
      <c r="AZ377" s="458"/>
      <c r="BA377" s="458"/>
      <c r="BB377" s="458"/>
      <c r="BC377" s="458"/>
      <c r="BD377" s="458"/>
      <c r="BE377" s="458"/>
      <c r="BF377" s="458"/>
      <c r="BG377" s="458"/>
      <c r="BH377" s="458"/>
      <c r="BI377" s="458"/>
      <c r="BJ377" s="458"/>
      <c r="BK377" s="592" t="str">
        <f t="shared" si="51"/>
        <v/>
      </c>
      <c r="BM377" s="592" t="str">
        <f t="shared" si="52"/>
        <v/>
      </c>
      <c r="BO377" s="592">
        <f t="shared" si="53"/>
        <v>0</v>
      </c>
      <c r="BP377" s="592">
        <f t="shared" si="54"/>
        <v>0</v>
      </c>
      <c r="BQ377" s="592" t="str">
        <f t="shared" si="55"/>
        <v/>
      </c>
      <c r="BR377" s="592" t="str">
        <f t="shared" si="56"/>
        <v/>
      </c>
    </row>
    <row r="378" spans="1:70" ht="15.6">
      <c r="A378" s="1805"/>
      <c r="B378" s="457"/>
      <c r="C378" s="454"/>
      <c r="D378" s="684"/>
      <c r="E378" s="684"/>
      <c r="F378" s="684"/>
      <c r="G378" s="684"/>
      <c r="H378" s="684"/>
      <c r="I378" s="684"/>
      <c r="J378" s="684"/>
      <c r="K378" s="684"/>
      <c r="L378" s="2145"/>
      <c r="M378" s="2146"/>
      <c r="N378" s="2146"/>
      <c r="O378" s="2147"/>
      <c r="P378" s="824">
        <f t="shared" si="49"/>
        <v>0</v>
      </c>
      <c r="Q378" s="1191"/>
      <c r="R378" s="758"/>
      <c r="S378" s="758"/>
      <c r="T378" s="758"/>
      <c r="U378" s="758"/>
      <c r="V378" s="758"/>
      <c r="W378" s="758"/>
      <c r="X378" s="758"/>
      <c r="Y378" s="758"/>
      <c r="Z378" s="758"/>
      <c r="AA378" s="758"/>
      <c r="AB378" s="458"/>
      <c r="AC378" s="458"/>
      <c r="AD378" s="458"/>
      <c r="AE378" s="458"/>
      <c r="AF378" s="458"/>
      <c r="AG378" s="758"/>
      <c r="AH378" s="2205"/>
      <c r="AI378" s="842">
        <f t="shared" si="48"/>
        <v>0</v>
      </c>
      <c r="AJ378" s="233"/>
      <c r="AK378" s="233"/>
      <c r="AL378" s="233"/>
      <c r="AM378" s="233"/>
      <c r="AN378" s="233"/>
      <c r="AO378" s="684"/>
      <c r="AP378" s="684"/>
      <c r="AQ378" s="684"/>
      <c r="AR378" s="684"/>
      <c r="AS378" s="626" t="str">
        <f t="shared" si="50"/>
        <v/>
      </c>
      <c r="AT378" s="2205"/>
      <c r="AU378" s="458"/>
      <c r="AV378" s="458"/>
      <c r="AW378" s="458"/>
      <c r="AX378" s="458"/>
      <c r="AY378" s="458"/>
      <c r="AZ378" s="458"/>
      <c r="BA378" s="458"/>
      <c r="BB378" s="458"/>
      <c r="BC378" s="458"/>
      <c r="BD378" s="458"/>
      <c r="BE378" s="458"/>
      <c r="BF378" s="458"/>
      <c r="BG378" s="458"/>
      <c r="BH378" s="458"/>
      <c r="BI378" s="458"/>
      <c r="BJ378" s="458"/>
      <c r="BK378" s="592" t="str">
        <f t="shared" si="51"/>
        <v/>
      </c>
      <c r="BM378" s="592" t="str">
        <f t="shared" si="52"/>
        <v/>
      </c>
      <c r="BO378" s="592">
        <f t="shared" si="53"/>
        <v>0</v>
      </c>
      <c r="BP378" s="592">
        <f t="shared" si="54"/>
        <v>0</v>
      </c>
      <c r="BQ378" s="592" t="str">
        <f t="shared" si="55"/>
        <v/>
      </c>
      <c r="BR378" s="592" t="str">
        <f t="shared" si="56"/>
        <v/>
      </c>
    </row>
    <row r="379" spans="1:70" ht="15.6">
      <c r="A379" s="1805"/>
      <c r="B379" s="457"/>
      <c r="C379" s="454"/>
      <c r="D379" s="684"/>
      <c r="E379" s="684"/>
      <c r="F379" s="684"/>
      <c r="G379" s="684"/>
      <c r="H379" s="684"/>
      <c r="I379" s="684"/>
      <c r="J379" s="684"/>
      <c r="K379" s="684"/>
      <c r="L379" s="2145"/>
      <c r="M379" s="2146"/>
      <c r="N379" s="2146"/>
      <c r="O379" s="2147"/>
      <c r="P379" s="824">
        <f t="shared" si="49"/>
        <v>0</v>
      </c>
      <c r="Q379" s="1191"/>
      <c r="R379" s="758"/>
      <c r="S379" s="758"/>
      <c r="T379" s="758"/>
      <c r="U379" s="758"/>
      <c r="V379" s="758"/>
      <c r="W379" s="758"/>
      <c r="X379" s="758"/>
      <c r="Y379" s="758"/>
      <c r="Z379" s="758"/>
      <c r="AA379" s="758"/>
      <c r="AB379" s="458"/>
      <c r="AC379" s="458"/>
      <c r="AD379" s="458"/>
      <c r="AE379" s="458"/>
      <c r="AF379" s="458"/>
      <c r="AG379" s="758"/>
      <c r="AH379" s="2205"/>
      <c r="AI379" s="842">
        <f t="shared" si="48"/>
        <v>0</v>
      </c>
      <c r="AJ379" s="233"/>
      <c r="AK379" s="233"/>
      <c r="AL379" s="233"/>
      <c r="AM379" s="233"/>
      <c r="AN379" s="233"/>
      <c r="AO379" s="684"/>
      <c r="AP379" s="684"/>
      <c r="AQ379" s="684"/>
      <c r="AR379" s="684"/>
      <c r="AS379" s="626" t="str">
        <f t="shared" si="50"/>
        <v/>
      </c>
      <c r="AT379" s="2205"/>
      <c r="AU379" s="458"/>
      <c r="AV379" s="458"/>
      <c r="AW379" s="458"/>
      <c r="AX379" s="458"/>
      <c r="AY379" s="458"/>
      <c r="AZ379" s="458"/>
      <c r="BA379" s="458"/>
      <c r="BB379" s="458"/>
      <c r="BC379" s="458"/>
      <c r="BD379" s="458"/>
      <c r="BE379" s="458"/>
      <c r="BF379" s="458"/>
      <c r="BG379" s="458"/>
      <c r="BH379" s="458"/>
      <c r="BI379" s="458"/>
      <c r="BJ379" s="458"/>
      <c r="BK379" s="592" t="str">
        <f t="shared" si="51"/>
        <v/>
      </c>
      <c r="BM379" s="592" t="str">
        <f t="shared" si="52"/>
        <v/>
      </c>
      <c r="BO379" s="592">
        <f t="shared" si="53"/>
        <v>0</v>
      </c>
      <c r="BP379" s="592">
        <f t="shared" si="54"/>
        <v>0</v>
      </c>
      <c r="BQ379" s="592" t="str">
        <f t="shared" si="55"/>
        <v/>
      </c>
      <c r="BR379" s="592" t="str">
        <f t="shared" si="56"/>
        <v/>
      </c>
    </row>
    <row r="380" spans="1:70" ht="15.6">
      <c r="A380" s="1805"/>
      <c r="B380" s="457"/>
      <c r="C380" s="454"/>
      <c r="D380" s="684"/>
      <c r="E380" s="684"/>
      <c r="F380" s="684"/>
      <c r="G380" s="684"/>
      <c r="H380" s="684"/>
      <c r="I380" s="684"/>
      <c r="J380" s="684"/>
      <c r="K380" s="684"/>
      <c r="L380" s="2145"/>
      <c r="M380" s="2146"/>
      <c r="N380" s="2146"/>
      <c r="O380" s="2147"/>
      <c r="P380" s="824">
        <f t="shared" si="49"/>
        <v>0</v>
      </c>
      <c r="Q380" s="1191"/>
      <c r="R380" s="758"/>
      <c r="S380" s="758"/>
      <c r="T380" s="758"/>
      <c r="U380" s="758"/>
      <c r="V380" s="758"/>
      <c r="W380" s="758"/>
      <c r="X380" s="758"/>
      <c r="Y380" s="758"/>
      <c r="Z380" s="758"/>
      <c r="AA380" s="758"/>
      <c r="AB380" s="458"/>
      <c r="AC380" s="458"/>
      <c r="AD380" s="458"/>
      <c r="AE380" s="458"/>
      <c r="AF380" s="458"/>
      <c r="AG380" s="758"/>
      <c r="AH380" s="2205"/>
      <c r="AI380" s="842">
        <f t="shared" si="48"/>
        <v>0</v>
      </c>
      <c r="AJ380" s="233"/>
      <c r="AK380" s="233"/>
      <c r="AL380" s="233"/>
      <c r="AM380" s="233"/>
      <c r="AN380" s="233"/>
      <c r="AO380" s="684"/>
      <c r="AP380" s="684"/>
      <c r="AQ380" s="684"/>
      <c r="AR380" s="684"/>
      <c r="AS380" s="626" t="str">
        <f t="shared" si="50"/>
        <v/>
      </c>
      <c r="AT380" s="2205"/>
      <c r="AU380" s="458"/>
      <c r="AV380" s="458"/>
      <c r="AW380" s="458"/>
      <c r="AX380" s="458"/>
      <c r="AY380" s="458"/>
      <c r="AZ380" s="458"/>
      <c r="BA380" s="458"/>
      <c r="BB380" s="458"/>
      <c r="BC380" s="458"/>
      <c r="BD380" s="458"/>
      <c r="BE380" s="458"/>
      <c r="BF380" s="458"/>
      <c r="BG380" s="458"/>
      <c r="BH380" s="458"/>
      <c r="BI380" s="458"/>
      <c r="BJ380" s="458"/>
      <c r="BK380" s="592" t="str">
        <f t="shared" si="51"/>
        <v/>
      </c>
      <c r="BM380" s="592" t="str">
        <f t="shared" si="52"/>
        <v/>
      </c>
      <c r="BO380" s="592">
        <f t="shared" si="53"/>
        <v>0</v>
      </c>
      <c r="BP380" s="592">
        <f t="shared" si="54"/>
        <v>0</v>
      </c>
      <c r="BQ380" s="592" t="str">
        <f t="shared" si="55"/>
        <v/>
      </c>
      <c r="BR380" s="592" t="str">
        <f t="shared" si="56"/>
        <v/>
      </c>
    </row>
    <row r="381" spans="1:70" ht="15.6">
      <c r="A381" s="1805"/>
      <c r="B381" s="457"/>
      <c r="C381" s="454"/>
      <c r="D381" s="684"/>
      <c r="E381" s="684"/>
      <c r="F381" s="684"/>
      <c r="G381" s="684"/>
      <c r="H381" s="684"/>
      <c r="I381" s="684"/>
      <c r="J381" s="684"/>
      <c r="K381" s="684"/>
      <c r="L381" s="2145"/>
      <c r="M381" s="2146"/>
      <c r="N381" s="2146"/>
      <c r="O381" s="2147"/>
      <c r="P381" s="824">
        <f t="shared" si="49"/>
        <v>0</v>
      </c>
      <c r="Q381" s="1191"/>
      <c r="R381" s="758"/>
      <c r="S381" s="758"/>
      <c r="T381" s="758"/>
      <c r="U381" s="758"/>
      <c r="V381" s="758"/>
      <c r="W381" s="758"/>
      <c r="X381" s="758"/>
      <c r="Y381" s="758"/>
      <c r="Z381" s="758"/>
      <c r="AA381" s="758"/>
      <c r="AB381" s="458"/>
      <c r="AC381" s="458"/>
      <c r="AD381" s="458"/>
      <c r="AE381" s="458"/>
      <c r="AF381" s="458"/>
      <c r="AG381" s="758"/>
      <c r="AH381" s="2205"/>
      <c r="AI381" s="842">
        <f t="shared" si="48"/>
        <v>0</v>
      </c>
      <c r="AJ381" s="233"/>
      <c r="AK381" s="233"/>
      <c r="AL381" s="233"/>
      <c r="AM381" s="233"/>
      <c r="AN381" s="233"/>
      <c r="AO381" s="684"/>
      <c r="AP381" s="684"/>
      <c r="AQ381" s="684"/>
      <c r="AR381" s="684"/>
      <c r="AS381" s="626" t="str">
        <f t="shared" si="50"/>
        <v/>
      </c>
      <c r="AT381" s="2205"/>
      <c r="AU381" s="458"/>
      <c r="AV381" s="458"/>
      <c r="AW381" s="458"/>
      <c r="AX381" s="458"/>
      <c r="AY381" s="458"/>
      <c r="AZ381" s="458"/>
      <c r="BA381" s="458"/>
      <c r="BB381" s="458"/>
      <c r="BC381" s="458"/>
      <c r="BD381" s="458"/>
      <c r="BE381" s="458"/>
      <c r="BF381" s="458"/>
      <c r="BG381" s="458"/>
      <c r="BH381" s="458"/>
      <c r="BI381" s="458"/>
      <c r="BJ381" s="458"/>
      <c r="BK381" s="592" t="str">
        <f t="shared" si="51"/>
        <v/>
      </c>
      <c r="BM381" s="592" t="str">
        <f t="shared" si="52"/>
        <v/>
      </c>
      <c r="BO381" s="592">
        <f t="shared" si="53"/>
        <v>0</v>
      </c>
      <c r="BP381" s="592">
        <f t="shared" si="54"/>
        <v>0</v>
      </c>
      <c r="BQ381" s="592" t="str">
        <f t="shared" si="55"/>
        <v/>
      </c>
      <c r="BR381" s="592" t="str">
        <f t="shared" si="56"/>
        <v/>
      </c>
    </row>
    <row r="382" spans="1:70" ht="15.6">
      <c r="A382" s="1805"/>
      <c r="B382" s="457"/>
      <c r="C382" s="454"/>
      <c r="D382" s="684"/>
      <c r="E382" s="684"/>
      <c r="F382" s="684"/>
      <c r="G382" s="684"/>
      <c r="H382" s="684"/>
      <c r="I382" s="684"/>
      <c r="J382" s="684"/>
      <c r="K382" s="684"/>
      <c r="L382" s="2145"/>
      <c r="M382" s="2146"/>
      <c r="N382" s="2146"/>
      <c r="O382" s="2147"/>
      <c r="P382" s="824">
        <f t="shared" si="49"/>
        <v>0</v>
      </c>
      <c r="Q382" s="1191"/>
      <c r="R382" s="758"/>
      <c r="S382" s="758"/>
      <c r="T382" s="758"/>
      <c r="U382" s="758"/>
      <c r="V382" s="758"/>
      <c r="W382" s="758"/>
      <c r="X382" s="758"/>
      <c r="Y382" s="758"/>
      <c r="Z382" s="758"/>
      <c r="AA382" s="758"/>
      <c r="AB382" s="458"/>
      <c r="AC382" s="458"/>
      <c r="AD382" s="458"/>
      <c r="AE382" s="458"/>
      <c r="AF382" s="458"/>
      <c r="AG382" s="758"/>
      <c r="AH382" s="2205"/>
      <c r="AI382" s="842">
        <f t="shared" si="48"/>
        <v>0</v>
      </c>
      <c r="AJ382" s="233"/>
      <c r="AK382" s="233"/>
      <c r="AL382" s="233"/>
      <c r="AM382" s="233"/>
      <c r="AN382" s="233"/>
      <c r="AO382" s="684"/>
      <c r="AP382" s="684"/>
      <c r="AQ382" s="684"/>
      <c r="AR382" s="684"/>
      <c r="AS382" s="626" t="str">
        <f t="shared" si="50"/>
        <v/>
      </c>
      <c r="AT382" s="2205"/>
      <c r="AU382" s="458"/>
      <c r="AV382" s="458"/>
      <c r="AW382" s="458"/>
      <c r="AX382" s="458"/>
      <c r="AY382" s="458"/>
      <c r="AZ382" s="458"/>
      <c r="BA382" s="458"/>
      <c r="BB382" s="458"/>
      <c r="BC382" s="458"/>
      <c r="BD382" s="458"/>
      <c r="BE382" s="458"/>
      <c r="BF382" s="458"/>
      <c r="BG382" s="458"/>
      <c r="BH382" s="458"/>
      <c r="BI382" s="458"/>
      <c r="BJ382" s="458"/>
      <c r="BK382" s="592" t="str">
        <f t="shared" si="51"/>
        <v/>
      </c>
      <c r="BM382" s="592" t="str">
        <f t="shared" si="52"/>
        <v/>
      </c>
      <c r="BO382" s="592">
        <f t="shared" si="53"/>
        <v>0</v>
      </c>
      <c r="BP382" s="592">
        <f t="shared" si="54"/>
        <v>0</v>
      </c>
      <c r="BQ382" s="592" t="str">
        <f t="shared" si="55"/>
        <v/>
      </c>
      <c r="BR382" s="592" t="str">
        <f t="shared" si="56"/>
        <v/>
      </c>
    </row>
    <row r="383" spans="1:70" ht="15.6">
      <c r="A383" s="1805"/>
      <c r="B383" s="457"/>
      <c r="C383" s="454"/>
      <c r="D383" s="684"/>
      <c r="E383" s="684"/>
      <c r="F383" s="684"/>
      <c r="G383" s="684"/>
      <c r="H383" s="684"/>
      <c r="I383" s="684"/>
      <c r="J383" s="684"/>
      <c r="K383" s="684"/>
      <c r="L383" s="2145"/>
      <c r="M383" s="2146"/>
      <c r="N383" s="2146"/>
      <c r="O383" s="2147"/>
      <c r="P383" s="824">
        <f t="shared" si="49"/>
        <v>0</v>
      </c>
      <c r="Q383" s="1191"/>
      <c r="R383" s="758"/>
      <c r="S383" s="758"/>
      <c r="T383" s="758"/>
      <c r="U383" s="758"/>
      <c r="V383" s="758"/>
      <c r="W383" s="758"/>
      <c r="X383" s="758"/>
      <c r="Y383" s="758"/>
      <c r="Z383" s="758"/>
      <c r="AA383" s="758"/>
      <c r="AB383" s="458"/>
      <c r="AC383" s="458"/>
      <c r="AD383" s="458"/>
      <c r="AE383" s="458"/>
      <c r="AF383" s="458"/>
      <c r="AG383" s="758"/>
      <c r="AH383" s="2205"/>
      <c r="AI383" s="842">
        <f t="shared" si="48"/>
        <v>0</v>
      </c>
      <c r="AJ383" s="233"/>
      <c r="AK383" s="233"/>
      <c r="AL383" s="233"/>
      <c r="AM383" s="233"/>
      <c r="AN383" s="233"/>
      <c r="AO383" s="684"/>
      <c r="AP383" s="684"/>
      <c r="AQ383" s="684"/>
      <c r="AR383" s="684"/>
      <c r="AS383" s="626" t="str">
        <f t="shared" si="50"/>
        <v/>
      </c>
      <c r="AT383" s="2205"/>
      <c r="AU383" s="458"/>
      <c r="AV383" s="458"/>
      <c r="AW383" s="458"/>
      <c r="AX383" s="458"/>
      <c r="AY383" s="458"/>
      <c r="AZ383" s="458"/>
      <c r="BA383" s="458"/>
      <c r="BB383" s="458"/>
      <c r="BC383" s="458"/>
      <c r="BD383" s="458"/>
      <c r="BE383" s="458"/>
      <c r="BF383" s="458"/>
      <c r="BG383" s="458"/>
      <c r="BH383" s="458"/>
      <c r="BI383" s="458"/>
      <c r="BJ383" s="458"/>
      <c r="BK383" s="592" t="str">
        <f t="shared" si="51"/>
        <v/>
      </c>
      <c r="BM383" s="592" t="str">
        <f t="shared" si="52"/>
        <v/>
      </c>
      <c r="BO383" s="592">
        <f t="shared" si="53"/>
        <v>0</v>
      </c>
      <c r="BP383" s="592">
        <f t="shared" si="54"/>
        <v>0</v>
      </c>
      <c r="BQ383" s="592" t="str">
        <f t="shared" si="55"/>
        <v/>
      </c>
      <c r="BR383" s="592" t="str">
        <f t="shared" si="56"/>
        <v/>
      </c>
    </row>
    <row r="384" spans="1:70" ht="15.6">
      <c r="A384" s="1805"/>
      <c r="B384" s="457"/>
      <c r="C384" s="454"/>
      <c r="D384" s="684"/>
      <c r="E384" s="684"/>
      <c r="F384" s="684"/>
      <c r="G384" s="684"/>
      <c r="H384" s="684"/>
      <c r="I384" s="684"/>
      <c r="J384" s="684"/>
      <c r="K384" s="684"/>
      <c r="L384" s="2145"/>
      <c r="M384" s="2146"/>
      <c r="N384" s="2146"/>
      <c r="O384" s="2147"/>
      <c r="P384" s="824">
        <f t="shared" si="49"/>
        <v>0</v>
      </c>
      <c r="Q384" s="1191"/>
      <c r="R384" s="758"/>
      <c r="S384" s="758"/>
      <c r="T384" s="758"/>
      <c r="U384" s="758"/>
      <c r="V384" s="758"/>
      <c r="W384" s="758"/>
      <c r="X384" s="758"/>
      <c r="Y384" s="758"/>
      <c r="Z384" s="758"/>
      <c r="AA384" s="758"/>
      <c r="AB384" s="458"/>
      <c r="AC384" s="458"/>
      <c r="AD384" s="458"/>
      <c r="AE384" s="458"/>
      <c r="AF384" s="458"/>
      <c r="AG384" s="758"/>
      <c r="AH384" s="2205"/>
      <c r="AI384" s="842">
        <f t="shared" si="48"/>
        <v>0</v>
      </c>
      <c r="AJ384" s="233"/>
      <c r="AK384" s="233"/>
      <c r="AL384" s="233"/>
      <c r="AM384" s="233"/>
      <c r="AN384" s="233"/>
      <c r="AO384" s="684"/>
      <c r="AP384" s="684"/>
      <c r="AQ384" s="684"/>
      <c r="AR384" s="684"/>
      <c r="AS384" s="626" t="str">
        <f t="shared" si="50"/>
        <v/>
      </c>
      <c r="AT384" s="2205"/>
      <c r="AU384" s="458"/>
      <c r="AV384" s="458"/>
      <c r="AW384" s="458"/>
      <c r="AX384" s="458"/>
      <c r="AY384" s="458"/>
      <c r="AZ384" s="458"/>
      <c r="BA384" s="458"/>
      <c r="BB384" s="458"/>
      <c r="BC384" s="458"/>
      <c r="BD384" s="458"/>
      <c r="BE384" s="458"/>
      <c r="BF384" s="458"/>
      <c r="BG384" s="458"/>
      <c r="BH384" s="458"/>
      <c r="BI384" s="458"/>
      <c r="BJ384" s="458"/>
      <c r="BK384" s="592" t="str">
        <f t="shared" si="51"/>
        <v/>
      </c>
      <c r="BM384" s="592" t="str">
        <f t="shared" si="52"/>
        <v/>
      </c>
      <c r="BO384" s="592">
        <f t="shared" si="53"/>
        <v>0</v>
      </c>
      <c r="BP384" s="592">
        <f t="shared" si="54"/>
        <v>0</v>
      </c>
      <c r="BQ384" s="592" t="str">
        <f t="shared" si="55"/>
        <v/>
      </c>
      <c r="BR384" s="592" t="str">
        <f t="shared" si="56"/>
        <v/>
      </c>
    </row>
    <row r="385" spans="1:70" ht="15.6">
      <c r="A385" s="1805"/>
      <c r="B385" s="457"/>
      <c r="C385" s="454"/>
      <c r="D385" s="684"/>
      <c r="E385" s="684"/>
      <c r="F385" s="684"/>
      <c r="G385" s="684"/>
      <c r="H385" s="684"/>
      <c r="I385" s="684"/>
      <c r="J385" s="684"/>
      <c r="K385" s="684"/>
      <c r="L385" s="2145"/>
      <c r="M385" s="2146"/>
      <c r="N385" s="2146"/>
      <c r="O385" s="2147"/>
      <c r="P385" s="824">
        <f t="shared" si="49"/>
        <v>0</v>
      </c>
      <c r="Q385" s="1191"/>
      <c r="R385" s="758"/>
      <c r="S385" s="758"/>
      <c r="T385" s="758"/>
      <c r="U385" s="758"/>
      <c r="V385" s="758"/>
      <c r="W385" s="758"/>
      <c r="X385" s="758"/>
      <c r="Y385" s="758"/>
      <c r="Z385" s="758"/>
      <c r="AA385" s="758"/>
      <c r="AB385" s="458"/>
      <c r="AC385" s="458"/>
      <c r="AD385" s="458"/>
      <c r="AE385" s="458"/>
      <c r="AF385" s="458"/>
      <c r="AG385" s="758"/>
      <c r="AH385" s="2205"/>
      <c r="AI385" s="842">
        <f t="shared" si="48"/>
        <v>0</v>
      </c>
      <c r="AJ385" s="233"/>
      <c r="AK385" s="233"/>
      <c r="AL385" s="233"/>
      <c r="AM385" s="233"/>
      <c r="AN385" s="233"/>
      <c r="AO385" s="684"/>
      <c r="AP385" s="684"/>
      <c r="AQ385" s="684"/>
      <c r="AR385" s="684"/>
      <c r="AS385" s="626" t="str">
        <f t="shared" si="50"/>
        <v/>
      </c>
      <c r="AT385" s="2205"/>
      <c r="AU385" s="458"/>
      <c r="AV385" s="458"/>
      <c r="AW385" s="458"/>
      <c r="AX385" s="458"/>
      <c r="AY385" s="458"/>
      <c r="AZ385" s="458"/>
      <c r="BA385" s="458"/>
      <c r="BB385" s="458"/>
      <c r="BC385" s="458"/>
      <c r="BD385" s="458"/>
      <c r="BE385" s="458"/>
      <c r="BF385" s="458"/>
      <c r="BG385" s="458"/>
      <c r="BH385" s="458"/>
      <c r="BI385" s="458"/>
      <c r="BJ385" s="458"/>
      <c r="BK385" s="592" t="str">
        <f t="shared" si="51"/>
        <v/>
      </c>
      <c r="BM385" s="592" t="str">
        <f t="shared" si="52"/>
        <v/>
      </c>
      <c r="BO385" s="592">
        <f t="shared" si="53"/>
        <v>0</v>
      </c>
      <c r="BP385" s="592">
        <f t="shared" si="54"/>
        <v>0</v>
      </c>
      <c r="BQ385" s="592" t="str">
        <f t="shared" si="55"/>
        <v/>
      </c>
      <c r="BR385" s="592" t="str">
        <f t="shared" si="56"/>
        <v/>
      </c>
    </row>
    <row r="386" spans="1:70" ht="15.6">
      <c r="A386" s="1805"/>
      <c r="B386" s="457"/>
      <c r="C386" s="454"/>
      <c r="D386" s="684"/>
      <c r="E386" s="684"/>
      <c r="F386" s="684"/>
      <c r="G386" s="684"/>
      <c r="H386" s="684"/>
      <c r="I386" s="684"/>
      <c r="J386" s="684"/>
      <c r="K386" s="684"/>
      <c r="L386" s="2145"/>
      <c r="M386" s="2146"/>
      <c r="N386" s="2146"/>
      <c r="O386" s="2147"/>
      <c r="P386" s="824">
        <f t="shared" si="49"/>
        <v>0</v>
      </c>
      <c r="Q386" s="1191"/>
      <c r="R386" s="758"/>
      <c r="S386" s="758"/>
      <c r="T386" s="758"/>
      <c r="U386" s="758"/>
      <c r="V386" s="758"/>
      <c r="W386" s="758"/>
      <c r="X386" s="758"/>
      <c r="Y386" s="758"/>
      <c r="Z386" s="758"/>
      <c r="AA386" s="758"/>
      <c r="AB386" s="458"/>
      <c r="AC386" s="458"/>
      <c r="AD386" s="458"/>
      <c r="AE386" s="458"/>
      <c r="AF386" s="458"/>
      <c r="AG386" s="758"/>
      <c r="AH386" s="2205"/>
      <c r="AI386" s="842">
        <f t="shared" ref="AI386:AI396" si="57">B386</f>
        <v>0</v>
      </c>
      <c r="AJ386" s="233"/>
      <c r="AK386" s="233"/>
      <c r="AL386" s="233"/>
      <c r="AM386" s="233"/>
      <c r="AN386" s="233"/>
      <c r="AO386" s="684"/>
      <c r="AP386" s="684"/>
      <c r="AQ386" s="684"/>
      <c r="AR386" s="684"/>
      <c r="AS386" s="626" t="str">
        <f t="shared" si="50"/>
        <v/>
      </c>
      <c r="AT386" s="2205"/>
      <c r="AU386" s="458"/>
      <c r="AV386" s="458"/>
      <c r="AW386" s="458"/>
      <c r="AX386" s="458"/>
      <c r="AY386" s="458"/>
      <c r="AZ386" s="458"/>
      <c r="BA386" s="458"/>
      <c r="BB386" s="458"/>
      <c r="BC386" s="458"/>
      <c r="BD386" s="458"/>
      <c r="BE386" s="458"/>
      <c r="BF386" s="458"/>
      <c r="BG386" s="458"/>
      <c r="BH386" s="458"/>
      <c r="BI386" s="458"/>
      <c r="BJ386" s="458"/>
      <c r="BK386" s="592" t="str">
        <f t="shared" si="51"/>
        <v/>
      </c>
      <c r="BM386" s="592" t="str">
        <f t="shared" si="52"/>
        <v/>
      </c>
      <c r="BO386" s="592">
        <f t="shared" si="53"/>
        <v>0</v>
      </c>
      <c r="BP386" s="592">
        <f t="shared" si="54"/>
        <v>0</v>
      </c>
      <c r="BQ386" s="592" t="str">
        <f t="shared" si="55"/>
        <v/>
      </c>
      <c r="BR386" s="592" t="str">
        <f t="shared" si="56"/>
        <v/>
      </c>
    </row>
    <row r="387" spans="1:70" ht="15.6">
      <c r="A387" s="1805"/>
      <c r="B387" s="457"/>
      <c r="C387" s="454"/>
      <c r="D387" s="684"/>
      <c r="E387" s="684"/>
      <c r="F387" s="684"/>
      <c r="G387" s="684"/>
      <c r="H387" s="684"/>
      <c r="I387" s="684"/>
      <c r="J387" s="684"/>
      <c r="K387" s="684"/>
      <c r="L387" s="2145"/>
      <c r="M387" s="2146"/>
      <c r="N387" s="2146"/>
      <c r="O387" s="2147"/>
      <c r="P387" s="824">
        <f t="shared" si="49"/>
        <v>0</v>
      </c>
      <c r="Q387" s="1191"/>
      <c r="R387" s="758"/>
      <c r="S387" s="758"/>
      <c r="T387" s="758"/>
      <c r="U387" s="758"/>
      <c r="V387" s="758"/>
      <c r="W387" s="758"/>
      <c r="X387" s="758"/>
      <c r="Y387" s="758"/>
      <c r="Z387" s="758"/>
      <c r="AA387" s="758"/>
      <c r="AB387" s="458"/>
      <c r="AC387" s="458"/>
      <c r="AD387" s="458"/>
      <c r="AE387" s="458"/>
      <c r="AF387" s="458"/>
      <c r="AG387" s="758"/>
      <c r="AH387" s="2205"/>
      <c r="AI387" s="842">
        <f t="shared" si="57"/>
        <v>0</v>
      </c>
      <c r="AJ387" s="233"/>
      <c r="AK387" s="233"/>
      <c r="AL387" s="233"/>
      <c r="AM387" s="233"/>
      <c r="AN387" s="233"/>
      <c r="AO387" s="684"/>
      <c r="AP387" s="684"/>
      <c r="AQ387" s="684"/>
      <c r="AR387" s="684"/>
      <c r="AS387" s="626" t="str">
        <f t="shared" si="50"/>
        <v/>
      </c>
      <c r="AT387" s="2205"/>
      <c r="AU387" s="458"/>
      <c r="AV387" s="458"/>
      <c r="AW387" s="458"/>
      <c r="AX387" s="458"/>
      <c r="AY387" s="458"/>
      <c r="AZ387" s="458"/>
      <c r="BA387" s="458"/>
      <c r="BB387" s="458"/>
      <c r="BC387" s="458"/>
      <c r="BD387" s="458"/>
      <c r="BE387" s="458"/>
      <c r="BF387" s="458"/>
      <c r="BG387" s="458"/>
      <c r="BH387" s="458"/>
      <c r="BI387" s="458"/>
      <c r="BJ387" s="458"/>
      <c r="BK387" s="592" t="str">
        <f t="shared" si="51"/>
        <v/>
      </c>
      <c r="BM387" s="592" t="str">
        <f t="shared" si="52"/>
        <v/>
      </c>
      <c r="BO387" s="592">
        <f t="shared" si="53"/>
        <v>0</v>
      </c>
      <c r="BP387" s="592">
        <f t="shared" si="54"/>
        <v>0</v>
      </c>
      <c r="BQ387" s="592" t="str">
        <f t="shared" si="55"/>
        <v/>
      </c>
      <c r="BR387" s="592" t="str">
        <f t="shared" si="56"/>
        <v/>
      </c>
    </row>
    <row r="388" spans="1:70" ht="15.6">
      <c r="A388" s="1805"/>
      <c r="B388" s="457"/>
      <c r="C388" s="454"/>
      <c r="D388" s="684"/>
      <c r="E388" s="684"/>
      <c r="F388" s="684"/>
      <c r="G388" s="684"/>
      <c r="H388" s="684"/>
      <c r="I388" s="684"/>
      <c r="J388" s="684"/>
      <c r="K388" s="684"/>
      <c r="L388" s="2145"/>
      <c r="M388" s="2146"/>
      <c r="N388" s="2146"/>
      <c r="O388" s="2147"/>
      <c r="P388" s="824">
        <f t="shared" si="49"/>
        <v>0</v>
      </c>
      <c r="Q388" s="1191"/>
      <c r="R388" s="758"/>
      <c r="S388" s="758"/>
      <c r="T388" s="758"/>
      <c r="U388" s="758"/>
      <c r="V388" s="758"/>
      <c r="W388" s="758"/>
      <c r="X388" s="758"/>
      <c r="Y388" s="758"/>
      <c r="Z388" s="758"/>
      <c r="AA388" s="758"/>
      <c r="AB388" s="458"/>
      <c r="AC388" s="458"/>
      <c r="AD388" s="458"/>
      <c r="AE388" s="458"/>
      <c r="AF388" s="458"/>
      <c r="AG388" s="758"/>
      <c r="AH388" s="2205"/>
      <c r="AI388" s="842">
        <f t="shared" si="57"/>
        <v>0</v>
      </c>
      <c r="AJ388" s="233"/>
      <c r="AK388" s="233"/>
      <c r="AL388" s="233"/>
      <c r="AM388" s="233"/>
      <c r="AN388" s="233"/>
      <c r="AO388" s="684"/>
      <c r="AP388" s="684"/>
      <c r="AQ388" s="684"/>
      <c r="AR388" s="684"/>
      <c r="AS388" s="626" t="str">
        <f t="shared" si="50"/>
        <v/>
      </c>
      <c r="AT388" s="2205"/>
      <c r="AU388" s="458"/>
      <c r="AV388" s="458"/>
      <c r="AW388" s="458"/>
      <c r="AX388" s="458"/>
      <c r="AY388" s="458"/>
      <c r="AZ388" s="458"/>
      <c r="BA388" s="458"/>
      <c r="BB388" s="458"/>
      <c r="BC388" s="458"/>
      <c r="BD388" s="458"/>
      <c r="BE388" s="458"/>
      <c r="BF388" s="458"/>
      <c r="BG388" s="458"/>
      <c r="BH388" s="458"/>
      <c r="BI388" s="458"/>
      <c r="BJ388" s="458"/>
      <c r="BK388" s="592" t="str">
        <f t="shared" si="51"/>
        <v/>
      </c>
      <c r="BM388" s="592" t="str">
        <f t="shared" si="52"/>
        <v/>
      </c>
      <c r="BO388" s="592">
        <f t="shared" si="53"/>
        <v>0</v>
      </c>
      <c r="BP388" s="592">
        <f t="shared" si="54"/>
        <v>0</v>
      </c>
      <c r="BQ388" s="592" t="str">
        <f t="shared" si="55"/>
        <v/>
      </c>
      <c r="BR388" s="592" t="str">
        <f t="shared" si="56"/>
        <v/>
      </c>
    </row>
    <row r="389" spans="1:70" ht="15.6">
      <c r="A389" s="1805"/>
      <c r="B389" s="457"/>
      <c r="C389" s="454"/>
      <c r="D389" s="684"/>
      <c r="E389" s="684"/>
      <c r="F389" s="684"/>
      <c r="G389" s="684"/>
      <c r="H389" s="684"/>
      <c r="I389" s="684"/>
      <c r="J389" s="684"/>
      <c r="K389" s="684"/>
      <c r="L389" s="2145"/>
      <c r="M389" s="2146"/>
      <c r="N389" s="2146"/>
      <c r="O389" s="2147"/>
      <c r="P389" s="824">
        <f t="shared" si="49"/>
        <v>0</v>
      </c>
      <c r="Q389" s="1191"/>
      <c r="R389" s="758"/>
      <c r="S389" s="758"/>
      <c r="T389" s="758"/>
      <c r="U389" s="758"/>
      <c r="V389" s="758"/>
      <c r="W389" s="758"/>
      <c r="X389" s="758"/>
      <c r="Y389" s="758"/>
      <c r="Z389" s="758"/>
      <c r="AA389" s="758"/>
      <c r="AB389" s="458"/>
      <c r="AC389" s="458"/>
      <c r="AD389" s="458"/>
      <c r="AE389" s="458"/>
      <c r="AF389" s="458"/>
      <c r="AG389" s="758"/>
      <c r="AH389" s="2205"/>
      <c r="AI389" s="842">
        <f t="shared" si="57"/>
        <v>0</v>
      </c>
      <c r="AJ389" s="233"/>
      <c r="AK389" s="233"/>
      <c r="AL389" s="233"/>
      <c r="AM389" s="233"/>
      <c r="AN389" s="233"/>
      <c r="AO389" s="684"/>
      <c r="AP389" s="684"/>
      <c r="AQ389" s="684"/>
      <c r="AR389" s="684"/>
      <c r="AS389" s="626" t="str">
        <f t="shared" si="50"/>
        <v/>
      </c>
      <c r="AT389" s="2205"/>
      <c r="AU389" s="458"/>
      <c r="AV389" s="458"/>
      <c r="AW389" s="458"/>
      <c r="AX389" s="458"/>
      <c r="AY389" s="458"/>
      <c r="AZ389" s="458"/>
      <c r="BA389" s="458"/>
      <c r="BB389" s="458"/>
      <c r="BC389" s="458"/>
      <c r="BD389" s="458"/>
      <c r="BE389" s="458"/>
      <c r="BF389" s="458"/>
      <c r="BG389" s="458"/>
      <c r="BH389" s="458"/>
      <c r="BI389" s="458"/>
      <c r="BJ389" s="458"/>
      <c r="BK389" s="592" t="str">
        <f t="shared" si="51"/>
        <v/>
      </c>
      <c r="BM389" s="592" t="str">
        <f t="shared" si="52"/>
        <v/>
      </c>
      <c r="BO389" s="592">
        <f t="shared" si="53"/>
        <v>0</v>
      </c>
      <c r="BP389" s="592">
        <f t="shared" si="54"/>
        <v>0</v>
      </c>
      <c r="BQ389" s="592" t="str">
        <f t="shared" si="55"/>
        <v/>
      </c>
      <c r="BR389" s="592" t="str">
        <f t="shared" si="56"/>
        <v/>
      </c>
    </row>
    <row r="390" spans="1:70" ht="15.6">
      <c r="A390" s="1805"/>
      <c r="B390" s="457"/>
      <c r="C390" s="454"/>
      <c r="D390" s="684"/>
      <c r="E390" s="684"/>
      <c r="F390" s="684"/>
      <c r="G390" s="684"/>
      <c r="H390" s="684"/>
      <c r="I390" s="684"/>
      <c r="J390" s="684"/>
      <c r="K390" s="684"/>
      <c r="L390" s="2145"/>
      <c r="M390" s="2146"/>
      <c r="N390" s="2146"/>
      <c r="O390" s="2147"/>
      <c r="P390" s="824">
        <f t="shared" si="49"/>
        <v>0</v>
      </c>
      <c r="Q390" s="1191"/>
      <c r="R390" s="758"/>
      <c r="S390" s="758"/>
      <c r="T390" s="758"/>
      <c r="U390" s="758"/>
      <c r="V390" s="758"/>
      <c r="W390" s="758"/>
      <c r="X390" s="758"/>
      <c r="Y390" s="758"/>
      <c r="Z390" s="758"/>
      <c r="AA390" s="758"/>
      <c r="AB390" s="458"/>
      <c r="AC390" s="458"/>
      <c r="AD390" s="458"/>
      <c r="AE390" s="458"/>
      <c r="AF390" s="458"/>
      <c r="AG390" s="758"/>
      <c r="AH390" s="2205"/>
      <c r="AI390" s="842">
        <f t="shared" si="57"/>
        <v>0</v>
      </c>
      <c r="AJ390" s="233"/>
      <c r="AK390" s="233"/>
      <c r="AL390" s="233"/>
      <c r="AM390" s="233"/>
      <c r="AN390" s="233"/>
      <c r="AO390" s="684"/>
      <c r="AP390" s="684"/>
      <c r="AQ390" s="684"/>
      <c r="AR390" s="684"/>
      <c r="AS390" s="626" t="str">
        <f t="shared" si="50"/>
        <v/>
      </c>
      <c r="AT390" s="2205"/>
      <c r="AU390" s="458"/>
      <c r="AV390" s="458"/>
      <c r="AW390" s="458"/>
      <c r="AX390" s="458"/>
      <c r="AY390" s="458"/>
      <c r="AZ390" s="458"/>
      <c r="BA390" s="458"/>
      <c r="BB390" s="458"/>
      <c r="BC390" s="458"/>
      <c r="BD390" s="458"/>
      <c r="BE390" s="458"/>
      <c r="BF390" s="458"/>
      <c r="BG390" s="458"/>
      <c r="BH390" s="458"/>
      <c r="BI390" s="458"/>
      <c r="BJ390" s="458"/>
      <c r="BK390" s="592" t="str">
        <f t="shared" si="51"/>
        <v/>
      </c>
      <c r="BM390" s="592" t="str">
        <f t="shared" si="52"/>
        <v/>
      </c>
      <c r="BO390" s="592">
        <f t="shared" si="53"/>
        <v>0</v>
      </c>
      <c r="BP390" s="592">
        <f t="shared" si="54"/>
        <v>0</v>
      </c>
      <c r="BQ390" s="592" t="str">
        <f t="shared" si="55"/>
        <v/>
      </c>
      <c r="BR390" s="592" t="str">
        <f t="shared" si="56"/>
        <v/>
      </c>
    </row>
    <row r="391" spans="1:70" ht="15.6">
      <c r="A391" s="1805"/>
      <c r="B391" s="457"/>
      <c r="C391" s="454"/>
      <c r="D391" s="684"/>
      <c r="E391" s="684"/>
      <c r="F391" s="684"/>
      <c r="G391" s="684"/>
      <c r="H391" s="684"/>
      <c r="I391" s="684"/>
      <c r="J391" s="684"/>
      <c r="K391" s="684"/>
      <c r="L391" s="2145"/>
      <c r="M391" s="2146"/>
      <c r="N391" s="2146"/>
      <c r="O391" s="2147"/>
      <c r="P391" s="824">
        <f t="shared" si="49"/>
        <v>0</v>
      </c>
      <c r="Q391" s="1191"/>
      <c r="R391" s="758"/>
      <c r="S391" s="758"/>
      <c r="T391" s="758"/>
      <c r="U391" s="758"/>
      <c r="V391" s="758"/>
      <c r="W391" s="758"/>
      <c r="X391" s="758"/>
      <c r="Y391" s="758"/>
      <c r="Z391" s="758"/>
      <c r="AA391" s="758"/>
      <c r="AB391" s="458"/>
      <c r="AC391" s="458"/>
      <c r="AD391" s="458"/>
      <c r="AE391" s="458"/>
      <c r="AF391" s="458"/>
      <c r="AG391" s="758"/>
      <c r="AH391" s="2205"/>
      <c r="AI391" s="842">
        <f t="shared" si="57"/>
        <v>0</v>
      </c>
      <c r="AJ391" s="233"/>
      <c r="AK391" s="233"/>
      <c r="AL391" s="233"/>
      <c r="AM391" s="233"/>
      <c r="AN391" s="233"/>
      <c r="AO391" s="684"/>
      <c r="AP391" s="684"/>
      <c r="AQ391" s="684"/>
      <c r="AR391" s="684"/>
      <c r="AS391" s="626" t="str">
        <f t="shared" si="50"/>
        <v/>
      </c>
      <c r="AT391" s="2205"/>
      <c r="AU391" s="458"/>
      <c r="AV391" s="458"/>
      <c r="AW391" s="458"/>
      <c r="AX391" s="458"/>
      <c r="AY391" s="458"/>
      <c r="AZ391" s="458"/>
      <c r="BA391" s="458"/>
      <c r="BB391" s="458"/>
      <c r="BC391" s="458"/>
      <c r="BD391" s="458"/>
      <c r="BE391" s="458"/>
      <c r="BF391" s="458"/>
      <c r="BG391" s="458"/>
      <c r="BH391" s="458"/>
      <c r="BI391" s="458"/>
      <c r="BJ391" s="458"/>
      <c r="BK391" s="592" t="str">
        <f t="shared" si="51"/>
        <v/>
      </c>
      <c r="BM391" s="592" t="str">
        <f t="shared" si="52"/>
        <v/>
      </c>
      <c r="BO391" s="592">
        <f t="shared" si="53"/>
        <v>0</v>
      </c>
      <c r="BP391" s="592">
        <f t="shared" si="54"/>
        <v>0</v>
      </c>
      <c r="BQ391" s="592" t="str">
        <f t="shared" si="55"/>
        <v/>
      </c>
      <c r="BR391" s="592" t="str">
        <f t="shared" si="56"/>
        <v/>
      </c>
    </row>
    <row r="392" spans="1:70" ht="15.6">
      <c r="A392" s="1805"/>
      <c r="B392" s="457"/>
      <c r="C392" s="454"/>
      <c r="D392" s="684"/>
      <c r="E392" s="684"/>
      <c r="F392" s="684"/>
      <c r="G392" s="684"/>
      <c r="H392" s="684"/>
      <c r="I392" s="684"/>
      <c r="J392" s="684"/>
      <c r="K392" s="684"/>
      <c r="L392" s="2145"/>
      <c r="M392" s="2146"/>
      <c r="N392" s="2146"/>
      <c r="O392" s="2147"/>
      <c r="P392" s="824">
        <f t="shared" si="49"/>
        <v>0</v>
      </c>
      <c r="Q392" s="1191"/>
      <c r="R392" s="758"/>
      <c r="S392" s="758"/>
      <c r="T392" s="758"/>
      <c r="U392" s="758"/>
      <c r="V392" s="758"/>
      <c r="W392" s="758"/>
      <c r="X392" s="758"/>
      <c r="Y392" s="758"/>
      <c r="Z392" s="758"/>
      <c r="AA392" s="758"/>
      <c r="AB392" s="458"/>
      <c r="AC392" s="458"/>
      <c r="AD392" s="458"/>
      <c r="AE392" s="458"/>
      <c r="AF392" s="458"/>
      <c r="AG392" s="758"/>
      <c r="AH392" s="2205"/>
      <c r="AI392" s="842">
        <f t="shared" si="57"/>
        <v>0</v>
      </c>
      <c r="AJ392" s="233"/>
      <c r="AK392" s="233"/>
      <c r="AL392" s="233"/>
      <c r="AM392" s="233"/>
      <c r="AN392" s="233"/>
      <c r="AO392" s="684"/>
      <c r="AP392" s="684"/>
      <c r="AQ392" s="684"/>
      <c r="AR392" s="684"/>
      <c r="AS392" s="626" t="str">
        <f t="shared" si="50"/>
        <v/>
      </c>
      <c r="AT392" s="2205"/>
      <c r="AU392" s="458"/>
      <c r="AV392" s="458"/>
      <c r="AW392" s="458"/>
      <c r="AX392" s="458"/>
      <c r="AY392" s="458"/>
      <c r="AZ392" s="458"/>
      <c r="BA392" s="458"/>
      <c r="BB392" s="458"/>
      <c r="BC392" s="458"/>
      <c r="BD392" s="458"/>
      <c r="BE392" s="458"/>
      <c r="BF392" s="458"/>
      <c r="BG392" s="458"/>
      <c r="BH392" s="458"/>
      <c r="BI392" s="458"/>
      <c r="BJ392" s="458"/>
      <c r="BK392" s="592" t="str">
        <f t="shared" si="51"/>
        <v/>
      </c>
      <c r="BM392" s="592" t="str">
        <f t="shared" si="52"/>
        <v/>
      </c>
      <c r="BO392" s="592">
        <f t="shared" si="53"/>
        <v>0</v>
      </c>
      <c r="BP392" s="592">
        <f t="shared" si="54"/>
        <v>0</v>
      </c>
      <c r="BQ392" s="592" t="str">
        <f t="shared" si="55"/>
        <v/>
      </c>
      <c r="BR392" s="592" t="str">
        <f t="shared" si="56"/>
        <v/>
      </c>
    </row>
    <row r="393" spans="1:70" ht="15.6">
      <c r="A393" s="1805"/>
      <c r="B393" s="457"/>
      <c r="C393" s="454"/>
      <c r="D393" s="684"/>
      <c r="E393" s="684"/>
      <c r="F393" s="684"/>
      <c r="G393" s="684"/>
      <c r="H393" s="684"/>
      <c r="I393" s="684"/>
      <c r="J393" s="684"/>
      <c r="K393" s="684"/>
      <c r="L393" s="2145"/>
      <c r="M393" s="2146"/>
      <c r="N393" s="2146"/>
      <c r="O393" s="2147"/>
      <c r="P393" s="824">
        <f t="shared" si="49"/>
        <v>0</v>
      </c>
      <c r="Q393" s="1191"/>
      <c r="R393" s="758"/>
      <c r="S393" s="758"/>
      <c r="T393" s="758"/>
      <c r="U393" s="758"/>
      <c r="V393" s="758"/>
      <c r="W393" s="758"/>
      <c r="X393" s="758"/>
      <c r="Y393" s="758"/>
      <c r="Z393" s="758"/>
      <c r="AA393" s="758"/>
      <c r="AB393" s="458"/>
      <c r="AC393" s="458"/>
      <c r="AD393" s="458"/>
      <c r="AE393" s="458"/>
      <c r="AF393" s="458"/>
      <c r="AG393" s="758"/>
      <c r="AH393" s="2205"/>
      <c r="AI393" s="842">
        <f t="shared" si="57"/>
        <v>0</v>
      </c>
      <c r="AJ393" s="233"/>
      <c r="AK393" s="233"/>
      <c r="AL393" s="233"/>
      <c r="AM393" s="233"/>
      <c r="AN393" s="233"/>
      <c r="AO393" s="684"/>
      <c r="AP393" s="684"/>
      <c r="AQ393" s="684"/>
      <c r="AR393" s="684"/>
      <c r="AS393" s="626" t="str">
        <f t="shared" si="50"/>
        <v/>
      </c>
      <c r="AT393" s="2205"/>
      <c r="AU393" s="458"/>
      <c r="AV393" s="458"/>
      <c r="AW393" s="458"/>
      <c r="AX393" s="458"/>
      <c r="AY393" s="458"/>
      <c r="AZ393" s="458"/>
      <c r="BA393" s="458"/>
      <c r="BB393" s="458"/>
      <c r="BC393" s="458"/>
      <c r="BD393" s="458"/>
      <c r="BE393" s="458"/>
      <c r="BF393" s="458"/>
      <c r="BG393" s="458"/>
      <c r="BH393" s="458"/>
      <c r="BI393" s="458"/>
      <c r="BJ393" s="458"/>
      <c r="BK393" s="592" t="str">
        <f t="shared" si="51"/>
        <v/>
      </c>
      <c r="BM393" s="592" t="str">
        <f t="shared" si="52"/>
        <v/>
      </c>
      <c r="BO393" s="592">
        <f t="shared" si="53"/>
        <v>0</v>
      </c>
      <c r="BP393" s="592">
        <f t="shared" si="54"/>
        <v>0</v>
      </c>
      <c r="BQ393" s="592" t="str">
        <f t="shared" si="55"/>
        <v/>
      </c>
      <c r="BR393" s="592" t="str">
        <f t="shared" si="56"/>
        <v/>
      </c>
    </row>
    <row r="394" spans="1:70" ht="15.6">
      <c r="A394" s="1805"/>
      <c r="B394" s="457"/>
      <c r="C394" s="454"/>
      <c r="D394" s="684"/>
      <c r="E394" s="684"/>
      <c r="F394" s="684"/>
      <c r="G394" s="684"/>
      <c r="H394" s="684"/>
      <c r="I394" s="684"/>
      <c r="J394" s="684"/>
      <c r="K394" s="684"/>
      <c r="L394" s="2145"/>
      <c r="M394" s="2146"/>
      <c r="N394" s="2146"/>
      <c r="O394" s="2147"/>
      <c r="P394" s="824">
        <f t="shared" si="49"/>
        <v>0</v>
      </c>
      <c r="Q394" s="1191"/>
      <c r="R394" s="758"/>
      <c r="S394" s="758"/>
      <c r="T394" s="758"/>
      <c r="U394" s="758"/>
      <c r="V394" s="758"/>
      <c r="W394" s="758"/>
      <c r="X394" s="758"/>
      <c r="Y394" s="758"/>
      <c r="Z394" s="758"/>
      <c r="AA394" s="758"/>
      <c r="AB394" s="458"/>
      <c r="AC394" s="458"/>
      <c r="AD394" s="458"/>
      <c r="AE394" s="458"/>
      <c r="AF394" s="458"/>
      <c r="AG394" s="758"/>
      <c r="AH394" s="2205"/>
      <c r="AI394" s="842">
        <f t="shared" si="57"/>
        <v>0</v>
      </c>
      <c r="AJ394" s="233"/>
      <c r="AK394" s="233"/>
      <c r="AL394" s="233"/>
      <c r="AM394" s="233"/>
      <c r="AN394" s="233"/>
      <c r="AO394" s="684"/>
      <c r="AP394" s="684"/>
      <c r="AQ394" s="684"/>
      <c r="AR394" s="684"/>
      <c r="AS394" s="626" t="str">
        <f t="shared" si="50"/>
        <v/>
      </c>
      <c r="AT394" s="2205"/>
      <c r="AU394" s="458"/>
      <c r="AV394" s="458"/>
      <c r="AW394" s="458"/>
      <c r="AX394" s="458"/>
      <c r="AY394" s="458"/>
      <c r="AZ394" s="458"/>
      <c r="BA394" s="458"/>
      <c r="BB394" s="458"/>
      <c r="BC394" s="458"/>
      <c r="BD394" s="458"/>
      <c r="BE394" s="458"/>
      <c r="BF394" s="458"/>
      <c r="BG394" s="458"/>
      <c r="BH394" s="458"/>
      <c r="BI394" s="458"/>
      <c r="BJ394" s="458"/>
      <c r="BK394" s="592" t="str">
        <f t="shared" si="51"/>
        <v/>
      </c>
      <c r="BM394" s="592" t="str">
        <f t="shared" si="52"/>
        <v/>
      </c>
      <c r="BO394" s="592">
        <f t="shared" si="53"/>
        <v>0</v>
      </c>
      <c r="BP394" s="592">
        <f t="shared" si="54"/>
        <v>0</v>
      </c>
      <c r="BQ394" s="592" t="str">
        <f t="shared" si="55"/>
        <v/>
      </c>
      <c r="BR394" s="592" t="str">
        <f t="shared" si="56"/>
        <v/>
      </c>
    </row>
    <row r="395" spans="1:70" ht="15.6">
      <c r="A395" s="1805"/>
      <c r="B395" s="457"/>
      <c r="C395" s="454"/>
      <c r="D395" s="684"/>
      <c r="E395" s="684"/>
      <c r="F395" s="684"/>
      <c r="G395" s="684"/>
      <c r="H395" s="684"/>
      <c r="I395" s="684"/>
      <c r="J395" s="684"/>
      <c r="K395" s="684"/>
      <c r="L395" s="2145"/>
      <c r="M395" s="2146"/>
      <c r="N395" s="2146"/>
      <c r="O395" s="2147"/>
      <c r="P395" s="824">
        <f t="shared" si="49"/>
        <v>0</v>
      </c>
      <c r="Q395" s="1191"/>
      <c r="R395" s="758"/>
      <c r="S395" s="758"/>
      <c r="T395" s="758"/>
      <c r="U395" s="758"/>
      <c r="V395" s="758"/>
      <c r="W395" s="758"/>
      <c r="X395" s="758"/>
      <c r="Y395" s="758"/>
      <c r="Z395" s="758"/>
      <c r="AA395" s="758"/>
      <c r="AB395" s="458"/>
      <c r="AC395" s="458"/>
      <c r="AD395" s="458"/>
      <c r="AE395" s="458"/>
      <c r="AF395" s="458"/>
      <c r="AG395" s="758"/>
      <c r="AH395" s="2205"/>
      <c r="AI395" s="842">
        <f t="shared" si="57"/>
        <v>0</v>
      </c>
      <c r="AJ395" s="233"/>
      <c r="AK395" s="233"/>
      <c r="AL395" s="233"/>
      <c r="AM395" s="233"/>
      <c r="AN395" s="233"/>
      <c r="AO395" s="684"/>
      <c r="AP395" s="684"/>
      <c r="AQ395" s="684"/>
      <c r="AR395" s="684"/>
      <c r="AS395" s="626" t="str">
        <f t="shared" si="50"/>
        <v/>
      </c>
      <c r="AT395" s="2205"/>
      <c r="AU395" s="458"/>
      <c r="AV395" s="458"/>
      <c r="AW395" s="458"/>
      <c r="AX395" s="458"/>
      <c r="AY395" s="458"/>
      <c r="AZ395" s="458"/>
      <c r="BA395" s="458"/>
      <c r="BB395" s="458"/>
      <c r="BC395" s="458"/>
      <c r="BD395" s="458"/>
      <c r="BE395" s="458"/>
      <c r="BF395" s="458"/>
      <c r="BG395" s="458"/>
      <c r="BH395" s="458"/>
      <c r="BI395" s="458"/>
      <c r="BJ395" s="458"/>
      <c r="BK395" s="592" t="str">
        <f t="shared" si="51"/>
        <v/>
      </c>
      <c r="BM395" s="592" t="str">
        <f t="shared" si="52"/>
        <v/>
      </c>
      <c r="BO395" s="592">
        <f t="shared" si="53"/>
        <v>0</v>
      </c>
      <c r="BP395" s="592">
        <f t="shared" si="54"/>
        <v>0</v>
      </c>
      <c r="BQ395" s="592" t="str">
        <f t="shared" si="55"/>
        <v/>
      </c>
      <c r="BR395" s="592" t="str">
        <f t="shared" si="56"/>
        <v/>
      </c>
    </row>
    <row r="396" spans="1:70" ht="16.2" thickBot="1">
      <c r="A396" s="1806"/>
      <c r="B396" s="457"/>
      <c r="C396" s="454"/>
      <c r="D396" s="684"/>
      <c r="E396" s="684"/>
      <c r="F396" s="684"/>
      <c r="G396" s="684"/>
      <c r="H396" s="684"/>
      <c r="I396" s="684"/>
      <c r="J396" s="684"/>
      <c r="K396" s="684"/>
      <c r="L396" s="2148"/>
      <c r="M396" s="2149"/>
      <c r="N396" s="2149"/>
      <c r="O396" s="2150"/>
      <c r="P396" s="824">
        <f t="shared" si="49"/>
        <v>0</v>
      </c>
      <c r="Q396" s="1673"/>
      <c r="R396" s="758"/>
      <c r="S396" s="758"/>
      <c r="T396" s="758"/>
      <c r="U396" s="758"/>
      <c r="V396" s="758"/>
      <c r="W396" s="758"/>
      <c r="X396" s="758"/>
      <c r="Y396" s="758"/>
      <c r="Z396" s="758"/>
      <c r="AA396" s="758"/>
      <c r="AB396" s="458"/>
      <c r="AC396" s="458"/>
      <c r="AD396" s="458"/>
      <c r="AE396" s="458"/>
      <c r="AF396" s="458"/>
      <c r="AG396" s="758"/>
      <c r="AH396" s="2206"/>
      <c r="AI396" s="842">
        <f t="shared" si="57"/>
        <v>0</v>
      </c>
      <c r="AJ396" s="233"/>
      <c r="AK396" s="233"/>
      <c r="AL396" s="233"/>
      <c r="AM396" s="233"/>
      <c r="AN396" s="233"/>
      <c r="AO396" s="684"/>
      <c r="AP396" s="684"/>
      <c r="AQ396" s="684"/>
      <c r="AR396" s="684"/>
      <c r="AS396" s="626" t="str">
        <f>BR396</f>
        <v/>
      </c>
      <c r="AT396" s="2206"/>
      <c r="AU396" s="458"/>
      <c r="AV396" s="458"/>
      <c r="AW396" s="458"/>
      <c r="AX396" s="458"/>
      <c r="AY396" s="458"/>
      <c r="AZ396" s="458"/>
      <c r="BA396" s="458"/>
      <c r="BB396" s="458"/>
      <c r="BC396" s="458"/>
      <c r="BD396" s="458"/>
      <c r="BE396" s="458"/>
      <c r="BF396" s="458"/>
      <c r="BG396" s="458"/>
      <c r="BH396" s="458"/>
      <c r="BI396" s="458"/>
      <c r="BJ396" s="458"/>
      <c r="BK396" s="592" t="str">
        <f t="shared" si="51"/>
        <v/>
      </c>
      <c r="BM396" s="592" t="str">
        <f>IF(BK396="","",BK396^2)</f>
        <v/>
      </c>
      <c r="BO396" s="592">
        <f xml:space="preserve"> SQRT(    ((AK396^2+40^2)*((D396*$D$285)^2))      +        ((40^2+AL396^2)*(($E$285*E396)^2))       +        ((40^2+AM396^2)*(($F$285*F396)^2))       +        ((40^2+AN396^2)*(($G$285*G396)^2))       +        ((40^2+AO396^2)*(($H$285*H396)^2))       +        ((40^2+AP396^2)*(($I$285*I396)^2))       +        ((40^2+AQ396^2)*(($J$285*J396)^2))       +       ((40^2+AR396^2)*(($K$285*K396)^2))               )</f>
        <v>0</v>
      </c>
      <c r="BP396" s="592">
        <f>((D396*$D$285)+($E$285*E396)+($F$285*F396)+($G$285*G396)+($H$285*H396)+($I$285*I396)+($J$285*J396)+($K$285*K396))</f>
        <v>0</v>
      </c>
      <c r="BQ396" s="592" t="str">
        <f>IF(OR(BP396=0,BP396=""),"",BO396/BP396)</f>
        <v/>
      </c>
      <c r="BR396" s="592" t="str">
        <f>IF(OR(BQ396="",AJ396=""),"",SQRT((BQ396)^2+(AJ396)^2))</f>
        <v/>
      </c>
    </row>
    <row r="397" spans="1:70" ht="30" customHeight="1" thickBot="1">
      <c r="A397" s="1065"/>
      <c r="B397" s="1066"/>
      <c r="C397" s="1066"/>
      <c r="D397" s="1066"/>
      <c r="E397" s="1066"/>
      <c r="F397" s="1066"/>
      <c r="G397" s="1066"/>
      <c r="H397" s="1066"/>
      <c r="I397" s="1066"/>
      <c r="J397" s="1066"/>
      <c r="K397" s="1066"/>
      <c r="L397" s="1066"/>
      <c r="M397" s="1066"/>
      <c r="N397" s="1066"/>
      <c r="O397" s="1066"/>
      <c r="P397" s="1066"/>
      <c r="Q397" s="1067"/>
      <c r="R397" s="758"/>
      <c r="S397" s="758"/>
      <c r="T397" s="758"/>
      <c r="U397" s="758"/>
      <c r="V397" s="758"/>
      <c r="W397" s="758"/>
      <c r="X397" s="758"/>
      <c r="Y397" s="758"/>
      <c r="Z397" s="758"/>
      <c r="AA397" s="758"/>
      <c r="AB397" s="458"/>
      <c r="AC397" s="458"/>
      <c r="AD397" s="458"/>
      <c r="AE397" s="458"/>
      <c r="AF397" s="458"/>
      <c r="AG397" s="758"/>
      <c r="AH397" s="2207"/>
      <c r="AI397" s="2208"/>
      <c r="AJ397" s="2208"/>
      <c r="AK397" s="2208"/>
      <c r="AL397" s="2208"/>
      <c r="AM397" s="2208"/>
      <c r="AN397" s="2208"/>
      <c r="AO397" s="2208"/>
      <c r="AP397" s="2208"/>
      <c r="AQ397" s="2208"/>
      <c r="AR397" s="2208"/>
      <c r="AS397" s="2208"/>
      <c r="AT397" s="2209"/>
      <c r="AU397" s="458"/>
      <c r="AV397" s="458"/>
      <c r="AW397" s="458"/>
      <c r="AX397" s="458"/>
      <c r="AY397" s="458"/>
      <c r="AZ397" s="458"/>
      <c r="BA397" s="458"/>
      <c r="BB397" s="458"/>
      <c r="BC397" s="458"/>
      <c r="BD397" s="458"/>
      <c r="BE397" s="458"/>
      <c r="BF397" s="458"/>
      <c r="BG397" s="458"/>
      <c r="BH397" s="458"/>
      <c r="BI397" s="458"/>
      <c r="BJ397" s="458"/>
    </row>
    <row r="398" spans="1:70">
      <c r="A398" s="1995"/>
      <c r="B398" s="1995"/>
      <c r="C398" s="1995"/>
      <c r="D398" s="1995"/>
      <c r="E398" s="1995"/>
      <c r="F398" s="1995"/>
      <c r="G398" s="1995"/>
      <c r="H398" s="1995"/>
      <c r="I398" s="1995"/>
      <c r="J398" s="1995"/>
      <c r="K398" s="1995"/>
      <c r="L398" s="1995"/>
      <c r="M398" s="1995"/>
      <c r="N398" s="1995"/>
      <c r="O398" s="1995"/>
      <c r="P398" s="1995"/>
      <c r="Q398" s="1995"/>
      <c r="R398" s="758"/>
      <c r="S398" s="758"/>
      <c r="T398" s="758"/>
      <c r="U398" s="758"/>
      <c r="V398" s="758"/>
      <c r="W398" s="758"/>
      <c r="X398" s="758"/>
      <c r="Y398" s="758"/>
      <c r="Z398" s="758"/>
      <c r="AA398" s="758"/>
      <c r="AB398" s="458"/>
      <c r="AC398" s="458"/>
      <c r="AD398" s="458"/>
      <c r="AE398" s="458"/>
      <c r="AF398" s="458"/>
      <c r="AG398" s="758"/>
      <c r="AH398" s="458"/>
      <c r="AI398" s="458"/>
      <c r="AJ398" s="458"/>
      <c r="AK398" s="458"/>
      <c r="AL398" s="458"/>
      <c r="AM398" s="458"/>
      <c r="AN398" s="458"/>
      <c r="AO398" s="458"/>
      <c r="AP398" s="458"/>
      <c r="AQ398" s="458"/>
      <c r="AR398" s="458"/>
      <c r="AS398" s="458"/>
      <c r="AT398" s="458"/>
      <c r="AU398" s="458"/>
      <c r="AV398" s="458"/>
      <c r="AW398" s="458"/>
      <c r="AX398" s="458"/>
      <c r="AY398" s="458"/>
      <c r="AZ398" s="458"/>
      <c r="BA398" s="458"/>
      <c r="BB398" s="458"/>
      <c r="BC398" s="458"/>
      <c r="BD398" s="458"/>
      <c r="BE398" s="458"/>
      <c r="BF398" s="458"/>
      <c r="BG398" s="458"/>
      <c r="BH398" s="458"/>
      <c r="BI398" s="458"/>
      <c r="BJ398" s="458"/>
    </row>
    <row r="399" spans="1:70" ht="15.6" thickBot="1">
      <c r="A399" s="1994"/>
      <c r="B399" s="1994"/>
      <c r="C399" s="1994"/>
      <c r="D399" s="1994"/>
      <c r="E399" s="1994"/>
      <c r="F399" s="1994"/>
      <c r="G399" s="1994"/>
      <c r="H399" s="1994"/>
      <c r="I399" s="1994"/>
      <c r="J399" s="1994"/>
      <c r="K399" s="1994"/>
      <c r="L399" s="1994"/>
      <c r="M399" s="1994"/>
      <c r="N399" s="1994"/>
      <c r="O399" s="1994"/>
      <c r="P399" s="1994"/>
      <c r="Q399" s="1994"/>
      <c r="R399" s="758"/>
      <c r="S399" s="758"/>
      <c r="T399" s="758"/>
      <c r="U399" s="758"/>
      <c r="V399" s="758"/>
      <c r="W399" s="758"/>
      <c r="X399" s="758"/>
      <c r="Y399" s="758"/>
      <c r="Z399" s="758"/>
      <c r="AA399" s="758"/>
      <c r="AB399" s="458"/>
      <c r="AC399" s="458"/>
      <c r="AD399" s="458"/>
      <c r="AE399" s="458"/>
      <c r="AF399" s="458"/>
      <c r="AG399" s="758"/>
      <c r="AH399" s="458"/>
      <c r="AI399" s="458"/>
      <c r="AJ399" s="458"/>
      <c r="AK399" s="458"/>
      <c r="AL399" s="458"/>
      <c r="AM399" s="458"/>
      <c r="AN399" s="458"/>
      <c r="AO399" s="458"/>
      <c r="AP399" s="458"/>
      <c r="AQ399" s="458"/>
      <c r="AR399" s="458"/>
      <c r="AS399" s="458"/>
      <c r="AT399" s="458"/>
      <c r="AU399" s="458"/>
      <c r="AV399" s="458"/>
      <c r="AW399" s="458"/>
      <c r="AX399" s="458"/>
      <c r="AY399" s="458"/>
      <c r="AZ399" s="458"/>
      <c r="BA399" s="458"/>
      <c r="BB399" s="458"/>
      <c r="BC399" s="458"/>
      <c r="BD399" s="458"/>
      <c r="BE399" s="458"/>
      <c r="BF399" s="458"/>
      <c r="BG399" s="458"/>
      <c r="BH399" s="458"/>
      <c r="BI399" s="458"/>
      <c r="BJ399" s="458"/>
    </row>
    <row r="400" spans="1:70" ht="27" customHeight="1" thickBot="1">
      <c r="A400" s="2164" t="s">
        <v>855</v>
      </c>
      <c r="B400" s="2165"/>
      <c r="C400" s="2165"/>
      <c r="D400" s="2165"/>
      <c r="E400" s="2165"/>
      <c r="F400" s="2165"/>
      <c r="G400" s="2165"/>
      <c r="H400" s="2165"/>
      <c r="I400" s="2165"/>
      <c r="J400" s="2165"/>
      <c r="K400" s="2165"/>
      <c r="L400" s="2166"/>
      <c r="M400" s="2054" t="s">
        <v>752</v>
      </c>
      <c r="N400" s="2055"/>
      <c r="O400" s="2055"/>
      <c r="P400" s="2055"/>
      <c r="Q400" s="2056"/>
      <c r="R400" s="758"/>
      <c r="S400" s="758"/>
      <c r="T400" s="458"/>
      <c r="U400" s="458"/>
      <c r="V400" s="458"/>
      <c r="W400" s="458"/>
      <c r="X400" s="458"/>
      <c r="Y400" s="458"/>
      <c r="Z400" s="458"/>
      <c r="AA400" s="458"/>
      <c r="AB400" s="458"/>
      <c r="AC400" s="458"/>
      <c r="AD400" s="458"/>
      <c r="AE400" s="458"/>
      <c r="AF400" s="458"/>
      <c r="AG400" s="758"/>
      <c r="AH400" s="458"/>
      <c r="AI400" s="458"/>
      <c r="AJ400" s="458"/>
      <c r="AK400" s="458"/>
      <c r="AL400" s="458"/>
      <c r="AM400" s="458"/>
      <c r="AN400" s="458"/>
      <c r="AO400" s="458"/>
      <c r="AP400" s="458"/>
      <c r="AQ400" s="458"/>
      <c r="AR400" s="458"/>
      <c r="AS400" s="458"/>
      <c r="AT400" s="458"/>
      <c r="AU400" s="458"/>
      <c r="AV400" s="458"/>
      <c r="AW400" s="458"/>
      <c r="AX400" s="458"/>
      <c r="AY400" s="458"/>
      <c r="AZ400" s="458"/>
      <c r="BA400" s="458"/>
      <c r="BB400" s="458"/>
      <c r="BC400" s="458"/>
      <c r="BD400" s="458"/>
      <c r="BE400" s="458"/>
      <c r="BF400" s="458"/>
      <c r="BG400" s="458"/>
      <c r="BH400" s="458"/>
      <c r="BI400" s="458"/>
      <c r="BJ400" s="458"/>
    </row>
    <row r="401" spans="1:62" ht="97.5" customHeight="1" thickBot="1">
      <c r="A401" s="1283" t="s">
        <v>1170</v>
      </c>
      <c r="B401" s="1216"/>
      <c r="C401" s="1216"/>
      <c r="D401" s="1216"/>
      <c r="E401" s="1216"/>
      <c r="F401" s="1216"/>
      <c r="G401" s="1216"/>
      <c r="H401" s="1216"/>
      <c r="I401" s="1216"/>
      <c r="J401" s="1216"/>
      <c r="K401" s="1216"/>
      <c r="L401" s="1217"/>
      <c r="M401" s="1484"/>
      <c r="N401" s="1485"/>
      <c r="O401" s="1485"/>
      <c r="P401" s="1485"/>
      <c r="Q401" s="1486"/>
      <c r="R401" s="758"/>
      <c r="S401" s="758"/>
      <c r="T401" s="458"/>
      <c r="U401" s="458"/>
      <c r="V401" s="458"/>
      <c r="W401" s="458"/>
      <c r="X401" s="458"/>
      <c r="Y401" s="458"/>
      <c r="Z401" s="458"/>
      <c r="AA401" s="458"/>
      <c r="AB401" s="458"/>
      <c r="AC401" s="458"/>
      <c r="AD401" s="458"/>
      <c r="AE401" s="458"/>
      <c r="AF401" s="458"/>
      <c r="AG401" s="758"/>
      <c r="AH401" s="1015" t="s">
        <v>1438</v>
      </c>
      <c r="AI401" s="1284"/>
      <c r="AJ401" s="1284"/>
      <c r="AK401" s="1284"/>
      <c r="AL401" s="1284"/>
      <c r="AM401" s="1284"/>
      <c r="AN401" s="1284"/>
      <c r="AO401" s="1284"/>
      <c r="AP401" s="1284"/>
      <c r="AQ401" s="1284"/>
      <c r="AR401" s="1284"/>
      <c r="AS401" s="1284"/>
      <c r="AT401" s="1285"/>
      <c r="AU401" s="458"/>
      <c r="AV401" s="458"/>
      <c r="AW401" s="458"/>
      <c r="AX401" s="458"/>
      <c r="AY401" s="458"/>
      <c r="AZ401" s="458"/>
      <c r="BA401" s="458"/>
      <c r="BB401" s="458"/>
      <c r="BC401" s="458"/>
      <c r="BD401" s="458"/>
      <c r="BE401" s="458"/>
      <c r="BF401" s="458"/>
      <c r="BG401" s="458"/>
      <c r="BH401" s="458"/>
      <c r="BI401" s="458"/>
      <c r="BJ401" s="458"/>
    </row>
    <row r="402" spans="1:62" ht="39" customHeight="1">
      <c r="A402" s="1015" t="s">
        <v>822</v>
      </c>
      <c r="B402" s="1284"/>
      <c r="C402" s="1284"/>
      <c r="D402" s="1284"/>
      <c r="E402" s="1284"/>
      <c r="F402" s="1284"/>
      <c r="G402" s="1284"/>
      <c r="H402" s="1284"/>
      <c r="I402" s="1284"/>
      <c r="J402" s="1284"/>
      <c r="K402" s="1284"/>
      <c r="L402" s="1285"/>
      <c r="M402" s="2054" t="s">
        <v>752</v>
      </c>
      <c r="N402" s="2055"/>
      <c r="O402" s="2055"/>
      <c r="P402" s="2055"/>
      <c r="Q402" s="2056"/>
      <c r="R402" s="758"/>
      <c r="S402" s="758"/>
      <c r="T402" s="458"/>
      <c r="U402" s="458"/>
      <c r="V402" s="458"/>
      <c r="W402" s="458"/>
      <c r="X402" s="458"/>
      <c r="Y402" s="458"/>
      <c r="Z402" s="458"/>
      <c r="AA402" s="458"/>
      <c r="AB402" s="458"/>
      <c r="AC402" s="458"/>
      <c r="AD402" s="458"/>
      <c r="AE402" s="458"/>
      <c r="AF402" s="458"/>
      <c r="AG402" s="758"/>
      <c r="AH402" s="1039" t="s">
        <v>1274</v>
      </c>
      <c r="AI402" s="1037"/>
      <c r="AJ402" s="1037"/>
      <c r="AK402" s="1037"/>
      <c r="AL402" s="1037"/>
      <c r="AM402" s="1037"/>
      <c r="AN402" s="1037"/>
      <c r="AO402" s="1037"/>
      <c r="AP402" s="1037"/>
      <c r="AQ402" s="1037"/>
      <c r="AR402" s="1037"/>
      <c r="AS402" s="1037"/>
      <c r="AT402" s="1038"/>
      <c r="AU402" s="458"/>
      <c r="AV402" s="458"/>
      <c r="AW402" s="458"/>
      <c r="AX402" s="458"/>
      <c r="AY402" s="458"/>
      <c r="AZ402" s="458"/>
      <c r="BA402" s="458"/>
      <c r="BB402" s="458"/>
      <c r="BC402" s="458"/>
      <c r="BD402" s="458"/>
      <c r="BE402" s="458"/>
      <c r="BF402" s="458"/>
      <c r="BG402" s="458"/>
      <c r="BH402" s="458"/>
      <c r="BI402" s="458"/>
      <c r="BJ402" s="458"/>
    </row>
    <row r="403" spans="1:62" ht="40.950000000000003" customHeight="1">
      <c r="A403" s="1018" t="s">
        <v>1172</v>
      </c>
      <c r="B403" s="1019"/>
      <c r="C403" s="1019"/>
      <c r="D403" s="1019"/>
      <c r="E403" s="1019"/>
      <c r="F403" s="1019"/>
      <c r="G403" s="1019"/>
      <c r="H403" s="1019"/>
      <c r="I403" s="1019"/>
      <c r="J403" s="1019"/>
      <c r="K403" s="1019"/>
      <c r="L403" s="1020"/>
      <c r="M403" s="1481"/>
      <c r="N403" s="1482"/>
      <c r="O403" s="1482"/>
      <c r="P403" s="1482"/>
      <c r="Q403" s="1483"/>
      <c r="R403" s="758"/>
      <c r="S403" s="758"/>
      <c r="T403" s="458"/>
      <c r="U403" s="458"/>
      <c r="V403" s="458"/>
      <c r="W403" s="458"/>
      <c r="X403" s="458"/>
      <c r="Y403" s="458"/>
      <c r="Z403" s="458"/>
      <c r="AA403" s="458"/>
      <c r="AB403" s="458"/>
      <c r="AC403" s="458"/>
      <c r="AD403" s="458"/>
      <c r="AE403" s="458"/>
      <c r="AF403" s="458"/>
      <c r="AG403" s="758"/>
      <c r="AH403" s="1039"/>
      <c r="AI403" s="1037"/>
      <c r="AJ403" s="1037"/>
      <c r="AK403" s="1037"/>
      <c r="AL403" s="1037"/>
      <c r="AM403" s="1037"/>
      <c r="AN403" s="1037"/>
      <c r="AO403" s="1037"/>
      <c r="AP403" s="1037"/>
      <c r="AQ403" s="1037"/>
      <c r="AR403" s="1037"/>
      <c r="AS403" s="1037"/>
      <c r="AT403" s="1038"/>
      <c r="AU403" s="458"/>
      <c r="AV403" s="458"/>
      <c r="AW403" s="458"/>
      <c r="AX403" s="458"/>
      <c r="AY403" s="458"/>
      <c r="AZ403" s="458"/>
      <c r="BA403" s="458"/>
      <c r="BB403" s="458"/>
      <c r="BC403" s="458"/>
      <c r="BD403" s="458"/>
      <c r="BE403" s="458"/>
      <c r="BF403" s="458"/>
      <c r="BG403" s="458"/>
      <c r="BH403" s="458"/>
      <c r="BI403" s="458"/>
      <c r="BJ403" s="458"/>
    </row>
    <row r="404" spans="1:62" ht="41.55" customHeight="1" thickBot="1">
      <c r="A404" s="1021" t="s">
        <v>1171</v>
      </c>
      <c r="B404" s="1022"/>
      <c r="C404" s="1022"/>
      <c r="D404" s="1022"/>
      <c r="E404" s="1022"/>
      <c r="F404" s="1022"/>
      <c r="G404" s="1022"/>
      <c r="H404" s="1022"/>
      <c r="I404" s="1022"/>
      <c r="J404" s="1022"/>
      <c r="K404" s="1022"/>
      <c r="L404" s="1023"/>
      <c r="M404" s="1481"/>
      <c r="N404" s="1482"/>
      <c r="O404" s="1482"/>
      <c r="P404" s="1482"/>
      <c r="Q404" s="1483"/>
      <c r="R404" s="758"/>
      <c r="S404" s="758"/>
      <c r="T404" s="458"/>
      <c r="U404" s="458"/>
      <c r="V404" s="458"/>
      <c r="W404" s="458"/>
      <c r="X404" s="458"/>
      <c r="Y404" s="458"/>
      <c r="Z404" s="458"/>
      <c r="AA404" s="458"/>
      <c r="AB404" s="458"/>
      <c r="AC404" s="458"/>
      <c r="AD404" s="458"/>
      <c r="AE404" s="458"/>
      <c r="AF404" s="458"/>
      <c r="AG404" s="758"/>
      <c r="AH404" s="1283"/>
      <c r="AI404" s="1216"/>
      <c r="AJ404" s="1216"/>
      <c r="AK404" s="1216"/>
      <c r="AL404" s="1216"/>
      <c r="AM404" s="1216"/>
      <c r="AN404" s="1216"/>
      <c r="AO404" s="1216"/>
      <c r="AP404" s="1216"/>
      <c r="AQ404" s="1216"/>
      <c r="AR404" s="1216"/>
      <c r="AS404" s="1216"/>
      <c r="AT404" s="1217"/>
      <c r="AU404" s="458"/>
      <c r="AV404" s="458"/>
      <c r="AW404" s="458"/>
      <c r="AX404" s="458"/>
      <c r="AY404" s="458"/>
      <c r="AZ404" s="458"/>
      <c r="BA404" s="458"/>
      <c r="BB404" s="458"/>
      <c r="BC404" s="458"/>
      <c r="BD404" s="458"/>
      <c r="BE404" s="458"/>
      <c r="BF404" s="458"/>
      <c r="BG404" s="458"/>
      <c r="BH404" s="458"/>
      <c r="BI404" s="458"/>
      <c r="BJ404" s="458"/>
    </row>
    <row r="405" spans="1:62" ht="62.55" customHeight="1">
      <c r="A405" s="1018" t="s">
        <v>1590</v>
      </c>
      <c r="B405" s="1019"/>
      <c r="C405" s="1019"/>
      <c r="D405" s="1019"/>
      <c r="E405" s="1019"/>
      <c r="F405" s="1019"/>
      <c r="G405" s="1019"/>
      <c r="H405" s="1019"/>
      <c r="I405" s="1019"/>
      <c r="J405" s="1019"/>
      <c r="K405" s="1019"/>
      <c r="L405" s="1020"/>
      <c r="M405" s="1481"/>
      <c r="N405" s="1482"/>
      <c r="O405" s="1482"/>
      <c r="P405" s="1482"/>
      <c r="Q405" s="1483"/>
      <c r="R405" s="758"/>
      <c r="S405" s="758"/>
      <c r="T405" s="458"/>
      <c r="U405" s="458"/>
      <c r="V405" s="458"/>
      <c r="W405" s="458"/>
      <c r="X405" s="458"/>
      <c r="Y405" s="458"/>
      <c r="Z405" s="458"/>
      <c r="AA405" s="458"/>
      <c r="AB405" s="458"/>
      <c r="AC405" s="458"/>
      <c r="AD405" s="458"/>
      <c r="AE405" s="458"/>
      <c r="AF405" s="458"/>
      <c r="AG405" s="758"/>
      <c r="AH405" s="458"/>
      <c r="AI405" s="458"/>
      <c r="AJ405" s="458"/>
      <c r="AK405" s="458"/>
      <c r="AL405" s="458"/>
      <c r="AM405" s="458"/>
      <c r="AN405" s="458"/>
      <c r="AO405" s="458"/>
      <c r="AP405" s="458"/>
      <c r="AQ405" s="458"/>
      <c r="AR405" s="458"/>
      <c r="AS405" s="458"/>
      <c r="AT405" s="458"/>
      <c r="AU405" s="458"/>
      <c r="AV405" s="458"/>
      <c r="AW405" s="458"/>
      <c r="AX405" s="458"/>
      <c r="AY405" s="458"/>
      <c r="AZ405" s="458"/>
      <c r="BA405" s="458"/>
      <c r="BB405" s="458"/>
      <c r="BC405" s="458"/>
      <c r="BD405" s="458"/>
      <c r="BE405" s="458"/>
      <c r="BF405" s="458"/>
      <c r="BG405" s="458"/>
      <c r="BH405" s="458"/>
      <c r="BI405" s="458"/>
      <c r="BJ405" s="458"/>
    </row>
    <row r="406" spans="1:62" ht="150" customHeight="1" thickBot="1">
      <c r="A406" s="1018" t="s">
        <v>1173</v>
      </c>
      <c r="B406" s="1019"/>
      <c r="C406" s="1019"/>
      <c r="D406" s="1019"/>
      <c r="E406" s="1019"/>
      <c r="F406" s="1019"/>
      <c r="G406" s="1019"/>
      <c r="H406" s="1019"/>
      <c r="I406" s="1019"/>
      <c r="J406" s="1019"/>
      <c r="K406" s="1019"/>
      <c r="L406" s="1020"/>
      <c r="M406" s="1481"/>
      <c r="N406" s="1482"/>
      <c r="O406" s="1482"/>
      <c r="P406" s="1482"/>
      <c r="Q406" s="1483"/>
      <c r="R406" s="758"/>
      <c r="S406" s="758"/>
      <c r="T406" s="458"/>
      <c r="U406" s="458"/>
      <c r="V406" s="458"/>
      <c r="W406" s="458"/>
      <c r="X406" s="458"/>
      <c r="Y406" s="458"/>
      <c r="Z406" s="458"/>
      <c r="AA406" s="458"/>
      <c r="AB406" s="458"/>
      <c r="AC406" s="458"/>
      <c r="AD406" s="458"/>
      <c r="AE406" s="458"/>
      <c r="AF406" s="458"/>
      <c r="AG406" s="758"/>
      <c r="AH406" s="458"/>
      <c r="AI406" s="458"/>
      <c r="AJ406" s="458"/>
      <c r="AK406" s="458"/>
      <c r="AL406" s="458"/>
      <c r="AM406" s="458"/>
      <c r="AN406" s="458"/>
      <c r="AO406" s="458"/>
      <c r="AP406" s="458"/>
      <c r="AQ406" s="458"/>
      <c r="AR406" s="458"/>
      <c r="AS406" s="458"/>
      <c r="AT406" s="458"/>
      <c r="AU406" s="458"/>
      <c r="AV406" s="458"/>
      <c r="AW406" s="458"/>
      <c r="AX406" s="458"/>
      <c r="AY406" s="458"/>
      <c r="AZ406" s="458"/>
      <c r="BA406" s="458"/>
      <c r="BB406" s="458"/>
      <c r="BC406" s="458"/>
      <c r="BD406" s="458"/>
      <c r="BE406" s="458"/>
      <c r="BF406" s="458"/>
      <c r="BG406" s="458"/>
      <c r="BH406" s="458"/>
      <c r="BI406" s="458"/>
      <c r="BJ406" s="458"/>
    </row>
    <row r="407" spans="1:62" ht="160.94999999999999" hidden="1" customHeight="1" thickBot="1">
      <c r="A407" s="1024"/>
      <c r="B407" s="1025"/>
      <c r="C407" s="1025"/>
      <c r="D407" s="1025"/>
      <c r="E407" s="1025"/>
      <c r="F407" s="1025"/>
      <c r="G407" s="1025"/>
      <c r="H407" s="1025"/>
      <c r="I407" s="1025"/>
      <c r="J407" s="1025"/>
      <c r="K407" s="1025"/>
      <c r="L407" s="1026"/>
      <c r="M407" s="1484"/>
      <c r="N407" s="1485"/>
      <c r="O407" s="1485"/>
      <c r="P407" s="1485"/>
      <c r="Q407" s="1486"/>
      <c r="R407" s="758"/>
      <c r="S407" s="758"/>
      <c r="T407" s="458"/>
      <c r="U407" s="458"/>
      <c r="V407" s="458"/>
      <c r="W407" s="458"/>
      <c r="X407" s="458"/>
      <c r="Y407" s="458"/>
      <c r="Z407" s="458"/>
      <c r="AA407" s="458"/>
      <c r="AB407" s="458"/>
      <c r="AC407" s="458"/>
      <c r="AD407" s="458"/>
      <c r="AE407" s="458"/>
      <c r="AF407" s="458"/>
      <c r="AG407" s="758"/>
      <c r="AH407" s="458"/>
      <c r="AI407" s="458"/>
      <c r="AJ407" s="458"/>
      <c r="AK407" s="458"/>
      <c r="AL407" s="458"/>
      <c r="AM407" s="458"/>
      <c r="AN407" s="458"/>
      <c r="AO407" s="458"/>
      <c r="AP407" s="458"/>
      <c r="AQ407" s="458"/>
      <c r="AR407" s="458"/>
      <c r="AS407" s="458"/>
      <c r="AT407" s="458"/>
      <c r="AU407" s="458"/>
      <c r="AV407" s="458"/>
      <c r="AW407" s="458"/>
      <c r="AX407" s="458"/>
      <c r="AY407" s="458"/>
      <c r="AZ407" s="458"/>
      <c r="BA407" s="458"/>
      <c r="BB407" s="458"/>
      <c r="BC407" s="458"/>
      <c r="BD407" s="458"/>
      <c r="BE407" s="458"/>
      <c r="BF407" s="458"/>
      <c r="BG407" s="458"/>
      <c r="BH407" s="458"/>
      <c r="BI407" s="458"/>
      <c r="BJ407" s="458"/>
    </row>
    <row r="408" spans="1:62" ht="39" customHeight="1">
      <c r="A408" s="1015" t="s">
        <v>823</v>
      </c>
      <c r="B408" s="1284"/>
      <c r="C408" s="1284"/>
      <c r="D408" s="1284"/>
      <c r="E408" s="1284"/>
      <c r="F408" s="1284"/>
      <c r="G408" s="1284"/>
      <c r="H408" s="1284"/>
      <c r="I408" s="1284"/>
      <c r="J408" s="1284"/>
      <c r="K408" s="1284"/>
      <c r="L408" s="1285"/>
      <c r="M408" s="2054" t="s">
        <v>752</v>
      </c>
      <c r="N408" s="2055"/>
      <c r="O408" s="2055"/>
      <c r="P408" s="2055"/>
      <c r="Q408" s="2056"/>
      <c r="R408" s="758"/>
      <c r="S408" s="758"/>
      <c r="T408" s="758"/>
      <c r="U408" s="758"/>
      <c r="V408" s="758"/>
      <c r="W408" s="758"/>
      <c r="X408" s="758"/>
      <c r="Y408" s="758"/>
      <c r="Z408" s="758"/>
      <c r="AA408" s="758"/>
      <c r="AB408" s="458"/>
      <c r="AC408" s="458"/>
      <c r="AD408" s="458"/>
      <c r="AE408" s="458"/>
      <c r="AF408" s="458"/>
      <c r="AG408" s="758"/>
      <c r="AH408" s="458"/>
      <c r="AI408" s="458"/>
      <c r="AJ408" s="458"/>
      <c r="AK408" s="458"/>
      <c r="AL408" s="458"/>
      <c r="AM408" s="458"/>
      <c r="AN408" s="458"/>
      <c r="AO408" s="458"/>
      <c r="AP408" s="458"/>
      <c r="AQ408" s="458"/>
      <c r="AR408" s="458"/>
      <c r="AS408" s="458"/>
      <c r="AT408" s="458"/>
      <c r="AU408" s="458"/>
      <c r="AV408" s="458"/>
      <c r="AW408" s="458"/>
      <c r="AX408" s="458"/>
      <c r="AY408" s="458"/>
      <c r="AZ408" s="458"/>
      <c r="BA408" s="458"/>
      <c r="BB408" s="458"/>
      <c r="BC408" s="458"/>
      <c r="BD408" s="458"/>
      <c r="BE408" s="458"/>
      <c r="BF408" s="458"/>
      <c r="BG408" s="458"/>
      <c r="BH408" s="458"/>
      <c r="BI408" s="458"/>
      <c r="BJ408" s="458"/>
    </row>
    <row r="409" spans="1:62" ht="34.049999999999997" customHeight="1">
      <c r="A409" s="1021" t="s">
        <v>1174</v>
      </c>
      <c r="B409" s="1022"/>
      <c r="C409" s="1022"/>
      <c r="D409" s="1022"/>
      <c r="E409" s="1022"/>
      <c r="F409" s="1022"/>
      <c r="G409" s="1022"/>
      <c r="H409" s="1022"/>
      <c r="I409" s="1022"/>
      <c r="J409" s="1022"/>
      <c r="K409" s="1022"/>
      <c r="L409" s="1023"/>
      <c r="M409" s="1481"/>
      <c r="N409" s="1482"/>
      <c r="O409" s="1482"/>
      <c r="P409" s="1482"/>
      <c r="Q409" s="1483"/>
      <c r="R409" s="758"/>
      <c r="S409" s="758"/>
      <c r="T409" s="758"/>
      <c r="U409" s="758"/>
      <c r="V409" s="758"/>
      <c r="W409" s="758"/>
      <c r="X409" s="758"/>
      <c r="Y409" s="758"/>
      <c r="Z409" s="758"/>
      <c r="AA409" s="758"/>
      <c r="AB409" s="458"/>
      <c r="AC409" s="458"/>
      <c r="AD409" s="458"/>
      <c r="AE409" s="458"/>
      <c r="AF409" s="458"/>
      <c r="AG409" s="758"/>
      <c r="AH409" s="458"/>
      <c r="AI409" s="458"/>
      <c r="AJ409" s="458"/>
      <c r="AK409" s="458"/>
      <c r="AL409" s="458"/>
      <c r="AM409" s="458"/>
      <c r="AN409" s="458"/>
      <c r="AO409" s="458"/>
      <c r="AP409" s="458"/>
      <c r="AQ409" s="458"/>
      <c r="AR409" s="458"/>
      <c r="AS409" s="458"/>
      <c r="AT409" s="458"/>
      <c r="AU409" s="458"/>
      <c r="AV409" s="458"/>
      <c r="AW409" s="458"/>
      <c r="AX409" s="458"/>
      <c r="AY409" s="458"/>
      <c r="AZ409" s="458"/>
      <c r="BA409" s="458"/>
      <c r="BB409" s="458"/>
      <c r="BC409" s="458"/>
      <c r="BD409" s="458"/>
      <c r="BE409" s="458"/>
      <c r="BF409" s="458"/>
      <c r="BG409" s="458"/>
      <c r="BH409" s="458"/>
      <c r="BI409" s="458"/>
      <c r="BJ409" s="458"/>
    </row>
    <row r="410" spans="1:62" ht="55.95" customHeight="1">
      <c r="A410" s="1021" t="s">
        <v>1591</v>
      </c>
      <c r="B410" s="1022"/>
      <c r="C410" s="1022"/>
      <c r="D410" s="1022"/>
      <c r="E410" s="1022"/>
      <c r="F410" s="1022"/>
      <c r="G410" s="1022"/>
      <c r="H410" s="1022"/>
      <c r="I410" s="1022"/>
      <c r="J410" s="1022"/>
      <c r="K410" s="1022"/>
      <c r="L410" s="1023"/>
      <c r="M410" s="1481"/>
      <c r="N410" s="1482"/>
      <c r="O410" s="1482"/>
      <c r="P410" s="1482"/>
      <c r="Q410" s="1483"/>
      <c r="R410" s="758"/>
      <c r="S410" s="758"/>
      <c r="T410" s="758"/>
      <c r="U410" s="758"/>
      <c r="V410" s="758"/>
      <c r="W410" s="758"/>
      <c r="X410" s="758"/>
      <c r="Y410" s="758"/>
      <c r="Z410" s="758"/>
      <c r="AA410" s="758"/>
      <c r="AB410" s="458"/>
      <c r="AC410" s="458"/>
      <c r="AD410" s="458"/>
      <c r="AE410" s="458"/>
      <c r="AF410" s="458"/>
      <c r="AG410" s="758"/>
      <c r="AH410" s="458"/>
      <c r="AI410" s="458"/>
      <c r="AJ410" s="458"/>
      <c r="AK410" s="458"/>
      <c r="AL410" s="458"/>
      <c r="AM410" s="458"/>
      <c r="AN410" s="458"/>
      <c r="AO410" s="458"/>
      <c r="AP410" s="458"/>
      <c r="AQ410" s="458"/>
      <c r="AR410" s="458"/>
      <c r="AS410" s="458"/>
      <c r="AT410" s="458"/>
      <c r="AU410" s="458"/>
      <c r="AV410" s="458"/>
      <c r="AW410" s="458"/>
      <c r="AX410" s="458"/>
      <c r="AY410" s="458"/>
      <c r="AZ410" s="458"/>
      <c r="BA410" s="458"/>
      <c r="BB410" s="458"/>
      <c r="BC410" s="458"/>
      <c r="BD410" s="458"/>
      <c r="BE410" s="458"/>
      <c r="BF410" s="458"/>
      <c r="BG410" s="458"/>
      <c r="BH410" s="458"/>
      <c r="BI410" s="458"/>
      <c r="BJ410" s="458"/>
    </row>
    <row r="411" spans="1:62" ht="71.55" customHeight="1" thickBot="1">
      <c r="A411" s="1024" t="s">
        <v>1173</v>
      </c>
      <c r="B411" s="1025"/>
      <c r="C411" s="1025"/>
      <c r="D411" s="1025"/>
      <c r="E411" s="1025"/>
      <c r="F411" s="1025"/>
      <c r="G411" s="1025"/>
      <c r="H411" s="1025"/>
      <c r="I411" s="1025"/>
      <c r="J411" s="1025"/>
      <c r="K411" s="1025"/>
      <c r="L411" s="1026"/>
      <c r="M411" s="1484"/>
      <c r="N411" s="1485"/>
      <c r="O411" s="1485"/>
      <c r="P411" s="1485"/>
      <c r="Q411" s="1486"/>
      <c r="R411" s="758"/>
      <c r="S411" s="758"/>
      <c r="T411" s="758"/>
      <c r="U411" s="758"/>
      <c r="V411" s="758"/>
      <c r="W411" s="758"/>
      <c r="X411" s="758"/>
      <c r="Y411" s="758"/>
      <c r="Z411" s="758"/>
      <c r="AA411" s="758"/>
      <c r="AB411" s="458"/>
      <c r="AC411" s="458"/>
      <c r="AD411" s="458"/>
      <c r="AE411" s="458"/>
      <c r="AF411" s="458"/>
      <c r="AG411" s="758"/>
      <c r="AH411" s="458"/>
      <c r="AI411" s="458"/>
      <c r="AJ411" s="458"/>
      <c r="AK411" s="458"/>
      <c r="AL411" s="458"/>
      <c r="AM411" s="458"/>
      <c r="AN411" s="458"/>
      <c r="AO411" s="458"/>
      <c r="AP411" s="458"/>
      <c r="AQ411" s="458"/>
      <c r="AR411" s="458"/>
      <c r="AS411" s="458"/>
      <c r="AT411" s="458"/>
      <c r="AU411" s="458"/>
      <c r="AV411" s="458"/>
      <c r="AW411" s="458"/>
      <c r="AX411" s="458"/>
      <c r="AY411" s="458"/>
      <c r="AZ411" s="458"/>
      <c r="BA411" s="458"/>
      <c r="BB411" s="458"/>
      <c r="BC411" s="458"/>
      <c r="BD411" s="458"/>
      <c r="BE411" s="458"/>
      <c r="BF411" s="458"/>
      <c r="BG411" s="458"/>
      <c r="BH411" s="458"/>
      <c r="BI411" s="458"/>
      <c r="BJ411" s="458"/>
    </row>
    <row r="412" spans="1:62">
      <c r="AB412" s="438"/>
      <c r="AC412" s="438"/>
      <c r="AD412" s="438"/>
      <c r="AE412" s="438"/>
      <c r="AF412" s="438"/>
      <c r="AG412" s="758"/>
      <c r="AH412" s="758"/>
      <c r="AI412" s="758"/>
      <c r="AJ412" s="758"/>
      <c r="AK412" s="758"/>
      <c r="AL412" s="758"/>
      <c r="AM412" s="758"/>
      <c r="AN412" s="758"/>
      <c r="AO412" s="758"/>
      <c r="AP412" s="758"/>
      <c r="AQ412" s="758"/>
      <c r="AR412" s="758"/>
      <c r="AS412" s="458"/>
      <c r="AT412" s="458"/>
      <c r="AU412" s="458"/>
      <c r="AV412" s="458"/>
      <c r="AW412" s="458"/>
      <c r="AX412" s="458"/>
      <c r="AY412" s="458"/>
      <c r="AZ412" s="458"/>
      <c r="BA412" s="458"/>
      <c r="BB412" s="458"/>
      <c r="BC412" s="458"/>
      <c r="BD412" s="458"/>
      <c r="BE412" s="458"/>
      <c r="BF412" s="458"/>
      <c r="BG412" s="458"/>
      <c r="BH412" s="458"/>
      <c r="BI412" s="458"/>
      <c r="BJ412" s="458"/>
    </row>
    <row r="413" spans="1:62">
      <c r="AB413" s="438"/>
      <c r="AC413" s="438"/>
      <c r="AD413" s="438"/>
      <c r="AE413" s="438"/>
      <c r="AF413" s="438"/>
      <c r="AH413" s="438"/>
      <c r="AI413" s="438"/>
      <c r="AJ413" s="438"/>
      <c r="AK413" s="438"/>
      <c r="AL413" s="438"/>
      <c r="AM413" s="438"/>
      <c r="AN413" s="438"/>
      <c r="AO413" s="438"/>
      <c r="AP413" s="438"/>
      <c r="AQ413" s="438"/>
      <c r="AR413" s="438"/>
      <c r="BI413" s="458"/>
      <c r="BJ413" s="458"/>
    </row>
    <row r="414" spans="1:62">
      <c r="AB414" s="438"/>
      <c r="AC414" s="438"/>
      <c r="AD414" s="438"/>
      <c r="AE414" s="438"/>
      <c r="AF414" s="438"/>
      <c r="AH414" s="438"/>
      <c r="AI414" s="438"/>
      <c r="AJ414" s="438"/>
      <c r="AK414" s="438"/>
      <c r="AL414" s="438"/>
      <c r="AM414" s="438"/>
      <c r="AN414" s="438"/>
      <c r="AO414" s="438"/>
      <c r="AP414" s="438"/>
      <c r="AQ414" s="438"/>
      <c r="AR414" s="438"/>
    </row>
    <row r="415" spans="1:62">
      <c r="AB415" s="438"/>
      <c r="AC415" s="438"/>
      <c r="AD415" s="438"/>
      <c r="AE415" s="438"/>
      <c r="AF415" s="438"/>
      <c r="AH415" s="438"/>
      <c r="AI415" s="438"/>
      <c r="AJ415" s="438"/>
      <c r="AK415" s="438"/>
      <c r="AL415" s="438"/>
      <c r="AM415" s="438"/>
      <c r="AN415" s="438"/>
      <c r="AO415" s="438"/>
      <c r="AP415" s="438"/>
      <c r="AQ415" s="438"/>
      <c r="AR415" s="438"/>
    </row>
    <row r="416" spans="1:62">
      <c r="AB416" s="438"/>
      <c r="AC416" s="438"/>
      <c r="AD416" s="438"/>
      <c r="AE416" s="438"/>
      <c r="AF416" s="438"/>
      <c r="AH416" s="438"/>
      <c r="AI416" s="438"/>
      <c r="AJ416" s="438"/>
      <c r="AK416" s="438"/>
      <c r="AL416" s="438"/>
      <c r="AM416" s="438"/>
      <c r="AN416" s="438"/>
      <c r="AO416" s="438"/>
      <c r="AP416" s="438"/>
      <c r="AQ416" s="438"/>
      <c r="AR416" s="438"/>
    </row>
    <row r="417" spans="28:44">
      <c r="AB417" s="438"/>
      <c r="AC417" s="438"/>
      <c r="AD417" s="438"/>
      <c r="AE417" s="438"/>
      <c r="AF417" s="438"/>
      <c r="AH417" s="438"/>
      <c r="AI417" s="438"/>
      <c r="AJ417" s="438"/>
      <c r="AK417" s="438"/>
      <c r="AL417" s="438"/>
      <c r="AM417" s="438"/>
      <c r="AN417" s="438"/>
      <c r="AO417" s="438"/>
      <c r="AP417" s="438"/>
      <c r="AQ417" s="438"/>
      <c r="AR417" s="438"/>
    </row>
    <row r="418" spans="28:44">
      <c r="AB418" s="438"/>
      <c r="AC418" s="438"/>
      <c r="AD418" s="438"/>
      <c r="AE418" s="438"/>
      <c r="AF418" s="438"/>
      <c r="AH418" s="438"/>
      <c r="AI418" s="438"/>
      <c r="AJ418" s="438"/>
      <c r="AK418" s="438"/>
      <c r="AL418" s="438"/>
      <c r="AM418" s="438"/>
      <c r="AN418" s="438"/>
      <c r="AO418" s="438"/>
      <c r="AP418" s="438"/>
      <c r="AQ418" s="438"/>
      <c r="AR418" s="438"/>
    </row>
    <row r="419" spans="28:44">
      <c r="AB419" s="438"/>
      <c r="AC419" s="438"/>
      <c r="AD419" s="438"/>
      <c r="AE419" s="438"/>
      <c r="AF419" s="438"/>
      <c r="AH419" s="438"/>
      <c r="AI419" s="438"/>
      <c r="AJ419" s="438"/>
      <c r="AK419" s="438"/>
      <c r="AL419" s="438"/>
      <c r="AM419" s="438"/>
      <c r="AN419" s="438"/>
      <c r="AO419" s="438"/>
      <c r="AP419" s="438"/>
      <c r="AQ419" s="438"/>
      <c r="AR419" s="438"/>
    </row>
  </sheetData>
  <sheetProtection password="9F15" sheet="1" objects="1" scenarios="1"/>
  <mergeCells count="273">
    <mergeCell ref="AM164:AM165"/>
    <mergeCell ref="AN164:AN165"/>
    <mergeCell ref="AH286:AT286"/>
    <mergeCell ref="AT287:AT396"/>
    <mergeCell ref="AH287:AH396"/>
    <mergeCell ref="AP287:AP288"/>
    <mergeCell ref="AQ287:AQ288"/>
    <mergeCell ref="AR287:AR288"/>
    <mergeCell ref="AH401:AT401"/>
    <mergeCell ref="AH402:AT404"/>
    <mergeCell ref="AH2:AN2"/>
    <mergeCell ref="AH397:AT397"/>
    <mergeCell ref="AI3:AJ3"/>
    <mergeCell ref="AL3:AO3"/>
    <mergeCell ref="AI4:AJ4"/>
    <mergeCell ref="AL4:AO4"/>
    <mergeCell ref="AI5:AJ5"/>
    <mergeCell ref="AL5:AO5"/>
    <mergeCell ref="AI6:AJ6"/>
    <mergeCell ref="AL6:AO6"/>
    <mergeCell ref="AI7:AJ7"/>
    <mergeCell ref="AL7:AO7"/>
    <mergeCell ref="AH17:BI22"/>
    <mergeCell ref="AH141:AU146"/>
    <mergeCell ref="AH157:AV161"/>
    <mergeCell ref="AH280:AT285"/>
    <mergeCell ref="BO287:BQ287"/>
    <mergeCell ref="AI287:AI288"/>
    <mergeCell ref="AJ287:AJ288"/>
    <mergeCell ref="AK287:AK288"/>
    <mergeCell ref="AL287:AL288"/>
    <mergeCell ref="AM287:AM288"/>
    <mergeCell ref="AN287:AN288"/>
    <mergeCell ref="AO287:AO288"/>
    <mergeCell ref="AS287:AS288"/>
    <mergeCell ref="BO24:BQ24"/>
    <mergeCell ref="BC24:BC25"/>
    <mergeCell ref="BD24:BD25"/>
    <mergeCell ref="BE24:BE25"/>
    <mergeCell ref="BF24:BF25"/>
    <mergeCell ref="BG24:BG25"/>
    <mergeCell ref="AT164:AT165"/>
    <mergeCell ref="BB24:BB25"/>
    <mergeCell ref="BH24:BH25"/>
    <mergeCell ref="BO148:BQ148"/>
    <mergeCell ref="BO164:BQ164"/>
    <mergeCell ref="AH162:AV163"/>
    <mergeCell ref="AV164:AV273"/>
    <mergeCell ref="AH164:AH273"/>
    <mergeCell ref="AI164:AI165"/>
    <mergeCell ref="AJ164:AJ165"/>
    <mergeCell ref="AK164:AK165"/>
    <mergeCell ref="AL164:AL165"/>
    <mergeCell ref="AX24:AX25"/>
    <mergeCell ref="AY24:AY25"/>
    <mergeCell ref="AZ24:AZ25"/>
    <mergeCell ref="BA24:BA25"/>
    <mergeCell ref="AO164:AO165"/>
    <mergeCell ref="AP164:AP165"/>
    <mergeCell ref="AH23:BI23"/>
    <mergeCell ref="AS148:AS149"/>
    <mergeCell ref="AI150:AJ150"/>
    <mergeCell ref="AT148:AT149"/>
    <mergeCell ref="AI148:AJ149"/>
    <mergeCell ref="AK148:AK149"/>
    <mergeCell ref="AL148:AL149"/>
    <mergeCell ref="AM148:AM149"/>
    <mergeCell ref="AN148:AN149"/>
    <mergeCell ref="AO148:AO149"/>
    <mergeCell ref="AP148:AP149"/>
    <mergeCell ref="AQ148:AQ149"/>
    <mergeCell ref="AR148:AR149"/>
    <mergeCell ref="AH134:BI134"/>
    <mergeCell ref="AH24:AH133"/>
    <mergeCell ref="AI24:AI25"/>
    <mergeCell ref="AT24:AT25"/>
    <mergeCell ref="AU24:AU25"/>
    <mergeCell ref="AV24:AV25"/>
    <mergeCell ref="AW24:AW25"/>
    <mergeCell ref="AH147:AU147"/>
    <mergeCell ref="AU148:AU150"/>
    <mergeCell ref="AH148:AH150"/>
    <mergeCell ref="AQ164:AQ165"/>
    <mergeCell ref="AR164:AR165"/>
    <mergeCell ref="AS164:AS165"/>
    <mergeCell ref="AU164:AU165"/>
    <mergeCell ref="AP24:AP25"/>
    <mergeCell ref="AQ24:AQ25"/>
    <mergeCell ref="AR24:AR25"/>
    <mergeCell ref="AS24:AS25"/>
    <mergeCell ref="A274:S274"/>
    <mergeCell ref="S24:S25"/>
    <mergeCell ref="T24:T25"/>
    <mergeCell ref="U24:U25"/>
    <mergeCell ref="N166:Q273"/>
    <mergeCell ref="Q146:Q150"/>
    <mergeCell ref="B144:C145"/>
    <mergeCell ref="B146:C146"/>
    <mergeCell ref="D144:D145"/>
    <mergeCell ref="B148:C149"/>
    <mergeCell ref="G144:G145"/>
    <mergeCell ref="H144:H145"/>
    <mergeCell ref="I144:I145"/>
    <mergeCell ref="J144:J145"/>
    <mergeCell ref="AH274:AV274"/>
    <mergeCell ref="AH151:AU151"/>
    <mergeCell ref="I148:I149"/>
    <mergeCell ref="J148:J149"/>
    <mergeCell ref="K148:K149"/>
    <mergeCell ref="G283:G284"/>
    <mergeCell ref="H283:H284"/>
    <mergeCell ref="A280:Q280"/>
    <mergeCell ref="A281:Q281"/>
    <mergeCell ref="Q282:Q396"/>
    <mergeCell ref="M146:P150"/>
    <mergeCell ref="G148:G149"/>
    <mergeCell ref="D148:D149"/>
    <mergeCell ref="E148:E149"/>
    <mergeCell ref="E24:E25"/>
    <mergeCell ref="V24:V25"/>
    <mergeCell ref="G24:G25"/>
    <mergeCell ref="A134:AF134"/>
    <mergeCell ref="M400:Q400"/>
    <mergeCell ref="AF19:AF133"/>
    <mergeCell ref="M408:Q408"/>
    <mergeCell ref="M409:Q411"/>
    <mergeCell ref="M401:Q401"/>
    <mergeCell ref="M403:Q407"/>
    <mergeCell ref="D19:Z19"/>
    <mergeCell ref="U20:U21"/>
    <mergeCell ref="D20:D21"/>
    <mergeCell ref="E20:E21"/>
    <mergeCell ref="F20:F21"/>
    <mergeCell ref="M143:Q143"/>
    <mergeCell ref="F24:F25"/>
    <mergeCell ref="A397:Q397"/>
    <mergeCell ref="A151:R151"/>
    <mergeCell ref="A159:A273"/>
    <mergeCell ref="B159:B165"/>
    <mergeCell ref="C159:C165"/>
    <mergeCell ref="D159:M159"/>
    <mergeCell ref="A158:S158"/>
    <mergeCell ref="AA22:AD22"/>
    <mergeCell ref="N24:N25"/>
    <mergeCell ref="O24:O25"/>
    <mergeCell ref="P24:P25"/>
    <mergeCell ref="Q24:Q25"/>
    <mergeCell ref="I24:I25"/>
    <mergeCell ref="Z24:Z25"/>
    <mergeCell ref="J24:J25"/>
    <mergeCell ref="K24:K25"/>
    <mergeCell ref="L24:L25"/>
    <mergeCell ref="M24:M25"/>
    <mergeCell ref="A1:BI1"/>
    <mergeCell ref="H24:H25"/>
    <mergeCell ref="A2:AF2"/>
    <mergeCell ref="T20:T21"/>
    <mergeCell ref="AA19:AE19"/>
    <mergeCell ref="D24:D25"/>
    <mergeCell ref="A7:B7"/>
    <mergeCell ref="M20:M21"/>
    <mergeCell ref="N20:N21"/>
    <mergeCell ref="O20:O21"/>
    <mergeCell ref="P20:P21"/>
    <mergeCell ref="Q20:Q21"/>
    <mergeCell ref="R20:R21"/>
    <mergeCell ref="S20:S21"/>
    <mergeCell ref="V20:V21"/>
    <mergeCell ref="D23:Z23"/>
    <mergeCell ref="AJ24:AJ25"/>
    <mergeCell ref="B19:B25"/>
    <mergeCell ref="G20:G21"/>
    <mergeCell ref="AK24:AK25"/>
    <mergeCell ref="AL24:AL25"/>
    <mergeCell ref="AM24:AM25"/>
    <mergeCell ref="AN24:AN25"/>
    <mergeCell ref="AO24:AO25"/>
    <mergeCell ref="H20:H21"/>
    <mergeCell ref="I20:I21"/>
    <mergeCell ref="Y24:Y25"/>
    <mergeCell ref="A138:AF140"/>
    <mergeCell ref="W24:W25"/>
    <mergeCell ref="X24:X25"/>
    <mergeCell ref="A3:B3"/>
    <mergeCell ref="A4:B4"/>
    <mergeCell ref="A5:B5"/>
    <mergeCell ref="A6:B6"/>
    <mergeCell ref="A14:AF16"/>
    <mergeCell ref="J20:J21"/>
    <mergeCell ref="K20:K21"/>
    <mergeCell ref="L20:L21"/>
    <mergeCell ref="C19:C25"/>
    <mergeCell ref="A18:AF18"/>
    <mergeCell ref="A17:AF17"/>
    <mergeCell ref="R24:R25"/>
    <mergeCell ref="W20:W21"/>
    <mergeCell ref="X20:X21"/>
    <mergeCell ref="Y20:Y21"/>
    <mergeCell ref="AA26:AD133"/>
    <mergeCell ref="A19:A133"/>
    <mergeCell ref="AA23:AE23"/>
    <mergeCell ref="A408:L408"/>
    <mergeCell ref="A141:R141"/>
    <mergeCell ref="A142:R142"/>
    <mergeCell ref="R143:R150"/>
    <mergeCell ref="B143:L143"/>
    <mergeCell ref="B147:L147"/>
    <mergeCell ref="B150:C150"/>
    <mergeCell ref="H148:H149"/>
    <mergeCell ref="A154:S156"/>
    <mergeCell ref="A398:Q399"/>
    <mergeCell ref="E144:E145"/>
    <mergeCell ref="F144:F145"/>
    <mergeCell ref="A400:L400"/>
    <mergeCell ref="A157:S157"/>
    <mergeCell ref="S159:S273"/>
    <mergeCell ref="N162:Q162"/>
    <mergeCell ref="N163:R163"/>
    <mergeCell ref="F148:F149"/>
    <mergeCell ref="N159:R159"/>
    <mergeCell ref="I287:I288"/>
    <mergeCell ref="J287:J288"/>
    <mergeCell ref="K287:K288"/>
    <mergeCell ref="E283:E284"/>
    <mergeCell ref="F283:F284"/>
    <mergeCell ref="A409:L409"/>
    <mergeCell ref="A410:L410"/>
    <mergeCell ref="I283:I284"/>
    <mergeCell ref="A143:A150"/>
    <mergeCell ref="M164:M165"/>
    <mergeCell ref="D164:D165"/>
    <mergeCell ref="D160:D161"/>
    <mergeCell ref="M160:M161"/>
    <mergeCell ref="K144:K145"/>
    <mergeCell ref="L144:L145"/>
    <mergeCell ref="A282:A396"/>
    <mergeCell ref="B282:B288"/>
    <mergeCell ref="C282:C288"/>
    <mergeCell ref="L282:P282"/>
    <mergeCell ref="L285:O285"/>
    <mergeCell ref="L286:P286"/>
    <mergeCell ref="L289:O396"/>
    <mergeCell ref="D282:K282"/>
    <mergeCell ref="D286:K286"/>
    <mergeCell ref="D163:M163"/>
    <mergeCell ref="L148:L149"/>
    <mergeCell ref="M402:Q402"/>
    <mergeCell ref="A276:S279"/>
    <mergeCell ref="A401:L401"/>
    <mergeCell ref="A411:L411"/>
    <mergeCell ref="A402:L402"/>
    <mergeCell ref="A403:L403"/>
    <mergeCell ref="A404:L404"/>
    <mergeCell ref="A406:L406"/>
    <mergeCell ref="A407:L407"/>
    <mergeCell ref="A405:L405"/>
    <mergeCell ref="A8:G11"/>
    <mergeCell ref="G160:G161"/>
    <mergeCell ref="H160:H161"/>
    <mergeCell ref="I160:I161"/>
    <mergeCell ref="J160:J161"/>
    <mergeCell ref="K160:K161"/>
    <mergeCell ref="L160:L161"/>
    <mergeCell ref="F160:F161"/>
    <mergeCell ref="E160:E161"/>
    <mergeCell ref="D283:D284"/>
    <mergeCell ref="J283:J284"/>
    <mergeCell ref="K283:K284"/>
    <mergeCell ref="D287:D288"/>
    <mergeCell ref="E287:E288"/>
    <mergeCell ref="F287:F288"/>
    <mergeCell ref="G287:G288"/>
    <mergeCell ref="H287:H288"/>
  </mergeCells>
  <dataValidations count="6">
    <dataValidation type="decimal" allowBlank="1" showInputMessage="1" showErrorMessage="1" sqref="C289:C396 C166:C273 C26:C133">
      <formula1>0</formula1>
      <formula2>1</formula2>
    </dataValidation>
    <dataValidation type="whole" operator="greaterThan" allowBlank="1" showInputMessage="1" showErrorMessage="1" sqref="D289:K396">
      <formula1>0</formula1>
    </dataValidation>
    <dataValidation operator="greaterThan" allowBlank="1" showInputMessage="1" showErrorMessage="1" sqref="B289:B396"/>
    <dataValidation type="whole" operator="greaterThanOrEqual" allowBlank="1" showInputMessage="1" showErrorMessage="1" sqref="D166:M273 D26:Z133 B150:L150 AI289:AI396 AI166:AI273">
      <formula1>0</formula1>
    </dataValidation>
    <dataValidation operator="greaterThanOrEqual" allowBlank="1" showInputMessage="1" showErrorMessage="1" sqref="BH26:BH133 AT150"/>
    <dataValidation type="decimal" operator="greaterThanOrEqual" allowBlank="1" showInputMessage="1" showErrorMessage="1" sqref="AJ289:AR396 AJ166:AT273 AI150:AS150 AJ26:BG133">
      <formula1>0</formula1>
    </dataValidation>
  </dataValidation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9</vt:i4>
      </vt:variant>
    </vt:vector>
  </HeadingPairs>
  <TitlesOfParts>
    <vt:vector size="27" baseType="lpstr">
      <vt:lpstr>Introduction</vt:lpstr>
      <vt:lpstr>General</vt:lpstr>
      <vt:lpstr>Combustion</vt:lpstr>
      <vt:lpstr>Flare</vt:lpstr>
      <vt:lpstr>WasteBurner&amp;BurnPit</vt:lpstr>
      <vt:lpstr>Vent (Process)</vt:lpstr>
      <vt:lpstr>Vent (Storage Tanks)</vt:lpstr>
      <vt:lpstr>Vent (Loading)</vt:lpstr>
      <vt:lpstr>Fugitives (Equipment Leaks)</vt:lpstr>
      <vt:lpstr>Fugitives (WastewaterTreatment)</vt:lpstr>
      <vt:lpstr>Fugitives (CoolingTowers)</vt:lpstr>
      <vt:lpstr>Results</vt:lpstr>
      <vt:lpstr>Compositions</vt:lpstr>
      <vt:lpstr>HHV-LHV-MW</vt:lpstr>
      <vt:lpstr>Sheet1</vt:lpstr>
      <vt:lpstr>Emission factors</vt:lpstr>
      <vt:lpstr>Emission factors1</vt:lpstr>
      <vt:lpstr>Uncertainties</vt:lpstr>
      <vt:lpstr>'Emission factors1'!_Ref95114528</vt:lpstr>
      <vt:lpstr>'Emission factors1'!_Ref97549088</vt:lpstr>
      <vt:lpstr>'Emission factors1'!_Ref97638135</vt:lpstr>
      <vt:lpstr>'Emission factors1'!_Ref99526939</vt:lpstr>
      <vt:lpstr>'Emission factors1'!_Toc99538977</vt:lpstr>
      <vt:lpstr>'Emission factors1'!_Toc99538978</vt:lpstr>
      <vt:lpstr>'Emission factors1'!_Toc99538979</vt:lpstr>
      <vt:lpstr>'Emission factors1'!_Toc99538980</vt:lpstr>
      <vt:lpstr>'Emission factors1'!_Toc99538981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I608-Riyazat</dc:creator>
  <cp:lastModifiedBy>I608-Riyazat</cp:lastModifiedBy>
  <cp:lastPrinted>2022-04-13T04:47:05Z</cp:lastPrinted>
  <dcterms:created xsi:type="dcterms:W3CDTF">2022-04-09T05:20:40Z</dcterms:created>
  <dcterms:modified xsi:type="dcterms:W3CDTF">2024-03-03T09:47:22Z</dcterms:modified>
</cp:coreProperties>
</file>